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9 Refiled Rate Case - TO2019A\Tariff and Spreadsheet Revisions\Build of Filed Populated Spreadsheet\"/>
    </mc:Choice>
  </mc:AlternateContent>
  <bookViews>
    <workbookView xWindow="-36" yWindow="120" windowWidth="13476" windowHeight="11856" tabRatio="597"/>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5-ROR-3" sheetId="81" r:id="rId10"/>
    <sheet name="5-ROR-4" sheetId="80" r:id="rId11"/>
    <sheet name="6-PlantInService" sheetId="4" r:id="rId12"/>
    <sheet name="7-PlantStudy" sheetId="56" r:id="rId13"/>
    <sheet name="8-AccDep" sheetId="21" r:id="rId14"/>
    <sheet name="9-ADIT" sheetId="15" r:id="rId15"/>
    <sheet name="10-CWIP" sheetId="49" r:id="rId16"/>
    <sheet name="11-PHFU" sheetId="54" r:id="rId17"/>
    <sheet name="12-AbandonedPlant" sheetId="45" r:id="rId18"/>
    <sheet name="13-WorkCap" sheetId="22" r:id="rId19"/>
    <sheet name="14-IncentivePlant" sheetId="11" r:id="rId20"/>
    <sheet name="15-IncentiveAdder" sheetId="12" r:id="rId21"/>
    <sheet name="16-PlantAdditions" sheetId="48" r:id="rId22"/>
    <sheet name="17-Depreciation" sheetId="64" r:id="rId23"/>
    <sheet name="18-DepRates" sheetId="63" r:id="rId24"/>
    <sheet name="19-OandM" sheetId="46" r:id="rId25"/>
    <sheet name="20-AandG" sheetId="26" r:id="rId26"/>
    <sheet name="21-RevenueCredits" sheetId="61" r:id="rId27"/>
    <sheet name="22-NUCs" sheetId="66" r:id="rId28"/>
    <sheet name="23-RegAssets" sheetId="55" r:id="rId29"/>
    <sheet name="24-CWIPTRR" sheetId="71" r:id="rId30"/>
    <sheet name="25-WholesaleDifference" sheetId="44" r:id="rId31"/>
    <sheet name="26-TaxRates" sheetId="17" r:id="rId32"/>
    <sheet name="27-Allocators" sheetId="2" r:id="rId33"/>
    <sheet name="28-FFU" sheetId="30" r:id="rId34"/>
    <sheet name="29-WholesaleTRRs" sheetId="31" r:id="rId35"/>
    <sheet name="30-WholesaleRates" sheetId="32" r:id="rId36"/>
    <sheet name="31-HVLV" sheetId="57" r:id="rId37"/>
    <sheet name="32-GrossLoad" sheetId="42" r:id="rId38"/>
    <sheet name="33-RetailRates" sheetId="53" r:id="rId39"/>
    <sheet name="34-UnfundedReserves" sheetId="79" r:id="rId40"/>
  </sheets>
  <definedNames>
    <definedName name="_xlnm._FilterDatabase" localSheetId="26" hidden="1">'21-RevenueCredits'!$A$1:$O$245</definedName>
    <definedName name="_xlnm.Print_Area" localSheetId="15">'10-CWIP'!$A$1:$K$452</definedName>
    <definedName name="_xlnm.Print_Area" localSheetId="16">'11-PHFU'!$A$1:$F$61</definedName>
    <definedName name="_xlnm.Print_Area" localSheetId="17">'12-AbandonedPlant'!$A$1:$J$56</definedName>
    <definedName name="_xlnm.Print_Area" localSheetId="18">'13-WorkCap'!$A$1:$G$69</definedName>
    <definedName name="_xlnm.Print_Area" localSheetId="19">'14-IncentivePlant'!$A$1:$J$396</definedName>
    <definedName name="_xlnm.Print_Area" localSheetId="20">'15-IncentiveAdder'!$A$1:$J$112</definedName>
    <definedName name="_xlnm.Print_Area" localSheetId="21">'16-PlantAdditions'!$A$1:$P$137</definedName>
    <definedName name="_xlnm.Print_Area" localSheetId="22">'17-Depreciation'!$A$1:$M$104</definedName>
    <definedName name="_xlnm.Print_Area" localSheetId="23">'18-DepRates'!$A$1:$G$64</definedName>
    <definedName name="_xlnm.Print_Area" localSheetId="24">'19-OandM'!$A$1:$L$153</definedName>
    <definedName name="_xlnm.Print_Area" localSheetId="3">'1-BaseTRR'!$A$1:$K$169</definedName>
    <definedName name="_xlnm.Print_Area" localSheetId="25">'20-AandG'!$A$1:$J$103</definedName>
    <definedName name="_xlnm.Print_Area" localSheetId="26">'21-RevenueCredits'!$A$1:$O$245</definedName>
    <definedName name="_xlnm.Print_Area" localSheetId="27">'22-NUCs'!$A$1:$F$27</definedName>
    <definedName name="_xlnm.Print_Area" localSheetId="28">'23-RegAssets'!$A$1:$I$37</definedName>
    <definedName name="_xlnm.Print_Area" localSheetId="29">'24-CWIPTRR'!$A$1:$J$195</definedName>
    <definedName name="_xlnm.Print_Area" localSheetId="30">'25-WholesaleDifference'!$A$1:$J$103</definedName>
    <definedName name="_xlnm.Print_Area" localSheetId="31">'26-TaxRates'!$A$1:$H$41</definedName>
    <definedName name="_xlnm.Print_Area" localSheetId="32">'27-Allocators'!$A$1:$K$53</definedName>
    <definedName name="_xlnm.Print_Area" localSheetId="33">'28-FFU'!$A$1:$J$46</definedName>
    <definedName name="_xlnm.Print_Area" localSheetId="34">'29-WholesaleTRRs'!$A$1:$I$41</definedName>
    <definedName name="_xlnm.Print_Area" localSheetId="4">'2-IFPTRR'!$A$1:$G$91</definedName>
    <definedName name="_xlnm.Print_Area" localSheetId="35">'30-WholesaleRates'!$A$1:$J$33</definedName>
    <definedName name="_xlnm.Print_Area" localSheetId="36">'31-HVLV'!$A$1:$L$51</definedName>
    <definedName name="_xlnm.Print_Area" localSheetId="37">'32-GrossLoad'!$A$1:$I$20</definedName>
    <definedName name="_xlnm.Print_Area" localSheetId="38">'33-RetailRates'!$A$1:$P$130</definedName>
    <definedName name="_xlnm.Print_Area" localSheetId="39">'34-UnfundedReserves'!$A$1:$K$43</definedName>
    <definedName name="_xlnm.Print_Area" localSheetId="5">'3-TrueUpAdjust'!$A$1:$L$142</definedName>
    <definedName name="_xlnm.Print_Area" localSheetId="6">'4-TUTRR'!$A$1:$J$108</definedName>
    <definedName name="_xlnm.Print_Area" localSheetId="7">'5-ROR-1'!$A$1:$L$58</definedName>
    <definedName name="_xlnm.Print_Area" localSheetId="8">'5-ROR-2'!$A$1:$P$63</definedName>
    <definedName name="_xlnm.Print_Area" localSheetId="9">'5-ROR-3'!$A$1:$M$99</definedName>
    <definedName name="_xlnm.Print_Area" localSheetId="10">'5-ROR-4'!$A$1:$L$74</definedName>
    <definedName name="_xlnm.Print_Area" localSheetId="11">'6-PlantInService'!$A$1:$M$235</definedName>
    <definedName name="_xlnm.Print_Area" localSheetId="12">'7-PlantStudy'!$A$1:$G$54</definedName>
    <definedName name="_xlnm.Print_Area" localSheetId="13">'8-AccDep'!$A$1:$N$152</definedName>
    <definedName name="_xlnm.Print_Area" localSheetId="14">'9-ADIT'!$A$1:$J$191</definedName>
    <definedName name="_xlnm.Print_Area" localSheetId="1">Contents!$A$1:$D$38</definedName>
    <definedName name="_xlnm.Print_Area" localSheetId="0">Heading!$A$1:$K$17</definedName>
    <definedName name="_xlnm.Print_Area" localSheetId="2">Overview!$A$1:$I$24</definedName>
    <definedName name="_xlnm.Print_Titles" localSheetId="3">'1-BaseTRR'!$1:$6</definedName>
    <definedName name="_xlnm.Print_Titles" localSheetId="26">'21-RevenueCredits'!$1:$3</definedName>
  </definedNames>
  <calcPr calcId="152511"/>
</workbook>
</file>

<file path=xl/calcChain.xml><?xml version="1.0" encoding="utf-8"?>
<calcChain xmlns="http://schemas.openxmlformats.org/spreadsheetml/2006/main">
  <c r="B184" i="71" l="1"/>
  <c r="C60" i="46" l="1"/>
  <c r="C166" i="4"/>
  <c r="G121" i="46" l="1"/>
  <c r="G124" i="46"/>
  <c r="I124" i="46"/>
  <c r="H124" i="46"/>
  <c r="L60" i="46"/>
  <c r="H60" i="46"/>
  <c r="J60" i="46"/>
  <c r="J58" i="46"/>
  <c r="I28" i="53" l="1"/>
  <c r="H28" i="53"/>
  <c r="G28" i="53"/>
  <c r="F28" i="53"/>
  <c r="E28" i="53"/>
  <c r="M130" i="53"/>
  <c r="L130" i="53"/>
  <c r="K130" i="53"/>
  <c r="J130" i="53"/>
  <c r="I130" i="53"/>
  <c r="H130" i="53"/>
  <c r="F130" i="53"/>
  <c r="E130" i="53"/>
  <c r="D130" i="53"/>
  <c r="C130" i="53"/>
  <c r="E211" i="61" l="1"/>
  <c r="E209" i="61"/>
  <c r="E200" i="61"/>
  <c r="C43" i="46"/>
  <c r="G119" i="46"/>
  <c r="J56" i="46"/>
  <c r="L43" i="46"/>
  <c r="K43" i="46"/>
  <c r="J43" i="46"/>
  <c r="I43" i="46"/>
  <c r="H43" i="46"/>
  <c r="G43" i="46"/>
  <c r="E43" i="46"/>
  <c r="D43" i="46"/>
  <c r="C11" i="46"/>
  <c r="G17" i="12"/>
  <c r="F129" i="15"/>
  <c r="E70" i="80"/>
  <c r="G60" i="80"/>
  <c r="G61" i="80"/>
  <c r="G62" i="80"/>
  <c r="G63" i="80"/>
  <c r="G64" i="80"/>
  <c r="G65" i="80"/>
  <c r="G66" i="80"/>
  <c r="G59" i="80"/>
  <c r="G70" i="80" s="1"/>
  <c r="L31" i="28" l="1"/>
  <c r="L25" i="28"/>
  <c r="C12" i="57"/>
  <c r="E42" i="30"/>
  <c r="E41" i="30"/>
  <c r="G9" i="2"/>
  <c r="F23" i="17"/>
  <c r="F22" i="17"/>
  <c r="H72" i="44"/>
  <c r="G72" i="44"/>
  <c r="H66" i="44"/>
  <c r="H59" i="44"/>
  <c r="I34" i="44"/>
  <c r="H34" i="44"/>
  <c r="N129" i="61" l="1"/>
  <c r="M129" i="61"/>
  <c r="L129" i="61"/>
  <c r="J129" i="61"/>
  <c r="I129" i="61"/>
  <c r="H129" i="61"/>
  <c r="G129" i="61"/>
  <c r="E129" i="61"/>
  <c r="N67" i="61"/>
  <c r="M67" i="61"/>
  <c r="L67" i="61"/>
  <c r="J67" i="61"/>
  <c r="I67" i="61"/>
  <c r="H67" i="61"/>
  <c r="G67" i="61"/>
  <c r="E67" i="61"/>
  <c r="N35" i="61"/>
  <c r="M35" i="61"/>
  <c r="L35" i="61"/>
  <c r="J35" i="61"/>
  <c r="I35" i="61"/>
  <c r="H35" i="61"/>
  <c r="G35" i="61"/>
  <c r="E35" i="61"/>
  <c r="N30" i="61"/>
  <c r="M30" i="61"/>
  <c r="L30" i="61"/>
  <c r="J30" i="61"/>
  <c r="I30" i="61"/>
  <c r="H30" i="61"/>
  <c r="G30" i="61"/>
  <c r="E30" i="61"/>
  <c r="E203" i="61" s="1"/>
  <c r="E8" i="61"/>
  <c r="N8" i="61"/>
  <c r="M8" i="61"/>
  <c r="L8" i="61"/>
  <c r="J8" i="61"/>
  <c r="I8" i="61"/>
  <c r="H8" i="61"/>
  <c r="G8" i="61"/>
  <c r="E199" i="61"/>
  <c r="E187" i="61"/>
  <c r="E164" i="61"/>
  <c r="E159" i="61"/>
  <c r="E154" i="61"/>
  <c r="E70" i="26"/>
  <c r="F70" i="26"/>
  <c r="E63" i="26"/>
  <c r="F25" i="26"/>
  <c r="I106" i="46" l="1"/>
  <c r="E106" i="46"/>
  <c r="L58" i="46"/>
  <c r="I58" i="46"/>
  <c r="E58" i="46"/>
  <c r="D58" i="46"/>
  <c r="C58" i="46"/>
  <c r="D77" i="64" l="1"/>
  <c r="L60" i="64"/>
  <c r="L59" i="64"/>
  <c r="L58" i="64"/>
  <c r="L57" i="64"/>
  <c r="L56" i="64"/>
  <c r="L55" i="64"/>
  <c r="L54" i="64"/>
  <c r="L53" i="64"/>
  <c r="L52" i="64"/>
  <c r="L51" i="64"/>
  <c r="L50" i="64"/>
  <c r="L49" i="64"/>
  <c r="L48" i="64"/>
  <c r="K59" i="64"/>
  <c r="K58" i="64"/>
  <c r="K57" i="64"/>
  <c r="K56" i="64"/>
  <c r="K55" i="64"/>
  <c r="K54" i="64"/>
  <c r="K53" i="64"/>
  <c r="K52" i="64"/>
  <c r="K51" i="64"/>
  <c r="K50" i="64"/>
  <c r="K49" i="64"/>
  <c r="K48" i="64"/>
  <c r="J59" i="64"/>
  <c r="J58" i="64"/>
  <c r="J57" i="64"/>
  <c r="J56" i="64"/>
  <c r="J55" i="64"/>
  <c r="J54" i="64"/>
  <c r="J53" i="64"/>
  <c r="J52" i="64"/>
  <c r="J51" i="64"/>
  <c r="J50" i="64"/>
  <c r="J49" i="64"/>
  <c r="J48" i="64"/>
  <c r="I59" i="64" l="1"/>
  <c r="I58" i="64"/>
  <c r="I57" i="64"/>
  <c r="I56" i="64"/>
  <c r="I55" i="64"/>
  <c r="I54" i="64"/>
  <c r="I53" i="64"/>
  <c r="I52" i="64"/>
  <c r="I51" i="64"/>
  <c r="I50" i="64"/>
  <c r="I49" i="64"/>
  <c r="I48" i="64"/>
  <c r="H60" i="64"/>
  <c r="H59" i="64"/>
  <c r="H58" i="64"/>
  <c r="H57" i="64"/>
  <c r="H56" i="64"/>
  <c r="H55" i="64"/>
  <c r="H54" i="64"/>
  <c r="H53" i="64"/>
  <c r="H52" i="64"/>
  <c r="H51" i="64"/>
  <c r="H50" i="64"/>
  <c r="H49" i="64"/>
  <c r="H48" i="64"/>
  <c r="G59" i="64"/>
  <c r="G58" i="64"/>
  <c r="G57" i="64"/>
  <c r="G56" i="64"/>
  <c r="G55" i="64"/>
  <c r="G54" i="64"/>
  <c r="G53" i="64"/>
  <c r="G52" i="64"/>
  <c r="G51" i="64"/>
  <c r="G50" i="64"/>
  <c r="G49" i="64"/>
  <c r="G48" i="64"/>
  <c r="F59" i="64"/>
  <c r="F58" i="64"/>
  <c r="F57" i="64"/>
  <c r="F56" i="64"/>
  <c r="F55" i="64"/>
  <c r="F54" i="64"/>
  <c r="F53" i="64"/>
  <c r="F52" i="64"/>
  <c r="F51" i="64"/>
  <c r="F50" i="64"/>
  <c r="F49" i="64"/>
  <c r="F48" i="64"/>
  <c r="E48" i="64"/>
  <c r="E59" i="64"/>
  <c r="E58" i="64"/>
  <c r="E57" i="64"/>
  <c r="E56" i="64"/>
  <c r="E55" i="64"/>
  <c r="E54" i="64"/>
  <c r="E53" i="64"/>
  <c r="E52" i="64"/>
  <c r="E51" i="64"/>
  <c r="E50" i="64"/>
  <c r="E49" i="64"/>
  <c r="D59" i="64"/>
  <c r="D58" i="64"/>
  <c r="D57" i="64"/>
  <c r="D56" i="64"/>
  <c r="D55" i="64"/>
  <c r="D54" i="64"/>
  <c r="D53" i="64"/>
  <c r="D52" i="64"/>
  <c r="D51" i="64"/>
  <c r="D50" i="64"/>
  <c r="D49" i="64"/>
  <c r="D48" i="64"/>
  <c r="C59" i="64"/>
  <c r="C58" i="64"/>
  <c r="C57" i="64"/>
  <c r="C56" i="64"/>
  <c r="C55" i="64"/>
  <c r="C54" i="64"/>
  <c r="C53" i="64"/>
  <c r="C52" i="64"/>
  <c r="C51" i="64"/>
  <c r="C50" i="64"/>
  <c r="C49" i="64"/>
  <c r="C48" i="64"/>
  <c r="G76" i="48" l="1"/>
  <c r="E107" i="11" l="1"/>
  <c r="E106" i="11"/>
  <c r="E101" i="11"/>
  <c r="E100" i="11"/>
  <c r="E99" i="11"/>
  <c r="E98" i="11"/>
  <c r="E97" i="11"/>
  <c r="E96" i="11"/>
  <c r="E95" i="11"/>
  <c r="E94" i="11"/>
  <c r="E105" i="11"/>
  <c r="E104" i="11"/>
  <c r="E103" i="11"/>
  <c r="E102" i="11"/>
  <c r="J385" i="49"/>
  <c r="H84" i="64" l="1"/>
  <c r="M12" i="64" l="1"/>
  <c r="E20" i="64"/>
  <c r="E133" i="48"/>
  <c r="E131" i="48"/>
  <c r="E130" i="48"/>
  <c r="E120" i="48"/>
  <c r="E119" i="48"/>
  <c r="P55" i="48"/>
  <c r="F8" i="42"/>
  <c r="I37" i="79" l="1"/>
  <c r="G37" i="79"/>
  <c r="E85" i="11"/>
  <c r="F85" i="11"/>
  <c r="G85" i="11"/>
  <c r="H85" i="11"/>
  <c r="F69" i="22"/>
  <c r="F63" i="22"/>
  <c r="F23" i="22"/>
  <c r="G21" i="45"/>
  <c r="E24" i="54"/>
  <c r="D24" i="54"/>
  <c r="E155" i="49"/>
  <c r="H46" i="49"/>
  <c r="G46" i="49"/>
  <c r="F46" i="49"/>
  <c r="E46" i="49"/>
  <c r="D46" i="49"/>
  <c r="I26" i="49"/>
  <c r="H26" i="49"/>
  <c r="G26" i="49"/>
  <c r="F26" i="49"/>
  <c r="E26" i="49"/>
  <c r="D25" i="49"/>
  <c r="D24" i="49"/>
  <c r="D23" i="49"/>
  <c r="D22" i="49"/>
  <c r="D21" i="49"/>
  <c r="D20" i="49"/>
  <c r="D19" i="49"/>
  <c r="D18" i="49"/>
  <c r="D17" i="49"/>
  <c r="D16" i="49"/>
  <c r="D15" i="49"/>
  <c r="D14" i="49"/>
  <c r="D13" i="49"/>
  <c r="G180" i="15"/>
  <c r="G172" i="15"/>
  <c r="D26" i="49" l="1"/>
  <c r="N106" i="21"/>
  <c r="E46" i="21"/>
  <c r="G35" i="21"/>
  <c r="F35" i="21"/>
  <c r="E35" i="21"/>
  <c r="D35" i="21"/>
  <c r="G34" i="21"/>
  <c r="G33" i="21"/>
  <c r="N24" i="21"/>
  <c r="N12" i="21"/>
  <c r="E42" i="56"/>
  <c r="E40" i="56"/>
  <c r="C42" i="56"/>
  <c r="C40" i="56"/>
  <c r="E28" i="56"/>
  <c r="E26" i="56"/>
  <c r="E17" i="56"/>
  <c r="E12" i="56"/>
  <c r="C28" i="56"/>
  <c r="C26" i="56"/>
  <c r="C17" i="56"/>
  <c r="D17" i="56"/>
  <c r="C12" i="56"/>
  <c r="M209" i="4"/>
  <c r="L209" i="4"/>
  <c r="K209" i="4"/>
  <c r="J209" i="4"/>
  <c r="I209" i="4"/>
  <c r="H209" i="4"/>
  <c r="G209" i="4"/>
  <c r="F209" i="4"/>
  <c r="E209" i="4"/>
  <c r="D209" i="4"/>
  <c r="C209" i="4"/>
  <c r="M208" i="4"/>
  <c r="M207" i="4"/>
  <c r="M206" i="4"/>
  <c r="M205" i="4"/>
  <c r="M204" i="4"/>
  <c r="M203" i="4"/>
  <c r="M202" i="4"/>
  <c r="M201" i="4"/>
  <c r="M200" i="4"/>
  <c r="M199" i="4"/>
  <c r="M198" i="4"/>
  <c r="M197" i="4"/>
  <c r="C197" i="4"/>
  <c r="M182" i="4"/>
  <c r="G166" i="4"/>
  <c r="C167" i="4"/>
  <c r="M161" i="4"/>
  <c r="M160" i="4"/>
  <c r="M154" i="4"/>
  <c r="M149" i="4"/>
  <c r="L161" i="4"/>
  <c r="K161" i="4"/>
  <c r="J161" i="4"/>
  <c r="I161" i="4"/>
  <c r="H161" i="4"/>
  <c r="G161" i="4"/>
  <c r="F161" i="4"/>
  <c r="E161" i="4"/>
  <c r="D161" i="4"/>
  <c r="C161" i="4"/>
  <c r="M159" i="4"/>
  <c r="M158" i="4"/>
  <c r="M157" i="4"/>
  <c r="M156" i="4"/>
  <c r="M155" i="4"/>
  <c r="M153" i="4"/>
  <c r="M152" i="4"/>
  <c r="M151" i="4"/>
  <c r="M150" i="4"/>
  <c r="M142" i="4"/>
  <c r="L142" i="4"/>
  <c r="K142" i="4"/>
  <c r="J142" i="4"/>
  <c r="I142" i="4"/>
  <c r="H142" i="4"/>
  <c r="G142" i="4"/>
  <c r="F142" i="4"/>
  <c r="E142" i="4"/>
  <c r="D142" i="4"/>
  <c r="C142" i="4"/>
  <c r="M141" i="4"/>
  <c r="M140" i="4"/>
  <c r="M139" i="4"/>
  <c r="M138" i="4"/>
  <c r="M137" i="4"/>
  <c r="M136" i="4"/>
  <c r="M135" i="4"/>
  <c r="M134" i="4"/>
  <c r="M133" i="4"/>
  <c r="M132" i="4"/>
  <c r="M131" i="4"/>
  <c r="M130" i="4"/>
  <c r="M123" i="4"/>
  <c r="M122" i="4"/>
  <c r="M121" i="4"/>
  <c r="M120" i="4"/>
  <c r="M119" i="4"/>
  <c r="M118" i="4"/>
  <c r="M117" i="4"/>
  <c r="M116" i="4"/>
  <c r="M115" i="4"/>
  <c r="M114" i="4"/>
  <c r="M113" i="4"/>
  <c r="M112" i="4"/>
  <c r="M111" i="4"/>
  <c r="M104" i="4"/>
  <c r="L104" i="4"/>
  <c r="K104" i="4"/>
  <c r="J104" i="4"/>
  <c r="I104" i="4"/>
  <c r="H104" i="4"/>
  <c r="G104" i="4"/>
  <c r="F104" i="4"/>
  <c r="E104" i="4"/>
  <c r="D104" i="4"/>
  <c r="C104" i="4"/>
  <c r="M103" i="4"/>
  <c r="M102" i="4"/>
  <c r="M101" i="4"/>
  <c r="M100" i="4"/>
  <c r="M99" i="4"/>
  <c r="M98" i="4"/>
  <c r="M97" i="4"/>
  <c r="M96" i="4"/>
  <c r="M95" i="4"/>
  <c r="M94" i="4"/>
  <c r="M93" i="4"/>
  <c r="M92" i="4"/>
  <c r="M85" i="4"/>
  <c r="M84" i="4"/>
  <c r="M83" i="4"/>
  <c r="M82" i="4"/>
  <c r="M81" i="4"/>
  <c r="M80" i="4"/>
  <c r="M79" i="4"/>
  <c r="M78" i="4"/>
  <c r="M77" i="4"/>
  <c r="M76" i="4"/>
  <c r="M75" i="4"/>
  <c r="M74" i="4"/>
  <c r="M73" i="4"/>
  <c r="E14" i="81"/>
  <c r="E12" i="81"/>
  <c r="E11" i="81"/>
  <c r="L34" i="28"/>
  <c r="L26" i="28"/>
  <c r="L17" i="28"/>
  <c r="D66" i="65"/>
  <c r="K108" i="1" l="1"/>
  <c r="K68" i="1"/>
  <c r="K54" i="1"/>
  <c r="K52" i="1"/>
  <c r="K44" i="1"/>
  <c r="B45" i="53"/>
  <c r="J29" i="28" l="1"/>
  <c r="C36" i="72"/>
  <c r="L29" i="28" s="1"/>
  <c r="G179" i="15" l="1"/>
  <c r="G171" i="15"/>
  <c r="F131" i="15"/>
  <c r="D131" i="15"/>
  <c r="H129" i="15"/>
  <c r="G129" i="15"/>
  <c r="E129" i="15"/>
  <c r="D129" i="15"/>
  <c r="F120" i="15"/>
  <c r="D120" i="15"/>
  <c r="H90" i="15"/>
  <c r="G90" i="15"/>
  <c r="F90" i="15"/>
  <c r="E90" i="15"/>
  <c r="D90" i="15"/>
  <c r="F70" i="15"/>
  <c r="D70" i="15"/>
  <c r="H68" i="15"/>
  <c r="G68" i="15"/>
  <c r="F68" i="15"/>
  <c r="D68" i="15"/>
  <c r="F56" i="15"/>
  <c r="D56" i="15"/>
  <c r="E32" i="57" l="1"/>
  <c r="G71" i="8"/>
  <c r="A30" i="72"/>
  <c r="I65" i="1" l="1"/>
  <c r="G58" i="81"/>
  <c r="G57" i="81"/>
  <c r="G56" i="81"/>
  <c r="G55" i="81"/>
  <c r="G54" i="81"/>
  <c r="G53" i="81"/>
  <c r="G52" i="81"/>
  <c r="G51" i="81"/>
  <c r="G50" i="81"/>
  <c r="G49" i="81"/>
  <c r="G48" i="81"/>
  <c r="G47" i="81"/>
  <c r="G46" i="81"/>
  <c r="G45" i="81"/>
  <c r="G44" i="81"/>
  <c r="G43" i="81"/>
  <c r="G42" i="81"/>
  <c r="G41" i="81"/>
  <c r="G40" i="81"/>
  <c r="G39" i="81"/>
  <c r="G38" i="81"/>
  <c r="G37" i="81"/>
  <c r="G36" i="81"/>
  <c r="G35" i="81"/>
  <c r="G34" i="81"/>
  <c r="G33" i="81"/>
  <c r="G32" i="81"/>
  <c r="G31" i="81"/>
  <c r="G30" i="81"/>
  <c r="G29" i="81"/>
  <c r="G28" i="81"/>
  <c r="G27" i="81"/>
  <c r="G26" i="81"/>
  <c r="G25" i="81"/>
  <c r="G24" i="81"/>
  <c r="F12" i="81"/>
  <c r="E13" i="81"/>
  <c r="A13" i="28"/>
  <c r="A14" i="28" s="1"/>
  <c r="A15" i="28" s="1"/>
  <c r="A16" i="28" s="1"/>
  <c r="A17" i="28" s="1"/>
  <c r="A18" i="28" s="1"/>
  <c r="A19" i="28" s="1"/>
  <c r="A20" i="28" s="1"/>
  <c r="A12" i="28"/>
  <c r="L12" i="28"/>
  <c r="J12" i="28"/>
  <c r="I129" i="15" l="1"/>
  <c r="E58" i="61" l="1"/>
  <c r="E117" i="61" l="1"/>
  <c r="N159" i="61" l="1"/>
  <c r="M159" i="61"/>
  <c r="L159" i="61"/>
  <c r="J159" i="61"/>
  <c r="I159" i="61"/>
  <c r="H159" i="61"/>
  <c r="G159" i="61"/>
  <c r="L199" i="61" l="1"/>
  <c r="N196" i="61"/>
  <c r="N195" i="61"/>
  <c r="N194" i="61"/>
  <c r="N193" i="61"/>
  <c r="N192" i="61"/>
  <c r="J196" i="61"/>
  <c r="M196" i="61" s="1"/>
  <c r="J195" i="61"/>
  <c r="M195" i="61" s="1"/>
  <c r="J194" i="61"/>
  <c r="M194" i="61" s="1"/>
  <c r="J193" i="61"/>
  <c r="M193" i="61" s="1"/>
  <c r="J192" i="61"/>
  <c r="M192" i="61" s="1"/>
  <c r="L187" i="61"/>
  <c r="H187" i="61"/>
  <c r="E188" i="61"/>
  <c r="N85" i="61"/>
  <c r="N84" i="61"/>
  <c r="N83" i="61"/>
  <c r="N82" i="61"/>
  <c r="N81" i="61"/>
  <c r="N80" i="61"/>
  <c r="N78" i="61"/>
  <c r="N77" i="61"/>
  <c r="N76" i="61"/>
  <c r="N75" i="61"/>
  <c r="N74" i="61"/>
  <c r="N73" i="61"/>
  <c r="N72" i="61"/>
  <c r="N71" i="61"/>
  <c r="N70" i="61"/>
  <c r="J85" i="61"/>
  <c r="M85" i="61" s="1"/>
  <c r="J84" i="61"/>
  <c r="M84" i="61" s="1"/>
  <c r="J83" i="61"/>
  <c r="M83" i="61" s="1"/>
  <c r="J82" i="61"/>
  <c r="M82" i="61" s="1"/>
  <c r="J81" i="61"/>
  <c r="M81" i="61" s="1"/>
  <c r="J80" i="61"/>
  <c r="M80" i="61" s="1"/>
  <c r="J79" i="61"/>
  <c r="M79" i="61" s="1"/>
  <c r="J78" i="61"/>
  <c r="M78" i="61" s="1"/>
  <c r="J77" i="61"/>
  <c r="M77" i="61" s="1"/>
  <c r="J76" i="61"/>
  <c r="M76" i="61" s="1"/>
  <c r="J75" i="61"/>
  <c r="M75" i="61" s="1"/>
  <c r="J74" i="61"/>
  <c r="M74" i="61" s="1"/>
  <c r="J73" i="61"/>
  <c r="M73" i="61" s="1"/>
  <c r="J72" i="61"/>
  <c r="M72" i="61" s="1"/>
  <c r="J71" i="61"/>
  <c r="M71" i="61" s="1"/>
  <c r="J70" i="61"/>
  <c r="N151" i="61"/>
  <c r="N150" i="61"/>
  <c r="N149" i="61"/>
  <c r="N148" i="61"/>
  <c r="N147" i="61"/>
  <c r="N146" i="61"/>
  <c r="N145" i="61"/>
  <c r="N144" i="61"/>
  <c r="N143" i="61"/>
  <c r="N142" i="61"/>
  <c r="N141" i="61"/>
  <c r="N140" i="61"/>
  <c r="N139" i="61"/>
  <c r="N138" i="61"/>
  <c r="N137" i="61"/>
  <c r="N136" i="61"/>
  <c r="N135" i="61"/>
  <c r="N134" i="61"/>
  <c r="N133" i="61"/>
  <c r="N132" i="61"/>
  <c r="J151" i="61"/>
  <c r="M151" i="61" s="1"/>
  <c r="J150" i="61"/>
  <c r="M150" i="61" s="1"/>
  <c r="J149" i="61"/>
  <c r="M149" i="61" s="1"/>
  <c r="J148" i="61"/>
  <c r="M148" i="61" s="1"/>
  <c r="J147" i="61"/>
  <c r="M147" i="61" s="1"/>
  <c r="J145" i="61"/>
  <c r="M145" i="61" s="1"/>
  <c r="J144" i="61"/>
  <c r="M144" i="61" s="1"/>
  <c r="J143" i="61"/>
  <c r="M143" i="61" s="1"/>
  <c r="J142" i="61"/>
  <c r="M142" i="61" s="1"/>
  <c r="J141" i="61"/>
  <c r="M141" i="61" s="1"/>
  <c r="J140" i="61"/>
  <c r="M140" i="61" s="1"/>
  <c r="J139" i="61"/>
  <c r="M139" i="61" s="1"/>
  <c r="J138" i="61"/>
  <c r="M138" i="61" s="1"/>
  <c r="J137" i="61"/>
  <c r="J136" i="61"/>
  <c r="M136" i="61" s="1"/>
  <c r="J135" i="61"/>
  <c r="M135" i="61" s="1"/>
  <c r="J134" i="61"/>
  <c r="M134" i="61" s="1"/>
  <c r="J133" i="61"/>
  <c r="M133" i="61" s="1"/>
  <c r="J132" i="61"/>
  <c r="M132" i="61" s="1"/>
  <c r="G151" i="61"/>
  <c r="I151" i="61" s="1"/>
  <c r="G150" i="61"/>
  <c r="I150" i="61" s="1"/>
  <c r="G149" i="61"/>
  <c r="I149" i="61" s="1"/>
  <c r="G148" i="61"/>
  <c r="I148" i="61" s="1"/>
  <c r="G147" i="61"/>
  <c r="I147" i="61" s="1"/>
  <c r="G146" i="61"/>
  <c r="I146" i="61" s="1"/>
  <c r="G144" i="61"/>
  <c r="I144" i="61" s="1"/>
  <c r="G143" i="61"/>
  <c r="I143" i="61" s="1"/>
  <c r="G142" i="61"/>
  <c r="I142" i="61" s="1"/>
  <c r="G141" i="61"/>
  <c r="I141" i="61" s="1"/>
  <c r="G140" i="61"/>
  <c r="I140" i="61" s="1"/>
  <c r="G139" i="61"/>
  <c r="I139" i="61" s="1"/>
  <c r="G138" i="61"/>
  <c r="G137" i="61"/>
  <c r="I137" i="61" s="1"/>
  <c r="G136" i="61"/>
  <c r="I136" i="61" s="1"/>
  <c r="G135" i="61"/>
  <c r="G134" i="61"/>
  <c r="I134" i="61" s="1"/>
  <c r="G133" i="61"/>
  <c r="I133" i="61" s="1"/>
  <c r="G132" i="61"/>
  <c r="H132" i="61" s="1"/>
  <c r="N119" i="61"/>
  <c r="N118" i="61"/>
  <c r="N117" i="61"/>
  <c r="N116" i="61"/>
  <c r="N115" i="61"/>
  <c r="N114" i="61"/>
  <c r="N113" i="61"/>
  <c r="N112" i="61"/>
  <c r="N111" i="61"/>
  <c r="N110" i="61"/>
  <c r="N109" i="61"/>
  <c r="N108" i="61"/>
  <c r="N107" i="61"/>
  <c r="N104" i="61"/>
  <c r="N103" i="61"/>
  <c r="N102" i="61"/>
  <c r="N101" i="61"/>
  <c r="N100" i="61"/>
  <c r="N99" i="61"/>
  <c r="N98" i="61"/>
  <c r="N97" i="61"/>
  <c r="J119" i="61"/>
  <c r="M119" i="61" s="1"/>
  <c r="J118" i="61"/>
  <c r="M118" i="61" s="1"/>
  <c r="J117" i="61"/>
  <c r="M117" i="61" s="1"/>
  <c r="J116" i="61"/>
  <c r="M116" i="61" s="1"/>
  <c r="J115" i="61"/>
  <c r="M115" i="61" s="1"/>
  <c r="J114" i="61"/>
  <c r="M114" i="61" s="1"/>
  <c r="J113" i="61"/>
  <c r="M113" i="61" s="1"/>
  <c r="J112" i="61"/>
  <c r="M112" i="61" s="1"/>
  <c r="J111" i="61"/>
  <c r="M111" i="61" s="1"/>
  <c r="J110" i="61"/>
  <c r="M110" i="61" s="1"/>
  <c r="J109" i="61"/>
  <c r="M109" i="61" s="1"/>
  <c r="J108" i="61"/>
  <c r="M108" i="61" s="1"/>
  <c r="J107" i="61"/>
  <c r="M107" i="61" s="1"/>
  <c r="J106" i="61"/>
  <c r="J105" i="61"/>
  <c r="J104" i="61"/>
  <c r="M104" i="61" s="1"/>
  <c r="J103" i="61"/>
  <c r="M103" i="61" s="1"/>
  <c r="J102" i="61"/>
  <c r="M102" i="61" s="1"/>
  <c r="J101" i="61"/>
  <c r="M101" i="61" s="1"/>
  <c r="J100" i="61"/>
  <c r="M100" i="61" s="1"/>
  <c r="J99" i="61"/>
  <c r="M99" i="61" s="1"/>
  <c r="J98" i="61"/>
  <c r="M98" i="61" s="1"/>
  <c r="J97" i="61"/>
  <c r="M97" i="61" s="1"/>
  <c r="G119" i="61"/>
  <c r="I119" i="61" s="1"/>
  <c r="G118" i="61"/>
  <c r="I118" i="61" s="1"/>
  <c r="G116" i="61"/>
  <c r="I116" i="61" s="1"/>
  <c r="G115" i="61"/>
  <c r="I115" i="61" s="1"/>
  <c r="G114" i="61"/>
  <c r="I114" i="61" s="1"/>
  <c r="G113" i="61"/>
  <c r="I113" i="61" s="1"/>
  <c r="G112" i="61"/>
  <c r="I112" i="61" s="1"/>
  <c r="G111" i="61"/>
  <c r="I111" i="61" s="1"/>
  <c r="G110" i="61"/>
  <c r="I110" i="61" s="1"/>
  <c r="G109" i="61"/>
  <c r="I109" i="61" s="1"/>
  <c r="G108" i="61"/>
  <c r="I108" i="61" s="1"/>
  <c r="G107" i="61"/>
  <c r="I107" i="61" s="1"/>
  <c r="G104" i="61"/>
  <c r="I104" i="61" s="1"/>
  <c r="G103" i="61"/>
  <c r="I103" i="61" s="1"/>
  <c r="G102" i="61"/>
  <c r="I102" i="61" s="1"/>
  <c r="G101" i="61"/>
  <c r="I101" i="61" s="1"/>
  <c r="G100" i="61"/>
  <c r="I100" i="61" s="1"/>
  <c r="G99" i="61"/>
  <c r="I99" i="61" s="1"/>
  <c r="G98" i="61"/>
  <c r="I98" i="61" s="1"/>
  <c r="G97" i="61"/>
  <c r="I97" i="61" s="1"/>
  <c r="G96" i="61"/>
  <c r="G95" i="61"/>
  <c r="G94" i="61"/>
  <c r="G93" i="61"/>
  <c r="G92" i="61"/>
  <c r="G91" i="61"/>
  <c r="G90" i="61"/>
  <c r="G89" i="61"/>
  <c r="G88" i="61"/>
  <c r="G87" i="61"/>
  <c r="G86" i="61"/>
  <c r="G85" i="61"/>
  <c r="I85" i="61" s="1"/>
  <c r="G84" i="61"/>
  <c r="I84" i="61" s="1"/>
  <c r="G83" i="61"/>
  <c r="I83" i="61" s="1"/>
  <c r="G82" i="61"/>
  <c r="I82" i="61" s="1"/>
  <c r="G81" i="61"/>
  <c r="I81" i="61" s="1"/>
  <c r="G80" i="61"/>
  <c r="I80" i="61" s="1"/>
  <c r="G78" i="61"/>
  <c r="G77" i="61"/>
  <c r="I77" i="61" s="1"/>
  <c r="G76" i="61"/>
  <c r="I76" i="61" s="1"/>
  <c r="G75" i="61"/>
  <c r="I75" i="61" s="1"/>
  <c r="G74" i="61"/>
  <c r="I74" i="61" s="1"/>
  <c r="G73" i="61"/>
  <c r="I73" i="61" s="1"/>
  <c r="G72" i="61"/>
  <c r="I72" i="61" s="1"/>
  <c r="G71" i="61"/>
  <c r="I71" i="61" s="1"/>
  <c r="G70" i="61"/>
  <c r="I70" i="61" s="1"/>
  <c r="N61" i="61"/>
  <c r="N60" i="61"/>
  <c r="N59" i="61"/>
  <c r="N58" i="61"/>
  <c r="N57" i="61"/>
  <c r="J61" i="61"/>
  <c r="M61" i="61" s="1"/>
  <c r="J58" i="61"/>
  <c r="M58" i="61" s="1"/>
  <c r="J57" i="61"/>
  <c r="M57" i="61" s="1"/>
  <c r="J60" i="61"/>
  <c r="M60" i="61" s="1"/>
  <c r="N55" i="61"/>
  <c r="N54" i="61"/>
  <c r="N53" i="61"/>
  <c r="N52" i="61"/>
  <c r="N51" i="61"/>
  <c r="J55" i="61"/>
  <c r="J54" i="61"/>
  <c r="J53" i="61"/>
  <c r="J52" i="61"/>
  <c r="J51" i="61"/>
  <c r="G117" i="61"/>
  <c r="I117" i="61" s="1"/>
  <c r="N199" i="61" l="1"/>
  <c r="M199" i="61"/>
  <c r="J199" i="61"/>
  <c r="I132" i="61"/>
  <c r="I135" i="61"/>
  <c r="M70" i="61"/>
  <c r="G51" i="61" l="1"/>
  <c r="N50" i="61" l="1"/>
  <c r="H50" i="61"/>
  <c r="H49" i="61"/>
  <c r="N49" i="61" s="1"/>
  <c r="G64" i="61" l="1"/>
  <c r="G61" i="61"/>
  <c r="I61" i="61" s="1"/>
  <c r="G60" i="61"/>
  <c r="I60" i="61" s="1"/>
  <c r="G59" i="61"/>
  <c r="I59" i="61" s="1"/>
  <c r="G57" i="61"/>
  <c r="I57" i="61" s="1"/>
  <c r="G56" i="61"/>
  <c r="G55" i="61"/>
  <c r="I55" i="61" s="1"/>
  <c r="G54" i="61"/>
  <c r="I54" i="61" s="1"/>
  <c r="G53" i="61"/>
  <c r="I53" i="61" s="1"/>
  <c r="G52" i="61"/>
  <c r="I52" i="61" s="1"/>
  <c r="J49" i="61" l="1"/>
  <c r="M49" i="61" s="1"/>
  <c r="N41" i="61"/>
  <c r="N40" i="61"/>
  <c r="N39" i="61"/>
  <c r="N38" i="61"/>
  <c r="J38" i="61"/>
  <c r="M38" i="61" s="1"/>
  <c r="G49" i="61"/>
  <c r="G41" i="61"/>
  <c r="I41" i="61" s="1"/>
  <c r="G40" i="61"/>
  <c r="I40" i="61" s="1"/>
  <c r="G39" i="61"/>
  <c r="I39" i="61" s="1"/>
  <c r="G38" i="61"/>
  <c r="I38" i="61" s="1"/>
  <c r="N126" i="61"/>
  <c r="G126" i="61"/>
  <c r="I126" i="61" s="1"/>
  <c r="J126" i="61"/>
  <c r="M126" i="61" s="1"/>
  <c r="N64" i="61" l="1"/>
  <c r="J64" i="61"/>
  <c r="M64" i="61" s="1"/>
  <c r="I64" i="61"/>
  <c r="N125" i="61" l="1"/>
  <c r="N124" i="61"/>
  <c r="N122" i="61"/>
  <c r="N121" i="61"/>
  <c r="N120" i="61"/>
  <c r="H123" i="61"/>
  <c r="N123" i="61" s="1"/>
  <c r="J120" i="61"/>
  <c r="M120" i="61" s="1"/>
  <c r="J121" i="61"/>
  <c r="M121" i="61" s="1"/>
  <c r="J122" i="61"/>
  <c r="M122" i="61" s="1"/>
  <c r="J123" i="61"/>
  <c r="M123" i="61" s="1"/>
  <c r="J124" i="61"/>
  <c r="M124" i="61" s="1"/>
  <c r="J125" i="61"/>
  <c r="M125" i="61" s="1"/>
  <c r="G120" i="61"/>
  <c r="I120" i="61" s="1"/>
  <c r="G121" i="61"/>
  <c r="I121" i="61" s="1"/>
  <c r="G122" i="61"/>
  <c r="I122" i="61" s="1"/>
  <c r="G124" i="61"/>
  <c r="I124" i="61" s="1"/>
  <c r="G125" i="61"/>
  <c r="E195" i="61"/>
  <c r="H125" i="61" l="1"/>
  <c r="I125" i="61" s="1"/>
  <c r="L154" i="61"/>
  <c r="H47" i="61" l="1"/>
  <c r="G47" i="61" s="1"/>
  <c r="J46" i="61"/>
  <c r="G46" i="61"/>
  <c r="I46" i="61" s="1"/>
  <c r="N27" i="61"/>
  <c r="N26" i="61"/>
  <c r="N25" i="61"/>
  <c r="N24" i="61"/>
  <c r="N23" i="61"/>
  <c r="N22" i="61"/>
  <c r="N21" i="61"/>
  <c r="J27" i="61"/>
  <c r="M27" i="61" s="1"/>
  <c r="J26" i="61"/>
  <c r="M26" i="61" s="1"/>
  <c r="J25" i="61"/>
  <c r="M25" i="61" s="1"/>
  <c r="J24" i="61"/>
  <c r="M24" i="61" s="1"/>
  <c r="J23" i="61"/>
  <c r="M23" i="61" s="1"/>
  <c r="J22" i="61"/>
  <c r="M22" i="61" s="1"/>
  <c r="J21" i="61"/>
  <c r="M21" i="61" s="1"/>
  <c r="G27" i="61"/>
  <c r="I27" i="61" s="1"/>
  <c r="G26" i="61"/>
  <c r="I26" i="61" s="1"/>
  <c r="G25" i="61"/>
  <c r="I25" i="61" s="1"/>
  <c r="G24" i="61"/>
  <c r="I24" i="61" s="1"/>
  <c r="G23" i="61"/>
  <c r="I23" i="61" s="1"/>
  <c r="G22" i="61"/>
  <c r="I22" i="61" s="1"/>
  <c r="G21" i="61"/>
  <c r="I21" i="61" s="1"/>
  <c r="N47" i="61" l="1"/>
  <c r="N19" i="61"/>
  <c r="J19" i="61"/>
  <c r="M19" i="61" s="1"/>
  <c r="G19" i="61"/>
  <c r="H196" i="61" l="1"/>
  <c r="H199" i="61" s="1"/>
  <c r="G196" i="61"/>
  <c r="G195" i="61"/>
  <c r="G194" i="61"/>
  <c r="G193" i="61"/>
  <c r="G192" i="61"/>
  <c r="J184" i="61"/>
  <c r="M184" i="61" s="1"/>
  <c r="J183" i="61"/>
  <c r="M183" i="61" s="1"/>
  <c r="J182" i="61"/>
  <c r="M182" i="61" s="1"/>
  <c r="J181" i="61"/>
  <c r="M181" i="61" s="1"/>
  <c r="J180" i="61"/>
  <c r="M180" i="61" s="1"/>
  <c r="J179" i="61"/>
  <c r="M179" i="61" s="1"/>
  <c r="J178" i="61"/>
  <c r="M178" i="61" s="1"/>
  <c r="J177" i="61"/>
  <c r="M177" i="61" s="1"/>
  <c r="J176" i="61"/>
  <c r="M176" i="61" s="1"/>
  <c r="J175" i="61"/>
  <c r="M175" i="61" s="1"/>
  <c r="J174" i="61"/>
  <c r="M174" i="61" s="1"/>
  <c r="J173" i="61"/>
  <c r="M173" i="61" s="1"/>
  <c r="J172" i="61"/>
  <c r="M172" i="61" s="1"/>
  <c r="J171" i="61"/>
  <c r="M171" i="61" s="1"/>
  <c r="J170" i="61"/>
  <c r="M170" i="61" s="1"/>
  <c r="J169" i="61"/>
  <c r="M169" i="61" s="1"/>
  <c r="J168" i="61"/>
  <c r="G184" i="61"/>
  <c r="I184" i="61" s="1"/>
  <c r="G183" i="61"/>
  <c r="I183" i="61" s="1"/>
  <c r="G182" i="61"/>
  <c r="I182" i="61" s="1"/>
  <c r="G181" i="61"/>
  <c r="I181" i="61" s="1"/>
  <c r="G180" i="61"/>
  <c r="I180" i="61" s="1"/>
  <c r="G179" i="61"/>
  <c r="I179" i="61" s="1"/>
  <c r="G178" i="61"/>
  <c r="I178" i="61" s="1"/>
  <c r="G177" i="61"/>
  <c r="I177" i="61" s="1"/>
  <c r="G176" i="61"/>
  <c r="I176" i="61" s="1"/>
  <c r="G175" i="61"/>
  <c r="I175" i="61" s="1"/>
  <c r="G174" i="61"/>
  <c r="I174" i="61" s="1"/>
  <c r="G173" i="61"/>
  <c r="I173" i="61" s="1"/>
  <c r="G172" i="61"/>
  <c r="I172" i="61" s="1"/>
  <c r="G171" i="61"/>
  <c r="I171" i="61" s="1"/>
  <c r="G170" i="61"/>
  <c r="I170" i="61" s="1"/>
  <c r="G169" i="61"/>
  <c r="I169" i="61" s="1"/>
  <c r="G168" i="61"/>
  <c r="G106" i="61"/>
  <c r="I106" i="61" s="1"/>
  <c r="G105" i="61"/>
  <c r="I105" i="61" s="1"/>
  <c r="N96" i="61"/>
  <c r="N95" i="61"/>
  <c r="N94" i="61"/>
  <c r="N93" i="61"/>
  <c r="N92" i="61"/>
  <c r="N91" i="61"/>
  <c r="N90" i="61"/>
  <c r="N89" i="61"/>
  <c r="N88" i="61"/>
  <c r="N87" i="61"/>
  <c r="J96" i="61"/>
  <c r="M96" i="61" s="1"/>
  <c r="J95" i="61"/>
  <c r="M95" i="61" s="1"/>
  <c r="J94" i="61"/>
  <c r="M94" i="61" s="1"/>
  <c r="J93" i="61"/>
  <c r="M93" i="61" s="1"/>
  <c r="J92" i="61"/>
  <c r="M92" i="61" s="1"/>
  <c r="J91" i="61"/>
  <c r="M91" i="61" s="1"/>
  <c r="J90" i="61"/>
  <c r="M90" i="61" s="1"/>
  <c r="J89" i="61"/>
  <c r="M89" i="61" s="1"/>
  <c r="J88" i="61"/>
  <c r="M88" i="61" s="1"/>
  <c r="J87" i="61"/>
  <c r="M87" i="61" s="1"/>
  <c r="I96" i="61"/>
  <c r="I95" i="61"/>
  <c r="I94" i="61"/>
  <c r="I93" i="61"/>
  <c r="I92" i="61"/>
  <c r="I91" i="61"/>
  <c r="I90" i="61"/>
  <c r="I89" i="61"/>
  <c r="I88" i="61"/>
  <c r="I87" i="61"/>
  <c r="I86" i="61"/>
  <c r="N86" i="61"/>
  <c r="J86" i="61"/>
  <c r="N56" i="61"/>
  <c r="N42" i="61"/>
  <c r="N20" i="61"/>
  <c r="I196" i="61" l="1"/>
  <c r="M168" i="61"/>
  <c r="M187" i="61" s="1"/>
  <c r="J187" i="61"/>
  <c r="G199" i="61"/>
  <c r="G187" i="61"/>
  <c r="M86" i="61"/>
  <c r="I168" i="61"/>
  <c r="I187" i="61" s="1"/>
  <c r="N168" i="61" l="1"/>
  <c r="A126" i="15"/>
  <c r="E125" i="15"/>
  <c r="A125" i="15"/>
  <c r="E124" i="15"/>
  <c r="J18" i="61" l="1"/>
  <c r="M18" i="61" s="1"/>
  <c r="N181" i="61" l="1"/>
  <c r="N182" i="61"/>
  <c r="N183" i="61"/>
  <c r="N184" i="61"/>
  <c r="G12" i="61" l="1"/>
  <c r="J62" i="61" l="1"/>
  <c r="M62" i="61" s="1"/>
  <c r="H63" i="61"/>
  <c r="H62" i="61"/>
  <c r="J63" i="61"/>
  <c r="M63" i="61" s="1"/>
  <c r="G62" i="61" l="1"/>
  <c r="N62" i="61"/>
  <c r="G63" i="61"/>
  <c r="N63" i="61"/>
  <c r="F75" i="81" l="1"/>
  <c r="I55" i="81"/>
  <c r="I57" i="81"/>
  <c r="I58" i="81"/>
  <c r="I49" i="81"/>
  <c r="J57" i="81" l="1"/>
  <c r="K57" i="81" s="1"/>
  <c r="J58" i="81"/>
  <c r="K58" i="81" s="1"/>
  <c r="J49" i="81"/>
  <c r="K49" i="81" s="1"/>
  <c r="J55" i="81"/>
  <c r="K55" i="81" s="1"/>
  <c r="E111" i="15" l="1"/>
  <c r="E110" i="15"/>
  <c r="E109" i="15"/>
  <c r="E108" i="15"/>
  <c r="E107" i="15"/>
  <c r="E106" i="15"/>
  <c r="G103" i="15"/>
  <c r="E86" i="15"/>
  <c r="E85" i="15"/>
  <c r="E84" i="15"/>
  <c r="E83" i="15"/>
  <c r="E82" i="15"/>
  <c r="F81" i="15"/>
  <c r="E64" i="15"/>
  <c r="E63" i="15"/>
  <c r="E62" i="15"/>
  <c r="E61" i="15"/>
  <c r="E60" i="15"/>
  <c r="A61" i="15"/>
  <c r="A62" i="15" s="1"/>
  <c r="A63" i="15" s="1"/>
  <c r="A64" i="15" s="1"/>
  <c r="A65" i="15" s="1"/>
  <c r="G58" i="61" l="1"/>
  <c r="I58" i="61" s="1"/>
  <c r="E59" i="61"/>
  <c r="J59" i="61" s="1"/>
  <c r="M59" i="61" s="1"/>
  <c r="E56" i="61"/>
  <c r="J56" i="61" l="1"/>
  <c r="M56" i="61" s="1"/>
  <c r="F39" i="56"/>
  <c r="C89" i="65" l="1"/>
  <c r="D89" i="65"/>
  <c r="E89" i="65"/>
  <c r="F89" i="65"/>
  <c r="G89" i="65"/>
  <c r="H89" i="65"/>
  <c r="H321" i="11" l="1"/>
  <c r="G321" i="11"/>
  <c r="H320" i="11"/>
  <c r="G320" i="11"/>
  <c r="H319" i="11"/>
  <c r="G319" i="11"/>
  <c r="H318" i="11"/>
  <c r="G318" i="11"/>
  <c r="H317" i="11"/>
  <c r="G317" i="11"/>
  <c r="H316" i="11"/>
  <c r="G316" i="11"/>
  <c r="H315" i="11"/>
  <c r="G315" i="11"/>
  <c r="H314" i="11"/>
  <c r="G314" i="11"/>
  <c r="H313" i="11"/>
  <c r="G313" i="11"/>
  <c r="H312" i="11"/>
  <c r="G312" i="11"/>
  <c r="H311" i="11"/>
  <c r="G311" i="11"/>
  <c r="H310" i="11"/>
  <c r="G310" i="11"/>
  <c r="H309" i="11"/>
  <c r="G309" i="11"/>
  <c r="I442" i="49"/>
  <c r="E442" i="49"/>
  <c r="F442" i="49" s="1"/>
  <c r="I441" i="49"/>
  <c r="E441" i="49"/>
  <c r="F441" i="49" s="1"/>
  <c r="I440" i="49"/>
  <c r="E440" i="49"/>
  <c r="F440" i="49" s="1"/>
  <c r="I439" i="49"/>
  <c r="E439" i="49"/>
  <c r="F439" i="49" s="1"/>
  <c r="I438" i="49"/>
  <c r="E438" i="49"/>
  <c r="F438" i="49" s="1"/>
  <c r="I437" i="49"/>
  <c r="E437" i="49"/>
  <c r="F437" i="49" s="1"/>
  <c r="I436" i="49"/>
  <c r="E436" i="49"/>
  <c r="F436" i="49" s="1"/>
  <c r="I435" i="49"/>
  <c r="E435" i="49"/>
  <c r="F435" i="49" s="1"/>
  <c r="I434" i="49"/>
  <c r="E434" i="49"/>
  <c r="F434" i="49" s="1"/>
  <c r="I433" i="49"/>
  <c r="E433" i="49"/>
  <c r="F433" i="49" s="1"/>
  <c r="I432" i="49"/>
  <c r="E432" i="49"/>
  <c r="F432" i="49" s="1"/>
  <c r="I431" i="49"/>
  <c r="E431" i="49"/>
  <c r="F431" i="49" s="1"/>
  <c r="I430" i="49"/>
  <c r="E430" i="49"/>
  <c r="F430" i="49" s="1"/>
  <c r="I429" i="49"/>
  <c r="E429" i="49"/>
  <c r="F429" i="49" s="1"/>
  <c r="I428" i="49"/>
  <c r="E428" i="49"/>
  <c r="F428" i="49" s="1"/>
  <c r="I427" i="49"/>
  <c r="E427" i="49"/>
  <c r="F427" i="49" s="1"/>
  <c r="I426" i="49"/>
  <c r="E426" i="49"/>
  <c r="F426" i="49" s="1"/>
  <c r="I425" i="49"/>
  <c r="E425" i="49"/>
  <c r="F425" i="49" s="1"/>
  <c r="I424" i="49"/>
  <c r="E424" i="49"/>
  <c r="F424" i="49" s="1"/>
  <c r="I423" i="49"/>
  <c r="E423" i="49"/>
  <c r="F423" i="49" s="1"/>
  <c r="I422" i="49"/>
  <c r="E422" i="49"/>
  <c r="F422" i="49" s="1"/>
  <c r="I421" i="49"/>
  <c r="E421" i="49"/>
  <c r="F421" i="49" s="1"/>
  <c r="I420" i="49"/>
  <c r="E420" i="49"/>
  <c r="F420" i="49" s="1"/>
  <c r="I419" i="49"/>
  <c r="E419" i="49"/>
  <c r="F419" i="49" s="1"/>
  <c r="K417" i="49"/>
  <c r="J417" i="49"/>
  <c r="I417" i="49"/>
  <c r="H417" i="49"/>
  <c r="F417" i="49"/>
  <c r="E417" i="49"/>
  <c r="D417" i="49"/>
  <c r="K416" i="49"/>
  <c r="J416" i="49"/>
  <c r="I416" i="49"/>
  <c r="H416" i="49"/>
  <c r="F416" i="49"/>
  <c r="E416" i="49"/>
  <c r="D416" i="49"/>
  <c r="J419" i="49" l="1"/>
  <c r="K419" i="49" s="1"/>
  <c r="J420" i="49"/>
  <c r="K420" i="49" s="1"/>
  <c r="J421" i="49" l="1"/>
  <c r="K421" i="49" s="1"/>
  <c r="J422" i="49" l="1"/>
  <c r="K422" i="49" s="1"/>
  <c r="J423" i="49" l="1"/>
  <c r="K423" i="49" s="1"/>
  <c r="J424" i="49" l="1"/>
  <c r="K424" i="49" s="1"/>
  <c r="J425" i="49" l="1"/>
  <c r="K425" i="49" s="1"/>
  <c r="J426" i="49" l="1"/>
  <c r="K426" i="49" s="1"/>
  <c r="J427" i="49" l="1"/>
  <c r="K427" i="49" s="1"/>
  <c r="J428" i="49" l="1"/>
  <c r="K428" i="49" s="1"/>
  <c r="J429" i="49" l="1"/>
  <c r="K429" i="49" s="1"/>
  <c r="J430" i="49" l="1"/>
  <c r="K430" i="49" s="1"/>
  <c r="J431" i="49" l="1"/>
  <c r="K431" i="49" s="1"/>
  <c r="J432" i="49" l="1"/>
  <c r="K432" i="49" s="1"/>
  <c r="J433" i="49" l="1"/>
  <c r="K433" i="49" s="1"/>
  <c r="J434" i="49" l="1"/>
  <c r="K434" i="49" s="1"/>
  <c r="J435" i="49" l="1"/>
  <c r="K435" i="49" s="1"/>
  <c r="J436" i="49" l="1"/>
  <c r="K436" i="49" s="1"/>
  <c r="J437" i="49" l="1"/>
  <c r="K437" i="49" s="1"/>
  <c r="J438" i="49" l="1"/>
  <c r="K438" i="49" s="1"/>
  <c r="J439" i="49" l="1"/>
  <c r="K439" i="49" s="1"/>
  <c r="J440" i="49" l="1"/>
  <c r="K440" i="49" s="1"/>
  <c r="J441" i="49" l="1"/>
  <c r="K441" i="49" s="1"/>
  <c r="J442" i="49" l="1"/>
  <c r="K442" i="49" s="1"/>
  <c r="K443" i="49" l="1"/>
  <c r="F19" i="71" s="1"/>
  <c r="E35" i="11"/>
  <c r="F35" i="11"/>
  <c r="F6" i="81" l="1"/>
  <c r="A82" i="15" l="1"/>
  <c r="A10" i="28" l="1"/>
  <c r="A11" i="28" s="1"/>
  <c r="I63" i="1" s="1"/>
  <c r="C40" i="72"/>
  <c r="C38" i="72"/>
  <c r="C34" i="72"/>
  <c r="C32" i="72"/>
  <c r="C30" i="72"/>
  <c r="C28" i="72"/>
  <c r="C26" i="72"/>
  <c r="C24" i="72"/>
  <c r="C22" i="72"/>
  <c r="C20" i="72"/>
  <c r="C18" i="72"/>
  <c r="C16" i="72"/>
  <c r="C14" i="72"/>
  <c r="C12" i="72"/>
  <c r="A12" i="72"/>
  <c r="A14" i="72" s="1"/>
  <c r="A16" i="72" s="1"/>
  <c r="A18" i="72" s="1"/>
  <c r="A20" i="72" s="1"/>
  <c r="A22" i="72" s="1"/>
  <c r="A24" i="72" s="1"/>
  <c r="A26" i="72" s="1"/>
  <c r="A28" i="72" s="1"/>
  <c r="A32" i="72" s="1"/>
  <c r="C10" i="72"/>
  <c r="A10" i="72"/>
  <c r="C8" i="72"/>
  <c r="A34" i="72" l="1"/>
  <c r="A38" i="72" s="1"/>
  <c r="A40" i="72" s="1"/>
  <c r="J31" i="28"/>
  <c r="M45" i="48"/>
  <c r="J33" i="28" l="1"/>
  <c r="J32" i="28"/>
  <c r="J30" i="28"/>
  <c r="J25" i="28"/>
  <c r="J24" i="28"/>
  <c r="J23" i="28"/>
  <c r="J19" i="28"/>
  <c r="J18" i="28"/>
  <c r="J15" i="28"/>
  <c r="J14" i="28"/>
  <c r="J13" i="28"/>
  <c r="J11" i="28"/>
  <c r="J10" i="28"/>
  <c r="J9" i="28"/>
  <c r="J8" i="28"/>
  <c r="L33" i="28"/>
  <c r="L32" i="28"/>
  <c r="L30" i="28"/>
  <c r="L24" i="28"/>
  <c r="L23" i="28"/>
  <c r="L19" i="28"/>
  <c r="L18" i="28"/>
  <c r="L15" i="28"/>
  <c r="L14" i="28"/>
  <c r="L13" i="28"/>
  <c r="L11" i="28"/>
  <c r="L10" i="28"/>
  <c r="L9" i="28"/>
  <c r="L8" i="28"/>
  <c r="A9" i="28"/>
  <c r="L20" i="28" l="1"/>
  <c r="K73" i="1"/>
  <c r="A23" i="28" l="1"/>
  <c r="J20" i="28"/>
  <c r="J17" i="28"/>
  <c r="I30" i="28" l="1"/>
  <c r="A24" i="28"/>
  <c r="A25" i="28" s="1"/>
  <c r="J26" i="28" s="1"/>
  <c r="A26" i="28" l="1"/>
  <c r="I31" i="28"/>
  <c r="I68" i="1" l="1"/>
  <c r="A29" i="28"/>
  <c r="E7" i="80"/>
  <c r="A61" i="80"/>
  <c r="A62" i="80" s="1"/>
  <c r="A63" i="80" s="1"/>
  <c r="A64" i="80" s="1"/>
  <c r="A65" i="80" s="1"/>
  <c r="A66" i="80" s="1"/>
  <c r="A67" i="80" s="1"/>
  <c r="A68" i="80" s="1"/>
  <c r="A69" i="80" s="1"/>
  <c r="A70" i="80" s="1"/>
  <c r="A60" i="80"/>
  <c r="A42" i="80"/>
  <c r="A43" i="80" s="1"/>
  <c r="A44" i="80" s="1"/>
  <c r="A45" i="80" s="1"/>
  <c r="A46" i="80" s="1"/>
  <c r="A47" i="80" s="1"/>
  <c r="A48" i="80" s="1"/>
  <c r="A49" i="80" s="1"/>
  <c r="A50" i="80" s="1"/>
  <c r="A51" i="80" s="1"/>
  <c r="F31" i="80"/>
  <c r="G31" i="80" s="1"/>
  <c r="H31" i="80" s="1"/>
  <c r="F30" i="80"/>
  <c r="G30" i="80" s="1"/>
  <c r="H30" i="80" s="1"/>
  <c r="F29" i="80"/>
  <c r="G29" i="80" s="1"/>
  <c r="H29" i="80" s="1"/>
  <c r="F28" i="80"/>
  <c r="G28" i="80" s="1"/>
  <c r="F27" i="80"/>
  <c r="G27" i="80" s="1"/>
  <c r="F26" i="80"/>
  <c r="G26" i="80" s="1"/>
  <c r="F25" i="80"/>
  <c r="G25" i="80" s="1"/>
  <c r="H25" i="80" s="1"/>
  <c r="I25" i="80" s="1"/>
  <c r="J25" i="80" s="1"/>
  <c r="F24" i="80"/>
  <c r="G24" i="80" s="1"/>
  <c r="H24" i="80" s="1"/>
  <c r="I24" i="80" s="1"/>
  <c r="J24" i="80" s="1"/>
  <c r="F23" i="80"/>
  <c r="G23" i="80" s="1"/>
  <c r="H23" i="80" s="1"/>
  <c r="I23" i="80" s="1"/>
  <c r="J23" i="80" s="1"/>
  <c r="A23" i="80"/>
  <c r="A24" i="80" s="1"/>
  <c r="A25" i="80" s="1"/>
  <c r="A26" i="80" s="1"/>
  <c r="A27" i="80" s="1"/>
  <c r="A28" i="80" s="1"/>
  <c r="A29" i="80" s="1"/>
  <c r="A30" i="80" s="1"/>
  <c r="A31" i="80" s="1"/>
  <c r="A32" i="80" s="1"/>
  <c r="A33" i="80" s="1"/>
  <c r="F6" i="80" s="1"/>
  <c r="F22" i="80"/>
  <c r="G22" i="80" s="1"/>
  <c r="H22" i="80" s="1"/>
  <c r="I22" i="80" s="1"/>
  <c r="J22" i="80" s="1"/>
  <c r="E11" i="80"/>
  <c r="E12" i="80" s="1"/>
  <c r="A8" i="80"/>
  <c r="A9" i="80" s="1"/>
  <c r="A10" i="80" s="1"/>
  <c r="A11" i="80" s="1"/>
  <c r="A12" i="80" s="1"/>
  <c r="A13" i="80" s="1"/>
  <c r="A14" i="80" s="1"/>
  <c r="I70" i="1" s="1"/>
  <c r="A7" i="80"/>
  <c r="F86" i="81"/>
  <c r="A83" i="81"/>
  <c r="A84" i="81" s="1"/>
  <c r="A85" i="81" s="1"/>
  <c r="A86" i="81" s="1"/>
  <c r="F11" i="81" s="1"/>
  <c r="I54" i="81"/>
  <c r="I53" i="81"/>
  <c r="I52" i="81"/>
  <c r="I51" i="81"/>
  <c r="I50" i="81"/>
  <c r="I48" i="81"/>
  <c r="I47" i="81"/>
  <c r="I46" i="81"/>
  <c r="I45" i="81"/>
  <c r="I44" i="81"/>
  <c r="I43" i="81"/>
  <c r="I40" i="81"/>
  <c r="I39" i="81"/>
  <c r="I38" i="81"/>
  <c r="I37" i="81"/>
  <c r="I36" i="81"/>
  <c r="I35" i="81"/>
  <c r="I34" i="81"/>
  <c r="I33" i="81"/>
  <c r="I32" i="81"/>
  <c r="I31" i="81"/>
  <c r="I30" i="81"/>
  <c r="I29" i="81"/>
  <c r="I28" i="81"/>
  <c r="I27" i="81"/>
  <c r="I26" i="81"/>
  <c r="I25" i="81"/>
  <c r="A25" i="81"/>
  <c r="A26" i="81" s="1"/>
  <c r="A27" i="81" s="1"/>
  <c r="A28" i="81" s="1"/>
  <c r="A29" i="81" s="1"/>
  <c r="A30" i="81" s="1"/>
  <c r="A31" i="81" s="1"/>
  <c r="A32" i="81" s="1"/>
  <c r="A33" i="81" s="1"/>
  <c r="A34" i="81" s="1"/>
  <c r="A35" i="81" s="1"/>
  <c r="A36" i="81" s="1"/>
  <c r="A37" i="81" s="1"/>
  <c r="A38" i="81" s="1"/>
  <c r="A39" i="81" s="1"/>
  <c r="A40" i="81" s="1"/>
  <c r="A41" i="81" s="1"/>
  <c r="A42" i="81" s="1"/>
  <c r="A43" i="81" s="1"/>
  <c r="A44" i="81" s="1"/>
  <c r="A45" i="81" s="1"/>
  <c r="A46" i="81" s="1"/>
  <c r="A47" i="81" s="1"/>
  <c r="A48" i="81" s="1"/>
  <c r="A49" i="81" s="1"/>
  <c r="A50" i="81" s="1"/>
  <c r="A51" i="81" s="1"/>
  <c r="A52" i="81" s="1"/>
  <c r="A53" i="81" s="1"/>
  <c r="A54" i="81" s="1"/>
  <c r="A55" i="81" s="1"/>
  <c r="I24" i="81"/>
  <c r="F10" i="81"/>
  <c r="E10" i="81"/>
  <c r="E15" i="81" s="1"/>
  <c r="A7" i="81"/>
  <c r="A8" i="81" s="1"/>
  <c r="A9" i="81" s="1"/>
  <c r="A10" i="81" s="1"/>
  <c r="A11" i="81" s="1"/>
  <c r="A12" i="81" s="1"/>
  <c r="A13" i="81" s="1"/>
  <c r="A14" i="81" s="1"/>
  <c r="A15" i="81" s="1"/>
  <c r="H28" i="80" l="1"/>
  <c r="I28" i="80"/>
  <c r="J28" i="80" s="1"/>
  <c r="H27" i="80"/>
  <c r="I27" i="80"/>
  <c r="J27" i="80" s="1"/>
  <c r="I26" i="80"/>
  <c r="J26" i="80" s="1"/>
  <c r="J33" i="80" s="1"/>
  <c r="H26" i="80"/>
  <c r="A16" i="81"/>
  <c r="A17" i="81" s="1"/>
  <c r="A30" i="28"/>
  <c r="A31" i="28" s="1"/>
  <c r="A32" i="28" s="1"/>
  <c r="A33" i="28" s="1"/>
  <c r="A34" i="28" s="1"/>
  <c r="I73" i="1" s="1"/>
  <c r="J34" i="28"/>
  <c r="A56" i="81"/>
  <c r="A57" i="81" s="1"/>
  <c r="A58" i="81" s="1"/>
  <c r="A59" i="81" s="1"/>
  <c r="A60" i="81" s="1"/>
  <c r="J24" i="81"/>
  <c r="K24" i="81" s="1"/>
  <c r="J27" i="81"/>
  <c r="K27" i="81" s="1"/>
  <c r="J29" i="81"/>
  <c r="K29" i="81" s="1"/>
  <c r="J43" i="81"/>
  <c r="K43" i="81" s="1"/>
  <c r="J45" i="81"/>
  <c r="K45" i="81" s="1"/>
  <c r="J51" i="81"/>
  <c r="K51" i="81" s="1"/>
  <c r="J26" i="81"/>
  <c r="K26" i="81" s="1"/>
  <c r="J35" i="81"/>
  <c r="K35" i="81" s="1"/>
  <c r="J37" i="81"/>
  <c r="K37" i="81" s="1"/>
  <c r="J28" i="81"/>
  <c r="K28" i="81" s="1"/>
  <c r="J44" i="81"/>
  <c r="K44" i="81" s="1"/>
  <c r="J52" i="81"/>
  <c r="K52" i="81" s="1"/>
  <c r="J53" i="81"/>
  <c r="K53" i="81" s="1"/>
  <c r="J30" i="81"/>
  <c r="K30" i="81" s="1"/>
  <c r="J31" i="81"/>
  <c r="K31" i="81" s="1"/>
  <c r="J39" i="81"/>
  <c r="K39" i="81" s="1"/>
  <c r="J47" i="81"/>
  <c r="K47" i="81" s="1"/>
  <c r="J25" i="81"/>
  <c r="K25" i="81" s="1"/>
  <c r="J32" i="81"/>
  <c r="K32" i="81" s="1"/>
  <c r="J33" i="81"/>
  <c r="K33" i="81" s="1"/>
  <c r="J48" i="81"/>
  <c r="K48" i="81" s="1"/>
  <c r="I30" i="80"/>
  <c r="J30" i="80" s="1"/>
  <c r="F11" i="80"/>
  <c r="F7" i="80"/>
  <c r="I31" i="80"/>
  <c r="J31" i="80" s="1"/>
  <c r="I29" i="80"/>
  <c r="J29" i="80" s="1"/>
  <c r="J34" i="81"/>
  <c r="K34" i="81" s="1"/>
  <c r="J36" i="81"/>
  <c r="K36" i="81" s="1"/>
  <c r="J38" i="81"/>
  <c r="K38" i="81" s="1"/>
  <c r="J40" i="81"/>
  <c r="K40" i="81" s="1"/>
  <c r="J46" i="81"/>
  <c r="K46" i="81" s="1"/>
  <c r="J50" i="81"/>
  <c r="K50" i="81" s="1"/>
  <c r="J54" i="81"/>
  <c r="K54" i="81" s="1"/>
  <c r="K75" i="81" l="1"/>
  <c r="E6" i="81" s="1"/>
  <c r="E6" i="80"/>
  <c r="E8" i="81" l="1"/>
  <c r="E17" i="81" s="1"/>
  <c r="K65" i="1" s="1"/>
  <c r="E8" i="80"/>
  <c r="E14" i="80" s="1"/>
  <c r="K70" i="1" s="1"/>
  <c r="K69" i="1" s="1"/>
  <c r="E145" i="15"/>
  <c r="J145" i="15" s="1"/>
  <c r="H145" i="15"/>
  <c r="G145" i="15"/>
  <c r="G146" i="15" s="1"/>
  <c r="H146" i="15" s="1"/>
  <c r="G147" i="15" l="1"/>
  <c r="H147" i="15" s="1"/>
  <c r="G25" i="46"/>
  <c r="G148" i="15" l="1"/>
  <c r="H148" i="15" s="1"/>
  <c r="G149" i="15" l="1"/>
  <c r="H149" i="15" s="1"/>
  <c r="G150" i="15" l="1"/>
  <c r="H150" i="15" s="1"/>
  <c r="F102" i="8"/>
  <c r="F97" i="8"/>
  <c r="G151" i="15" l="1"/>
  <c r="H151" i="15" s="1"/>
  <c r="G152" i="15" l="1"/>
  <c r="H152" i="15" s="1"/>
  <c r="G153" i="15" l="1"/>
  <c r="H153" i="15" s="1"/>
  <c r="E6" i="66"/>
  <c r="E12" i="66"/>
  <c r="E18" i="66"/>
  <c r="G154" i="15" l="1"/>
  <c r="H154" i="15" s="1"/>
  <c r="G155" i="15" l="1"/>
  <c r="H155" i="15" s="1"/>
  <c r="G156" i="15" l="1"/>
  <c r="H156" i="15" s="1"/>
  <c r="B145" i="21"/>
  <c r="M106" i="21"/>
  <c r="L106" i="21"/>
  <c r="K106" i="21"/>
  <c r="J106" i="21"/>
  <c r="I106" i="21"/>
  <c r="H106" i="21"/>
  <c r="G106" i="21"/>
  <c r="F106" i="21"/>
  <c r="E106" i="21"/>
  <c r="D106" i="21"/>
  <c r="E45" i="21"/>
  <c r="F58" i="21" s="1"/>
  <c r="E44" i="21"/>
  <c r="A44" i="21"/>
  <c r="A35" i="21"/>
  <c r="A13" i="21"/>
  <c r="A14" i="21" s="1"/>
  <c r="A15" i="21" s="1"/>
  <c r="A16" i="21" s="1"/>
  <c r="A17" i="21" s="1"/>
  <c r="A18" i="21" s="1"/>
  <c r="A19" i="21" s="1"/>
  <c r="A20" i="21" s="1"/>
  <c r="A21" i="21" s="1"/>
  <c r="A22" i="21" s="1"/>
  <c r="A23" i="21" s="1"/>
  <c r="A24" i="21" s="1"/>
  <c r="G157" i="15" l="1"/>
  <c r="H157" i="15" s="1"/>
  <c r="F51" i="21"/>
  <c r="B148" i="21"/>
  <c r="A25" i="21"/>
  <c r="A33" i="21" s="1"/>
  <c r="H46" i="21"/>
  <c r="A45" i="21"/>
  <c r="E23" i="4"/>
  <c r="F23" i="4"/>
  <c r="G23" i="4"/>
  <c r="H23" i="4"/>
  <c r="I23" i="4"/>
  <c r="J23" i="4"/>
  <c r="K23" i="4"/>
  <c r="L23" i="4"/>
  <c r="L85" i="4"/>
  <c r="K85" i="4"/>
  <c r="J85" i="4"/>
  <c r="I85" i="4"/>
  <c r="H85" i="4"/>
  <c r="G85" i="4"/>
  <c r="F85" i="4"/>
  <c r="E85" i="4"/>
  <c r="D92" i="4"/>
  <c r="B144" i="21" l="1"/>
  <c r="H35" i="21"/>
  <c r="G58" i="21"/>
  <c r="A46" i="21"/>
  <c r="D182" i="4"/>
  <c r="C182" i="4"/>
  <c r="L141" i="4"/>
  <c r="K141" i="4"/>
  <c r="J141" i="4"/>
  <c r="I141" i="4"/>
  <c r="H141" i="4"/>
  <c r="G141" i="4"/>
  <c r="F141" i="4"/>
  <c r="E141" i="4"/>
  <c r="D141" i="4"/>
  <c r="C141" i="4"/>
  <c r="L140" i="4"/>
  <c r="K140" i="4"/>
  <c r="J140" i="4"/>
  <c r="I140" i="4"/>
  <c r="H140" i="4"/>
  <c r="G140" i="4"/>
  <c r="F140" i="4"/>
  <c r="E140" i="4"/>
  <c r="D140" i="4"/>
  <c r="C140" i="4"/>
  <c r="L139" i="4"/>
  <c r="K139" i="4"/>
  <c r="J139" i="4"/>
  <c r="I139" i="4"/>
  <c r="H139" i="4"/>
  <c r="G139" i="4"/>
  <c r="F139" i="4"/>
  <c r="E139" i="4"/>
  <c r="D139" i="4"/>
  <c r="C139" i="4"/>
  <c r="L138" i="4"/>
  <c r="K138" i="4"/>
  <c r="J138" i="4"/>
  <c r="I138" i="4"/>
  <c r="H138" i="4"/>
  <c r="G138" i="4"/>
  <c r="F138" i="4"/>
  <c r="E138" i="4"/>
  <c r="D138" i="4"/>
  <c r="C138" i="4"/>
  <c r="L137" i="4"/>
  <c r="K137" i="4"/>
  <c r="J137" i="4"/>
  <c r="I137" i="4"/>
  <c r="H137" i="4"/>
  <c r="G137" i="4"/>
  <c r="F137" i="4"/>
  <c r="E137" i="4"/>
  <c r="D137" i="4"/>
  <c r="C137" i="4"/>
  <c r="L136" i="4"/>
  <c r="K136" i="4"/>
  <c r="J136" i="4"/>
  <c r="I136" i="4"/>
  <c r="H136" i="4"/>
  <c r="G136" i="4"/>
  <c r="F136" i="4"/>
  <c r="E136" i="4"/>
  <c r="D136" i="4"/>
  <c r="C136" i="4"/>
  <c r="L135" i="4"/>
  <c r="K135" i="4"/>
  <c r="J135" i="4"/>
  <c r="I135" i="4"/>
  <c r="H135" i="4"/>
  <c r="G135" i="4"/>
  <c r="F135" i="4"/>
  <c r="E135" i="4"/>
  <c r="D135" i="4"/>
  <c r="C135" i="4"/>
  <c r="L134" i="4"/>
  <c r="K134" i="4"/>
  <c r="J134" i="4"/>
  <c r="I134" i="4"/>
  <c r="H134" i="4"/>
  <c r="G134" i="4"/>
  <c r="F134" i="4"/>
  <c r="E134" i="4"/>
  <c r="D134" i="4"/>
  <c r="C134" i="4"/>
  <c r="L133" i="4"/>
  <c r="K133" i="4"/>
  <c r="J133" i="4"/>
  <c r="I133" i="4"/>
  <c r="H133" i="4"/>
  <c r="G133" i="4"/>
  <c r="F133" i="4"/>
  <c r="E133" i="4"/>
  <c r="D133" i="4"/>
  <c r="C133" i="4"/>
  <c r="L132" i="4"/>
  <c r="K132" i="4"/>
  <c r="J132" i="4"/>
  <c r="I132" i="4"/>
  <c r="H132" i="4"/>
  <c r="G132" i="4"/>
  <c r="F132" i="4"/>
  <c r="E132" i="4"/>
  <c r="D132" i="4"/>
  <c r="C132" i="4"/>
  <c r="L131" i="4"/>
  <c r="K131" i="4"/>
  <c r="J131" i="4"/>
  <c r="I131" i="4"/>
  <c r="H131" i="4"/>
  <c r="G131" i="4"/>
  <c r="F131" i="4"/>
  <c r="E131" i="4"/>
  <c r="D131" i="4"/>
  <c r="C131" i="4"/>
  <c r="L130" i="4"/>
  <c r="K130" i="4"/>
  <c r="J130" i="4"/>
  <c r="I130" i="4"/>
  <c r="H130" i="4"/>
  <c r="G130" i="4"/>
  <c r="F130" i="4"/>
  <c r="E130" i="4"/>
  <c r="D130" i="4"/>
  <c r="C130" i="4"/>
  <c r="J103" i="4"/>
  <c r="F103" i="4"/>
  <c r="F160" i="4" s="1"/>
  <c r="D103" i="4"/>
  <c r="C103" i="4"/>
  <c r="C160" i="4" s="1"/>
  <c r="L102" i="4"/>
  <c r="K102" i="4"/>
  <c r="J102" i="4"/>
  <c r="I102" i="4"/>
  <c r="I159" i="4" s="1"/>
  <c r="H102" i="4"/>
  <c r="G102" i="4"/>
  <c r="F102" i="4"/>
  <c r="E102" i="4"/>
  <c r="E159" i="4" s="1"/>
  <c r="D102" i="4"/>
  <c r="C102" i="4"/>
  <c r="L101" i="4"/>
  <c r="K101" i="4"/>
  <c r="J101" i="4"/>
  <c r="I101" i="4"/>
  <c r="H101" i="4"/>
  <c r="G101" i="4"/>
  <c r="G158" i="4" s="1"/>
  <c r="F101" i="4"/>
  <c r="E101" i="4"/>
  <c r="D101" i="4"/>
  <c r="C101" i="4"/>
  <c r="L100" i="4"/>
  <c r="K100" i="4"/>
  <c r="J100" i="4"/>
  <c r="I100" i="4"/>
  <c r="I157" i="4" s="1"/>
  <c r="H100" i="4"/>
  <c r="G100" i="4"/>
  <c r="F100" i="4"/>
  <c r="E100" i="4"/>
  <c r="E157" i="4" s="1"/>
  <c r="D100" i="4"/>
  <c r="C100" i="4"/>
  <c r="L99" i="4"/>
  <c r="K99" i="4"/>
  <c r="K156" i="4" s="1"/>
  <c r="J99" i="4"/>
  <c r="I99" i="4"/>
  <c r="H99" i="4"/>
  <c r="G99" i="4"/>
  <c r="G156" i="4" s="1"/>
  <c r="F99" i="4"/>
  <c r="E99" i="4"/>
  <c r="D99" i="4"/>
  <c r="C99" i="4"/>
  <c r="L98" i="4"/>
  <c r="K98" i="4"/>
  <c r="J98" i="4"/>
  <c r="I98" i="4"/>
  <c r="I155" i="4" s="1"/>
  <c r="H98" i="4"/>
  <c r="G98" i="4"/>
  <c r="F98" i="4"/>
  <c r="E98" i="4"/>
  <c r="E155" i="4" s="1"/>
  <c r="D98" i="4"/>
  <c r="C98" i="4"/>
  <c r="L97" i="4"/>
  <c r="K97" i="4"/>
  <c r="J97" i="4"/>
  <c r="I97" i="4"/>
  <c r="H97" i="4"/>
  <c r="G97" i="4"/>
  <c r="G154" i="4" s="1"/>
  <c r="F97" i="4"/>
  <c r="E97" i="4"/>
  <c r="D97" i="4"/>
  <c r="C97" i="4"/>
  <c r="C154" i="4" s="1"/>
  <c r="L96" i="4"/>
  <c r="K96" i="4"/>
  <c r="J96" i="4"/>
  <c r="I96" i="4"/>
  <c r="I153" i="4" s="1"/>
  <c r="H96" i="4"/>
  <c r="G96" i="4"/>
  <c r="F96" i="4"/>
  <c r="E96" i="4"/>
  <c r="E153" i="4" s="1"/>
  <c r="D96" i="4"/>
  <c r="C96" i="4"/>
  <c r="L95" i="4"/>
  <c r="K95" i="4"/>
  <c r="K152" i="4" s="1"/>
  <c r="J95" i="4"/>
  <c r="I95" i="4"/>
  <c r="H95" i="4"/>
  <c r="G95" i="4"/>
  <c r="G152" i="4" s="1"/>
  <c r="F95" i="4"/>
  <c r="E95" i="4"/>
  <c r="D95" i="4"/>
  <c r="C95" i="4"/>
  <c r="C152" i="4" s="1"/>
  <c r="L94" i="4"/>
  <c r="K94" i="4"/>
  <c r="J94" i="4"/>
  <c r="I94" i="4"/>
  <c r="I151" i="4" s="1"/>
  <c r="H94" i="4"/>
  <c r="G94" i="4"/>
  <c r="F94" i="4"/>
  <c r="E94" i="4"/>
  <c r="E151" i="4" s="1"/>
  <c r="D94" i="4"/>
  <c r="C94" i="4"/>
  <c r="L93" i="4"/>
  <c r="K93" i="4"/>
  <c r="K150" i="4" s="1"/>
  <c r="J93" i="4"/>
  <c r="I93" i="4"/>
  <c r="H93" i="4"/>
  <c r="G93" i="4"/>
  <c r="G150" i="4" s="1"/>
  <c r="F93" i="4"/>
  <c r="E93" i="4"/>
  <c r="D93" i="4"/>
  <c r="C93" i="4"/>
  <c r="C150" i="4" s="1"/>
  <c r="L92" i="4"/>
  <c r="K92" i="4"/>
  <c r="J92" i="4"/>
  <c r="I92" i="4"/>
  <c r="I149" i="4" s="1"/>
  <c r="H92" i="4"/>
  <c r="G92" i="4"/>
  <c r="F92" i="4"/>
  <c r="E92" i="4"/>
  <c r="E149" i="4" s="1"/>
  <c r="C92" i="4"/>
  <c r="L103" i="4"/>
  <c r="K103" i="4"/>
  <c r="K160" i="4" s="1"/>
  <c r="I103" i="4"/>
  <c r="H103" i="4"/>
  <c r="G103" i="4"/>
  <c r="G160" i="4" s="1"/>
  <c r="E103" i="4"/>
  <c r="E160" i="4" s="1"/>
  <c r="H53" i="4"/>
  <c r="F61" i="4" s="1"/>
  <c r="H52" i="4"/>
  <c r="E36" i="4"/>
  <c r="D36" i="4"/>
  <c r="C36" i="4"/>
  <c r="F35" i="4"/>
  <c r="F34" i="4"/>
  <c r="A12" i="4"/>
  <c r="A13" i="4" s="1"/>
  <c r="A14" i="4" s="1"/>
  <c r="A15" i="4" s="1"/>
  <c r="A16" i="4" s="1"/>
  <c r="A17" i="4" s="1"/>
  <c r="A18" i="4" s="1"/>
  <c r="A19" i="4" s="1"/>
  <c r="A20" i="4" s="1"/>
  <c r="A21" i="4" s="1"/>
  <c r="A22" i="4" s="1"/>
  <c r="A23" i="4" s="1"/>
  <c r="M11" i="4"/>
  <c r="D152" i="4" l="1"/>
  <c r="L152" i="4"/>
  <c r="I160" i="4"/>
  <c r="G157" i="4"/>
  <c r="C155" i="4"/>
  <c r="K157" i="4"/>
  <c r="C159" i="4"/>
  <c r="F36" i="4"/>
  <c r="J149" i="4"/>
  <c r="D150" i="4"/>
  <c r="H150" i="4"/>
  <c r="L150" i="4"/>
  <c r="F151" i="4"/>
  <c r="J151" i="4"/>
  <c r="H152" i="4"/>
  <c r="F153" i="4"/>
  <c r="J153" i="4"/>
  <c r="D154" i="4"/>
  <c r="H154" i="4"/>
  <c r="L154" i="4"/>
  <c r="F155" i="4"/>
  <c r="J155" i="4"/>
  <c r="D156" i="4"/>
  <c r="H156" i="4"/>
  <c r="L156" i="4"/>
  <c r="F157" i="4"/>
  <c r="J157" i="4"/>
  <c r="D158" i="4"/>
  <c r="H158" i="4"/>
  <c r="L158" i="4"/>
  <c r="F159" i="4"/>
  <c r="J159" i="4"/>
  <c r="D160" i="4"/>
  <c r="G186" i="4"/>
  <c r="K186" i="4"/>
  <c r="L160" i="4"/>
  <c r="E150" i="4"/>
  <c r="I150" i="4"/>
  <c r="C151" i="4"/>
  <c r="G151" i="4"/>
  <c r="K151" i="4"/>
  <c r="E152" i="4"/>
  <c r="I152" i="4"/>
  <c r="C153" i="4"/>
  <c r="G153" i="4"/>
  <c r="K153" i="4"/>
  <c r="E154" i="4"/>
  <c r="I154" i="4"/>
  <c r="G155" i="4"/>
  <c r="K155" i="4"/>
  <c r="E156" i="4"/>
  <c r="I156" i="4"/>
  <c r="C157" i="4"/>
  <c r="E158" i="4"/>
  <c r="I158" i="4"/>
  <c r="G159" i="4"/>
  <c r="K159" i="4"/>
  <c r="D186" i="4"/>
  <c r="H186" i="4"/>
  <c r="L186" i="4"/>
  <c r="H160" i="4"/>
  <c r="E186" i="4"/>
  <c r="I186" i="4"/>
  <c r="K154" i="4"/>
  <c r="K158" i="4"/>
  <c r="G51" i="21"/>
  <c r="A51" i="21"/>
  <c r="D149" i="4"/>
  <c r="L149" i="4"/>
  <c r="F150" i="4"/>
  <c r="J150" i="4"/>
  <c r="D151" i="4"/>
  <c r="H151" i="4"/>
  <c r="L151" i="4"/>
  <c r="F152" i="4"/>
  <c r="J152" i="4"/>
  <c r="D153" i="4"/>
  <c r="H153" i="4"/>
  <c r="L153" i="4"/>
  <c r="F154" i="4"/>
  <c r="J154" i="4"/>
  <c r="D155" i="4"/>
  <c r="H155" i="4"/>
  <c r="L155" i="4"/>
  <c r="F156" i="4"/>
  <c r="J156" i="4"/>
  <c r="D157" i="4"/>
  <c r="H157" i="4"/>
  <c r="L157" i="4"/>
  <c r="F158" i="4"/>
  <c r="J158" i="4"/>
  <c r="D159" i="4"/>
  <c r="H159" i="4"/>
  <c r="L159" i="4"/>
  <c r="J160" i="4"/>
  <c r="F186" i="4"/>
  <c r="J186" i="4"/>
  <c r="C156" i="4"/>
  <c r="C158" i="4"/>
  <c r="F56" i="4"/>
  <c r="F149" i="4"/>
  <c r="H149" i="4"/>
  <c r="B230" i="4"/>
  <c r="A24" i="4"/>
  <c r="D190" i="4"/>
  <c r="C186" i="4"/>
  <c r="C190" i="4" s="1"/>
  <c r="C149" i="4"/>
  <c r="G149" i="4"/>
  <c r="K149" i="4"/>
  <c r="J319" i="49"/>
  <c r="E168" i="4" l="1"/>
  <c r="F91" i="21" s="1"/>
  <c r="I169" i="4"/>
  <c r="J92" i="21" s="1"/>
  <c r="L172" i="4"/>
  <c r="M95" i="21" s="1"/>
  <c r="L170" i="4"/>
  <c r="M93" i="21" s="1"/>
  <c r="A52" i="21"/>
  <c r="A53" i="21" s="1"/>
  <c r="A58" i="21" s="1"/>
  <c r="G53" i="21"/>
  <c r="J167" i="4"/>
  <c r="K90" i="21" s="1"/>
  <c r="D173" i="4"/>
  <c r="E96" i="21" s="1"/>
  <c r="K166" i="4"/>
  <c r="L89" i="21" s="1"/>
  <c r="L174" i="4"/>
  <c r="M97" i="21" s="1"/>
  <c r="M186" i="4"/>
  <c r="E172" i="4"/>
  <c r="F95" i="21" s="1"/>
  <c r="L167" i="4"/>
  <c r="M90" i="21" s="1"/>
  <c r="L168" i="4"/>
  <c r="M91" i="21" s="1"/>
  <c r="H89" i="21"/>
  <c r="A34" i="4"/>
  <c r="H166" i="4"/>
  <c r="I89" i="21" s="1"/>
  <c r="D89" i="21"/>
  <c r="J177" i="4"/>
  <c r="K100" i="21" s="1"/>
  <c r="I170" i="4" l="1"/>
  <c r="J93" i="21" s="1"/>
  <c r="L171" i="4"/>
  <c r="M94" i="21" s="1"/>
  <c r="I166" i="4"/>
  <c r="J89" i="21" s="1"/>
  <c r="J166" i="4"/>
  <c r="K89" i="21" s="1"/>
  <c r="L173" i="4"/>
  <c r="M96" i="21" s="1"/>
  <c r="J171" i="4"/>
  <c r="K94" i="21" s="1"/>
  <c r="L166" i="4"/>
  <c r="M89" i="21" s="1"/>
  <c r="J170" i="4"/>
  <c r="K93" i="21" s="1"/>
  <c r="J176" i="4"/>
  <c r="K99" i="21" s="1"/>
  <c r="L177" i="4"/>
  <c r="M100" i="21" s="1"/>
  <c r="L169" i="4"/>
  <c r="M92" i="21" s="1"/>
  <c r="J175" i="4"/>
  <c r="K98" i="21" s="1"/>
  <c r="D168" i="4"/>
  <c r="E91" i="21" s="1"/>
  <c r="E171" i="4"/>
  <c r="F94" i="21" s="1"/>
  <c r="D174" i="4"/>
  <c r="E97" i="21" s="1"/>
  <c r="E177" i="4"/>
  <c r="F100" i="21" s="1"/>
  <c r="E176" i="4"/>
  <c r="F99" i="21" s="1"/>
  <c r="E166" i="4"/>
  <c r="F89" i="21" s="1"/>
  <c r="E169" i="4"/>
  <c r="F92" i="21" s="1"/>
  <c r="D171" i="4"/>
  <c r="J174" i="4"/>
  <c r="K97" i="21" s="1"/>
  <c r="E170" i="4"/>
  <c r="F93" i="21" s="1"/>
  <c r="E167" i="4"/>
  <c r="F90" i="21" s="1"/>
  <c r="E173" i="4"/>
  <c r="F96" i="21" s="1"/>
  <c r="E174" i="4"/>
  <c r="F97" i="21" s="1"/>
  <c r="E175" i="4"/>
  <c r="F98" i="21" s="1"/>
  <c r="J173" i="4"/>
  <c r="K96" i="21" s="1"/>
  <c r="I168" i="4"/>
  <c r="J91" i="21" s="1"/>
  <c r="I171" i="4"/>
  <c r="J94" i="21" s="1"/>
  <c r="I173" i="4"/>
  <c r="J96" i="21" s="1"/>
  <c r="I177" i="4"/>
  <c r="J100" i="21" s="1"/>
  <c r="I172" i="4"/>
  <c r="J95" i="21" s="1"/>
  <c r="J169" i="4"/>
  <c r="K92" i="21" s="1"/>
  <c r="J168" i="4"/>
  <c r="K91" i="21" s="1"/>
  <c r="D204" i="4"/>
  <c r="I175" i="4"/>
  <c r="J98" i="21" s="1"/>
  <c r="I167" i="4"/>
  <c r="J90" i="21" s="1"/>
  <c r="I176" i="4"/>
  <c r="J99" i="21" s="1"/>
  <c r="I174" i="4"/>
  <c r="J97" i="21" s="1"/>
  <c r="J172" i="4"/>
  <c r="K95" i="21" s="1"/>
  <c r="C12" i="4"/>
  <c r="L176" i="4"/>
  <c r="M99" i="21" s="1"/>
  <c r="L175" i="4"/>
  <c r="M98" i="21" s="1"/>
  <c r="A59" i="21"/>
  <c r="A60" i="21" s="1"/>
  <c r="A70" i="21" s="1"/>
  <c r="A71" i="21" s="1"/>
  <c r="A72" i="21" s="1"/>
  <c r="A73" i="21" s="1"/>
  <c r="A74" i="21" s="1"/>
  <c r="A75" i="21" s="1"/>
  <c r="A76" i="21" s="1"/>
  <c r="A77" i="21" s="1"/>
  <c r="A78" i="21" s="1"/>
  <c r="A79" i="21" s="1"/>
  <c r="A80" i="21" s="1"/>
  <c r="A81" i="21" s="1"/>
  <c r="A82" i="21" s="1"/>
  <c r="D166" i="4"/>
  <c r="D177" i="4"/>
  <c r="D167" i="4"/>
  <c r="D169" i="4"/>
  <c r="D175" i="4"/>
  <c r="D176" i="4"/>
  <c r="D172" i="4"/>
  <c r="D170" i="4"/>
  <c r="B222" i="4"/>
  <c r="A35" i="4"/>
  <c r="F174" i="4"/>
  <c r="G97" i="21" s="1"/>
  <c r="F173" i="4"/>
  <c r="G96" i="21" s="1"/>
  <c r="F171" i="4"/>
  <c r="G94" i="21" s="1"/>
  <c r="F175" i="4"/>
  <c r="G98" i="21" s="1"/>
  <c r="F170" i="4"/>
  <c r="G93" i="21" s="1"/>
  <c r="F177" i="4"/>
  <c r="G100" i="21" s="1"/>
  <c r="F176" i="4"/>
  <c r="G99" i="21" s="1"/>
  <c r="F167" i="4"/>
  <c r="G90" i="21" s="1"/>
  <c r="F169" i="4"/>
  <c r="G92" i="21" s="1"/>
  <c r="F168" i="4"/>
  <c r="G91" i="21" s="1"/>
  <c r="F172" i="4"/>
  <c r="G95" i="21" s="1"/>
  <c r="C170" i="4"/>
  <c r="C172" i="4"/>
  <c r="C176" i="4"/>
  <c r="C177" i="4"/>
  <c r="C174" i="4"/>
  <c r="C173" i="4"/>
  <c r="C168" i="4"/>
  <c r="C175" i="4"/>
  <c r="C169" i="4"/>
  <c r="C171" i="4"/>
  <c r="H170" i="4"/>
  <c r="I93" i="21" s="1"/>
  <c r="H177" i="4"/>
  <c r="I100" i="21" s="1"/>
  <c r="H169" i="4"/>
  <c r="I92" i="21" s="1"/>
  <c r="H172" i="4"/>
  <c r="I95" i="21" s="1"/>
  <c r="H171" i="4"/>
  <c r="I94" i="21" s="1"/>
  <c r="H175" i="4"/>
  <c r="I98" i="21" s="1"/>
  <c r="H173" i="4"/>
  <c r="I96" i="21" s="1"/>
  <c r="H168" i="4"/>
  <c r="I91" i="21" s="1"/>
  <c r="H167" i="4"/>
  <c r="I90" i="21" s="1"/>
  <c r="H174" i="4"/>
  <c r="I97" i="21" s="1"/>
  <c r="H176" i="4"/>
  <c r="I99" i="21" s="1"/>
  <c r="G168" i="4"/>
  <c r="H91" i="21" s="1"/>
  <c r="G170" i="4"/>
  <c r="H93" i="21" s="1"/>
  <c r="G169" i="4"/>
  <c r="H92" i="21" s="1"/>
  <c r="G172" i="4"/>
  <c r="H95" i="21" s="1"/>
  <c r="G177" i="4"/>
  <c r="H100" i="21" s="1"/>
  <c r="G167" i="4"/>
  <c r="H90" i="21" s="1"/>
  <c r="G171" i="4"/>
  <c r="H94" i="21" s="1"/>
  <c r="G175" i="4"/>
  <c r="H98" i="21" s="1"/>
  <c r="G173" i="4"/>
  <c r="H96" i="21" s="1"/>
  <c r="G174" i="4"/>
  <c r="H97" i="21" s="1"/>
  <c r="G176" i="4"/>
  <c r="H99" i="21" s="1"/>
  <c r="K175" i="4"/>
  <c r="L98" i="21" s="1"/>
  <c r="K171" i="4"/>
  <c r="L94" i="21" s="1"/>
  <c r="K168" i="4"/>
  <c r="L91" i="21" s="1"/>
  <c r="K173" i="4"/>
  <c r="L96" i="21" s="1"/>
  <c r="K170" i="4"/>
  <c r="L93" i="21" s="1"/>
  <c r="K169" i="4"/>
  <c r="L92" i="21" s="1"/>
  <c r="K167" i="4"/>
  <c r="L90" i="21" s="1"/>
  <c r="K172" i="4"/>
  <c r="L95" i="21" s="1"/>
  <c r="K176" i="4"/>
  <c r="L99" i="21" s="1"/>
  <c r="K177" i="4"/>
  <c r="L100" i="21" s="1"/>
  <c r="K174" i="4"/>
  <c r="L97" i="21" s="1"/>
  <c r="F166" i="4"/>
  <c r="G89" i="21" s="1"/>
  <c r="D205" i="4" l="1"/>
  <c r="D199" i="4"/>
  <c r="E94" i="21"/>
  <c r="D202" i="4"/>
  <c r="D92" i="21"/>
  <c r="C200" i="4"/>
  <c r="D97" i="21"/>
  <c r="C205" i="4"/>
  <c r="D93" i="21"/>
  <c r="C201" i="4"/>
  <c r="E95" i="21"/>
  <c r="D203" i="4"/>
  <c r="E90" i="21"/>
  <c r="D198" i="4"/>
  <c r="D98" i="21"/>
  <c r="C206" i="4"/>
  <c r="D100" i="21"/>
  <c r="C208" i="4"/>
  <c r="D90" i="21"/>
  <c r="C198" i="4"/>
  <c r="C13" i="4" s="1"/>
  <c r="E99" i="21"/>
  <c r="D207" i="4"/>
  <c r="E100" i="21"/>
  <c r="D208" i="4"/>
  <c r="D91" i="21"/>
  <c r="C199" i="4"/>
  <c r="D99" i="21"/>
  <c r="C207" i="4"/>
  <c r="E98" i="21"/>
  <c r="D206" i="4"/>
  <c r="E89" i="21"/>
  <c r="D197" i="4"/>
  <c r="D12" i="4" s="1"/>
  <c r="D94" i="21"/>
  <c r="C202" i="4"/>
  <c r="D96" i="21"/>
  <c r="C204" i="4"/>
  <c r="D95" i="21"/>
  <c r="C203" i="4"/>
  <c r="E93" i="21"/>
  <c r="D201" i="4"/>
  <c r="E92" i="21"/>
  <c r="D200" i="4"/>
  <c r="B149" i="21"/>
  <c r="A89" i="21"/>
  <c r="A90" i="21" s="1"/>
  <c r="A91" i="21" s="1"/>
  <c r="A92" i="21" s="1"/>
  <c r="A93" i="21" s="1"/>
  <c r="A94" i="21" s="1"/>
  <c r="A95" i="21" s="1"/>
  <c r="A96" i="21" s="1"/>
  <c r="A97" i="21" s="1"/>
  <c r="A98" i="21" s="1"/>
  <c r="A99" i="21" s="1"/>
  <c r="A100" i="21" s="1"/>
  <c r="A106" i="21" s="1"/>
  <c r="G60" i="21"/>
  <c r="B223" i="4"/>
  <c r="A36" i="4"/>
  <c r="E43" i="4"/>
  <c r="D13" i="4" l="1"/>
  <c r="D14" i="4" s="1"/>
  <c r="D15" i="4" s="1"/>
  <c r="D16" i="4" s="1"/>
  <c r="D17" i="4" s="1"/>
  <c r="D18" i="4" s="1"/>
  <c r="D19" i="4" s="1"/>
  <c r="D20" i="4" s="1"/>
  <c r="D21" i="4" s="1"/>
  <c r="D22" i="4" s="1"/>
  <c r="C14" i="4"/>
  <c r="C15" i="4" s="1"/>
  <c r="C16" i="4" s="1"/>
  <c r="C17" i="4" s="1"/>
  <c r="C18" i="4" s="1"/>
  <c r="C19" i="4" s="1"/>
  <c r="C20" i="4" s="1"/>
  <c r="C21" i="4" s="1"/>
  <c r="C22" i="4" s="1"/>
  <c r="A109" i="21"/>
  <c r="A112" i="21" s="1"/>
  <c r="A119" i="21" s="1"/>
  <c r="A120" i="21" s="1"/>
  <c r="A121" i="21" s="1"/>
  <c r="A122" i="21" s="1"/>
  <c r="A123" i="21" s="1"/>
  <c r="A124" i="21" s="1"/>
  <c r="A125" i="21" s="1"/>
  <c r="A126" i="21" s="1"/>
  <c r="A127" i="21" s="1"/>
  <c r="A128" i="21" s="1"/>
  <c r="A129" i="21" s="1"/>
  <c r="A130" i="21" s="1"/>
  <c r="A131" i="21" s="1"/>
  <c r="A42" i="4"/>
  <c r="A43" i="4" s="1"/>
  <c r="A52" i="4" s="1"/>
  <c r="E42" i="4"/>
  <c r="C12" i="46"/>
  <c r="B150" i="21" l="1"/>
  <c r="A53" i="4"/>
  <c r="G61" i="4" l="1"/>
  <c r="A56" i="4"/>
  <c r="G56" i="4"/>
  <c r="A57" i="4" l="1"/>
  <c r="A58" i="4" s="1"/>
  <c r="A61" i="4" s="1"/>
  <c r="G63" i="4" l="1"/>
  <c r="A62" i="4"/>
  <c r="A63" i="4" s="1"/>
  <c r="A73" i="4" s="1"/>
  <c r="A74" i="4" s="1"/>
  <c r="A75" i="4" s="1"/>
  <c r="A76" i="4" s="1"/>
  <c r="A77" i="4" s="1"/>
  <c r="A78" i="4" s="1"/>
  <c r="A79" i="4" s="1"/>
  <c r="A80" i="4" s="1"/>
  <c r="A81" i="4" s="1"/>
  <c r="A82" i="4" s="1"/>
  <c r="A83" i="4" s="1"/>
  <c r="A84" i="4" s="1"/>
  <c r="A85" i="4" s="1"/>
  <c r="A92" i="4" s="1"/>
  <c r="A93" i="4" s="1"/>
  <c r="A94" i="4" s="1"/>
  <c r="A95" i="4" s="1"/>
  <c r="A96" i="4" s="1"/>
  <c r="A97" i="4" s="1"/>
  <c r="A98" i="4" s="1"/>
  <c r="A99" i="4" s="1"/>
  <c r="A100" i="4" s="1"/>
  <c r="A101" i="4" s="1"/>
  <c r="A102" i="4" s="1"/>
  <c r="A103" i="4" s="1"/>
  <c r="A104" i="4" s="1"/>
  <c r="A111" i="4" s="1"/>
  <c r="A112" i="4" s="1"/>
  <c r="A113" i="4" s="1"/>
  <c r="A114" i="4" s="1"/>
  <c r="A115" i="4" s="1"/>
  <c r="A116" i="4" s="1"/>
  <c r="A117" i="4" s="1"/>
  <c r="A118" i="4" s="1"/>
  <c r="A119" i="4" s="1"/>
  <c r="A120" i="4" s="1"/>
  <c r="A121" i="4" s="1"/>
  <c r="A122" i="4" s="1"/>
  <c r="A123" i="4" s="1"/>
  <c r="A130" i="4" s="1"/>
  <c r="A131" i="4" s="1"/>
  <c r="A132" i="4" s="1"/>
  <c r="A133" i="4" s="1"/>
  <c r="A134" i="4" s="1"/>
  <c r="A135" i="4" s="1"/>
  <c r="A136" i="4" s="1"/>
  <c r="A137" i="4" s="1"/>
  <c r="A138" i="4" s="1"/>
  <c r="A139" i="4" s="1"/>
  <c r="A140" i="4" s="1"/>
  <c r="A141" i="4" s="1"/>
  <c r="A142" i="4" s="1"/>
  <c r="G58" i="4"/>
  <c r="B231" i="4" l="1"/>
  <c r="A149" i="4"/>
  <c r="B234" i="4" l="1"/>
  <c r="A150" i="4"/>
  <c r="A151" i="4" s="1"/>
  <c r="A152" i="4" s="1"/>
  <c r="A153" i="4" s="1"/>
  <c r="A154" i="4" s="1"/>
  <c r="A155" i="4" s="1"/>
  <c r="A156" i="4" s="1"/>
  <c r="A157" i="4" s="1"/>
  <c r="A158" i="4" s="1"/>
  <c r="A159" i="4" s="1"/>
  <c r="A160" i="4" s="1"/>
  <c r="A161" i="4" s="1"/>
  <c r="A166" i="4" s="1"/>
  <c r="A167" i="4" s="1"/>
  <c r="A168" i="4" s="1"/>
  <c r="A169" i="4" s="1"/>
  <c r="A170" i="4" s="1"/>
  <c r="A171" i="4" s="1"/>
  <c r="A172" i="4" s="1"/>
  <c r="A173" i="4" s="1"/>
  <c r="A174" i="4" s="1"/>
  <c r="A175" i="4" s="1"/>
  <c r="A176" i="4" s="1"/>
  <c r="A177" i="4" s="1"/>
  <c r="A182" i="4" s="1"/>
  <c r="A186" i="4" l="1"/>
  <c r="A190" i="4" s="1"/>
  <c r="B233" i="4" s="1"/>
  <c r="A197" i="4" l="1"/>
  <c r="B232" i="4"/>
  <c r="A198" i="4" l="1"/>
  <c r="A199" i="4" s="1"/>
  <c r="A200" i="4" s="1"/>
  <c r="A201" i="4" s="1"/>
  <c r="A202" i="4" s="1"/>
  <c r="A203" i="4" s="1"/>
  <c r="A204" i="4" s="1"/>
  <c r="A205" i="4" s="1"/>
  <c r="A206" i="4" s="1"/>
  <c r="A207" i="4" s="1"/>
  <c r="A208" i="4" s="1"/>
  <c r="A209" i="4" s="1"/>
  <c r="B235" i="4" l="1"/>
  <c r="C57" i="22" l="1"/>
  <c r="D19" i="71" l="1"/>
  <c r="D18" i="71"/>
  <c r="B190" i="71"/>
  <c r="F46" i="22" l="1"/>
  <c r="F34" i="22"/>
  <c r="G69" i="22"/>
  <c r="G63" i="22"/>
  <c r="G22" i="45" l="1"/>
  <c r="C32" i="57" l="1"/>
  <c r="G20" i="45"/>
  <c r="G19" i="45"/>
  <c r="G18" i="45"/>
  <c r="D32" i="57" l="1"/>
  <c r="B107" i="65"/>
  <c r="B106" i="65"/>
  <c r="B103" i="65"/>
  <c r="B98" i="65"/>
  <c r="B95" i="65"/>
  <c r="B94" i="65"/>
  <c r="B9" i="65"/>
  <c r="B8" i="65"/>
  <c r="B7" i="65"/>
  <c r="F44" i="65"/>
  <c r="F43" i="65"/>
  <c r="F42" i="65"/>
  <c r="F41" i="65"/>
  <c r="F40" i="65"/>
  <c r="A82" i="44" l="1"/>
  <c r="A83" i="44" s="1"/>
  <c r="B117" i="65" l="1"/>
  <c r="B114" i="65"/>
  <c r="B113" i="65"/>
  <c r="H24" i="65"/>
  <c r="J24" i="65" s="1"/>
  <c r="L24" i="65" s="1"/>
  <c r="J128" i="53" l="1"/>
  <c r="I128" i="53"/>
  <c r="K128" i="53" s="1"/>
  <c r="F128" i="53"/>
  <c r="B128" i="53"/>
  <c r="J127" i="53"/>
  <c r="I127" i="53"/>
  <c r="K127" i="53" s="1"/>
  <c r="F127" i="53"/>
  <c r="B127" i="53"/>
  <c r="J126" i="53"/>
  <c r="I126" i="53"/>
  <c r="F126" i="53"/>
  <c r="B126" i="53"/>
  <c r="J125" i="53"/>
  <c r="I125" i="53"/>
  <c r="K125" i="53" s="1"/>
  <c r="F125" i="53"/>
  <c r="B125" i="53"/>
  <c r="J124" i="53"/>
  <c r="I124" i="53"/>
  <c r="F124" i="53"/>
  <c r="B124" i="53"/>
  <c r="J123" i="53"/>
  <c r="I123" i="53"/>
  <c r="K123" i="53" s="1"/>
  <c r="F123" i="53"/>
  <c r="B123" i="53"/>
  <c r="J122" i="53"/>
  <c r="I122" i="53"/>
  <c r="F122" i="53"/>
  <c r="B122" i="53"/>
  <c r="J121" i="53"/>
  <c r="I121" i="53"/>
  <c r="K121" i="53" s="1"/>
  <c r="F121" i="53"/>
  <c r="B121" i="53"/>
  <c r="J120" i="53"/>
  <c r="I120" i="53"/>
  <c r="K120" i="53" s="1"/>
  <c r="F120" i="53"/>
  <c r="B120" i="53"/>
  <c r="J119" i="53"/>
  <c r="I119" i="53"/>
  <c r="K119" i="53" s="1"/>
  <c r="F119" i="53"/>
  <c r="B119" i="53"/>
  <c r="J118" i="53"/>
  <c r="I118" i="53"/>
  <c r="F118" i="53"/>
  <c r="B118" i="53"/>
  <c r="J117" i="53"/>
  <c r="I117" i="53"/>
  <c r="K117" i="53" s="1"/>
  <c r="F117" i="53"/>
  <c r="B117" i="53"/>
  <c r="J116" i="53"/>
  <c r="I116" i="53"/>
  <c r="F116" i="53"/>
  <c r="B116" i="53"/>
  <c r="J115" i="53"/>
  <c r="I115" i="53"/>
  <c r="F115" i="53"/>
  <c r="B115" i="53"/>
  <c r="B114" i="53"/>
  <c r="A108" i="53"/>
  <c r="A109" i="53" s="1"/>
  <c r="A110" i="53" s="1"/>
  <c r="A111" i="53" s="1"/>
  <c r="A112" i="53" s="1"/>
  <c r="A113" i="53" s="1"/>
  <c r="A114" i="53" s="1"/>
  <c r="B90" i="53"/>
  <c r="B59" i="53"/>
  <c r="B58" i="53"/>
  <c r="B57" i="53"/>
  <c r="B56" i="53"/>
  <c r="B55" i="53"/>
  <c r="B54" i="53"/>
  <c r="B53" i="53"/>
  <c r="B52" i="53"/>
  <c r="B51" i="53"/>
  <c r="B50" i="53"/>
  <c r="B49" i="53"/>
  <c r="B48" i="53"/>
  <c r="B47" i="53"/>
  <c r="B46" i="53"/>
  <c r="I38" i="53"/>
  <c r="D38" i="53"/>
  <c r="I37" i="53"/>
  <c r="D37" i="53"/>
  <c r="I36" i="53"/>
  <c r="D36" i="53"/>
  <c r="A29" i="53"/>
  <c r="A30" i="53" s="1"/>
  <c r="A31" i="53" s="1"/>
  <c r="A32" i="53" s="1"/>
  <c r="A33" i="53" s="1"/>
  <c r="A34" i="53" s="1"/>
  <c r="J27" i="53"/>
  <c r="J26" i="53"/>
  <c r="J25" i="53"/>
  <c r="J24" i="53"/>
  <c r="J23" i="53"/>
  <c r="J22" i="53"/>
  <c r="J21" i="53"/>
  <c r="J20" i="53"/>
  <c r="J19" i="53"/>
  <c r="J18" i="53"/>
  <c r="J17" i="53"/>
  <c r="J16" i="53"/>
  <c r="J15" i="53"/>
  <c r="J14" i="53"/>
  <c r="J13" i="53"/>
  <c r="J12" i="53"/>
  <c r="K115" i="53" l="1"/>
  <c r="K122" i="53"/>
  <c r="K126" i="53"/>
  <c r="L128" i="53"/>
  <c r="L120" i="53"/>
  <c r="K124" i="53"/>
  <c r="L124" i="53" s="1"/>
  <c r="K116" i="53"/>
  <c r="L116" i="53" s="1"/>
  <c r="L121" i="53"/>
  <c r="L123" i="53"/>
  <c r="J28" i="53"/>
  <c r="L127" i="53"/>
  <c r="L119" i="53"/>
  <c r="K118" i="53"/>
  <c r="L115" i="53"/>
  <c r="L117" i="53"/>
  <c r="L125" i="53"/>
  <c r="L118" i="53"/>
  <c r="L126" i="53"/>
  <c r="L122" i="53"/>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8" i="63" s="1"/>
  <c r="A59" i="63" s="1"/>
  <c r="A60" i="63" s="1"/>
  <c r="A61" i="63" s="1"/>
  <c r="A62" i="63" s="1"/>
  <c r="A63" i="63" s="1"/>
  <c r="A64" i="63" s="1"/>
  <c r="M118" i="53" l="1"/>
  <c r="C16" i="53" s="1"/>
  <c r="A38" i="79"/>
  <c r="A39" i="79"/>
  <c r="M122" i="53" l="1"/>
  <c r="C20" i="53" s="1"/>
  <c r="M115" i="53"/>
  <c r="C12" i="53" s="1"/>
  <c r="M117" i="53"/>
  <c r="C15" i="53" s="1"/>
  <c r="M121" i="53"/>
  <c r="C19" i="53" s="1"/>
  <c r="M123" i="53"/>
  <c r="C21" i="53" s="1"/>
  <c r="M119" i="53"/>
  <c r="C17" i="53" s="1"/>
  <c r="M124" i="53"/>
  <c r="C22" i="53" s="1"/>
  <c r="M116" i="53"/>
  <c r="C13" i="53" s="1"/>
  <c r="M128" i="53"/>
  <c r="C26" i="53" s="1"/>
  <c r="M120" i="53"/>
  <c r="C18" i="53" s="1"/>
  <c r="M127" i="53"/>
  <c r="C25" i="53" s="1"/>
  <c r="M125" i="53"/>
  <c r="C23" i="53" s="1"/>
  <c r="M126" i="53"/>
  <c r="C24" i="53" s="1"/>
  <c r="C28" i="53" l="1"/>
  <c r="E68" i="15" l="1"/>
  <c r="E29" i="55" l="1"/>
  <c r="D29" i="55"/>
  <c r="C29" i="55"/>
  <c r="H42" i="8" l="1"/>
  <c r="H33" i="8"/>
  <c r="F26" i="65" l="1"/>
  <c r="F27" i="65"/>
  <c r="F28" i="65"/>
  <c r="F29" i="65"/>
  <c r="F30" i="65"/>
  <c r="F31" i="65"/>
  <c r="F32" i="65"/>
  <c r="F33" i="65"/>
  <c r="F34" i="65"/>
  <c r="F35" i="65"/>
  <c r="F36" i="65"/>
  <c r="F25" i="65"/>
  <c r="E222" i="49" l="1"/>
  <c r="D78" i="49" l="1"/>
  <c r="H76" i="49"/>
  <c r="H77" i="49"/>
  <c r="H78" i="49"/>
  <c r="G76" i="49"/>
  <c r="G77" i="49"/>
  <c r="G78" i="49"/>
  <c r="D77" i="49"/>
  <c r="D75" i="49"/>
  <c r="D76" i="49"/>
  <c r="O34" i="48" l="1"/>
  <c r="O35" i="48"/>
  <c r="O36" i="48"/>
  <c r="J20" i="61" l="1"/>
  <c r="M20" i="61" s="1"/>
  <c r="G20" i="61"/>
  <c r="I20" i="61" s="1"/>
  <c r="P97" i="48" l="1"/>
  <c r="P98" i="48"/>
  <c r="P99" i="48"/>
  <c r="G97" i="48"/>
  <c r="H97" i="48" s="1"/>
  <c r="H34" i="48" s="1"/>
  <c r="G98" i="48"/>
  <c r="H98" i="48" s="1"/>
  <c r="H35" i="48" s="1"/>
  <c r="G99" i="48"/>
  <c r="H99" i="48" s="1"/>
  <c r="H36" i="48" s="1"/>
  <c r="C34" i="48"/>
  <c r="C35" i="48"/>
  <c r="C36" i="48"/>
  <c r="C97" i="48"/>
  <c r="C98" i="48"/>
  <c r="C99" i="48"/>
  <c r="P66" i="48"/>
  <c r="P67" i="48"/>
  <c r="P68" i="48"/>
  <c r="P36" i="48" l="1"/>
  <c r="P35" i="48"/>
  <c r="P34" i="48"/>
  <c r="I99" i="48"/>
  <c r="I98" i="48"/>
  <c r="I97" i="48"/>
  <c r="J97" i="48" l="1"/>
  <c r="I34" i="48"/>
  <c r="J98" i="48"/>
  <c r="J35" i="48" s="1"/>
  <c r="I35" i="48"/>
  <c r="J99" i="48"/>
  <c r="J36" i="48" s="1"/>
  <c r="I36" i="48"/>
  <c r="J34" i="48" l="1"/>
  <c r="I407" i="49" l="1"/>
  <c r="I408" i="49"/>
  <c r="I409" i="49"/>
  <c r="E407" i="49"/>
  <c r="F407" i="49" s="1"/>
  <c r="E408" i="49"/>
  <c r="F408" i="49" s="1"/>
  <c r="E409" i="49"/>
  <c r="F409" i="49" s="1"/>
  <c r="I374" i="49"/>
  <c r="I375" i="49"/>
  <c r="I376" i="49"/>
  <c r="E374" i="49"/>
  <c r="F374" i="49" s="1"/>
  <c r="E375" i="49"/>
  <c r="F375" i="49" s="1"/>
  <c r="E376" i="49"/>
  <c r="F376" i="49" s="1"/>
  <c r="I341" i="49"/>
  <c r="I342" i="49"/>
  <c r="I343" i="49"/>
  <c r="E341" i="49"/>
  <c r="F341" i="49" s="1"/>
  <c r="E342" i="49"/>
  <c r="F342" i="49" s="1"/>
  <c r="E343" i="49"/>
  <c r="F343" i="49" s="1"/>
  <c r="I308" i="49"/>
  <c r="I309" i="49"/>
  <c r="I310" i="49"/>
  <c r="E308" i="49"/>
  <c r="F308" i="49" s="1"/>
  <c r="E309" i="49"/>
  <c r="F309" i="49" s="1"/>
  <c r="E310" i="49"/>
  <c r="F310" i="49" s="1"/>
  <c r="I275" i="49"/>
  <c r="I276" i="49"/>
  <c r="I277" i="49"/>
  <c r="E275" i="49"/>
  <c r="F275" i="49" s="1"/>
  <c r="E276" i="49"/>
  <c r="F276" i="49" s="1"/>
  <c r="E277" i="49"/>
  <c r="F277" i="49" s="1"/>
  <c r="I242" i="49"/>
  <c r="I243" i="49"/>
  <c r="I244" i="49"/>
  <c r="E242" i="49"/>
  <c r="F242" i="49" s="1"/>
  <c r="E243" i="49"/>
  <c r="F243" i="49" s="1"/>
  <c r="E244" i="49"/>
  <c r="F244" i="49" s="1"/>
  <c r="I209" i="49"/>
  <c r="I210" i="49"/>
  <c r="I211" i="49"/>
  <c r="E209" i="49"/>
  <c r="F209" i="49" s="1"/>
  <c r="E210" i="49"/>
  <c r="F210" i="49" s="1"/>
  <c r="E211" i="49"/>
  <c r="F211" i="49" s="1"/>
  <c r="I176" i="49"/>
  <c r="I177" i="49"/>
  <c r="I178" i="49"/>
  <c r="E176" i="49"/>
  <c r="F176" i="49" s="1"/>
  <c r="E177" i="49"/>
  <c r="F177" i="49" s="1"/>
  <c r="E178" i="49"/>
  <c r="F178"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28" i="48" l="1"/>
  <c r="D127" i="48"/>
  <c r="D126" i="48"/>
  <c r="D125" i="48"/>
  <c r="D124" i="48"/>
  <c r="D123" i="48"/>
  <c r="D122" i="48"/>
  <c r="D121" i="48"/>
  <c r="D120" i="48"/>
  <c r="D119" i="48"/>
  <c r="F215" i="61" l="1"/>
  <c r="F72" i="64"/>
  <c r="E72" i="64"/>
  <c r="D72" i="64"/>
  <c r="F67" i="64"/>
  <c r="F66" i="64"/>
  <c r="E67" i="64"/>
  <c r="E66" i="64"/>
  <c r="D67" i="64"/>
  <c r="D66" i="64"/>
  <c r="D24" i="64" l="1"/>
  <c r="L12" i="64"/>
  <c r="M70" i="21" s="1"/>
  <c r="K12" i="64"/>
  <c r="L70" i="21" s="1"/>
  <c r="J12" i="64"/>
  <c r="K70" i="21" s="1"/>
  <c r="I12" i="64"/>
  <c r="J70" i="21" s="1"/>
  <c r="H12" i="64"/>
  <c r="I70" i="21" s="1"/>
  <c r="G12" i="64"/>
  <c r="H70" i="21" s="1"/>
  <c r="F12" i="64"/>
  <c r="G70" i="21" s="1"/>
  <c r="E12" i="64"/>
  <c r="F70" i="21" s="1"/>
  <c r="D12" i="64"/>
  <c r="E70" i="21" s="1"/>
  <c r="C24" i="64"/>
  <c r="C12" i="64"/>
  <c r="D70" i="21" s="1"/>
  <c r="B97" i="64"/>
  <c r="F68" i="64"/>
  <c r="D68" i="64"/>
  <c r="A43" i="64"/>
  <c r="A44" i="64" s="1"/>
  <c r="A45" i="64" s="1"/>
  <c r="A46" i="64" s="1"/>
  <c r="A47" i="64" s="1"/>
  <c r="A48" i="64" s="1"/>
  <c r="A13" i="64"/>
  <c r="A14" i="64" s="1"/>
  <c r="A15" i="64" s="1"/>
  <c r="A16" i="64" s="1"/>
  <c r="A17" i="64" s="1"/>
  <c r="A18" i="64" s="1"/>
  <c r="A19" i="64" s="1"/>
  <c r="A20" i="64" s="1"/>
  <c r="A21" i="64" s="1"/>
  <c r="A22" i="64" s="1"/>
  <c r="A23" i="64" s="1"/>
  <c r="A24" i="64" s="1"/>
  <c r="A25" i="64" s="1"/>
  <c r="A26" i="64" s="1"/>
  <c r="A28" i="64" s="1"/>
  <c r="N70" i="21" l="1"/>
  <c r="A49" i="64"/>
  <c r="A50" i="64" s="1"/>
  <c r="A51" i="64" s="1"/>
  <c r="A52" i="64" s="1"/>
  <c r="A53" i="64" s="1"/>
  <c r="A54" i="64" s="1"/>
  <c r="A55" i="64" s="1"/>
  <c r="A56" i="64" s="1"/>
  <c r="A57" i="64" s="1"/>
  <c r="A58" i="64" s="1"/>
  <c r="A59" i="64" s="1"/>
  <c r="A60" i="64" s="1"/>
  <c r="A61" i="64" s="1"/>
  <c r="A62" i="64" s="1"/>
  <c r="A63" i="64" s="1"/>
  <c r="A64" i="64" s="1"/>
  <c r="A65" i="64" s="1"/>
  <c r="A66" i="64" s="1"/>
  <c r="A67" i="64" s="1"/>
  <c r="A68" i="64" s="1"/>
  <c r="E68" i="64"/>
  <c r="E77" i="64" s="1"/>
  <c r="F77" i="64"/>
  <c r="M48" i="64"/>
  <c r="G91" i="64"/>
  <c r="B146" i="21" l="1"/>
  <c r="G77" i="64"/>
  <c r="F92" i="64" s="1"/>
  <c r="B98" i="64"/>
  <c r="A69" i="64"/>
  <c r="A70" i="64" s="1"/>
  <c r="A71" i="64" s="1"/>
  <c r="A72" i="64" s="1"/>
  <c r="B99" i="64" l="1"/>
  <c r="A73" i="64"/>
  <c r="A74" i="64" s="1"/>
  <c r="A75" i="64" s="1"/>
  <c r="A76" i="64" s="1"/>
  <c r="A77" i="64" s="1"/>
  <c r="B104" i="64" l="1"/>
  <c r="G92" i="64"/>
  <c r="A78" i="64"/>
  <c r="A79" i="64" s="1"/>
  <c r="A80" i="64" s="1"/>
  <c r="A81" i="64" s="1"/>
  <c r="A82" i="64" s="1"/>
  <c r="A83" i="64" l="1"/>
  <c r="A84" i="64" s="1"/>
  <c r="A85" i="64" l="1"/>
  <c r="A86" i="64" s="1"/>
  <c r="I84" i="64"/>
  <c r="I86" i="64" l="1"/>
  <c r="G93" i="64"/>
  <c r="A87" i="64"/>
  <c r="A88" i="64" s="1"/>
  <c r="A89" i="64" s="1"/>
  <c r="A90" i="64" s="1"/>
  <c r="A91" i="64" s="1"/>
  <c r="A92" i="64" l="1"/>
  <c r="A93" i="64" s="1"/>
  <c r="A94" i="64" s="1"/>
  <c r="I127" i="1" s="1"/>
  <c r="G94" i="64" l="1"/>
  <c r="O19" i="48" l="1"/>
  <c r="J85" i="8"/>
  <c r="C117" i="48" l="1"/>
  <c r="H26" i="8" l="1"/>
  <c r="I31" i="1"/>
  <c r="A33" i="79" l="1"/>
  <c r="A34" i="79" s="1"/>
  <c r="A35" i="79" s="1"/>
  <c r="A36" i="79" s="1"/>
  <c r="A37" i="79" s="1"/>
  <c r="E19" i="71" l="1"/>
  <c r="E18" i="71"/>
  <c r="D17" i="71"/>
  <c r="D16" i="71"/>
  <c r="D15" i="71"/>
  <c r="D14" i="71"/>
  <c r="D13" i="71"/>
  <c r="D12" i="71"/>
  <c r="D11" i="71"/>
  <c r="D10" i="71"/>
  <c r="D9" i="71"/>
  <c r="D20" i="71" l="1"/>
  <c r="D57" i="7"/>
  <c r="D53" i="7"/>
  <c r="E34" i="11"/>
  <c r="E33" i="11"/>
  <c r="E32" i="11"/>
  <c r="E31" i="11"/>
  <c r="E30" i="11"/>
  <c r="E29" i="11"/>
  <c r="E28" i="11"/>
  <c r="E27" i="11"/>
  <c r="E26" i="11"/>
  <c r="I406" i="49"/>
  <c r="I405" i="49"/>
  <c r="I404" i="49"/>
  <c r="I403" i="49"/>
  <c r="I402" i="49"/>
  <c r="I401" i="49"/>
  <c r="I400" i="49"/>
  <c r="I399" i="49"/>
  <c r="I398" i="49"/>
  <c r="I397" i="49"/>
  <c r="I396" i="49"/>
  <c r="I395" i="49"/>
  <c r="I394" i="49"/>
  <c r="I393" i="49"/>
  <c r="I392" i="49"/>
  <c r="I391" i="49"/>
  <c r="I390" i="49"/>
  <c r="I389" i="49"/>
  <c r="I388" i="49"/>
  <c r="I387" i="49"/>
  <c r="I386" i="49"/>
  <c r="E406" i="49"/>
  <c r="E405" i="49"/>
  <c r="E404" i="49"/>
  <c r="E403" i="49"/>
  <c r="E402" i="49"/>
  <c r="E401" i="49"/>
  <c r="E400" i="49"/>
  <c r="E399" i="49"/>
  <c r="E398" i="49"/>
  <c r="E397" i="49"/>
  <c r="E396" i="49"/>
  <c r="E395" i="49"/>
  <c r="E394" i="49"/>
  <c r="E393" i="49"/>
  <c r="E392" i="49"/>
  <c r="E391" i="49"/>
  <c r="E390" i="49"/>
  <c r="E389" i="49"/>
  <c r="E388" i="49"/>
  <c r="E387" i="49"/>
  <c r="F387" i="49" s="1"/>
  <c r="E386" i="49"/>
  <c r="F386" i="49" s="1"/>
  <c r="I373" i="49"/>
  <c r="I372" i="49"/>
  <c r="I371" i="49"/>
  <c r="I370" i="49"/>
  <c r="I369" i="49"/>
  <c r="I368" i="49"/>
  <c r="I367" i="49"/>
  <c r="I366" i="49"/>
  <c r="I365" i="49"/>
  <c r="I364" i="49"/>
  <c r="I363" i="49"/>
  <c r="I362" i="49"/>
  <c r="I361" i="49"/>
  <c r="I360" i="49"/>
  <c r="I359" i="49"/>
  <c r="I358" i="49"/>
  <c r="I357" i="49"/>
  <c r="I356" i="49"/>
  <c r="I355" i="49"/>
  <c r="I354" i="49"/>
  <c r="I353" i="49"/>
  <c r="E373" i="49"/>
  <c r="E372" i="49"/>
  <c r="E371" i="49"/>
  <c r="E370" i="49"/>
  <c r="E369" i="49"/>
  <c r="E368" i="49"/>
  <c r="E367" i="49"/>
  <c r="E366" i="49"/>
  <c r="E365" i="49"/>
  <c r="E364" i="49"/>
  <c r="E363" i="49"/>
  <c r="E362" i="49"/>
  <c r="E361" i="49"/>
  <c r="E360" i="49"/>
  <c r="E359" i="49"/>
  <c r="E358" i="49"/>
  <c r="E357" i="49"/>
  <c r="E356" i="49"/>
  <c r="E355" i="49"/>
  <c r="E354" i="49"/>
  <c r="E353" i="49"/>
  <c r="I340" i="49"/>
  <c r="I339" i="49"/>
  <c r="I338" i="49"/>
  <c r="I337" i="49"/>
  <c r="I336" i="49"/>
  <c r="I335" i="49"/>
  <c r="I334" i="49"/>
  <c r="I333" i="49"/>
  <c r="I332" i="49"/>
  <c r="I331" i="49"/>
  <c r="I330" i="49"/>
  <c r="I329" i="49"/>
  <c r="I328" i="49"/>
  <c r="I327" i="49"/>
  <c r="I326" i="49"/>
  <c r="I325" i="49"/>
  <c r="I324" i="49"/>
  <c r="I323" i="49"/>
  <c r="I322" i="49"/>
  <c r="I321" i="49"/>
  <c r="I320" i="49"/>
  <c r="E340" i="49"/>
  <c r="E339" i="49"/>
  <c r="E338" i="49"/>
  <c r="E337" i="49"/>
  <c r="E336" i="49"/>
  <c r="E335" i="49"/>
  <c r="E334" i="49"/>
  <c r="E333" i="49"/>
  <c r="E332" i="49"/>
  <c r="E331" i="49"/>
  <c r="E330" i="49"/>
  <c r="E329" i="49"/>
  <c r="E328" i="49"/>
  <c r="E327" i="49"/>
  <c r="E326" i="49"/>
  <c r="E325" i="49"/>
  <c r="E324" i="49"/>
  <c r="E323" i="49"/>
  <c r="E322" i="49"/>
  <c r="E321" i="49"/>
  <c r="E320" i="49"/>
  <c r="I307" i="49"/>
  <c r="I306" i="49"/>
  <c r="I305" i="49"/>
  <c r="I304" i="49"/>
  <c r="I303" i="49"/>
  <c r="I302" i="49"/>
  <c r="I301" i="49"/>
  <c r="I300" i="49"/>
  <c r="I299" i="49"/>
  <c r="I298" i="49"/>
  <c r="I297" i="49"/>
  <c r="I296" i="49"/>
  <c r="I295" i="49"/>
  <c r="I294" i="49"/>
  <c r="I293" i="49"/>
  <c r="I292" i="49"/>
  <c r="I291" i="49"/>
  <c r="I290" i="49"/>
  <c r="I289" i="49"/>
  <c r="I288" i="49"/>
  <c r="I287" i="49"/>
  <c r="E307" i="49"/>
  <c r="E306" i="49"/>
  <c r="E305" i="49"/>
  <c r="E304" i="49"/>
  <c r="E303" i="49"/>
  <c r="E302" i="49"/>
  <c r="E301" i="49"/>
  <c r="E300" i="49"/>
  <c r="E299" i="49"/>
  <c r="E298" i="49"/>
  <c r="E297" i="49"/>
  <c r="E296" i="49"/>
  <c r="E295" i="49"/>
  <c r="E294" i="49"/>
  <c r="E293" i="49"/>
  <c r="E292" i="49"/>
  <c r="E291" i="49"/>
  <c r="E290" i="49"/>
  <c r="E289" i="49"/>
  <c r="E288" i="49"/>
  <c r="E287" i="49"/>
  <c r="I274" i="49"/>
  <c r="I273" i="49"/>
  <c r="I272" i="49"/>
  <c r="I271" i="49"/>
  <c r="I270" i="49"/>
  <c r="I269" i="49"/>
  <c r="I268" i="49"/>
  <c r="I267" i="49"/>
  <c r="I266" i="49"/>
  <c r="I265" i="49"/>
  <c r="I264" i="49"/>
  <c r="I263" i="49"/>
  <c r="I262" i="49"/>
  <c r="I261" i="49"/>
  <c r="I260" i="49"/>
  <c r="I259" i="49"/>
  <c r="I258" i="49"/>
  <c r="I257" i="49"/>
  <c r="I256" i="49"/>
  <c r="I255" i="49"/>
  <c r="I254" i="49"/>
  <c r="E274" i="49"/>
  <c r="E273" i="49"/>
  <c r="E272" i="49"/>
  <c r="E271" i="49"/>
  <c r="E270" i="49"/>
  <c r="E269" i="49"/>
  <c r="E268" i="49"/>
  <c r="E267" i="49"/>
  <c r="E266" i="49"/>
  <c r="E265" i="49"/>
  <c r="E264" i="49"/>
  <c r="E263" i="49"/>
  <c r="E262" i="49"/>
  <c r="E261" i="49"/>
  <c r="E260" i="49"/>
  <c r="E259" i="49"/>
  <c r="E258" i="49"/>
  <c r="E257" i="49"/>
  <c r="E256" i="49"/>
  <c r="E255" i="49"/>
  <c r="E254" i="49"/>
  <c r="I241" i="49"/>
  <c r="I240" i="49"/>
  <c r="I239" i="49"/>
  <c r="I238" i="49"/>
  <c r="I237" i="49"/>
  <c r="I236" i="49"/>
  <c r="I235" i="49"/>
  <c r="I234" i="49"/>
  <c r="I233" i="49"/>
  <c r="I232" i="49"/>
  <c r="I231" i="49"/>
  <c r="I230" i="49"/>
  <c r="I229" i="49"/>
  <c r="I228" i="49"/>
  <c r="I227" i="49"/>
  <c r="I226" i="49"/>
  <c r="I225" i="49"/>
  <c r="I224" i="49"/>
  <c r="I223" i="49"/>
  <c r="I222" i="49"/>
  <c r="I221" i="49"/>
  <c r="E241" i="49"/>
  <c r="E240" i="49"/>
  <c r="E239" i="49"/>
  <c r="E238" i="49"/>
  <c r="E237" i="49"/>
  <c r="E236" i="49"/>
  <c r="E235" i="49"/>
  <c r="E234" i="49"/>
  <c r="E233" i="49"/>
  <c r="E232" i="49"/>
  <c r="E231" i="49"/>
  <c r="E230" i="49"/>
  <c r="E229" i="49"/>
  <c r="E228" i="49"/>
  <c r="E227" i="49"/>
  <c r="E226" i="49"/>
  <c r="E225" i="49"/>
  <c r="E224" i="49"/>
  <c r="E223" i="49"/>
  <c r="E221" i="49"/>
  <c r="I189" i="49"/>
  <c r="I190" i="49"/>
  <c r="I191" i="49"/>
  <c r="I192" i="49"/>
  <c r="I193" i="49"/>
  <c r="I194" i="49"/>
  <c r="I195" i="49"/>
  <c r="I196" i="49"/>
  <c r="I197" i="49"/>
  <c r="I198" i="49"/>
  <c r="I199" i="49"/>
  <c r="I200" i="49"/>
  <c r="I201" i="49"/>
  <c r="I202" i="49"/>
  <c r="I203" i="49"/>
  <c r="I204" i="49"/>
  <c r="I205" i="49"/>
  <c r="I206" i="49"/>
  <c r="I207" i="49"/>
  <c r="I208" i="49"/>
  <c r="I188" i="49"/>
  <c r="E189" i="49"/>
  <c r="E190" i="49"/>
  <c r="E191" i="49"/>
  <c r="E192" i="49"/>
  <c r="E193" i="49"/>
  <c r="E194" i="49"/>
  <c r="E195" i="49"/>
  <c r="E196" i="49"/>
  <c r="E197" i="49"/>
  <c r="E198" i="49"/>
  <c r="E199" i="49"/>
  <c r="E200" i="49"/>
  <c r="E201" i="49"/>
  <c r="E202" i="49"/>
  <c r="E203" i="49"/>
  <c r="E204" i="49"/>
  <c r="E205" i="49"/>
  <c r="E206" i="49"/>
  <c r="E207" i="49"/>
  <c r="E208" i="49"/>
  <c r="E188" i="49"/>
  <c r="F188" i="49" s="1"/>
  <c r="I175" i="49"/>
  <c r="I174" i="49"/>
  <c r="I173" i="49"/>
  <c r="I172" i="49"/>
  <c r="I171" i="49"/>
  <c r="I170" i="49"/>
  <c r="I169" i="49"/>
  <c r="I168" i="49"/>
  <c r="I167" i="49"/>
  <c r="I166" i="49"/>
  <c r="I165" i="49"/>
  <c r="I164" i="49"/>
  <c r="I163" i="49"/>
  <c r="I162" i="49"/>
  <c r="I161" i="49"/>
  <c r="I160" i="49"/>
  <c r="I159" i="49"/>
  <c r="I158" i="49"/>
  <c r="I157" i="49"/>
  <c r="I156" i="49"/>
  <c r="I155" i="49"/>
  <c r="E175" i="49"/>
  <c r="E174" i="49"/>
  <c r="E173" i="49"/>
  <c r="E172" i="49"/>
  <c r="E171" i="49"/>
  <c r="E170" i="49"/>
  <c r="E169" i="49"/>
  <c r="E168" i="49"/>
  <c r="E167" i="49"/>
  <c r="E166" i="49"/>
  <c r="E165" i="49"/>
  <c r="E164" i="49"/>
  <c r="E163" i="49"/>
  <c r="E162" i="49"/>
  <c r="E161" i="49"/>
  <c r="E160" i="49"/>
  <c r="E159" i="49"/>
  <c r="E158" i="49"/>
  <c r="E157" i="49"/>
  <c r="E156"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37" i="11" l="1"/>
  <c r="E75" i="49"/>
  <c r="C120" i="48"/>
  <c r="C119" i="48"/>
  <c r="C131" i="48"/>
  <c r="P52" i="48"/>
  <c r="H76" i="48"/>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3" i="48"/>
  <c r="C13" i="48"/>
  <c r="G75" i="48"/>
  <c r="E75" i="48"/>
  <c r="G74" i="48"/>
  <c r="F43" i="48"/>
  <c r="E73" i="48"/>
  <c r="F406" i="49"/>
  <c r="F405" i="49"/>
  <c r="F404" i="49"/>
  <c r="F403" i="49"/>
  <c r="F402" i="49"/>
  <c r="F401" i="49"/>
  <c r="F400" i="49"/>
  <c r="F399" i="49"/>
  <c r="F398" i="49"/>
  <c r="F397" i="49"/>
  <c r="F396" i="49"/>
  <c r="F395" i="49"/>
  <c r="F394" i="49"/>
  <c r="F393" i="49"/>
  <c r="F392" i="49"/>
  <c r="F391" i="49"/>
  <c r="F390" i="49"/>
  <c r="F389" i="49"/>
  <c r="F388" i="49"/>
  <c r="J386" i="49"/>
  <c r="K386" i="49" s="1"/>
  <c r="K384" i="49"/>
  <c r="J384" i="49"/>
  <c r="I384" i="49"/>
  <c r="H384" i="49"/>
  <c r="G384" i="49"/>
  <c r="F384" i="49"/>
  <c r="E384" i="49"/>
  <c r="D384" i="49"/>
  <c r="K383" i="49"/>
  <c r="J383" i="49"/>
  <c r="I383" i="49"/>
  <c r="H383" i="49"/>
  <c r="G383" i="49"/>
  <c r="F383" i="49"/>
  <c r="E383" i="49"/>
  <c r="D383" i="49"/>
  <c r="G382" i="49"/>
  <c r="F373" i="49"/>
  <c r="F372" i="49"/>
  <c r="F371" i="49"/>
  <c r="F370" i="49"/>
  <c r="F369" i="49"/>
  <c r="F368" i="49"/>
  <c r="F367" i="49"/>
  <c r="F366" i="49"/>
  <c r="F365" i="49"/>
  <c r="F364" i="49"/>
  <c r="F363" i="49"/>
  <c r="F362" i="49"/>
  <c r="F361" i="49"/>
  <c r="F360" i="49"/>
  <c r="F359" i="49"/>
  <c r="F358" i="49"/>
  <c r="F357" i="49"/>
  <c r="F356" i="49"/>
  <c r="F355" i="49"/>
  <c r="F354" i="49"/>
  <c r="F353" i="49"/>
  <c r="J352" i="49"/>
  <c r="K351" i="49"/>
  <c r="J351" i="49"/>
  <c r="I351" i="49"/>
  <c r="H351" i="49"/>
  <c r="G351" i="49"/>
  <c r="F351" i="49"/>
  <c r="E351" i="49"/>
  <c r="D351" i="49"/>
  <c r="K350" i="49"/>
  <c r="J350" i="49"/>
  <c r="I350" i="49"/>
  <c r="H350" i="49"/>
  <c r="G350" i="49"/>
  <c r="F350" i="49"/>
  <c r="E350" i="49"/>
  <c r="D350" i="49"/>
  <c r="G349" i="49"/>
  <c r="F340" i="49"/>
  <c r="F339" i="49"/>
  <c r="F338" i="49"/>
  <c r="F337" i="49"/>
  <c r="F336" i="49"/>
  <c r="F335" i="49"/>
  <c r="F334" i="49"/>
  <c r="F333" i="49"/>
  <c r="F332" i="49"/>
  <c r="F331" i="49"/>
  <c r="F330" i="49"/>
  <c r="F329" i="49"/>
  <c r="F328" i="49"/>
  <c r="F327" i="49"/>
  <c r="F326" i="49"/>
  <c r="F325" i="49"/>
  <c r="F324" i="49"/>
  <c r="F323" i="49"/>
  <c r="F322" i="49"/>
  <c r="F321" i="49"/>
  <c r="F320" i="49"/>
  <c r="K318" i="49"/>
  <c r="J318" i="49"/>
  <c r="I318" i="49"/>
  <c r="H318" i="49"/>
  <c r="G318" i="49"/>
  <c r="F318" i="49"/>
  <c r="E318" i="49"/>
  <c r="D318" i="49"/>
  <c r="K317" i="49"/>
  <c r="J317" i="49"/>
  <c r="I317" i="49"/>
  <c r="H317" i="49"/>
  <c r="G317" i="49"/>
  <c r="F317" i="49"/>
  <c r="E317" i="49"/>
  <c r="D317" i="49"/>
  <c r="G316" i="49"/>
  <c r="F307" i="49"/>
  <c r="F306" i="49"/>
  <c r="F305" i="49"/>
  <c r="F304" i="49"/>
  <c r="F303" i="49"/>
  <c r="I70" i="49"/>
  <c r="G60" i="48" s="1"/>
  <c r="F302" i="49"/>
  <c r="F301" i="49"/>
  <c r="F300" i="49"/>
  <c r="F299" i="49"/>
  <c r="F298" i="49"/>
  <c r="F297" i="49"/>
  <c r="F296" i="49"/>
  <c r="F295" i="49"/>
  <c r="F294" i="49"/>
  <c r="F293" i="49"/>
  <c r="F292" i="49"/>
  <c r="F291" i="49"/>
  <c r="F290" i="49"/>
  <c r="F289" i="49"/>
  <c r="F288" i="49"/>
  <c r="F287" i="49"/>
  <c r="J286" i="49"/>
  <c r="K285" i="49"/>
  <c r="J285" i="49"/>
  <c r="I285" i="49"/>
  <c r="H285" i="49"/>
  <c r="G285" i="49"/>
  <c r="F285" i="49"/>
  <c r="E285" i="49"/>
  <c r="D285" i="49"/>
  <c r="K284" i="49"/>
  <c r="J284" i="49"/>
  <c r="I284" i="49"/>
  <c r="H284" i="49"/>
  <c r="G284" i="49"/>
  <c r="F284" i="49"/>
  <c r="E284" i="49"/>
  <c r="D284" i="49"/>
  <c r="G283" i="49"/>
  <c r="F273" i="49"/>
  <c r="F272" i="49"/>
  <c r="F271" i="49"/>
  <c r="F270" i="49"/>
  <c r="F269" i="49"/>
  <c r="F268" i="49"/>
  <c r="F267" i="49"/>
  <c r="F266" i="49"/>
  <c r="F265" i="49"/>
  <c r="F264" i="49"/>
  <c r="F263" i="49"/>
  <c r="F262" i="49"/>
  <c r="F261" i="49"/>
  <c r="F260" i="49"/>
  <c r="F259" i="49"/>
  <c r="F258" i="49"/>
  <c r="E58" i="49"/>
  <c r="F256" i="49"/>
  <c r="F255" i="49"/>
  <c r="F254" i="49"/>
  <c r="J254" i="49" s="1"/>
  <c r="J253" i="49"/>
  <c r="K252" i="49"/>
  <c r="J252" i="49"/>
  <c r="I252" i="49"/>
  <c r="H252" i="49"/>
  <c r="F252" i="49"/>
  <c r="E252" i="49"/>
  <c r="D252" i="49"/>
  <c r="K251" i="49"/>
  <c r="J251" i="49"/>
  <c r="I251" i="49"/>
  <c r="H251" i="49"/>
  <c r="F251" i="49"/>
  <c r="E251" i="49"/>
  <c r="D251" i="49"/>
  <c r="F241" i="49"/>
  <c r="F240" i="49"/>
  <c r="F239" i="49"/>
  <c r="F238" i="49"/>
  <c r="F237" i="49"/>
  <c r="F236" i="49"/>
  <c r="F235" i="49"/>
  <c r="F234" i="49"/>
  <c r="F233" i="49"/>
  <c r="F232" i="49"/>
  <c r="F231" i="49"/>
  <c r="F230" i="49"/>
  <c r="F229" i="49"/>
  <c r="F228" i="49"/>
  <c r="F227" i="49"/>
  <c r="F226" i="49"/>
  <c r="F225" i="49"/>
  <c r="F224" i="49"/>
  <c r="F223" i="49"/>
  <c r="F222" i="49"/>
  <c r="F221" i="49"/>
  <c r="J220" i="49"/>
  <c r="K219" i="49"/>
  <c r="J219" i="49"/>
  <c r="I219" i="49"/>
  <c r="H219" i="49"/>
  <c r="G219" i="49"/>
  <c r="F219" i="49"/>
  <c r="E219" i="49"/>
  <c r="D219" i="49"/>
  <c r="K218" i="49"/>
  <c r="J218" i="49"/>
  <c r="I218" i="49"/>
  <c r="H218" i="49"/>
  <c r="G218" i="49"/>
  <c r="F218" i="49"/>
  <c r="E218" i="49"/>
  <c r="D218" i="49"/>
  <c r="G217" i="49"/>
  <c r="F208" i="49"/>
  <c r="F207" i="49"/>
  <c r="F206" i="49"/>
  <c r="F205" i="49"/>
  <c r="F204" i="49"/>
  <c r="F203" i="49"/>
  <c r="F202" i="49"/>
  <c r="F201" i="49"/>
  <c r="F200" i="49"/>
  <c r="E66" i="49"/>
  <c r="F198" i="49"/>
  <c r="F197" i="49"/>
  <c r="F196" i="49"/>
  <c r="I62" i="49"/>
  <c r="G52" i="48" s="1"/>
  <c r="F195" i="49"/>
  <c r="F194" i="49"/>
  <c r="F193" i="49"/>
  <c r="F192" i="49"/>
  <c r="F191" i="49"/>
  <c r="F190" i="49"/>
  <c r="F189" i="49"/>
  <c r="J187" i="49"/>
  <c r="K186" i="49"/>
  <c r="J186" i="49"/>
  <c r="I186" i="49"/>
  <c r="H186" i="49"/>
  <c r="G186" i="49"/>
  <c r="F186" i="49"/>
  <c r="E186" i="49"/>
  <c r="D186" i="49"/>
  <c r="K185" i="49"/>
  <c r="J185" i="49"/>
  <c r="I185" i="49"/>
  <c r="H185" i="49"/>
  <c r="G185" i="49"/>
  <c r="F185" i="49"/>
  <c r="E185" i="49"/>
  <c r="D185" i="49"/>
  <c r="G184" i="49"/>
  <c r="F175" i="49"/>
  <c r="F174" i="49"/>
  <c r="F173" i="49"/>
  <c r="F172" i="49"/>
  <c r="F171" i="49"/>
  <c r="F170" i="49"/>
  <c r="F169" i="49"/>
  <c r="F168" i="49"/>
  <c r="F167" i="49"/>
  <c r="F166" i="49"/>
  <c r="F165" i="49"/>
  <c r="F164" i="49"/>
  <c r="F163" i="49"/>
  <c r="F162" i="49"/>
  <c r="F161" i="49"/>
  <c r="F160" i="49"/>
  <c r="F159" i="49"/>
  <c r="F158" i="49"/>
  <c r="F157" i="49"/>
  <c r="F156" i="49"/>
  <c r="F155" i="49"/>
  <c r="J154" i="49"/>
  <c r="K153" i="49"/>
  <c r="J153" i="49"/>
  <c r="I153" i="49"/>
  <c r="H153" i="49"/>
  <c r="G153" i="49"/>
  <c r="F153" i="49"/>
  <c r="E153" i="49"/>
  <c r="D153" i="49"/>
  <c r="K152" i="49"/>
  <c r="J152" i="49"/>
  <c r="I152" i="49"/>
  <c r="H152" i="49"/>
  <c r="G152" i="49"/>
  <c r="F152" i="49"/>
  <c r="E152" i="49"/>
  <c r="D152" i="49"/>
  <c r="G151"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G417" i="49" s="1"/>
  <c r="F87" i="49"/>
  <c r="E87" i="49"/>
  <c r="D87" i="49"/>
  <c r="K86" i="49"/>
  <c r="J86" i="49"/>
  <c r="I86" i="49"/>
  <c r="H86" i="49"/>
  <c r="G86" i="49"/>
  <c r="G416" i="49" s="1"/>
  <c r="F86" i="49"/>
  <c r="E86" i="49"/>
  <c r="D86" i="49"/>
  <c r="G85" i="49"/>
  <c r="G415" i="49" s="1"/>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A14" i="49"/>
  <c r="A15" i="49" s="1"/>
  <c r="A16" i="49" s="1"/>
  <c r="A17" i="49" s="1"/>
  <c r="A18" i="49" s="1"/>
  <c r="A19" i="49" s="1"/>
  <c r="A20" i="49" s="1"/>
  <c r="A21" i="49" s="1"/>
  <c r="A22" i="49" s="1"/>
  <c r="A23" i="49" s="1"/>
  <c r="A24" i="49" s="1"/>
  <c r="A25" i="49" s="1"/>
  <c r="H13" i="48" l="1"/>
  <c r="M76" i="48"/>
  <c r="A45" i="48"/>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7" i="49"/>
  <c r="K287"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20" i="49"/>
  <c r="K320" i="49" s="1"/>
  <c r="J353" i="49"/>
  <c r="K353" i="49" s="1"/>
  <c r="J221" i="49"/>
  <c r="K221" i="49" s="1"/>
  <c r="J188" i="49"/>
  <c r="K188" i="49" s="1"/>
  <c r="E16" i="71"/>
  <c r="F33" i="11"/>
  <c r="E15" i="71"/>
  <c r="F32" i="11"/>
  <c r="E17" i="71"/>
  <c r="F34" i="11"/>
  <c r="E14" i="71"/>
  <c r="F31" i="11"/>
  <c r="J54" i="49"/>
  <c r="D46" i="7"/>
  <c r="E12" i="71"/>
  <c r="F29" i="11"/>
  <c r="E9" i="71"/>
  <c r="F26" i="11"/>
  <c r="E13" i="71"/>
  <c r="F30" i="11"/>
  <c r="E10" i="71"/>
  <c r="F27" i="11"/>
  <c r="E11" i="71"/>
  <c r="F28" i="11"/>
  <c r="J387" i="49"/>
  <c r="F62" i="49"/>
  <c r="F63" i="49"/>
  <c r="F67" i="49"/>
  <c r="F60" i="49"/>
  <c r="F69" i="49"/>
  <c r="F61" i="49"/>
  <c r="F68" i="49"/>
  <c r="F64" i="49"/>
  <c r="F59" i="49"/>
  <c r="F71" i="49"/>
  <c r="F70" i="49"/>
  <c r="F57" i="49"/>
  <c r="F55" i="49"/>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47" i="48"/>
  <c r="P86" i="48"/>
  <c r="P90" i="48"/>
  <c r="E74" i="48"/>
  <c r="E43" i="48"/>
  <c r="P81" i="48"/>
  <c r="O16" i="48"/>
  <c r="O32" i="48"/>
  <c r="G43" i="48"/>
  <c r="G94" i="48"/>
  <c r="G95" i="48"/>
  <c r="O22" i="48"/>
  <c r="O30" i="48"/>
  <c r="F56" i="49"/>
  <c r="F72" i="49"/>
  <c r="F74" i="49"/>
  <c r="F257" i="49"/>
  <c r="F58" i="49" s="1"/>
  <c r="F274" i="49"/>
  <c r="F75" i="49" s="1"/>
  <c r="E72" i="49"/>
  <c r="I67" i="49"/>
  <c r="G57" i="48" s="1"/>
  <c r="E60" i="49"/>
  <c r="E73" i="49"/>
  <c r="I71" i="49"/>
  <c r="G61" i="48" s="1"/>
  <c r="F107" i="49"/>
  <c r="F73" i="49" s="1"/>
  <c r="I75" i="49"/>
  <c r="G65" i="48" s="1"/>
  <c r="I55" i="49"/>
  <c r="G45" i="48" s="1"/>
  <c r="K45" i="48" s="1"/>
  <c r="N45" i="48" s="1"/>
  <c r="E57" i="49"/>
  <c r="F199" i="49"/>
  <c r="F66" i="49" s="1"/>
  <c r="E55" i="49"/>
  <c r="F99" i="49"/>
  <c r="F65" i="49" s="1"/>
  <c r="E59" i="49"/>
  <c r="E67" i="49"/>
  <c r="I59" i="49"/>
  <c r="G49" i="48" s="1"/>
  <c r="E61" i="49"/>
  <c r="E69" i="49"/>
  <c r="J155" i="49"/>
  <c r="K155" i="49" s="1"/>
  <c r="E20" i="71" l="1"/>
  <c r="J90" i="49"/>
  <c r="K90" i="49" s="1"/>
  <c r="F37" i="11"/>
  <c r="M13" i="48"/>
  <c r="J55" i="49"/>
  <c r="J388" i="49"/>
  <c r="K388" i="49" s="1"/>
  <c r="K387" i="49"/>
  <c r="J321" i="49"/>
  <c r="K321" i="49" s="1"/>
  <c r="J255" i="49"/>
  <c r="K255" i="49" s="1"/>
  <c r="K254" i="49"/>
  <c r="K55" i="49" s="1"/>
  <c r="P24" i="48"/>
  <c r="J288" i="49"/>
  <c r="K288"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9" i="49"/>
  <c r="K189"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54" i="49"/>
  <c r="K354" i="49" s="1"/>
  <c r="J222" i="49"/>
  <c r="K222" i="49" s="1"/>
  <c r="G29" i="48"/>
  <c r="G25" i="48"/>
  <c r="G13" i="48"/>
  <c r="P32" i="48"/>
  <c r="P30" i="48"/>
  <c r="H18" i="48"/>
  <c r="P13" i="48"/>
  <c r="P15" i="48"/>
  <c r="G14" i="48"/>
  <c r="I78" i="48"/>
  <c r="J78" i="48" s="1"/>
  <c r="J15" i="48" s="1"/>
  <c r="K46" i="48"/>
  <c r="K47" i="48" s="1"/>
  <c r="P29" i="48"/>
  <c r="I86" i="48"/>
  <c r="I23" i="48" s="1"/>
  <c r="I79" i="48"/>
  <c r="J79" i="48" s="1"/>
  <c r="J16" i="48" s="1"/>
  <c r="P19" i="48"/>
  <c r="G16"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156" i="49"/>
  <c r="K156" i="49" s="1"/>
  <c r="J91" i="49" l="1"/>
  <c r="K91" i="49" s="1"/>
  <c r="G19" i="71"/>
  <c r="J289" i="49"/>
  <c r="K289" i="49" s="1"/>
  <c r="J389" i="49"/>
  <c r="K389" i="49" s="1"/>
  <c r="J256" i="49"/>
  <c r="K256" i="49" s="1"/>
  <c r="J322" i="49"/>
  <c r="K322" i="49" s="1"/>
  <c r="J124" i="49"/>
  <c r="K124" i="49" s="1"/>
  <c r="K123" i="49"/>
  <c r="P37" i="48"/>
  <c r="D41" i="57" s="1"/>
  <c r="J223" i="49"/>
  <c r="A107" i="48"/>
  <c r="A111" i="48" s="1"/>
  <c r="G72" i="48"/>
  <c r="I87" i="48"/>
  <c r="I24" i="48" s="1"/>
  <c r="J190" i="49"/>
  <c r="K190" i="49" s="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55" i="49"/>
  <c r="K355" i="49" s="1"/>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92" i="49"/>
  <c r="K92" i="49" s="1"/>
  <c r="J157" i="49"/>
  <c r="K157" i="49" s="1"/>
  <c r="J290" i="49" l="1"/>
  <c r="K290" i="49" s="1"/>
  <c r="J390" i="49"/>
  <c r="K390" i="49" s="1"/>
  <c r="J257" i="49"/>
  <c r="K257" i="49" s="1"/>
  <c r="J323" i="49"/>
  <c r="K323" i="49" s="1"/>
  <c r="J125" i="49"/>
  <c r="K125" i="49" s="1"/>
  <c r="J224" i="49"/>
  <c r="K224" i="49" s="1"/>
  <c r="K223" i="49"/>
  <c r="J87" i="48"/>
  <c r="J24" i="48" s="1"/>
  <c r="J356" i="49"/>
  <c r="K356" i="49" s="1"/>
  <c r="J191"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8" i="49"/>
  <c r="K158" i="49" s="1"/>
  <c r="J225" i="49"/>
  <c r="K225" i="49" s="1"/>
  <c r="J258" i="49"/>
  <c r="J57" i="49"/>
  <c r="J291" i="49"/>
  <c r="K291" i="49" s="1"/>
  <c r="J93" i="49"/>
  <c r="K93" i="49" s="1"/>
  <c r="K258" i="49" l="1"/>
  <c r="J259" i="49"/>
  <c r="K259" i="49" s="1"/>
  <c r="J391" i="49"/>
  <c r="K391" i="49" s="1"/>
  <c r="J324" i="49"/>
  <c r="K324" i="49" s="1"/>
  <c r="J126" i="49"/>
  <c r="K126" i="49" s="1"/>
  <c r="J192" i="49"/>
  <c r="K192" i="49" s="1"/>
  <c r="K191" i="49"/>
  <c r="K57" i="49"/>
  <c r="J357" i="49"/>
  <c r="K357" i="49" s="1"/>
  <c r="A154" i="49"/>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H27" i="11"/>
  <c r="G10" i="71"/>
  <c r="K14" i="48"/>
  <c r="K50" i="48"/>
  <c r="K79" i="48"/>
  <c r="K15" i="48"/>
  <c r="J292" i="49"/>
  <c r="K292" i="49" s="1"/>
  <c r="J159" i="49"/>
  <c r="K159" i="49" s="1"/>
  <c r="J226" i="49"/>
  <c r="K226" i="49" s="1"/>
  <c r="J58" i="49"/>
  <c r="J94" i="49"/>
  <c r="K94" i="49" s="1"/>
  <c r="J392" i="49" l="1"/>
  <c r="K392" i="49" s="1"/>
  <c r="J325" i="49"/>
  <c r="K325" i="49" s="1"/>
  <c r="J193" i="49"/>
  <c r="K193" i="49" s="1"/>
  <c r="J127" i="49"/>
  <c r="K127" i="49" s="1"/>
  <c r="J358" i="49"/>
  <c r="K358" i="49" s="1"/>
  <c r="J59" i="49"/>
  <c r="K58" i="49"/>
  <c r="A187" i="49"/>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A211" i="49" s="1"/>
  <c r="A212" i="49" s="1"/>
  <c r="G11" i="71"/>
  <c r="H28" i="11"/>
  <c r="K51" i="48"/>
  <c r="K80" i="48"/>
  <c r="K16" i="48"/>
  <c r="A119" i="48"/>
  <c r="J72" i="48"/>
  <c r="J293" i="49"/>
  <c r="K293" i="49" s="1"/>
  <c r="J227" i="49"/>
  <c r="K227" i="49" s="1"/>
  <c r="J95" i="49"/>
  <c r="K95" i="49" s="1"/>
  <c r="K59" i="49"/>
  <c r="J160" i="49"/>
  <c r="K160" i="49" s="1"/>
  <c r="J260" i="49"/>
  <c r="K260" i="49" s="1"/>
  <c r="J393" i="49" l="1"/>
  <c r="K393" i="49" s="1"/>
  <c r="J326" i="49"/>
  <c r="K326" i="49" s="1"/>
  <c r="J194" i="49"/>
  <c r="K194" i="49" s="1"/>
  <c r="J128" i="49"/>
  <c r="K128" i="49" s="1"/>
  <c r="J359" i="49"/>
  <c r="J60" i="49"/>
  <c r="A220" i="49"/>
  <c r="A221" i="49" s="1"/>
  <c r="A222" i="49" s="1"/>
  <c r="A223" i="49" s="1"/>
  <c r="A224" i="49" s="1"/>
  <c r="A225" i="49" s="1"/>
  <c r="A226" i="49" s="1"/>
  <c r="A227" i="49" s="1"/>
  <c r="A228" i="49" s="1"/>
  <c r="A229" i="49" s="1"/>
  <c r="A230" i="49" s="1"/>
  <c r="A231" i="49" s="1"/>
  <c r="A232" i="49" s="1"/>
  <c r="A233" i="49" s="1"/>
  <c r="A234" i="49" s="1"/>
  <c r="A235" i="49" s="1"/>
  <c r="A236" i="49" s="1"/>
  <c r="A237" i="49" s="1"/>
  <c r="A238" i="49" s="1"/>
  <c r="A239" i="49" s="1"/>
  <c r="A240" i="49" s="1"/>
  <c r="A241" i="49" s="1"/>
  <c r="G12" i="71"/>
  <c r="H29" i="11"/>
  <c r="K52" i="48"/>
  <c r="K81" i="48"/>
  <c r="K17" i="48"/>
  <c r="A120" i="48"/>
  <c r="A121" i="48" s="1"/>
  <c r="A122" i="48" s="1"/>
  <c r="A123" i="48" s="1"/>
  <c r="A124" i="48" s="1"/>
  <c r="A125" i="48" s="1"/>
  <c r="A126" i="48" s="1"/>
  <c r="A127" i="48" s="1"/>
  <c r="A128" i="48" s="1"/>
  <c r="A129" i="48" s="1"/>
  <c r="A130" i="48" s="1"/>
  <c r="J228" i="49"/>
  <c r="K228" i="49" s="1"/>
  <c r="J294" i="49"/>
  <c r="K294" i="49" s="1"/>
  <c r="J261" i="49"/>
  <c r="K261" i="49" s="1"/>
  <c r="J96" i="49"/>
  <c r="K96" i="49" s="1"/>
  <c r="K60" i="49"/>
  <c r="J161" i="49"/>
  <c r="K161" i="49" s="1"/>
  <c r="J394" i="49" l="1"/>
  <c r="K394" i="49" s="1"/>
  <c r="J327" i="49"/>
  <c r="K327" i="49" s="1"/>
  <c r="J195" i="49"/>
  <c r="K195" i="49" s="1"/>
  <c r="J360" i="49"/>
  <c r="K360" i="49" s="1"/>
  <c r="K359" i="49"/>
  <c r="J129" i="49"/>
  <c r="K129" i="49" s="1"/>
  <c r="J61" i="49"/>
  <c r="A242" i="49"/>
  <c r="A243" i="49" s="1"/>
  <c r="A244" i="49" s="1"/>
  <c r="A245"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A272" i="49" s="1"/>
  <c r="A273" i="49" s="1"/>
  <c r="A274" i="49" s="1"/>
  <c r="A275" i="49" s="1"/>
  <c r="F130" i="48"/>
  <c r="A131" i="48"/>
  <c r="A132" i="48" s="1"/>
  <c r="A133" i="48" s="1"/>
  <c r="F131" i="48"/>
  <c r="K82" i="48"/>
  <c r="K18" i="48"/>
  <c r="K53" i="48"/>
  <c r="J162" i="49"/>
  <c r="K162" i="49" s="1"/>
  <c r="J295" i="49"/>
  <c r="K295" i="49" s="1"/>
  <c r="J97" i="49"/>
  <c r="K97" i="49" s="1"/>
  <c r="J262" i="49"/>
  <c r="K262" i="49" s="1"/>
  <c r="J229" i="49"/>
  <c r="K229" i="49" s="1"/>
  <c r="J395" i="49" l="1"/>
  <c r="K395" i="49" s="1"/>
  <c r="J328" i="49"/>
  <c r="K328" i="49" s="1"/>
  <c r="J196" i="49"/>
  <c r="K196" i="49" s="1"/>
  <c r="J361" i="49"/>
  <c r="K361" i="49" s="1"/>
  <c r="J130" i="49"/>
  <c r="K130" i="49" s="1"/>
  <c r="K61" i="49"/>
  <c r="F133" i="48"/>
  <c r="H30" i="11"/>
  <c r="A276" i="49"/>
  <c r="A277" i="49" s="1"/>
  <c r="A278"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A306" i="49" s="1"/>
  <c r="A307" i="49" s="1"/>
  <c r="A308" i="49" s="1"/>
  <c r="A309" i="49" s="1"/>
  <c r="A310" i="49" s="1"/>
  <c r="A311" i="49" s="1"/>
  <c r="G13" i="71"/>
  <c r="K54" i="48"/>
  <c r="K83" i="48"/>
  <c r="K19" i="48"/>
  <c r="J230" i="49"/>
  <c r="K230" i="49" s="1"/>
  <c r="J296" i="49"/>
  <c r="K296" i="49" s="1"/>
  <c r="J263" i="49"/>
  <c r="K263" i="49" s="1"/>
  <c r="J163" i="49"/>
  <c r="K62" i="49"/>
  <c r="J62" i="49"/>
  <c r="J98" i="49"/>
  <c r="K98" i="49" s="1"/>
  <c r="J396" i="49" l="1"/>
  <c r="K396" i="49" s="1"/>
  <c r="J197" i="49"/>
  <c r="K197" i="49" s="1"/>
  <c r="J329" i="49"/>
  <c r="K329" i="49" s="1"/>
  <c r="J362" i="49"/>
  <c r="K362" i="49" s="1"/>
  <c r="J131" i="49"/>
  <c r="K131" i="49" s="1"/>
  <c r="J63" i="49"/>
  <c r="K163" i="49"/>
  <c r="K63" i="49" s="1"/>
  <c r="H31" i="11"/>
  <c r="G14" i="71"/>
  <c r="A319" i="49"/>
  <c r="A320" i="49" s="1"/>
  <c r="A321" i="49" s="1"/>
  <c r="A322" i="49" s="1"/>
  <c r="A323" i="49" s="1"/>
  <c r="A324" i="49" s="1"/>
  <c r="A325" i="49" s="1"/>
  <c r="A326" i="49" s="1"/>
  <c r="A327" i="49" s="1"/>
  <c r="A328" i="49" s="1"/>
  <c r="A329" i="49" s="1"/>
  <c r="A330" i="49" s="1"/>
  <c r="A331" i="49" s="1"/>
  <c r="A332" i="49" s="1"/>
  <c r="A333" i="49" s="1"/>
  <c r="A334" i="49" s="1"/>
  <c r="A335" i="49" s="1"/>
  <c r="A336" i="49" s="1"/>
  <c r="A337" i="49" s="1"/>
  <c r="A338" i="49" s="1"/>
  <c r="A339" i="49" s="1"/>
  <c r="A340" i="49" s="1"/>
  <c r="G15" i="71"/>
  <c r="H32" i="11"/>
  <c r="K84" i="48"/>
  <c r="K20" i="48"/>
  <c r="K55" i="48"/>
  <c r="J99" i="49"/>
  <c r="K99" i="49" s="1"/>
  <c r="J397" i="49"/>
  <c r="K397" i="49" s="1"/>
  <c r="J164" i="49"/>
  <c r="J297" i="49"/>
  <c r="K297" i="49" s="1"/>
  <c r="J264" i="49"/>
  <c r="K264" i="49" s="1"/>
  <c r="J231" i="49"/>
  <c r="K231" i="49" s="1"/>
  <c r="J198" i="49"/>
  <c r="K198" i="49" s="1"/>
  <c r="J132" i="49" l="1"/>
  <c r="K132" i="49" s="1"/>
  <c r="J330" i="49"/>
  <c r="K330" i="49" s="1"/>
  <c r="J363" i="49"/>
  <c r="K363" i="49" s="1"/>
  <c r="J64" i="49"/>
  <c r="K164" i="49"/>
  <c r="K64" i="49" s="1"/>
  <c r="A341" i="49"/>
  <c r="A342" i="49" s="1"/>
  <c r="A343" i="49" s="1"/>
  <c r="A344" i="49" s="1"/>
  <c r="A352" i="49" s="1"/>
  <c r="A353" i="49" s="1"/>
  <c r="A354" i="49" s="1"/>
  <c r="A355" i="49" s="1"/>
  <c r="A356" i="49" s="1"/>
  <c r="A357" i="49" s="1"/>
  <c r="A358" i="49" s="1"/>
  <c r="A359" i="49" s="1"/>
  <c r="A360" i="49" s="1"/>
  <c r="A361" i="49" s="1"/>
  <c r="A362" i="49" s="1"/>
  <c r="A363" i="49" s="1"/>
  <c r="A364" i="49" s="1"/>
  <c r="A365" i="49" s="1"/>
  <c r="A366" i="49" s="1"/>
  <c r="A367" i="49" s="1"/>
  <c r="A368" i="49" s="1"/>
  <c r="A369" i="49" s="1"/>
  <c r="A370" i="49" s="1"/>
  <c r="A371" i="49" s="1"/>
  <c r="A372" i="49" s="1"/>
  <c r="A373" i="49" s="1"/>
  <c r="K56" i="48"/>
  <c r="K85" i="48"/>
  <c r="K21" i="48"/>
  <c r="J199" i="49"/>
  <c r="K199" i="49" s="1"/>
  <c r="J398" i="49"/>
  <c r="K398" i="49" s="1"/>
  <c r="J232" i="49"/>
  <c r="K232" i="49" s="1"/>
  <c r="J298" i="49"/>
  <c r="K298" i="49" s="1"/>
  <c r="J265" i="49"/>
  <c r="K265" i="49" s="1"/>
  <c r="J100" i="49"/>
  <c r="K100" i="49" s="1"/>
  <c r="J165" i="49"/>
  <c r="K165" i="49" s="1"/>
  <c r="H33" i="11" l="1"/>
  <c r="J331" i="49"/>
  <c r="K331" i="49" s="1"/>
  <c r="J133" i="49"/>
  <c r="K133" i="49" s="1"/>
  <c r="J364" i="49"/>
  <c r="K364" i="49" s="1"/>
  <c r="A374" i="49"/>
  <c r="A375" i="49" s="1"/>
  <c r="A376" i="49" s="1"/>
  <c r="A377" i="49" s="1"/>
  <c r="G17" i="71" s="1"/>
  <c r="G16" i="71"/>
  <c r="K86" i="48"/>
  <c r="K22" i="48"/>
  <c r="K57" i="48"/>
  <c r="J101" i="49"/>
  <c r="K101" i="49" s="1"/>
  <c r="J200" i="49"/>
  <c r="K200" i="49" s="1"/>
  <c r="J266" i="49"/>
  <c r="K266" i="49" s="1"/>
  <c r="J399" i="49"/>
  <c r="K399" i="49" s="1"/>
  <c r="K65" i="49"/>
  <c r="J166" i="49"/>
  <c r="J299" i="49"/>
  <c r="K299" i="49" s="1"/>
  <c r="J65" i="49"/>
  <c r="J233" i="49"/>
  <c r="K233" i="49" s="1"/>
  <c r="J332" i="49" l="1"/>
  <c r="K332" i="49" s="1"/>
  <c r="J134" i="49"/>
  <c r="K134" i="49" s="1"/>
  <c r="J365" i="49"/>
  <c r="K365" i="49" s="1"/>
  <c r="J66" i="49"/>
  <c r="K166" i="49"/>
  <c r="H34" i="11"/>
  <c r="A385" i="49"/>
  <c r="A386" i="49" s="1"/>
  <c r="A387" i="49" s="1"/>
  <c r="A388" i="49" s="1"/>
  <c r="A389" i="49" s="1"/>
  <c r="A390" i="49" s="1"/>
  <c r="A391" i="49" s="1"/>
  <c r="A392" i="49" s="1"/>
  <c r="A393" i="49" s="1"/>
  <c r="A394" i="49" s="1"/>
  <c r="A395" i="49" s="1"/>
  <c r="A396" i="49" s="1"/>
  <c r="A397" i="49" s="1"/>
  <c r="A398" i="49" s="1"/>
  <c r="A399" i="49" s="1"/>
  <c r="A400" i="49" s="1"/>
  <c r="A401" i="49" s="1"/>
  <c r="A402" i="49" s="1"/>
  <c r="A403" i="49" s="1"/>
  <c r="A404" i="49" s="1"/>
  <c r="A405" i="49" s="1"/>
  <c r="A406" i="49" s="1"/>
  <c r="K87" i="48"/>
  <c r="K23" i="48"/>
  <c r="K58" i="48"/>
  <c r="J300" i="49"/>
  <c r="K300" i="49" s="1"/>
  <c r="J267" i="49"/>
  <c r="K267" i="49" s="1"/>
  <c r="J102" i="49"/>
  <c r="K102" i="49" s="1"/>
  <c r="J234" i="49"/>
  <c r="K234" i="49" s="1"/>
  <c r="J167" i="49"/>
  <c r="K167" i="49" s="1"/>
  <c r="J201" i="49"/>
  <c r="K201" i="49" s="1"/>
  <c r="J400" i="49"/>
  <c r="K400" i="49" s="1"/>
  <c r="J135" i="49" l="1"/>
  <c r="K135" i="49" s="1"/>
  <c r="J333" i="49"/>
  <c r="J366" i="49"/>
  <c r="K366" i="49" s="1"/>
  <c r="K66" i="49"/>
  <c r="A407" i="49"/>
  <c r="A408" i="49" s="1"/>
  <c r="A409" i="49" s="1"/>
  <c r="A410" i="49" s="1"/>
  <c r="A418" i="49" s="1"/>
  <c r="A419" i="49" s="1"/>
  <c r="A420" i="49" s="1"/>
  <c r="A421" i="49" s="1"/>
  <c r="A422" i="49" s="1"/>
  <c r="A423" i="49" s="1"/>
  <c r="A424" i="49" s="1"/>
  <c r="A425" i="49" s="1"/>
  <c r="A426" i="49" s="1"/>
  <c r="A427" i="49" s="1"/>
  <c r="A428" i="49" s="1"/>
  <c r="A429" i="49" s="1"/>
  <c r="A430" i="49" s="1"/>
  <c r="A431" i="49" s="1"/>
  <c r="A432" i="49" s="1"/>
  <c r="A433" i="49" s="1"/>
  <c r="A434" i="49" s="1"/>
  <c r="A435" i="49" s="1"/>
  <c r="A436" i="49" s="1"/>
  <c r="A437" i="49" s="1"/>
  <c r="A438" i="49" s="1"/>
  <c r="A439" i="49" s="1"/>
  <c r="A440" i="49" s="1"/>
  <c r="A441" i="49" s="1"/>
  <c r="A442" i="49" s="1"/>
  <c r="A443" i="49" s="1"/>
  <c r="K88" i="48"/>
  <c r="K24" i="48"/>
  <c r="K59" i="48"/>
  <c r="J401" i="49"/>
  <c r="K401" i="49" s="1"/>
  <c r="J103" i="49"/>
  <c r="K103" i="49" s="1"/>
  <c r="J168" i="49"/>
  <c r="K168" i="49" s="1"/>
  <c r="K67" i="49"/>
  <c r="J301" i="49"/>
  <c r="K301" i="49" s="1"/>
  <c r="J202" i="49"/>
  <c r="K202" i="49" s="1"/>
  <c r="J67" i="49"/>
  <c r="J235" i="49"/>
  <c r="K235" i="49" s="1"/>
  <c r="J268" i="49"/>
  <c r="K268" i="49" s="1"/>
  <c r="J136" i="49" l="1"/>
  <c r="K136" i="49" s="1"/>
  <c r="K333" i="49"/>
  <c r="J334" i="49"/>
  <c r="K334" i="49" s="1"/>
  <c r="G18" i="71"/>
  <c r="H35" i="11"/>
  <c r="J367" i="49"/>
  <c r="K367" i="49" s="1"/>
  <c r="K89" i="48"/>
  <c r="K25" i="48"/>
  <c r="K60" i="48"/>
  <c r="J169" i="49"/>
  <c r="J104" i="49"/>
  <c r="K104" i="49" s="1"/>
  <c r="J269" i="49"/>
  <c r="K269" i="49" s="1"/>
  <c r="J236" i="49"/>
  <c r="K236" i="49" s="1"/>
  <c r="J68" i="49"/>
  <c r="J203" i="49"/>
  <c r="K203" i="49" s="1"/>
  <c r="J302" i="49"/>
  <c r="K302" i="49" s="1"/>
  <c r="J402" i="49"/>
  <c r="K402" i="49" s="1"/>
  <c r="J137" i="49" l="1"/>
  <c r="K137" i="49" s="1"/>
  <c r="J335" i="49"/>
  <c r="K335" i="49" s="1"/>
  <c r="J368" i="49"/>
  <c r="K368" i="49" s="1"/>
  <c r="J69" i="49"/>
  <c r="K169" i="49"/>
  <c r="K69" i="49" s="1"/>
  <c r="K68" i="49"/>
  <c r="K90" i="48"/>
  <c r="K26" i="48"/>
  <c r="K61" i="48"/>
  <c r="J336" i="49"/>
  <c r="K336" i="49" s="1"/>
  <c r="J237" i="49"/>
  <c r="K237" i="49" s="1"/>
  <c r="J270" i="49"/>
  <c r="K270" i="49" s="1"/>
  <c r="J105" i="49"/>
  <c r="K105" i="49" s="1"/>
  <c r="J403" i="49"/>
  <c r="K403" i="49" s="1"/>
  <c r="J303" i="49"/>
  <c r="K303" i="49" s="1"/>
  <c r="J204" i="49"/>
  <c r="K204" i="49" s="1"/>
  <c r="J138" i="49"/>
  <c r="K138" i="49" s="1"/>
  <c r="J170" i="49"/>
  <c r="K170" i="49" s="1"/>
  <c r="J369" i="49" l="1"/>
  <c r="K369" i="49" s="1"/>
  <c r="K62" i="48"/>
  <c r="K91" i="48"/>
  <c r="K27" i="48"/>
  <c r="J271" i="49"/>
  <c r="K271" i="49" s="1"/>
  <c r="J171" i="49"/>
  <c r="K70" i="49"/>
  <c r="J238" i="49"/>
  <c r="K238" i="49" s="1"/>
  <c r="J139" i="49"/>
  <c r="K139" i="49" s="1"/>
  <c r="J70" i="49"/>
  <c r="J337" i="49"/>
  <c r="K337" i="49" s="1"/>
  <c r="J304" i="49"/>
  <c r="K304" i="49" s="1"/>
  <c r="J404" i="49"/>
  <c r="K404" i="49" s="1"/>
  <c r="J205" i="49"/>
  <c r="K205" i="49" s="1"/>
  <c r="J106" i="49"/>
  <c r="K106" i="49" s="1"/>
  <c r="J370" i="49" l="1"/>
  <c r="K370" i="49" s="1"/>
  <c r="J71" i="49"/>
  <c r="K171" i="49"/>
  <c r="K63" i="48"/>
  <c r="K92" i="48"/>
  <c r="K28" i="48"/>
  <c r="J405" i="49"/>
  <c r="K405" i="49" s="1"/>
  <c r="J239" i="49"/>
  <c r="K239" i="49" s="1"/>
  <c r="J107" i="49"/>
  <c r="K107" i="49" s="1"/>
  <c r="J338" i="49"/>
  <c r="K338" i="49" s="1"/>
  <c r="J206" i="49"/>
  <c r="K206" i="49" s="1"/>
  <c r="J140" i="49"/>
  <c r="K140" i="49" s="1"/>
  <c r="J305" i="49"/>
  <c r="K305" i="49" s="1"/>
  <c r="J172" i="49"/>
  <c r="J272" i="49"/>
  <c r="K272" i="49" s="1"/>
  <c r="J371" i="49" l="1"/>
  <c r="K371" i="49" s="1"/>
  <c r="J72" i="49"/>
  <c r="K172" i="49"/>
  <c r="K72" i="49" s="1"/>
  <c r="K71" i="49"/>
  <c r="K64" i="48"/>
  <c r="K93" i="48"/>
  <c r="K29" i="48"/>
  <c r="J108" i="49"/>
  <c r="K108" i="49" s="1"/>
  <c r="J207" i="49"/>
  <c r="K207" i="49" s="1"/>
  <c r="J173" i="49"/>
  <c r="K173" i="49" s="1"/>
  <c r="J141" i="49"/>
  <c r="K141" i="49" s="1"/>
  <c r="J273" i="49"/>
  <c r="K273" i="49" s="1"/>
  <c r="J372" i="49"/>
  <c r="K372" i="49" s="1"/>
  <c r="J240" i="49"/>
  <c r="K240" i="49" s="1"/>
  <c r="J306" i="49"/>
  <c r="K306" i="49" s="1"/>
  <c r="J339" i="49"/>
  <c r="K339" i="49" s="1"/>
  <c r="J406" i="49"/>
  <c r="K406" i="49" s="1"/>
  <c r="J407" i="49" l="1"/>
  <c r="K407" i="49" s="1"/>
  <c r="K94" i="48"/>
  <c r="K30" i="48"/>
  <c r="K65" i="48"/>
  <c r="J174" i="49"/>
  <c r="K174" i="49" s="1"/>
  <c r="K73" i="49"/>
  <c r="J274" i="49"/>
  <c r="K274" i="49" s="1"/>
  <c r="J340" i="49"/>
  <c r="K340" i="49" s="1"/>
  <c r="J307" i="49"/>
  <c r="K307" i="49" s="1"/>
  <c r="J142" i="49"/>
  <c r="K142" i="49" s="1"/>
  <c r="J109" i="49"/>
  <c r="J241" i="49"/>
  <c r="K241" i="49" s="1"/>
  <c r="J208" i="49"/>
  <c r="K208" i="49" s="1"/>
  <c r="J373" i="49"/>
  <c r="K373" i="49" s="1"/>
  <c r="J73" i="49"/>
  <c r="J74" i="49" l="1"/>
  <c r="J110" i="49"/>
  <c r="K110" i="49" s="1"/>
  <c r="K109" i="49"/>
  <c r="K66" i="48"/>
  <c r="J408" i="49"/>
  <c r="K408" i="49" s="1"/>
  <c r="J374" i="49"/>
  <c r="K374" i="49" s="1"/>
  <c r="J341" i="49"/>
  <c r="K341" i="49" s="1"/>
  <c r="J308" i="49"/>
  <c r="K308" i="49" s="1"/>
  <c r="J275" i="49"/>
  <c r="K275" i="49" s="1"/>
  <c r="J242" i="49"/>
  <c r="K242" i="49" s="1"/>
  <c r="J209" i="49"/>
  <c r="K209" i="49" s="1"/>
  <c r="J143" i="49"/>
  <c r="K143" i="49" s="1"/>
  <c r="K95" i="48"/>
  <c r="K31" i="48"/>
  <c r="K74" i="49"/>
  <c r="J175" i="49"/>
  <c r="K175" i="49" s="1"/>
  <c r="J111" i="49" l="1"/>
  <c r="K111" i="49" s="1"/>
  <c r="K67" i="48"/>
  <c r="J409" i="49"/>
  <c r="J375" i="49"/>
  <c r="K375" i="49" s="1"/>
  <c r="J342" i="49"/>
  <c r="K342" i="49" s="1"/>
  <c r="J309" i="49"/>
  <c r="K309" i="49" s="1"/>
  <c r="J276" i="49"/>
  <c r="K276" i="49" s="1"/>
  <c r="J243" i="49"/>
  <c r="K243" i="49" s="1"/>
  <c r="J210" i="49"/>
  <c r="K210" i="49" s="1"/>
  <c r="K75" i="49"/>
  <c r="J176" i="49"/>
  <c r="J144" i="49"/>
  <c r="K144" i="49" s="1"/>
  <c r="J112" i="49"/>
  <c r="K112" i="49" s="1"/>
  <c r="K113" i="49" s="1"/>
  <c r="K96" i="48"/>
  <c r="K97" i="48" s="1"/>
  <c r="K98" i="48" s="1"/>
  <c r="K99" i="48" s="1"/>
  <c r="K32" i="48"/>
  <c r="J75" i="49"/>
  <c r="K409" i="49" l="1"/>
  <c r="K410" i="49" s="1"/>
  <c r="J76" i="49"/>
  <c r="K176" i="49"/>
  <c r="K76" i="49" s="1"/>
  <c r="K35" i="48"/>
  <c r="K34" i="48"/>
  <c r="G26" i="11"/>
  <c r="K68" i="48"/>
  <c r="K36" i="48" s="1"/>
  <c r="J376" i="49"/>
  <c r="K376" i="49" s="1"/>
  <c r="J343" i="49"/>
  <c r="K343" i="49" s="1"/>
  <c r="J310" i="49"/>
  <c r="K310" i="49" s="1"/>
  <c r="J277" i="49"/>
  <c r="K277" i="49" s="1"/>
  <c r="J244" i="49"/>
  <c r="K244" i="49" s="1"/>
  <c r="J211" i="49"/>
  <c r="K211" i="49" s="1"/>
  <c r="J177" i="49"/>
  <c r="J145" i="49"/>
  <c r="K145" i="49" s="1"/>
  <c r="K33" i="48"/>
  <c r="K37" i="48" l="1"/>
  <c r="C41" i="57" s="1"/>
  <c r="E41" i="57" s="1"/>
  <c r="F18" i="71"/>
  <c r="G35" i="11"/>
  <c r="J77" i="49"/>
  <c r="K177" i="49"/>
  <c r="K77" i="49" s="1"/>
  <c r="F9" i="71"/>
  <c r="K245" i="49"/>
  <c r="K311" i="49"/>
  <c r="K377" i="49"/>
  <c r="K146" i="49"/>
  <c r="K212" i="49"/>
  <c r="K278" i="49"/>
  <c r="K344" i="49"/>
  <c r="J178" i="49"/>
  <c r="K178" i="49" s="1"/>
  <c r="J78" i="49" l="1"/>
  <c r="K78" i="49"/>
  <c r="K79" i="49" s="1"/>
  <c r="K179" i="49"/>
  <c r="G28" i="11" s="1"/>
  <c r="F10" i="71"/>
  <c r="G27" i="11"/>
  <c r="G33" i="11"/>
  <c r="F16" i="71"/>
  <c r="F17" i="71"/>
  <c r="G34" i="11"/>
  <c r="F14" i="71"/>
  <c r="G31" i="11"/>
  <c r="G32" i="11"/>
  <c r="F15" i="71"/>
  <c r="G29" i="11"/>
  <c r="F12" i="71"/>
  <c r="F13" i="71"/>
  <c r="G30" i="11"/>
  <c r="I131" i="15"/>
  <c r="A131" i="15"/>
  <c r="I120" i="15"/>
  <c r="A104" i="15"/>
  <c r="A105" i="15" s="1"/>
  <c r="A106" i="15" s="1"/>
  <c r="A107" i="15" s="1"/>
  <c r="A108" i="15" s="1"/>
  <c r="A109" i="15" s="1"/>
  <c r="E95" i="15"/>
  <c r="A91" i="15"/>
  <c r="A92" i="15" s="1"/>
  <c r="I90" i="15"/>
  <c r="A83" i="15"/>
  <c r="A84" i="15" s="1"/>
  <c r="A85" i="15" s="1"/>
  <c r="A86" i="15" s="1"/>
  <c r="A87" i="15" s="1"/>
  <c r="I70" i="15"/>
  <c r="A70" i="15"/>
  <c r="E75" i="15" s="1"/>
  <c r="I68" i="15"/>
  <c r="A31" i="15"/>
  <c r="A11" i="15"/>
  <c r="A12" i="15" s="1"/>
  <c r="A13" i="15" s="1"/>
  <c r="E14" i="15" s="1"/>
  <c r="E38" i="15" l="1"/>
  <c r="G38" i="15" s="1"/>
  <c r="E104" i="15"/>
  <c r="G104" i="15" s="1"/>
  <c r="G120" i="15" s="1"/>
  <c r="G131" i="15" s="1"/>
  <c r="E33" i="15"/>
  <c r="G33" i="15" s="1"/>
  <c r="E31" i="15"/>
  <c r="E39" i="15"/>
  <c r="G39" i="15" s="1"/>
  <c r="A14" i="15"/>
  <c r="G37" i="11"/>
  <c r="A110" i="15"/>
  <c r="A111" i="15" s="1"/>
  <c r="A118" i="15" s="1"/>
  <c r="C42" i="57"/>
  <c r="F11" i="71"/>
  <c r="F92" i="15"/>
  <c r="I92" i="15"/>
  <c r="A132" i="15"/>
  <c r="A133" i="15" s="1"/>
  <c r="E12" i="15" s="1"/>
  <c r="F72" i="15"/>
  <c r="A32" i="15"/>
  <c r="A33" i="15" s="1"/>
  <c r="A34" i="15" s="1"/>
  <c r="A35" i="15" s="1"/>
  <c r="A36" i="15" s="1"/>
  <c r="A37" i="15" s="1"/>
  <c r="A38" i="15" s="1"/>
  <c r="A39" i="15" s="1"/>
  <c r="A40" i="15" s="1"/>
  <c r="A41" i="15" s="1"/>
  <c r="A42" i="15" s="1"/>
  <c r="A43" i="15" s="1"/>
  <c r="A44" i="15" s="1"/>
  <c r="A45" i="15" s="1"/>
  <c r="A46" i="15" s="1"/>
  <c r="A47" i="15" s="1"/>
  <c r="A54" i="15" s="1"/>
  <c r="I56" i="15"/>
  <c r="A95" i="15"/>
  <c r="E11" i="15"/>
  <c r="A71" i="15"/>
  <c r="A72" i="15" s="1"/>
  <c r="E136" i="15"/>
  <c r="G31" i="15" l="1"/>
  <c r="G56" i="15" s="1"/>
  <c r="G70" i="15" s="1"/>
  <c r="E34" i="15"/>
  <c r="H34" i="15" s="1"/>
  <c r="E105" i="15"/>
  <c r="E36" i="15"/>
  <c r="H36" i="15" s="1"/>
  <c r="E32" i="15"/>
  <c r="E43" i="15"/>
  <c r="H43" i="15" s="1"/>
  <c r="E37" i="15"/>
  <c r="H37" i="15" s="1"/>
  <c r="E35" i="15"/>
  <c r="H35" i="15" s="1"/>
  <c r="A15" i="15"/>
  <c r="A16" i="15" s="1"/>
  <c r="A17" i="15" s="1"/>
  <c r="A18" i="15" s="1"/>
  <c r="A19" i="15" s="1"/>
  <c r="A20" i="15" s="1"/>
  <c r="A21" i="15" s="1"/>
  <c r="A22" i="15" s="1"/>
  <c r="A23" i="15" s="1"/>
  <c r="A24" i="15" s="1"/>
  <c r="E19" i="15"/>
  <c r="D82" i="7"/>
  <c r="A136" i="15"/>
  <c r="A145" i="15" s="1"/>
  <c r="A146" i="15" s="1"/>
  <c r="A147" i="15" s="1"/>
  <c r="A148" i="15" s="1"/>
  <c r="A149" i="15" s="1"/>
  <c r="A150" i="15" s="1"/>
  <c r="A151" i="15" s="1"/>
  <c r="A152" i="15" s="1"/>
  <c r="A153" i="15" s="1"/>
  <c r="A154" i="15" s="1"/>
  <c r="A155" i="15" s="1"/>
  <c r="A156" i="15" s="1"/>
  <c r="A157" i="15" s="1"/>
  <c r="A158" i="15" s="1"/>
  <c r="I133" i="15"/>
  <c r="A75" i="15"/>
  <c r="E10" i="15"/>
  <c r="I72" i="15"/>
  <c r="F133" i="15"/>
  <c r="H105" i="15" l="1"/>
  <c r="H120" i="15" s="1"/>
  <c r="H131" i="15" s="1"/>
  <c r="E120" i="15"/>
  <c r="E131" i="15" s="1"/>
  <c r="H32" i="15"/>
  <c r="H56" i="15" s="1"/>
  <c r="H70" i="15" s="1"/>
  <c r="E56" i="15"/>
  <c r="E70" i="15" s="1"/>
  <c r="E22" i="30"/>
  <c r="D22" i="30"/>
  <c r="E86" i="8" l="1"/>
  <c r="G56" i="46"/>
  <c r="A10" i="22" l="1"/>
  <c r="A11" i="22" s="1"/>
  <c r="A12" i="22" s="1"/>
  <c r="A13" i="22" s="1"/>
  <c r="A14" i="22" s="1"/>
  <c r="A15" i="22" s="1"/>
  <c r="A16" i="22" s="1"/>
  <c r="A17" i="22" s="1"/>
  <c r="A18" i="22" s="1"/>
  <c r="A19" i="22" s="1"/>
  <c r="A20" i="22" s="1"/>
  <c r="A21" i="22" l="1"/>
  <c r="G23" i="22" s="1"/>
  <c r="D52" i="2" l="1"/>
  <c r="D53" i="2" s="1"/>
  <c r="D46" i="2"/>
  <c r="D47" i="2" s="1"/>
  <c r="D40" i="2"/>
  <c r="D41" i="2" s="1"/>
  <c r="D34" i="2"/>
  <c r="D35" i="2" s="1"/>
  <c r="F117" i="46" l="1"/>
  <c r="F116" i="46"/>
  <c r="F115" i="46"/>
  <c r="F118" i="46"/>
  <c r="F103" i="46"/>
  <c r="F87" i="46"/>
  <c r="F95" i="46"/>
  <c r="F97" i="46"/>
  <c r="F79" i="46"/>
  <c r="F93" i="46"/>
  <c r="F76" i="46"/>
  <c r="F74" i="46"/>
  <c r="F101" i="46"/>
  <c r="F83" i="46"/>
  <c r="F99" i="46"/>
  <c r="F90" i="46"/>
  <c r="F82" i="46"/>
  <c r="C29" i="46"/>
  <c r="L29" i="46"/>
  <c r="E92" i="46" s="1"/>
  <c r="K29" i="46"/>
  <c r="G29" i="46"/>
  <c r="J29" i="46" l="1"/>
  <c r="C92" i="46" s="1"/>
  <c r="D92" i="46"/>
  <c r="E11" i="2" l="1"/>
  <c r="E10" i="2"/>
  <c r="E41" i="71"/>
  <c r="H27" i="8"/>
  <c r="H25" i="8"/>
  <c r="H23" i="8"/>
  <c r="H9" i="8"/>
  <c r="H8" i="8"/>
  <c r="G27" i="32"/>
  <c r="G21" i="32"/>
  <c r="G13" i="32"/>
  <c r="B100" i="44"/>
  <c r="B194" i="71"/>
  <c r="F141" i="71"/>
  <c r="F140" i="71"/>
  <c r="D64" i="46"/>
  <c r="G68" i="8"/>
  <c r="G70" i="8"/>
  <c r="E51" i="7"/>
  <c r="E39" i="7"/>
  <c r="I134" i="1"/>
  <c r="I133" i="1"/>
  <c r="I130" i="1"/>
  <c r="I128" i="1"/>
  <c r="I126" i="1"/>
  <c r="I100" i="1"/>
  <c r="I32" i="1"/>
  <c r="I30" i="1"/>
  <c r="I26" i="1"/>
  <c r="I22" i="1"/>
  <c r="I12" i="1"/>
  <c r="I11" i="1"/>
  <c r="F212" i="61" l="1"/>
  <c r="F213" i="61"/>
  <c r="F210" i="61"/>
  <c r="F216" i="61"/>
  <c r="J45" i="8" l="1"/>
  <c r="E70" i="8" l="1"/>
  <c r="C99" i="26" l="1"/>
  <c r="E19" i="55"/>
  <c r="E17" i="55"/>
  <c r="E18" i="55"/>
  <c r="I21" i="45"/>
  <c r="H56" i="26" l="1"/>
  <c r="F63" i="26"/>
  <c r="F49" i="22" l="1"/>
  <c r="I194" i="61"/>
  <c r="B112" i="12" l="1"/>
  <c r="K133" i="1" l="1"/>
  <c r="E27" i="12" l="1"/>
  <c r="E26" i="12"/>
  <c r="E25" i="12"/>
  <c r="H302" i="11" l="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G95" i="11" l="1"/>
  <c r="G97" i="11"/>
  <c r="G105" i="11"/>
  <c r="G101" i="11"/>
  <c r="G99" i="11"/>
  <c r="G103" i="11"/>
  <c r="G94" i="11"/>
  <c r="G96" i="11"/>
  <c r="G98" i="11"/>
  <c r="G100" i="11"/>
  <c r="G102" i="11"/>
  <c r="G104" i="11"/>
  <c r="G106" i="11"/>
  <c r="G107" i="11" l="1"/>
  <c r="H19" i="8" l="1"/>
  <c r="E36" i="7"/>
  <c r="D37" i="7"/>
  <c r="G23" i="2"/>
  <c r="G21" i="2"/>
  <c r="E38" i="7" l="1"/>
  <c r="I21" i="1"/>
  <c r="J19" i="8"/>
  <c r="K22" i="1"/>
  <c r="D39" i="7"/>
  <c r="H18" i="8" l="1"/>
  <c r="F100" i="12"/>
  <c r="B108" i="12"/>
  <c r="E37" i="7" l="1"/>
  <c r="H20" i="8"/>
  <c r="I23" i="1" l="1"/>
  <c r="H6" i="8" l="1"/>
  <c r="I9" i="1" l="1"/>
  <c r="E23" i="2" l="1"/>
  <c r="E21" i="2"/>
  <c r="H7" i="8" l="1"/>
  <c r="I10" i="1" l="1"/>
  <c r="K84" i="1" l="1"/>
  <c r="B34" i="31" l="1"/>
  <c r="F44" i="26" l="1"/>
  <c r="F46" i="71" l="1"/>
  <c r="D53" i="71"/>
  <c r="A10" i="71"/>
  <c r="A11" i="71" s="1"/>
  <c r="A12" i="71" s="1"/>
  <c r="A13" i="71" s="1"/>
  <c r="A14" i="71" s="1"/>
  <c r="A15" i="71" s="1"/>
  <c r="A16" i="71" s="1"/>
  <c r="A17" i="71" s="1"/>
  <c r="A18" i="71" s="1"/>
  <c r="A19" i="71" s="1"/>
  <c r="D46" i="71"/>
  <c r="F53" i="71"/>
  <c r="D38" i="7"/>
  <c r="D40" i="7" s="1"/>
  <c r="J41" i="61"/>
  <c r="G11" i="2"/>
  <c r="C64" i="46"/>
  <c r="G56" i="26"/>
  <c r="G57" i="26" s="1"/>
  <c r="G37" i="26" s="1"/>
  <c r="D37" i="26" s="1"/>
  <c r="G6" i="26" s="1"/>
  <c r="H6" i="26" s="1"/>
  <c r="G10" i="2"/>
  <c r="H80" i="44"/>
  <c r="H77" i="44"/>
  <c r="H55" i="44"/>
  <c r="A14" i="44"/>
  <c r="A15" i="44" s="1"/>
  <c r="A16" i="44" s="1"/>
  <c r="A17" i="44" s="1"/>
  <c r="A18" i="44" s="1"/>
  <c r="A30" i="44" s="1"/>
  <c r="K21" i="1"/>
  <c r="E60" i="46"/>
  <c r="C56" i="46"/>
  <c r="C119" i="46" s="1"/>
  <c r="L57" i="46"/>
  <c r="E120" i="46" s="1"/>
  <c r="I120" i="46" s="1"/>
  <c r="K56" i="46"/>
  <c r="D119" i="46" s="1"/>
  <c r="H119" i="46" s="1"/>
  <c r="G55" i="46"/>
  <c r="L55" i="46"/>
  <c r="E118" i="46" s="1"/>
  <c r="K55" i="46"/>
  <c r="D118" i="46" s="1"/>
  <c r="C55" i="46"/>
  <c r="G54" i="46"/>
  <c r="L54" i="46"/>
  <c r="E117" i="46" s="1"/>
  <c r="K54" i="46"/>
  <c r="D117" i="46" s="1"/>
  <c r="C54" i="46"/>
  <c r="G53" i="46"/>
  <c r="L53" i="46"/>
  <c r="E116" i="46" s="1"/>
  <c r="K53" i="46"/>
  <c r="D116" i="46" s="1"/>
  <c r="C53" i="46"/>
  <c r="G52" i="46"/>
  <c r="L56" i="46"/>
  <c r="E119" i="46" s="1"/>
  <c r="I119" i="46" s="1"/>
  <c r="K52" i="46"/>
  <c r="D115" i="46" s="1"/>
  <c r="C52" i="46"/>
  <c r="L42" i="46"/>
  <c r="E105" i="46" s="1"/>
  <c r="G41" i="46"/>
  <c r="G40" i="46"/>
  <c r="L40" i="46"/>
  <c r="E103" i="46" s="1"/>
  <c r="I103" i="46" s="1"/>
  <c r="C40" i="46"/>
  <c r="K39" i="46"/>
  <c r="D102" i="46" s="1"/>
  <c r="G39" i="46"/>
  <c r="L39" i="46"/>
  <c r="E102" i="46" s="1"/>
  <c r="C39" i="46"/>
  <c r="G38" i="46"/>
  <c r="L38" i="46"/>
  <c r="E101" i="46" s="1"/>
  <c r="I101" i="46" s="1"/>
  <c r="C38" i="46"/>
  <c r="K37" i="46"/>
  <c r="D100" i="46" s="1"/>
  <c r="G37" i="46"/>
  <c r="L37" i="46"/>
  <c r="E100" i="46" s="1"/>
  <c r="I100" i="46" s="1"/>
  <c r="C37" i="46"/>
  <c r="G36" i="46"/>
  <c r="L36" i="46"/>
  <c r="E99" i="46" s="1"/>
  <c r="I99" i="46" s="1"/>
  <c r="C36" i="46"/>
  <c r="K35" i="46"/>
  <c r="D98" i="46" s="1"/>
  <c r="H98" i="46" s="1"/>
  <c r="G35" i="46"/>
  <c r="L35" i="46"/>
  <c r="E98" i="46" s="1"/>
  <c r="I98" i="46" s="1"/>
  <c r="C35" i="46"/>
  <c r="G34" i="46"/>
  <c r="L34" i="46"/>
  <c r="E97" i="46" s="1"/>
  <c r="I97" i="46" s="1"/>
  <c r="C34" i="46"/>
  <c r="K33" i="46"/>
  <c r="G33" i="46"/>
  <c r="L33" i="46"/>
  <c r="E96" i="46" s="1"/>
  <c r="C33" i="46"/>
  <c r="G32" i="46"/>
  <c r="L32" i="46"/>
  <c r="E95" i="46" s="1"/>
  <c r="K32" i="46"/>
  <c r="C32" i="46"/>
  <c r="G31" i="46"/>
  <c r="L31" i="46"/>
  <c r="E94" i="46" s="1"/>
  <c r="K31" i="46"/>
  <c r="D94" i="46" s="1"/>
  <c r="C31" i="46"/>
  <c r="G30" i="46"/>
  <c r="L30" i="46"/>
  <c r="E93" i="46" s="1"/>
  <c r="K30" i="46"/>
  <c r="C30" i="46"/>
  <c r="G28" i="46"/>
  <c r="L28" i="46"/>
  <c r="E91" i="46" s="1"/>
  <c r="K28" i="46"/>
  <c r="D91" i="46" s="1"/>
  <c r="C28" i="46"/>
  <c r="G27" i="46"/>
  <c r="L27" i="46"/>
  <c r="E90" i="46" s="1"/>
  <c r="I90" i="46" s="1"/>
  <c r="K27" i="46"/>
  <c r="D90" i="46" s="1"/>
  <c r="H90" i="46" s="1"/>
  <c r="C27" i="46"/>
  <c r="G26" i="46"/>
  <c r="L26" i="46"/>
  <c r="E89" i="46" s="1"/>
  <c r="I89" i="46" s="1"/>
  <c r="K26" i="46"/>
  <c r="C26" i="46"/>
  <c r="L25" i="46"/>
  <c r="E88" i="46" s="1"/>
  <c r="I88" i="46" s="1"/>
  <c r="K25" i="46"/>
  <c r="D88" i="46" s="1"/>
  <c r="C25" i="46"/>
  <c r="G24" i="46"/>
  <c r="L24" i="46"/>
  <c r="E87" i="46" s="1"/>
  <c r="I87" i="46" s="1"/>
  <c r="K24" i="46"/>
  <c r="C24" i="46"/>
  <c r="G23" i="46"/>
  <c r="L23" i="46"/>
  <c r="E86" i="46" s="1"/>
  <c r="I86" i="46" s="1"/>
  <c r="K23" i="46"/>
  <c r="C23" i="46"/>
  <c r="G22" i="46"/>
  <c r="L22" i="46"/>
  <c r="K22" i="46"/>
  <c r="D85" i="46" s="1"/>
  <c r="H85" i="46" s="1"/>
  <c r="C22" i="46"/>
  <c r="G21" i="46"/>
  <c r="L21" i="46"/>
  <c r="K21" i="46"/>
  <c r="D84" i="46" s="1"/>
  <c r="H84" i="46" s="1"/>
  <c r="C21" i="46"/>
  <c r="G20" i="46"/>
  <c r="L20" i="46"/>
  <c r="K20" i="46"/>
  <c r="D83" i="46" s="1"/>
  <c r="H83" i="46" s="1"/>
  <c r="C20" i="46"/>
  <c r="G19" i="46"/>
  <c r="L19" i="46"/>
  <c r="K19" i="46"/>
  <c r="D82" i="46" s="1"/>
  <c r="H82" i="46" s="1"/>
  <c r="C19" i="46"/>
  <c r="G18" i="46"/>
  <c r="L18" i="46"/>
  <c r="K18" i="46"/>
  <c r="D81" i="46" s="1"/>
  <c r="H81" i="46" s="1"/>
  <c r="C18" i="46"/>
  <c r="G17" i="46"/>
  <c r="L17" i="46"/>
  <c r="K17" i="46"/>
  <c r="D80" i="46" s="1"/>
  <c r="H80" i="46" s="1"/>
  <c r="C17" i="46"/>
  <c r="G16" i="46"/>
  <c r="L16" i="46"/>
  <c r="K16" i="46"/>
  <c r="D79" i="46" s="1"/>
  <c r="H79" i="46" s="1"/>
  <c r="C16" i="46"/>
  <c r="G15" i="46"/>
  <c r="L15" i="46"/>
  <c r="K15" i="46"/>
  <c r="D78" i="46" s="1"/>
  <c r="H78" i="46" s="1"/>
  <c r="C15" i="46"/>
  <c r="G14" i="46"/>
  <c r="L14" i="46"/>
  <c r="E77" i="46" s="1"/>
  <c r="I77" i="46" s="1"/>
  <c r="K14" i="46"/>
  <c r="C14" i="46"/>
  <c r="G13" i="46"/>
  <c r="L13" i="46"/>
  <c r="E76" i="46" s="1"/>
  <c r="I76" i="46" s="1"/>
  <c r="K13" i="46"/>
  <c r="D76" i="46" s="1"/>
  <c r="C13" i="46"/>
  <c r="G12" i="46"/>
  <c r="L12" i="46"/>
  <c r="E75" i="46" s="1"/>
  <c r="I75" i="46" s="1"/>
  <c r="K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G11" i="46"/>
  <c r="E16" i="57"/>
  <c r="E10" i="57"/>
  <c r="E53" i="71"/>
  <c r="B54" i="54"/>
  <c r="C9" i="9"/>
  <c r="A5" i="31"/>
  <c r="E15" i="66"/>
  <c r="J25" i="8" s="1"/>
  <c r="F15" i="66"/>
  <c r="H43" i="26"/>
  <c r="D43" i="26" s="1"/>
  <c r="G12" i="26" s="1"/>
  <c r="H12" i="26" s="1"/>
  <c r="F53" i="22"/>
  <c r="D58" i="7"/>
  <c r="D54" i="7"/>
  <c r="F41" i="54"/>
  <c r="F38" i="54"/>
  <c r="F29" i="54"/>
  <c r="G20" i="2"/>
  <c r="J9" i="8"/>
  <c r="A7" i="2"/>
  <c r="A8" i="2" s="1"/>
  <c r="A9" i="2" s="1"/>
  <c r="A10" i="2" s="1"/>
  <c r="K126" i="1"/>
  <c r="J50" i="8" s="1"/>
  <c r="A11" i="7"/>
  <c r="A12" i="7" s="1"/>
  <c r="A13" i="7" s="1"/>
  <c r="A14" i="7" s="1"/>
  <c r="A15" i="7" s="1"/>
  <c r="A16" i="7" s="1"/>
  <c r="K32" i="1"/>
  <c r="I87" i="65"/>
  <c r="I86" i="65"/>
  <c r="I85" i="65"/>
  <c r="I83" i="65"/>
  <c r="I82" i="65"/>
  <c r="I81" i="65"/>
  <c r="I79" i="65"/>
  <c r="I78" i="65"/>
  <c r="A14" i="65"/>
  <c r="A15" i="65" s="1"/>
  <c r="A16" i="65" s="1"/>
  <c r="A17" i="65" s="1"/>
  <c r="A18" i="65" s="1"/>
  <c r="A19" i="65" s="1"/>
  <c r="A20" i="65" s="1"/>
  <c r="A21" i="65" s="1"/>
  <c r="A22" i="65" s="1"/>
  <c r="A23" i="65" s="1"/>
  <c r="I77" i="65"/>
  <c r="G48" i="11"/>
  <c r="G47" i="11"/>
  <c r="G46" i="11"/>
  <c r="E46" i="11" s="1"/>
  <c r="E39" i="12" s="1"/>
  <c r="G60" i="11"/>
  <c r="G62" i="11"/>
  <c r="E70" i="12" s="1"/>
  <c r="G61" i="11"/>
  <c r="E69" i="12" s="1"/>
  <c r="E84" i="11"/>
  <c r="E83" i="11"/>
  <c r="E82" i="11"/>
  <c r="E81" i="11"/>
  <c r="E80" i="11"/>
  <c r="E79" i="11"/>
  <c r="E78" i="11"/>
  <c r="E77" i="11"/>
  <c r="E76" i="11"/>
  <c r="E75" i="11"/>
  <c r="E74" i="11"/>
  <c r="E73" i="11"/>
  <c r="E72" i="11"/>
  <c r="A25" i="12"/>
  <c r="A26" i="12" s="1"/>
  <c r="E214" i="61"/>
  <c r="I195" i="61"/>
  <c r="N178" i="61"/>
  <c r="N175" i="61"/>
  <c r="N173" i="61"/>
  <c r="N170" i="61"/>
  <c r="N169" i="61"/>
  <c r="N164" i="61"/>
  <c r="M164" i="61"/>
  <c r="L164" i="61"/>
  <c r="L203" i="61" s="1"/>
  <c r="J164" i="61"/>
  <c r="I164" i="61"/>
  <c r="H164" i="61"/>
  <c r="G164" i="61"/>
  <c r="J146" i="61"/>
  <c r="H138" i="61"/>
  <c r="M106" i="61"/>
  <c r="N105" i="61"/>
  <c r="H79" i="61"/>
  <c r="N79" i="61" s="1"/>
  <c r="H78" i="61"/>
  <c r="H48" i="61"/>
  <c r="G48" i="61"/>
  <c r="J47" i="61"/>
  <c r="M47" i="61" s="1"/>
  <c r="N46" i="61"/>
  <c r="N45" i="61"/>
  <c r="J44" i="61"/>
  <c r="M44" i="61" s="1"/>
  <c r="J43" i="61"/>
  <c r="M43" i="61" s="1"/>
  <c r="J42" i="61"/>
  <c r="M42" i="61" s="1"/>
  <c r="G18" i="61"/>
  <c r="I18" i="61" s="1"/>
  <c r="J17" i="61"/>
  <c r="M17" i="61" s="1"/>
  <c r="N16" i="61"/>
  <c r="J15" i="61"/>
  <c r="M15" i="61" s="1"/>
  <c r="G14" i="61"/>
  <c r="I14" i="61" s="1"/>
  <c r="J13" i="61"/>
  <c r="J12" i="61"/>
  <c r="M12" i="61" s="1"/>
  <c r="J11" i="61"/>
  <c r="J5" i="61"/>
  <c r="M5" i="61" s="1"/>
  <c r="G4" i="61"/>
  <c r="D16" i="57"/>
  <c r="E11" i="57"/>
  <c r="E12" i="57" s="1"/>
  <c r="D11" i="57"/>
  <c r="D10" i="57"/>
  <c r="C10" i="57" s="1"/>
  <c r="D17" i="57"/>
  <c r="F48" i="11"/>
  <c r="F62" i="11"/>
  <c r="E46" i="71"/>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K18" i="57"/>
  <c r="J18" i="57"/>
  <c r="I18" i="57"/>
  <c r="H18" i="57"/>
  <c r="G18" i="57"/>
  <c r="E17" i="57"/>
  <c r="E15" i="57"/>
  <c r="D15" i="57"/>
  <c r="K12" i="57"/>
  <c r="J12" i="57"/>
  <c r="I12" i="57"/>
  <c r="H12" i="57"/>
  <c r="G12" i="57"/>
  <c r="F11" i="56"/>
  <c r="F10" i="56"/>
  <c r="A9" i="56"/>
  <c r="A10" i="56" s="1"/>
  <c r="F38" i="56"/>
  <c r="F36" i="56"/>
  <c r="F25" i="56"/>
  <c r="F24" i="56"/>
  <c r="F23" i="56"/>
  <c r="F22" i="56"/>
  <c r="F21" i="56"/>
  <c r="F20" i="56"/>
  <c r="K30" i="1"/>
  <c r="K134" i="1"/>
  <c r="J58" i="8" s="1"/>
  <c r="A13" i="32"/>
  <c r="G14" i="32" s="1"/>
  <c r="A7" i="26"/>
  <c r="A8" i="26" s="1"/>
  <c r="A9" i="26" s="1"/>
  <c r="A10" i="26" s="1"/>
  <c r="A27" i="11"/>
  <c r="K100" i="1"/>
  <c r="A7" i="8"/>
  <c r="A8" i="8" s="1"/>
  <c r="A9" i="8" s="1"/>
  <c r="E27" i="32"/>
  <c r="K12" i="1"/>
  <c r="K128" i="1"/>
  <c r="F24" i="26"/>
  <c r="F27" i="12"/>
  <c r="F56" i="12" s="1"/>
  <c r="F26" i="12"/>
  <c r="F55" i="12" s="1"/>
  <c r="F25" i="12"/>
  <c r="F54" i="12" s="1"/>
  <c r="J44" i="8"/>
  <c r="F22" i="31"/>
  <c r="E22" i="31"/>
  <c r="D22" i="31"/>
  <c r="E20" i="26"/>
  <c r="F15" i="56"/>
  <c r="I56" i="61"/>
  <c r="F47" i="11"/>
  <c r="F61" i="11"/>
  <c r="A28" i="11"/>
  <c r="A29" i="11" s="1"/>
  <c r="A30" i="11" s="1"/>
  <c r="A31" i="11" s="1"/>
  <c r="A32" i="11" s="1"/>
  <c r="A33" i="11" s="1"/>
  <c r="A34" i="11" s="1"/>
  <c r="A35" i="11" s="1"/>
  <c r="A36" i="11" s="1"/>
  <c r="A37" i="11" s="1"/>
  <c r="I80" i="65"/>
  <c r="I84" i="65"/>
  <c r="I88" i="65"/>
  <c r="L11" i="46"/>
  <c r="E74" i="46" s="1"/>
  <c r="K11" i="46"/>
  <c r="K34" i="46"/>
  <c r="D97" i="46" s="1"/>
  <c r="K36" i="46"/>
  <c r="D99" i="46" s="1"/>
  <c r="K38" i="46"/>
  <c r="K40" i="46"/>
  <c r="L52" i="46"/>
  <c r="H64" i="44"/>
  <c r="A10" i="1"/>
  <c r="I78" i="61" l="1"/>
  <c r="I138" i="61"/>
  <c r="H154" i="61"/>
  <c r="G79" i="61"/>
  <c r="M146" i="61"/>
  <c r="J154" i="61"/>
  <c r="I19" i="61"/>
  <c r="J14" i="61"/>
  <c r="M14" i="61" s="1"/>
  <c r="G16" i="61"/>
  <c r="I16" i="61" s="1"/>
  <c r="I12" i="61"/>
  <c r="J16" i="61"/>
  <c r="M16" i="61" s="1"/>
  <c r="J39" i="61"/>
  <c r="M39" i="61" s="1"/>
  <c r="G15" i="61"/>
  <c r="I15" i="61" s="1"/>
  <c r="N12" i="61"/>
  <c r="I192" i="61"/>
  <c r="J52" i="8"/>
  <c r="N176" i="61"/>
  <c r="A41" i="46"/>
  <c r="A42" i="46" s="1"/>
  <c r="A43" i="46" s="1"/>
  <c r="E9" i="2"/>
  <c r="A24" i="65"/>
  <c r="A25" i="65" s="1"/>
  <c r="A26" i="65" s="1"/>
  <c r="A27" i="65" s="1"/>
  <c r="A28" i="65" s="1"/>
  <c r="A29" i="65" s="1"/>
  <c r="A30" i="65" s="1"/>
  <c r="A31" i="65" s="1"/>
  <c r="A32" i="65" s="1"/>
  <c r="A33" i="65" s="1"/>
  <c r="A34" i="65" s="1"/>
  <c r="A35" i="65" s="1"/>
  <c r="A36" i="65" s="1"/>
  <c r="A38" i="65" s="1"/>
  <c r="F47" i="71"/>
  <c r="E54" i="7"/>
  <c r="A29" i="57"/>
  <c r="M105" i="61"/>
  <c r="J45" i="61"/>
  <c r="M45" i="61" s="1"/>
  <c r="M52" i="61"/>
  <c r="N44" i="61"/>
  <c r="F40" i="56"/>
  <c r="M11" i="61"/>
  <c r="G19" i="2"/>
  <c r="A11" i="1"/>
  <c r="A12" i="1" s="1"/>
  <c r="A15" i="1" s="1"/>
  <c r="A16" i="1" s="1"/>
  <c r="A17" i="1" s="1"/>
  <c r="H14" i="8" s="1"/>
  <c r="D18" i="57"/>
  <c r="D12" i="57"/>
  <c r="E61" i="11"/>
  <c r="E55" i="12" s="1"/>
  <c r="I60" i="46"/>
  <c r="F42" i="56"/>
  <c r="F17" i="56"/>
  <c r="C11" i="57"/>
  <c r="K20" i="57"/>
  <c r="E31" i="57" s="1"/>
  <c r="G145" i="61"/>
  <c r="N15" i="61"/>
  <c r="G43" i="61"/>
  <c r="I43" i="61" s="1"/>
  <c r="G11" i="61"/>
  <c r="N180" i="61"/>
  <c r="N5" i="61"/>
  <c r="M54" i="61"/>
  <c r="I51" i="61"/>
  <c r="G44" i="61"/>
  <c r="I44" i="61" s="1"/>
  <c r="M46" i="61"/>
  <c r="J23" i="46"/>
  <c r="C86" i="46" s="1"/>
  <c r="D86" i="46"/>
  <c r="H86" i="46" s="1"/>
  <c r="G86" i="46" s="1"/>
  <c r="J33" i="46"/>
  <c r="C96" i="46" s="1"/>
  <c r="F41" i="12"/>
  <c r="F39" i="12"/>
  <c r="F26" i="56"/>
  <c r="H24" i="8"/>
  <c r="I28" i="1"/>
  <c r="E62" i="11"/>
  <c r="E56" i="12" s="1"/>
  <c r="F40" i="12"/>
  <c r="E47" i="11"/>
  <c r="E40" i="12" s="1"/>
  <c r="E21" i="32"/>
  <c r="C16" i="57"/>
  <c r="G20" i="57"/>
  <c r="C26" i="57" s="1"/>
  <c r="C15" i="57"/>
  <c r="J39" i="46"/>
  <c r="C102" i="46" s="1"/>
  <c r="D96" i="46"/>
  <c r="J37" i="46"/>
  <c r="C100" i="46" s="1"/>
  <c r="N17" i="61"/>
  <c r="N14" i="61"/>
  <c r="I193" i="61"/>
  <c r="N18" i="61"/>
  <c r="G5" i="61"/>
  <c r="I5" i="61" s="1"/>
  <c r="N4" i="61"/>
  <c r="N174" i="61"/>
  <c r="N177" i="61"/>
  <c r="J40" i="61"/>
  <c r="M40" i="61" s="1"/>
  <c r="J48" i="61"/>
  <c r="M48" i="61" s="1"/>
  <c r="N13" i="61"/>
  <c r="N106" i="61"/>
  <c r="G17" i="61"/>
  <c r="I17" i="61" s="1"/>
  <c r="G13" i="61"/>
  <c r="I13" i="61" s="1"/>
  <c r="N171" i="61"/>
  <c r="M137" i="61"/>
  <c r="N11" i="61"/>
  <c r="N172" i="61"/>
  <c r="N43" i="61"/>
  <c r="M55" i="61"/>
  <c r="M53" i="61"/>
  <c r="M51" i="61"/>
  <c r="G42" i="61"/>
  <c r="I42" i="61" s="1"/>
  <c r="N48" i="61"/>
  <c r="N179" i="61"/>
  <c r="G45" i="61"/>
  <c r="I45" i="61" s="1"/>
  <c r="J4" i="61"/>
  <c r="J50" i="61"/>
  <c r="M50" i="61" s="1"/>
  <c r="I89" i="65"/>
  <c r="F12" i="56"/>
  <c r="E13" i="32"/>
  <c r="H20" i="57"/>
  <c r="D26" i="57" s="1"/>
  <c r="E26" i="57" s="1"/>
  <c r="C17" i="57"/>
  <c r="E206" i="61"/>
  <c r="E207" i="61" s="1"/>
  <c r="J55" i="46"/>
  <c r="C118" i="46" s="1"/>
  <c r="J53" i="46"/>
  <c r="C116" i="46" s="1"/>
  <c r="J54" i="46"/>
  <c r="C117" i="46" s="1"/>
  <c r="G90" i="46"/>
  <c r="J36" i="46"/>
  <c r="C99" i="46" s="1"/>
  <c r="J38" i="46"/>
  <c r="C101" i="46" s="1"/>
  <c r="J35" i="46"/>
  <c r="C98" i="46" s="1"/>
  <c r="J40" i="46"/>
  <c r="C103" i="46" s="1"/>
  <c r="E48" i="11"/>
  <c r="E24" i="71"/>
  <c r="A11" i="2"/>
  <c r="A12" i="2" s="1"/>
  <c r="J20" i="57"/>
  <c r="D27" i="57" s="1"/>
  <c r="I20" i="57"/>
  <c r="C27" i="57" s="1"/>
  <c r="D103" i="46"/>
  <c r="H103" i="46" s="1"/>
  <c r="G103" i="46" s="1"/>
  <c r="G24" i="26"/>
  <c r="A11" i="26"/>
  <c r="A12" i="26" s="1"/>
  <c r="A13" i="26" s="1"/>
  <c r="A14" i="26" s="1"/>
  <c r="A15" i="26" s="1"/>
  <c r="A16" i="26" s="1"/>
  <c r="A17" i="26" s="1"/>
  <c r="A18" i="26" s="1"/>
  <c r="A19" i="26" s="1"/>
  <c r="A20" i="26" s="1"/>
  <c r="J27" i="8"/>
  <c r="G12" i="2"/>
  <c r="G13" i="2" s="1"/>
  <c r="D101" i="46"/>
  <c r="H101" i="46" s="1"/>
  <c r="G101" i="46" s="1"/>
  <c r="E18" i="57"/>
  <c r="E20" i="57" s="1"/>
  <c r="M13" i="61"/>
  <c r="I48" i="61"/>
  <c r="M41" i="61"/>
  <c r="I4" i="61"/>
  <c r="K28" i="1"/>
  <c r="F20" i="17"/>
  <c r="K101" i="1"/>
  <c r="K102" i="1" s="1"/>
  <c r="L16" i="28" s="1"/>
  <c r="K63" i="1" s="1"/>
  <c r="K64" i="1" s="1"/>
  <c r="E60" i="11"/>
  <c r="E54" i="12" s="1"/>
  <c r="E68" i="12"/>
  <c r="D24" i="71"/>
  <c r="J13" i="46"/>
  <c r="C76" i="46" s="1"/>
  <c r="J25" i="46"/>
  <c r="C88" i="46" s="1"/>
  <c r="H20" i="26"/>
  <c r="F23" i="26" s="1"/>
  <c r="H43" i="44"/>
  <c r="A15" i="17"/>
  <c r="A16" i="17" s="1"/>
  <c r="A17" i="17" s="1"/>
  <c r="A18" i="17" s="1"/>
  <c r="A19" i="17" s="1"/>
  <c r="A20" i="17" s="1"/>
  <c r="A21" i="17" s="1"/>
  <c r="A22" i="17" s="1"/>
  <c r="A23" i="17" s="1"/>
  <c r="J34" i="46"/>
  <c r="C97" i="46" s="1"/>
  <c r="J11" i="46"/>
  <c r="C74" i="46" s="1"/>
  <c r="J28" i="46"/>
  <c r="C91" i="46" s="1"/>
  <c r="H99" i="46"/>
  <c r="G99" i="46" s="1"/>
  <c r="H100" i="46"/>
  <c r="G100" i="46" s="1"/>
  <c r="J52" i="46"/>
  <c r="C115" i="46" s="1"/>
  <c r="D74" i="46"/>
  <c r="H97" i="46"/>
  <c r="G97" i="46" s="1"/>
  <c r="H88" i="46"/>
  <c r="G88" i="46" s="1"/>
  <c r="H76" i="46"/>
  <c r="D60" i="46"/>
  <c r="C146" i="46" s="1"/>
  <c r="H57" i="46" s="1"/>
  <c r="H58" i="46" s="1"/>
  <c r="J31" i="46"/>
  <c r="C94" i="46" s="1"/>
  <c r="J27" i="46"/>
  <c r="C90" i="46" s="1"/>
  <c r="A17" i="7"/>
  <c r="A18" i="7" s="1"/>
  <c r="A19" i="7" s="1"/>
  <c r="A20" i="7" s="1"/>
  <c r="A21" i="7" s="1"/>
  <c r="G20" i="71"/>
  <c r="A20" i="71"/>
  <c r="B191" i="71" s="1"/>
  <c r="D75" i="46"/>
  <c r="J12" i="46"/>
  <c r="C75" i="46" s="1"/>
  <c r="E78" i="46"/>
  <c r="J15" i="46"/>
  <c r="C78" i="46" s="1"/>
  <c r="E79" i="46"/>
  <c r="I79" i="46" s="1"/>
  <c r="G79" i="46" s="1"/>
  <c r="J16" i="46"/>
  <c r="C79" i="46" s="1"/>
  <c r="E80" i="46"/>
  <c r="J17" i="46"/>
  <c r="C80" i="46" s="1"/>
  <c r="E81" i="46"/>
  <c r="I81" i="46" s="1"/>
  <c r="G81" i="46" s="1"/>
  <c r="J18" i="46"/>
  <c r="C81" i="46" s="1"/>
  <c r="E82" i="46"/>
  <c r="J19" i="46"/>
  <c r="C82" i="46" s="1"/>
  <c r="E83" i="46"/>
  <c r="I83" i="46" s="1"/>
  <c r="G83" i="46" s="1"/>
  <c r="J20" i="46"/>
  <c r="C83" i="46" s="1"/>
  <c r="E84" i="46"/>
  <c r="J21" i="46"/>
  <c r="C84" i="46" s="1"/>
  <c r="D89" i="46"/>
  <c r="J26" i="46"/>
  <c r="C89" i="46" s="1"/>
  <c r="D93" i="46"/>
  <c r="J30" i="46"/>
  <c r="C93" i="46" s="1"/>
  <c r="D77" i="46"/>
  <c r="J14" i="46"/>
  <c r="C77" i="46" s="1"/>
  <c r="E85" i="46"/>
  <c r="J22" i="46"/>
  <c r="C85" i="46" s="1"/>
  <c r="D87" i="46"/>
  <c r="J24" i="46"/>
  <c r="C87" i="46" s="1"/>
  <c r="D95" i="46"/>
  <c r="J32" i="46"/>
  <c r="C95" i="46" s="1"/>
  <c r="G98" i="46"/>
  <c r="I18" i="1"/>
  <c r="G77" i="44"/>
  <c r="A31" i="44"/>
  <c r="A46" i="11"/>
  <c r="H39" i="12" s="1"/>
  <c r="A12" i="8"/>
  <c r="A11" i="56"/>
  <c r="A12" i="56" s="1"/>
  <c r="E115" i="46"/>
  <c r="E141" i="71"/>
  <c r="A22" i="7"/>
  <c r="A23" i="7" s="1"/>
  <c r="A24" i="7" s="1"/>
  <c r="A25" i="7" s="1"/>
  <c r="E140" i="71"/>
  <c r="E68" i="8"/>
  <c r="A23" i="22"/>
  <c r="A14" i="32"/>
  <c r="A20" i="32" s="1"/>
  <c r="A27" i="12"/>
  <c r="D47" i="71"/>
  <c r="E47" i="71"/>
  <c r="E54" i="71"/>
  <c r="D54" i="71"/>
  <c r="A6" i="31"/>
  <c r="A7" i="31" s="1"/>
  <c r="A8" i="31" s="1"/>
  <c r="B39" i="31" s="1"/>
  <c r="H203" i="61" l="1"/>
  <c r="I199" i="61"/>
  <c r="I145" i="61"/>
  <c r="G154" i="61"/>
  <c r="I154" i="61"/>
  <c r="N187" i="61"/>
  <c r="M154" i="61"/>
  <c r="N154" i="61"/>
  <c r="I11" i="61"/>
  <c r="E51" i="11"/>
  <c r="A44" i="46"/>
  <c r="A52" i="46" s="1"/>
  <c r="A53" i="46" s="1"/>
  <c r="A54" i="46" s="1"/>
  <c r="A55" i="46" s="1"/>
  <c r="E62" i="46"/>
  <c r="D20" i="57"/>
  <c r="A30" i="57"/>
  <c r="A31" i="57" s="1"/>
  <c r="G31" i="57"/>
  <c r="C76" i="26"/>
  <c r="F54" i="71"/>
  <c r="E58" i="7"/>
  <c r="A18" i="1"/>
  <c r="A21" i="1" s="1"/>
  <c r="C18" i="57"/>
  <c r="C20" i="57" s="1"/>
  <c r="C28" i="57"/>
  <c r="E212" i="61"/>
  <c r="E210" i="61"/>
  <c r="M4" i="61"/>
  <c r="E41" i="12"/>
  <c r="E31" i="71"/>
  <c r="F28" i="56"/>
  <c r="E27" i="57"/>
  <c r="D28" i="57"/>
  <c r="E65" i="11"/>
  <c r="A23" i="26"/>
  <c r="A24" i="26" s="1"/>
  <c r="A25" i="26" s="1"/>
  <c r="G23" i="26"/>
  <c r="D31" i="71"/>
  <c r="G76" i="46"/>
  <c r="F112" i="71"/>
  <c r="G41" i="44"/>
  <c r="E25" i="7"/>
  <c r="E12" i="2"/>
  <c r="E13" i="2"/>
  <c r="A13" i="2"/>
  <c r="D33" i="71"/>
  <c r="E33" i="71"/>
  <c r="D23" i="7"/>
  <c r="E42" i="57"/>
  <c r="H56" i="44"/>
  <c r="H57" i="44" s="1"/>
  <c r="G16" i="12"/>
  <c r="J57" i="8"/>
  <c r="J43" i="8"/>
  <c r="C145" i="46"/>
  <c r="H42" i="46" s="1"/>
  <c r="K42" i="46" s="1"/>
  <c r="K57" i="46"/>
  <c r="G57" i="46"/>
  <c r="G58" i="46" s="1"/>
  <c r="H89" i="46"/>
  <c r="G89" i="46" s="1"/>
  <c r="I84" i="46"/>
  <c r="G84" i="46" s="1"/>
  <c r="I82" i="46"/>
  <c r="G82" i="46" s="1"/>
  <c r="I80" i="46"/>
  <c r="G80" i="46" s="1"/>
  <c r="I78" i="46"/>
  <c r="G78" i="46" s="1"/>
  <c r="H75" i="46"/>
  <c r="G75" i="46" s="1"/>
  <c r="H87" i="46"/>
  <c r="G87" i="46" s="1"/>
  <c r="I85" i="46"/>
  <c r="G85" i="46" s="1"/>
  <c r="H77" i="46"/>
  <c r="G77" i="46" s="1"/>
  <c r="F20" i="71"/>
  <c r="E111" i="71" s="1"/>
  <c r="A24" i="71"/>
  <c r="F111" i="71"/>
  <c r="F31" i="71"/>
  <c r="F24" i="71"/>
  <c r="A9" i="31"/>
  <c r="H22" i="31"/>
  <c r="A28" i="12"/>
  <c r="A29" i="12" s="1"/>
  <c r="A39" i="12" s="1"/>
  <c r="A40" i="12" s="1"/>
  <c r="A41" i="12" s="1"/>
  <c r="A42" i="12" s="1"/>
  <c r="A43" i="12" s="1"/>
  <c r="A44" i="12" s="1"/>
  <c r="I135" i="1" s="1"/>
  <c r="E83" i="7"/>
  <c r="E47" i="7"/>
  <c r="A26" i="7"/>
  <c r="A27" i="7" s="1"/>
  <c r="A28" i="7" s="1"/>
  <c r="A29" i="7" s="1"/>
  <c r="A30" i="7" s="1"/>
  <c r="A31" i="7" s="1"/>
  <c r="A32" i="7" s="1"/>
  <c r="A33" i="7" s="1"/>
  <c r="A34" i="7" s="1"/>
  <c r="A35" i="7" s="1"/>
  <c r="A36" i="7" s="1"/>
  <c r="E121" i="46"/>
  <c r="D12" i="56"/>
  <c r="J24" i="8"/>
  <c r="A24" i="22"/>
  <c r="G27" i="22" s="1"/>
  <c r="A13" i="56"/>
  <c r="A14" i="56" s="1"/>
  <c r="A15" i="56" s="1"/>
  <c r="A16" i="56" s="1"/>
  <c r="A17" i="56" s="1"/>
  <c r="A13" i="8"/>
  <c r="A14" i="8" s="1"/>
  <c r="A15" i="8" s="1"/>
  <c r="A47" i="11"/>
  <c r="H40" i="12" s="1"/>
  <c r="A32" i="44"/>
  <c r="G55" i="44"/>
  <c r="K58" i="46" l="1"/>
  <c r="J57" i="46"/>
  <c r="M203" i="61"/>
  <c r="J203" i="61"/>
  <c r="N203" i="61"/>
  <c r="F91" i="12"/>
  <c r="A56" i="46"/>
  <c r="A57" i="46" s="1"/>
  <c r="A58" i="46" s="1"/>
  <c r="A39" i="65"/>
  <c r="A40" i="65" s="1"/>
  <c r="A32" i="57"/>
  <c r="A33" i="57" s="1"/>
  <c r="E124" i="46"/>
  <c r="E28" i="57"/>
  <c r="E33" i="57" s="1"/>
  <c r="E40" i="57" s="1"/>
  <c r="E43" i="57" s="1"/>
  <c r="E213" i="61"/>
  <c r="I93" i="46"/>
  <c r="H96" i="46"/>
  <c r="I95" i="46"/>
  <c r="I94" i="46"/>
  <c r="H94" i="46"/>
  <c r="K83" i="1"/>
  <c r="E14" i="2"/>
  <c r="A14" i="2"/>
  <c r="H15" i="8"/>
  <c r="A26" i="26"/>
  <c r="A27" i="26" s="1"/>
  <c r="A28" i="26" s="1"/>
  <c r="G25" i="26"/>
  <c r="H78" i="44"/>
  <c r="H65" i="44"/>
  <c r="H79" i="44" s="1"/>
  <c r="J42" i="46"/>
  <c r="D105" i="46"/>
  <c r="D106" i="46" s="1"/>
  <c r="G42" i="46"/>
  <c r="D120" i="46"/>
  <c r="A25" i="71"/>
  <c r="A26" i="71" s="1"/>
  <c r="A33" i="44"/>
  <c r="B48" i="44" s="1"/>
  <c r="G64" i="44"/>
  <c r="A18" i="8"/>
  <c r="A37" i="7"/>
  <c r="A38" i="7" s="1"/>
  <c r="A39" i="7" s="1"/>
  <c r="A40" i="7" s="1"/>
  <c r="A41" i="7" s="1"/>
  <c r="A42" i="7" s="1"/>
  <c r="A43" i="7" s="1"/>
  <c r="A44" i="7" s="1"/>
  <c r="A45" i="7" s="1"/>
  <c r="A46" i="7" s="1"/>
  <c r="A54" i="12"/>
  <c r="B40" i="31"/>
  <c r="B35" i="31"/>
  <c r="A10" i="31"/>
  <c r="A22" i="1"/>
  <c r="A23" i="1" s="1"/>
  <c r="A24" i="1" s="1"/>
  <c r="I34" i="1" s="1"/>
  <c r="A48" i="11"/>
  <c r="H41" i="12" s="1"/>
  <c r="A18" i="56"/>
  <c r="A19" i="56" s="1"/>
  <c r="A20" i="56" s="1"/>
  <c r="A26" i="22"/>
  <c r="I15" i="1" s="1"/>
  <c r="G26" i="22"/>
  <c r="A21" i="32"/>
  <c r="A22" i="32" s="1"/>
  <c r="A26" i="32" s="1"/>
  <c r="C105" i="46" l="1"/>
  <c r="C106" i="46" s="1"/>
  <c r="G60" i="46"/>
  <c r="E215" i="61"/>
  <c r="E216" i="61" s="1"/>
  <c r="E219" i="61" s="1"/>
  <c r="K130" i="1" s="1"/>
  <c r="G52" i="21"/>
  <c r="G59" i="21"/>
  <c r="G62" i="4"/>
  <c r="G57" i="4"/>
  <c r="A59" i="46"/>
  <c r="A60" i="46" s="1"/>
  <c r="E63" i="46"/>
  <c r="A41" i="65"/>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C29" i="57"/>
  <c r="C31" i="57" s="1"/>
  <c r="C33" i="57" s="1"/>
  <c r="C40" i="57" s="1"/>
  <c r="C43" i="57" s="1"/>
  <c r="A34" i="57"/>
  <c r="A35" i="57" s="1"/>
  <c r="A36" i="57" s="1"/>
  <c r="A37" i="57" s="1"/>
  <c r="A38" i="57" s="1"/>
  <c r="A39" i="57" s="1"/>
  <c r="A40" i="57" s="1"/>
  <c r="A41" i="57" s="1"/>
  <c r="A42" i="57" s="1"/>
  <c r="A43" i="57" s="1"/>
  <c r="A44" i="57" s="1"/>
  <c r="A45" i="57" s="1"/>
  <c r="G40" i="57"/>
  <c r="G33" i="57"/>
  <c r="G73" i="44"/>
  <c r="I85" i="64"/>
  <c r="D29" i="57"/>
  <c r="D31" i="57" s="1"/>
  <c r="D33" i="57" s="1"/>
  <c r="D40" i="57" s="1"/>
  <c r="D43" i="57" s="1"/>
  <c r="D45" i="57" s="1"/>
  <c r="B10" i="31" s="1"/>
  <c r="H93" i="46"/>
  <c r="G93" i="46" s="1"/>
  <c r="H95" i="46"/>
  <c r="G95" i="46" s="1"/>
  <c r="I96" i="46"/>
  <c r="G96" i="46" s="1"/>
  <c r="G94" i="46"/>
  <c r="K75" i="1"/>
  <c r="A47" i="7"/>
  <c r="A48" i="7" s="1"/>
  <c r="G26" i="26"/>
  <c r="G50" i="22"/>
  <c r="F28" i="54"/>
  <c r="G54" i="22"/>
  <c r="G24" i="22"/>
  <c r="I55" i="1"/>
  <c r="A15" i="2"/>
  <c r="A16" i="2" s="1"/>
  <c r="A17" i="2" s="1"/>
  <c r="A18" i="2" s="1"/>
  <c r="A19" i="2" s="1"/>
  <c r="A20" i="2" s="1"/>
  <c r="A21" i="2" s="1"/>
  <c r="K60" i="46"/>
  <c r="G22" i="32"/>
  <c r="G45" i="57"/>
  <c r="G43" i="57"/>
  <c r="G27" i="26"/>
  <c r="A55" i="12"/>
  <c r="A56" i="12" s="1"/>
  <c r="A57" i="12" s="1"/>
  <c r="A58" i="12" s="1"/>
  <c r="A59" i="12" s="1"/>
  <c r="H61" i="8" s="1"/>
  <c r="B185" i="71"/>
  <c r="B188" i="71"/>
  <c r="F26" i="71"/>
  <c r="D121" i="46"/>
  <c r="D124" i="46" s="1"/>
  <c r="H120" i="46"/>
  <c r="G120" i="46" s="1"/>
  <c r="C120" i="46"/>
  <c r="C121" i="46" s="1"/>
  <c r="A49" i="7"/>
  <c r="A50" i="7" s="1"/>
  <c r="A51" i="7" s="1"/>
  <c r="A52" i="7" s="1"/>
  <c r="A53" i="7" s="1"/>
  <c r="A54" i="7" s="1"/>
  <c r="A55" i="7" s="1"/>
  <c r="F64" i="71"/>
  <c r="A31" i="71"/>
  <c r="A32" i="71" s="1"/>
  <c r="A27" i="22"/>
  <c r="H12" i="8" s="1"/>
  <c r="A26" i="1"/>
  <c r="A27" i="32"/>
  <c r="A28" i="32" s="1"/>
  <c r="A21" i="56"/>
  <c r="A22" i="56" s="1"/>
  <c r="A23" i="56" s="1"/>
  <c r="A24" i="56" s="1"/>
  <c r="A25" i="56" s="1"/>
  <c r="A26" i="56" s="1"/>
  <c r="A49" i="11"/>
  <c r="A50" i="11" s="1"/>
  <c r="A51" i="11" s="1"/>
  <c r="A60" i="11" s="1"/>
  <c r="I24" i="1"/>
  <c r="B41" i="31"/>
  <c r="B36" i="31"/>
  <c r="A18" i="31"/>
  <c r="E40" i="7"/>
  <c r="A19" i="8"/>
  <c r="A20" i="8" s="1"/>
  <c r="A21" i="8" s="1"/>
  <c r="A34" i="44"/>
  <c r="G80" i="44"/>
  <c r="A29" i="26"/>
  <c r="G29" i="26"/>
  <c r="C124" i="46" l="1"/>
  <c r="C45" i="57"/>
  <c r="B9" i="31" s="1"/>
  <c r="J54" i="8"/>
  <c r="D145" i="46"/>
  <c r="A61" i="46"/>
  <c r="A62" i="46" s="1"/>
  <c r="A63" i="46" s="1"/>
  <c r="A64"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D146" i="46"/>
  <c r="I148" i="1"/>
  <c r="A33" i="71"/>
  <c r="A34" i="71" s="1"/>
  <c r="F65" i="71" s="1"/>
  <c r="C36" i="71"/>
  <c r="A46" i="57"/>
  <c r="A47" i="57" s="1"/>
  <c r="G9" i="31"/>
  <c r="G10" i="31"/>
  <c r="A28" i="1"/>
  <c r="A30" i="1" s="1"/>
  <c r="H54" i="12"/>
  <c r="F68" i="12"/>
  <c r="E48" i="7"/>
  <c r="E22" i="2"/>
  <c r="A22" i="2"/>
  <c r="B109" i="12"/>
  <c r="A68" i="12"/>
  <c r="K80" i="1"/>
  <c r="K90" i="1" s="1"/>
  <c r="K79" i="1"/>
  <c r="K89" i="1" s="1"/>
  <c r="K78" i="1"/>
  <c r="K88" i="1" s="1"/>
  <c r="A19" i="31"/>
  <c r="A20" i="31" s="1"/>
  <c r="A22" i="31" s="1"/>
  <c r="A56" i="7"/>
  <c r="A57" i="7" s="1"/>
  <c r="A58" i="7" s="1"/>
  <c r="A59" i="7" s="1"/>
  <c r="A60" i="7" s="1"/>
  <c r="A61" i="7" s="1"/>
  <c r="E55" i="7" s="1"/>
  <c r="B189" i="71"/>
  <c r="B186" i="71"/>
  <c r="A35" i="71"/>
  <c r="A36" i="71" s="1"/>
  <c r="A23" i="8"/>
  <c r="H29" i="8"/>
  <c r="A30" i="26"/>
  <c r="I125" i="1" s="1"/>
  <c r="G30" i="26"/>
  <c r="H21" i="8"/>
  <c r="D26" i="56"/>
  <c r="G28" i="32"/>
  <c r="A34" i="22"/>
  <c r="A41" i="44"/>
  <c r="A42" i="44" s="1"/>
  <c r="A24" i="31"/>
  <c r="A27" i="31" s="1"/>
  <c r="A61" i="11"/>
  <c r="A27" i="56"/>
  <c r="A28" i="56" s="1"/>
  <c r="D28" i="56"/>
  <c r="K91" i="1" l="1"/>
  <c r="K93" i="1"/>
  <c r="E95" i="8"/>
  <c r="E94" i="8"/>
  <c r="A31" i="1"/>
  <c r="A32" i="1" s="1"/>
  <c r="A34" i="1" s="1"/>
  <c r="I115" i="1" s="1"/>
  <c r="A104" i="46"/>
  <c r="A105" i="46" s="1"/>
  <c r="A106" i="46" s="1"/>
  <c r="A107" i="46" s="1"/>
  <c r="A115" i="46" s="1"/>
  <c r="A116" i="46" s="1"/>
  <c r="A117" i="46" s="1"/>
  <c r="A118" i="46" s="1"/>
  <c r="A119" i="46" s="1"/>
  <c r="A120" i="46" s="1"/>
  <c r="A121" i="46" s="1"/>
  <c r="A122" i="46" s="1"/>
  <c r="A123" i="46" s="1"/>
  <c r="A124" i="46" s="1"/>
  <c r="A125" i="46" s="1"/>
  <c r="G12" i="32"/>
  <c r="G26" i="32"/>
  <c r="G20" i="32"/>
  <c r="E19" i="2"/>
  <c r="A37" i="71"/>
  <c r="F34" i="71"/>
  <c r="H55" i="12"/>
  <c r="F69" i="12"/>
  <c r="F93" i="12"/>
  <c r="E96" i="8"/>
  <c r="A35" i="22"/>
  <c r="A36" i="22" s="1"/>
  <c r="A37" i="22" s="1"/>
  <c r="A38" i="22" s="1"/>
  <c r="A39" i="22" s="1"/>
  <c r="A40" i="22" s="1"/>
  <c r="A41" i="22" s="1"/>
  <c r="A42" i="22" s="1"/>
  <c r="A43" i="22" s="1"/>
  <c r="A44" i="22" s="1"/>
  <c r="A45" i="22" s="1"/>
  <c r="A46" i="22" s="1"/>
  <c r="G49" i="22" s="1"/>
  <c r="A23" i="2"/>
  <c r="I102" i="46"/>
  <c r="H102" i="46"/>
  <c r="A34" i="56"/>
  <c r="A35" i="56" s="1"/>
  <c r="A36" i="56" s="1"/>
  <c r="A37" i="56" s="1"/>
  <c r="A38" i="56" s="1"/>
  <c r="E63" i="7"/>
  <c r="A69" i="12"/>
  <c r="A70" i="12" s="1"/>
  <c r="A71" i="12" s="1"/>
  <c r="A81" i="12" s="1"/>
  <c r="A82" i="12" s="1"/>
  <c r="A83" i="12" s="1"/>
  <c r="A84" i="12" s="1"/>
  <c r="A85" i="12" s="1"/>
  <c r="A86" i="12" s="1"/>
  <c r="B38" i="31"/>
  <c r="H27" i="31"/>
  <c r="D21" i="7"/>
  <c r="G15" i="12"/>
  <c r="K81" i="1"/>
  <c r="A62" i="7"/>
  <c r="A63" i="7" s="1"/>
  <c r="E59" i="7"/>
  <c r="A38" i="71"/>
  <c r="A41" i="71" s="1"/>
  <c r="A46" i="71" s="1"/>
  <c r="A47" i="71" s="1"/>
  <c r="A48" i="71" s="1"/>
  <c r="B98" i="44"/>
  <c r="A43" i="44"/>
  <c r="A37" i="26"/>
  <c r="G77" i="26" s="1"/>
  <c r="A62" i="11"/>
  <c r="B99" i="44"/>
  <c r="A24" i="8"/>
  <c r="G91" i="12" s="1"/>
  <c r="E97" i="8" l="1"/>
  <c r="J33" i="8" s="1"/>
  <c r="E102" i="8"/>
  <c r="J42" i="8" s="1"/>
  <c r="A39" i="1"/>
  <c r="A40" i="1" s="1"/>
  <c r="A41" i="1" s="1"/>
  <c r="D32" i="71"/>
  <c r="D34" i="71" s="1"/>
  <c r="E86" i="71" s="1"/>
  <c r="I35" i="1"/>
  <c r="B125" i="46"/>
  <c r="H56" i="12"/>
  <c r="F70" i="12"/>
  <c r="E64" i="7"/>
  <c r="E69" i="7"/>
  <c r="E24" i="2"/>
  <c r="A24" i="2"/>
  <c r="G102" i="46"/>
  <c r="A25" i="8"/>
  <c r="G53" i="22"/>
  <c r="A64" i="7"/>
  <c r="A65" i="7" s="1"/>
  <c r="B110" i="12"/>
  <c r="A90" i="12"/>
  <c r="E83" i="12"/>
  <c r="F83" i="12" s="1"/>
  <c r="E82" i="12"/>
  <c r="F82" i="12" s="1"/>
  <c r="E81" i="12"/>
  <c r="F81" i="12" s="1"/>
  <c r="D25" i="71"/>
  <c r="D26" i="71" s="1"/>
  <c r="D86" i="71" s="1"/>
  <c r="E25" i="71"/>
  <c r="E26" i="71" s="1"/>
  <c r="D103" i="71" s="1"/>
  <c r="D51" i="7"/>
  <c r="D59" i="7" s="1"/>
  <c r="G39" i="12"/>
  <c r="G40" i="12"/>
  <c r="G41" i="12"/>
  <c r="D41" i="71"/>
  <c r="G55" i="12"/>
  <c r="G56" i="12"/>
  <c r="G54" i="12"/>
  <c r="A53" i="71"/>
  <c r="A54" i="71" s="1"/>
  <c r="A55" i="71" s="1"/>
  <c r="F66" i="7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G59" i="12" l="1"/>
  <c r="J61" i="8" s="1"/>
  <c r="G44" i="12"/>
  <c r="K135" i="1" s="1"/>
  <c r="F86" i="12"/>
  <c r="I41" i="1"/>
  <c r="D160" i="71"/>
  <c r="D178" i="71"/>
  <c r="G86" i="71"/>
  <c r="H86" i="71" s="1"/>
  <c r="A26" i="8"/>
  <c r="A27" i="8" s="1"/>
  <c r="A29" i="8" s="1"/>
  <c r="I124" i="1"/>
  <c r="E6" i="2"/>
  <c r="A25" i="2"/>
  <c r="A26" i="2" s="1"/>
  <c r="A27" i="2" s="1"/>
  <c r="E65" i="7"/>
  <c r="D40" i="56"/>
  <c r="A66" i="7"/>
  <c r="A67" i="7" s="1"/>
  <c r="A68" i="7" s="1"/>
  <c r="A69" i="7" s="1"/>
  <c r="A70" i="7" s="1"/>
  <c r="A50" i="22"/>
  <c r="A51" i="22" s="1"/>
  <c r="H13" i="8" s="1"/>
  <c r="A91" i="12"/>
  <c r="A92" i="12" s="1"/>
  <c r="H46" i="11"/>
  <c r="H47" i="11"/>
  <c r="H48" i="11"/>
  <c r="D22" i="7"/>
  <c r="E32" i="71"/>
  <c r="E34" i="71" s="1"/>
  <c r="D48" i="71"/>
  <c r="E55" i="71"/>
  <c r="E48" i="71"/>
  <c r="D55" i="71"/>
  <c r="D55" i="7"/>
  <c r="E83" i="71"/>
  <c r="E77" i="71"/>
  <c r="E82" i="71"/>
  <c r="D65" i="71"/>
  <c r="E84" i="71"/>
  <c r="E85" i="71"/>
  <c r="E81" i="71"/>
  <c r="E79" i="71"/>
  <c r="E80" i="71"/>
  <c r="E78" i="71"/>
  <c r="D101" i="71"/>
  <c r="D96" i="71"/>
  <c r="E64" i="71"/>
  <c r="D94" i="71"/>
  <c r="D95" i="71"/>
  <c r="D98" i="71"/>
  <c r="D97" i="71"/>
  <c r="D99" i="71"/>
  <c r="D100" i="71"/>
  <c r="D102" i="71"/>
  <c r="D81" i="71"/>
  <c r="D82" i="71"/>
  <c r="D83" i="71"/>
  <c r="D80" i="71"/>
  <c r="D64" i="71"/>
  <c r="D85" i="71"/>
  <c r="D77" i="71"/>
  <c r="D78" i="71"/>
  <c r="D79" i="71"/>
  <c r="D84" i="71"/>
  <c r="A56" i="71"/>
  <c r="A57" i="71" s="1"/>
  <c r="F67" i="71"/>
  <c r="A41" i="56"/>
  <c r="A42" i="56" s="1"/>
  <c r="E20" i="2" s="1"/>
  <c r="D42" i="56"/>
  <c r="A85" i="11"/>
  <c r="G87" i="44"/>
  <c r="A55" i="44"/>
  <c r="A44" i="26"/>
  <c r="A53" i="22"/>
  <c r="A45" i="1"/>
  <c r="D25" i="7" l="1"/>
  <c r="E112" i="71" s="1"/>
  <c r="E113" i="71" s="1"/>
  <c r="E114" i="71" s="1"/>
  <c r="E95" i="71"/>
  <c r="E103" i="71"/>
  <c r="G103" i="71" s="1"/>
  <c r="H103" i="71" s="1"/>
  <c r="G90" i="12"/>
  <c r="H41" i="8"/>
  <c r="A33" i="8"/>
  <c r="H30" i="8"/>
  <c r="I132" i="15"/>
  <c r="I91" i="15"/>
  <c r="I71" i="15"/>
  <c r="A64" i="71"/>
  <c r="F48" i="71"/>
  <c r="F55" i="71"/>
  <c r="E101" i="71"/>
  <c r="E97" i="71"/>
  <c r="E99" i="71"/>
  <c r="E94" i="71"/>
  <c r="E96" i="71"/>
  <c r="E100" i="71"/>
  <c r="E102" i="71"/>
  <c r="E65" i="71"/>
  <c r="E98" i="71"/>
  <c r="E27" i="2"/>
  <c r="A28" i="2"/>
  <c r="A29" i="2" s="1"/>
  <c r="A30" i="2" s="1"/>
  <c r="A31" i="2" s="1"/>
  <c r="I40" i="1"/>
  <c r="G28" i="26"/>
  <c r="G92" i="12"/>
  <c r="A71" i="7"/>
  <c r="E71" i="7"/>
  <c r="A45" i="26"/>
  <c r="A46" i="26" s="1"/>
  <c r="A47" i="26" s="1"/>
  <c r="A48" i="26" s="1"/>
  <c r="A49" i="26" s="1"/>
  <c r="A50" i="26" s="1"/>
  <c r="C72" i="26"/>
  <c r="A54" i="22"/>
  <c r="A55" i="22" s="1"/>
  <c r="I16" i="1" s="1"/>
  <c r="G51" i="22"/>
  <c r="A93" i="12"/>
  <c r="A94" i="12" s="1"/>
  <c r="G98" i="12" s="1"/>
  <c r="A94" i="11"/>
  <c r="H61" i="11"/>
  <c r="H60" i="11"/>
  <c r="H62" i="11"/>
  <c r="A95" i="11"/>
  <c r="A96" i="11" s="1"/>
  <c r="A97" i="11" s="1"/>
  <c r="A98" i="11" s="1"/>
  <c r="A99" i="11" s="1"/>
  <c r="A100" i="11" s="1"/>
  <c r="A101" i="11" s="1"/>
  <c r="A102" i="11" s="1"/>
  <c r="A103" i="11" s="1"/>
  <c r="A104" i="11" s="1"/>
  <c r="A105" i="11" s="1"/>
  <c r="A106" i="11" s="1"/>
  <c r="A107" i="11" s="1"/>
  <c r="A117" i="11" s="1"/>
  <c r="D176" i="71"/>
  <c r="D158" i="71"/>
  <c r="D159" i="71"/>
  <c r="D177" i="71"/>
  <c r="D172" i="71"/>
  <c r="D154" i="71"/>
  <c r="D174" i="71"/>
  <c r="D156" i="71"/>
  <c r="D153" i="71"/>
  <c r="D171" i="71"/>
  <c r="D157" i="71"/>
  <c r="D175" i="71"/>
  <c r="D155" i="71"/>
  <c r="D173" i="71"/>
  <c r="G84" i="71"/>
  <c r="H84" i="71" s="1"/>
  <c r="G85" i="71"/>
  <c r="H85" i="71" s="1"/>
  <c r="G80" i="71"/>
  <c r="H80" i="71" s="1"/>
  <c r="G82" i="71"/>
  <c r="H82" i="71" s="1"/>
  <c r="G79" i="71"/>
  <c r="H79" i="71" s="1"/>
  <c r="G83" i="71"/>
  <c r="H83" i="71" s="1"/>
  <c r="G81" i="71"/>
  <c r="H81" i="71" s="1"/>
  <c r="A65" i="71"/>
  <c r="D105" i="71"/>
  <c r="E88" i="71"/>
  <c r="F78" i="71"/>
  <c r="D170" i="71" s="1"/>
  <c r="D67" i="71"/>
  <c r="F95" i="71"/>
  <c r="E67" i="71"/>
  <c r="D88" i="71"/>
  <c r="F94" i="71"/>
  <c r="E66" i="71"/>
  <c r="F77" i="71"/>
  <c r="G77" i="71" s="1"/>
  <c r="D66" i="71"/>
  <c r="A56" i="44"/>
  <c r="A57" i="44" s="1"/>
  <c r="G59" i="44" s="1"/>
  <c r="A46" i="1"/>
  <c r="A47" i="1" s="1"/>
  <c r="A48" i="1" s="1"/>
  <c r="G95" i="71" l="1"/>
  <c r="E68" i="71"/>
  <c r="D68" i="71"/>
  <c r="H41" i="44"/>
  <c r="D47" i="7"/>
  <c r="D48" i="7" s="1"/>
  <c r="D83" i="7"/>
  <c r="D84" i="7" s="1"/>
  <c r="D129" i="71"/>
  <c r="E138" i="71"/>
  <c r="E115" i="71"/>
  <c r="E129" i="71" s="1"/>
  <c r="D126" i="71"/>
  <c r="E175" i="71" s="1"/>
  <c r="F175" i="71" s="1"/>
  <c r="G175" i="71" s="1"/>
  <c r="D122" i="71"/>
  <c r="E153" i="71" s="1"/>
  <c r="F153" i="71" s="1"/>
  <c r="G153" i="71" s="1"/>
  <c r="D127" i="71"/>
  <c r="E158" i="71" s="1"/>
  <c r="D128" i="71"/>
  <c r="E159" i="71" s="1"/>
  <c r="F159" i="71" s="1"/>
  <c r="G159" i="71" s="1"/>
  <c r="D124" i="71"/>
  <c r="E155" i="71" s="1"/>
  <c r="F155" i="71" s="1"/>
  <c r="G155" i="71" s="1"/>
  <c r="D121" i="71"/>
  <c r="E152" i="71" s="1"/>
  <c r="D120" i="71"/>
  <c r="E169" i="71" s="1"/>
  <c r="D123" i="71"/>
  <c r="E172" i="71" s="1"/>
  <c r="F172" i="71" s="1"/>
  <c r="G172" i="71" s="1"/>
  <c r="D125" i="71"/>
  <c r="E156" i="71" s="1"/>
  <c r="F156" i="71" s="1"/>
  <c r="H34" i="8"/>
  <c r="A34" i="8"/>
  <c r="G94" i="71"/>
  <c r="H94" i="71" s="1"/>
  <c r="G102" i="71"/>
  <c r="H102" i="71" s="1"/>
  <c r="G99" i="71"/>
  <c r="H99" i="71" s="1"/>
  <c r="G100" i="71"/>
  <c r="H100" i="71" s="1"/>
  <c r="G97" i="71"/>
  <c r="H97" i="71" s="1"/>
  <c r="G98" i="71"/>
  <c r="H98" i="71" s="1"/>
  <c r="G96" i="71"/>
  <c r="H96" i="71" s="1"/>
  <c r="G101" i="71"/>
  <c r="H101" i="71" s="1"/>
  <c r="C22" i="17"/>
  <c r="A72" i="7"/>
  <c r="A73" i="7" s="1"/>
  <c r="A74" i="7" s="1"/>
  <c r="A75" i="7" s="1"/>
  <c r="A76" i="7" s="1"/>
  <c r="A77" i="7" s="1"/>
  <c r="A78" i="7" s="1"/>
  <c r="A79" i="7" s="1"/>
  <c r="A80" i="7" s="1"/>
  <c r="A81" i="7" s="1"/>
  <c r="A82" i="7" s="1"/>
  <c r="A83" i="7" s="1"/>
  <c r="A84" i="7" s="1"/>
  <c r="A85" i="7" s="1"/>
  <c r="A86" i="7" s="1"/>
  <c r="E88" i="7" s="1"/>
  <c r="E73" i="7"/>
  <c r="A118" i="11"/>
  <c r="A119" i="11" s="1"/>
  <c r="A120" i="11" s="1"/>
  <c r="A121" i="11" s="1"/>
  <c r="A122" i="11" s="1"/>
  <c r="A123" i="11" s="1"/>
  <c r="A124" i="11" s="1"/>
  <c r="A125" i="11" s="1"/>
  <c r="A126" i="11" s="1"/>
  <c r="A127" i="11" s="1"/>
  <c r="A128" i="11" s="1"/>
  <c r="A129" i="11" s="1"/>
  <c r="F69" i="11" s="1"/>
  <c r="D63" i="7"/>
  <c r="D64" i="7" s="1"/>
  <c r="E105" i="71"/>
  <c r="A87" i="7"/>
  <c r="A88" i="7" s="1"/>
  <c r="A89" i="7" s="1"/>
  <c r="C23" i="17"/>
  <c r="I53" i="1"/>
  <c r="G55" i="22"/>
  <c r="A98" i="12"/>
  <c r="G94" i="12"/>
  <c r="E137" i="71"/>
  <c r="E157" i="71"/>
  <c r="F157" i="71" s="1"/>
  <c r="G157" i="71" s="1"/>
  <c r="A66" i="71"/>
  <c r="D151" i="71"/>
  <c r="D152" i="71"/>
  <c r="E174" i="71"/>
  <c r="F174" i="71" s="1"/>
  <c r="G174" i="71" s="1"/>
  <c r="D169" i="71"/>
  <c r="D180" i="71" s="1"/>
  <c r="H77" i="71"/>
  <c r="G78" i="71"/>
  <c r="G88" i="71" s="1"/>
  <c r="E69" i="71"/>
  <c r="D69" i="71"/>
  <c r="F88" i="71"/>
  <c r="F105" i="71"/>
  <c r="I44" i="1"/>
  <c r="A58" i="44"/>
  <c r="A59" i="44" s="1"/>
  <c r="G65" i="44"/>
  <c r="A49" i="1"/>
  <c r="A50" i="1" s="1"/>
  <c r="A51" i="1" s="1"/>
  <c r="A52" i="1" s="1"/>
  <c r="C20" i="17" s="1"/>
  <c r="H44" i="44" l="1"/>
  <c r="H87" i="44" s="1"/>
  <c r="E151" i="71"/>
  <c r="E121" i="71"/>
  <c r="E176" i="71"/>
  <c r="F176" i="71" s="1"/>
  <c r="G176" i="71" s="1"/>
  <c r="E127" i="71"/>
  <c r="E154" i="71"/>
  <c r="F154" i="71" s="1"/>
  <c r="E126" i="71"/>
  <c r="D131" i="71"/>
  <c r="E128" i="71"/>
  <c r="E171" i="71"/>
  <c r="F171" i="71" s="1"/>
  <c r="G171" i="71" s="1"/>
  <c r="E170" i="71"/>
  <c r="F170" i="71" s="1"/>
  <c r="E120" i="71"/>
  <c r="E173" i="71"/>
  <c r="F173" i="71" s="1"/>
  <c r="G173" i="71" s="1"/>
  <c r="E123" i="71"/>
  <c r="E122" i="71"/>
  <c r="E177" i="71"/>
  <c r="F177" i="71" s="1"/>
  <c r="G177" i="71" s="1"/>
  <c r="E125" i="71"/>
  <c r="E124" i="71"/>
  <c r="E178" i="71"/>
  <c r="F178" i="71" s="1"/>
  <c r="G178" i="71" s="1"/>
  <c r="E160" i="71"/>
  <c r="F160" i="71" s="1"/>
  <c r="G160" i="71" s="1"/>
  <c r="A38" i="8"/>
  <c r="H55" i="8"/>
  <c r="E89" i="7"/>
  <c r="E79" i="7"/>
  <c r="B187" i="71"/>
  <c r="A137" i="11"/>
  <c r="A138" i="11" s="1"/>
  <c r="A139" i="11" s="1"/>
  <c r="A140" i="11" s="1"/>
  <c r="A141" i="11" s="1"/>
  <c r="A142" i="11" s="1"/>
  <c r="A143" i="11" s="1"/>
  <c r="A144" i="11" s="1"/>
  <c r="A145" i="11" s="1"/>
  <c r="A146" i="11" s="1"/>
  <c r="A147" i="11" s="1"/>
  <c r="A148" i="11" s="1"/>
  <c r="A149" i="11" s="1"/>
  <c r="A157" i="11" s="1"/>
  <c r="D69" i="7"/>
  <c r="G105" i="71"/>
  <c r="D65" i="7"/>
  <c r="A90" i="7"/>
  <c r="A91" i="7" s="1"/>
  <c r="I147" i="1" s="1"/>
  <c r="G90" i="44"/>
  <c r="A99" i="12"/>
  <c r="A100" i="12" s="1"/>
  <c r="A101" i="12" s="1"/>
  <c r="A53" i="1"/>
  <c r="A54" i="1" s="1"/>
  <c r="I52" i="1"/>
  <c r="E139" i="71"/>
  <c r="E143" i="71" s="1"/>
  <c r="F158" i="71"/>
  <c r="G158" i="71" s="1"/>
  <c r="G156" i="71"/>
  <c r="F151" i="71"/>
  <c r="F169" i="71"/>
  <c r="F152" i="71"/>
  <c r="G152" i="71" s="1"/>
  <c r="A67" i="71"/>
  <c r="B183" i="71" s="1"/>
  <c r="H78" i="71"/>
  <c r="H88" i="71" s="1"/>
  <c r="H95" i="71"/>
  <c r="H105" i="71" s="1"/>
  <c r="E91" i="7"/>
  <c r="E80" i="7"/>
  <c r="E86" i="7"/>
  <c r="E84" i="7"/>
  <c r="G78" i="44"/>
  <c r="A64" i="44"/>
  <c r="E180" i="71" l="1"/>
  <c r="F180" i="71"/>
  <c r="G169" i="71"/>
  <c r="F162" i="71"/>
  <c r="G154" i="71"/>
  <c r="G170" i="71"/>
  <c r="E131" i="71"/>
  <c r="E162" i="71"/>
  <c r="H56" i="8"/>
  <c r="A41" i="8"/>
  <c r="A42" i="8" s="1"/>
  <c r="A43" i="8" s="1"/>
  <c r="A44" i="8" s="1"/>
  <c r="A45" i="8" s="1"/>
  <c r="A48" i="8" s="1"/>
  <c r="H69" i="11"/>
  <c r="A158" i="1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I54" i="1"/>
  <c r="G101" i="12"/>
  <c r="A55" i="1"/>
  <c r="A56" i="1" s="1"/>
  <c r="A58" i="1" s="1"/>
  <c r="E142" i="71"/>
  <c r="E144" i="71" s="1"/>
  <c r="F137" i="71"/>
  <c r="A68" i="71"/>
  <c r="G151" i="71"/>
  <c r="D162" i="71"/>
  <c r="A65" i="44"/>
  <c r="A66" i="44" s="1"/>
  <c r="A67" i="44" s="1"/>
  <c r="A68" i="44" s="1"/>
  <c r="A69" i="44" s="1"/>
  <c r="A70" i="44" s="1"/>
  <c r="G180" i="71" l="1"/>
  <c r="A309" i="11"/>
  <c r="A310" i="11" s="1"/>
  <c r="A311" i="11" s="1"/>
  <c r="A312" i="11" s="1"/>
  <c r="A313" i="11" s="1"/>
  <c r="A314" i="11" s="1"/>
  <c r="A315" i="11" s="1"/>
  <c r="A316" i="11" s="1"/>
  <c r="A317" i="11" s="1"/>
  <c r="A318" i="11" s="1"/>
  <c r="A319" i="11" s="1"/>
  <c r="A320" i="11" s="1"/>
  <c r="A321" i="11" s="1"/>
  <c r="A326" i="11" s="1"/>
  <c r="A327" i="11" s="1"/>
  <c r="A49" i="8"/>
  <c r="A50" i="8" s="1"/>
  <c r="A51" i="8" s="1"/>
  <c r="A52" i="8" s="1"/>
  <c r="A53" i="8" s="1"/>
  <c r="A54" i="8" s="1"/>
  <c r="A55" i="8" s="1"/>
  <c r="A56" i="8" s="1"/>
  <c r="A57" i="8" s="1"/>
  <c r="A58" i="8" s="1"/>
  <c r="A59" i="8" s="1"/>
  <c r="G69" i="11"/>
  <c r="A71" i="44"/>
  <c r="A72" i="44" s="1"/>
  <c r="G66" i="44"/>
  <c r="I58" i="1"/>
  <c r="I56" i="1"/>
  <c r="E145" i="71"/>
  <c r="D19" i="31" s="1"/>
  <c r="A69" i="71"/>
  <c r="A77" i="71" s="1"/>
  <c r="F69" i="71"/>
  <c r="G162" i="71"/>
  <c r="G79" i="44"/>
  <c r="I129" i="1"/>
  <c r="A63" i="1"/>
  <c r="G25" i="12" l="1"/>
  <c r="A328" i="11"/>
  <c r="A331" i="11" s="1"/>
  <c r="A332" i="11" s="1"/>
  <c r="G26" i="12" s="1"/>
  <c r="H59" i="8"/>
  <c r="A61" i="8"/>
  <c r="A63" i="8" s="1"/>
  <c r="A73" i="44"/>
  <c r="A74" i="44" s="1"/>
  <c r="E19" i="31"/>
  <c r="A78" i="71"/>
  <c r="A79" i="71" s="1"/>
  <c r="A80" i="71" s="1"/>
  <c r="A81" i="71" s="1"/>
  <c r="A82" i="71" s="1"/>
  <c r="A83" i="71" s="1"/>
  <c r="A84" i="71" s="1"/>
  <c r="A85" i="71" s="1"/>
  <c r="A86" i="71" s="1"/>
  <c r="A87" i="71" s="1"/>
  <c r="I88" i="71" s="1"/>
  <c r="A64" i="1"/>
  <c r="A333" i="11" l="1"/>
  <c r="A336" i="11" s="1"/>
  <c r="A337" i="11" s="1"/>
  <c r="A67" i="8"/>
  <c r="G67" i="8"/>
  <c r="H63" i="8"/>
  <c r="G74" i="44"/>
  <c r="G81" i="44"/>
  <c r="A77" i="44"/>
  <c r="A78" i="44" s="1"/>
  <c r="A79" i="44" s="1"/>
  <c r="A80" i="44" s="1"/>
  <c r="A81" i="44" s="1"/>
  <c r="G27" i="12"/>
  <c r="A338" i="11"/>
  <c r="A339" i="11" s="1"/>
  <c r="A342" i="11" s="1"/>
  <c r="A343" i="11" s="1"/>
  <c r="A344" i="11" s="1"/>
  <c r="A345" i="11" s="1"/>
  <c r="A346" i="11" s="1"/>
  <c r="A349" i="11" s="1"/>
  <c r="A350" i="11" s="1"/>
  <c r="A351" i="11" s="1"/>
  <c r="A354" i="11" s="1"/>
  <c r="A355" i="11" s="1"/>
  <c r="A356" i="11" s="1"/>
  <c r="A359" i="11" s="1"/>
  <c r="A360" i="11" s="1"/>
  <c r="A361" i="11" s="1"/>
  <c r="A364" i="11" s="1"/>
  <c r="A365" i="11" s="1"/>
  <c r="A366" i="11" s="1"/>
  <c r="A369" i="11" s="1"/>
  <c r="A370" i="11" s="1"/>
  <c r="A371" i="11" s="1"/>
  <c r="A374" i="11" s="1"/>
  <c r="A375" i="11" s="1"/>
  <c r="A376" i="11" s="1"/>
  <c r="A379" i="11" s="1"/>
  <c r="A380" i="11" s="1"/>
  <c r="A381" i="11" s="1"/>
  <c r="A384" i="11" s="1"/>
  <c r="A385" i="11" s="1"/>
  <c r="A386" i="11" s="1"/>
  <c r="A389" i="11" s="1"/>
  <c r="A390" i="11" s="1"/>
  <c r="A391" i="11" s="1"/>
  <c r="A32" i="2"/>
  <c r="A88" i="71"/>
  <c r="A94" i="71" s="1"/>
  <c r="B192" i="71"/>
  <c r="A65" i="1"/>
  <c r="I64" i="1" s="1"/>
  <c r="A68" i="8" l="1"/>
  <c r="A69" i="8" s="1"/>
  <c r="G69" i="8"/>
  <c r="G88" i="44"/>
  <c r="A87" i="44"/>
  <c r="A88" i="44" s="1"/>
  <c r="A89" i="44" s="1"/>
  <c r="A90" i="44" s="1"/>
  <c r="A91" i="44" s="1"/>
  <c r="A92" i="44" s="1"/>
  <c r="A93" i="44" s="1"/>
  <c r="I155" i="1" s="1"/>
  <c r="A33" i="2"/>
  <c r="A34" i="2" s="1"/>
  <c r="A35" i="2" s="1"/>
  <c r="A95" i="71"/>
  <c r="A96" i="71" s="1"/>
  <c r="A97" i="71" s="1"/>
  <c r="A98" i="71" s="1"/>
  <c r="A99" i="71" s="1"/>
  <c r="A100" i="71" s="1"/>
  <c r="A101" i="71" s="1"/>
  <c r="A102" i="71" s="1"/>
  <c r="A103" i="71" s="1"/>
  <c r="A104" i="71" s="1"/>
  <c r="A105" i="71" s="1"/>
  <c r="A111" i="71" s="1"/>
  <c r="A68" i="1"/>
  <c r="I83" i="1"/>
  <c r="A70" i="8" l="1"/>
  <c r="A71" i="8" s="1"/>
  <c r="B101" i="44"/>
  <c r="G93" i="44"/>
  <c r="G91" i="44"/>
  <c r="E35" i="2"/>
  <c r="E34" i="2"/>
  <c r="A36" i="2"/>
  <c r="A37" i="2" s="1"/>
  <c r="A38" i="2" s="1"/>
  <c r="I105" i="71"/>
  <c r="A112" i="71"/>
  <c r="A113" i="71" s="1"/>
  <c r="F114" i="71" s="1"/>
  <c r="A69" i="1"/>
  <c r="A70" i="1" s="1"/>
  <c r="A72" i="8" l="1"/>
  <c r="H14" i="65" s="1"/>
  <c r="G72" i="8"/>
  <c r="A39" i="2"/>
  <c r="A40" i="2" s="1"/>
  <c r="A41" i="2" s="1"/>
  <c r="F113" i="71"/>
  <c r="A114" i="71"/>
  <c r="A115" i="71" s="1"/>
  <c r="A120" i="71" s="1"/>
  <c r="F138" i="71"/>
  <c r="A73" i="1"/>
  <c r="I75" i="1" s="1"/>
  <c r="I84" i="1"/>
  <c r="E40" i="2" l="1"/>
  <c r="E41" i="2"/>
  <c r="A42" i="2"/>
  <c r="F115" i="71"/>
  <c r="A121" i="71"/>
  <c r="A122" i="71" s="1"/>
  <c r="A123" i="71" s="1"/>
  <c r="A124" i="71" s="1"/>
  <c r="A125" i="71" s="1"/>
  <c r="A126" i="71" s="1"/>
  <c r="A127" i="71" s="1"/>
  <c r="A128" i="71" s="1"/>
  <c r="A129" i="71" s="1"/>
  <c r="A130" i="71" s="1"/>
  <c r="A131" i="71" s="1"/>
  <c r="A137" i="71" s="1"/>
  <c r="A75" i="1"/>
  <c r="I80" i="1" s="1"/>
  <c r="A44" i="2" l="1"/>
  <c r="A45" i="2" s="1"/>
  <c r="A46" i="2" s="1"/>
  <c r="A47" i="2" s="1"/>
  <c r="A48" i="2" s="1"/>
  <c r="A43" i="2"/>
  <c r="A138" i="71"/>
  <c r="A139" i="71" s="1"/>
  <c r="F131" i="71"/>
  <c r="B193" i="71"/>
  <c r="A78" i="1"/>
  <c r="I78" i="1"/>
  <c r="I79" i="1"/>
  <c r="A49" i="2" l="1"/>
  <c r="A50" i="2" s="1"/>
  <c r="A51" i="2" s="1"/>
  <c r="A52" i="2" s="1"/>
  <c r="A53" i="2" s="1"/>
  <c r="F139" i="71"/>
  <c r="A140" i="71"/>
  <c r="A141" i="71" s="1"/>
  <c r="A142" i="71" s="1"/>
  <c r="A143" i="71" s="1"/>
  <c r="A144" i="71" s="1"/>
  <c r="A145" i="71" s="1"/>
  <c r="B37" i="3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F96" i="8" s="1"/>
  <c r="I89" i="1"/>
  <c r="G93" i="12" l="1"/>
  <c r="I15" i="12"/>
  <c r="A83" i="1"/>
  <c r="A84" i="1" s="1"/>
  <c r="A85" i="1" s="1"/>
  <c r="I81" i="1"/>
  <c r="G100" i="12" l="1"/>
  <c r="I90" i="1"/>
  <c r="A88" i="1"/>
  <c r="A89" i="1" s="1"/>
  <c r="F95" i="8" s="1"/>
  <c r="E21" i="7" l="1"/>
  <c r="F94" i="8"/>
  <c r="A90" i="1"/>
  <c r="I93" i="1" s="1"/>
  <c r="I91" i="1" l="1"/>
  <c r="A91" i="1"/>
  <c r="F25" i="71" l="1"/>
  <c r="A93" i="1"/>
  <c r="I95" i="1"/>
  <c r="F32" i="71" l="1"/>
  <c r="E22" i="7"/>
  <c r="I116" i="1"/>
  <c r="A95" i="1"/>
  <c r="A100" i="1" l="1"/>
  <c r="I131" i="1"/>
  <c r="A101" i="1" l="1"/>
  <c r="A102" i="1" s="1"/>
  <c r="J16" i="28" s="1"/>
  <c r="F33" i="71" l="1"/>
  <c r="I16" i="12"/>
  <c r="H43" i="8"/>
  <c r="E23" i="7"/>
  <c r="G56" i="44"/>
  <c r="I117" i="1"/>
  <c r="E47" i="2"/>
  <c r="E46" i="2"/>
  <c r="I102" i="1"/>
  <c r="A105" i="1"/>
  <c r="A106" i="1" l="1"/>
  <c r="A107" i="1" s="1"/>
  <c r="A108" i="1" s="1"/>
  <c r="A110" i="1" s="1"/>
  <c r="A112" i="1" s="1"/>
  <c r="H45" i="8" s="1"/>
  <c r="H44" i="8"/>
  <c r="I118" i="1"/>
  <c r="I108" i="1" l="1"/>
  <c r="I132" i="1"/>
  <c r="A124" i="1"/>
  <c r="I110" i="1"/>
  <c r="A125" i="1" l="1"/>
  <c r="H49" i="8" s="1"/>
  <c r="H48" i="8"/>
  <c r="A126" i="1" l="1"/>
  <c r="H50" i="8" s="1"/>
  <c r="E72" i="7"/>
  <c r="I17" i="1"/>
  <c r="A127" i="1"/>
  <c r="H51" i="8" s="1"/>
  <c r="A128" i="1" l="1"/>
  <c r="H52" i="8" s="1"/>
  <c r="A129" i="1" l="1"/>
  <c r="H53" i="8" s="1"/>
  <c r="A130" i="1" l="1"/>
  <c r="H54" i="8" s="1"/>
  <c r="A131" i="1" l="1"/>
  <c r="A132" i="1" l="1"/>
  <c r="A133" i="1" s="1"/>
  <c r="A134" i="1" s="1"/>
  <c r="A135" i="1" s="1"/>
  <c r="A136" i="1" s="1"/>
  <c r="I136" i="1"/>
  <c r="H58" i="8"/>
  <c r="H57" i="8" l="1"/>
  <c r="A138" i="1"/>
  <c r="A139" i="1" s="1"/>
  <c r="G89" i="44" s="1"/>
  <c r="E53" i="2"/>
  <c r="E52" i="2"/>
  <c r="I141" i="1" l="1"/>
  <c r="A141" i="1"/>
  <c r="I146" i="1" s="1"/>
  <c r="I139" i="1"/>
  <c r="I138" i="1"/>
  <c r="E70" i="7"/>
  <c r="A146" i="1"/>
  <c r="A147" i="1" s="1"/>
  <c r="A148" i="1" s="1"/>
  <c r="A149" i="1" l="1"/>
  <c r="A151" i="1" s="1"/>
  <c r="A154" i="1" l="1"/>
  <c r="A155" i="1" s="1"/>
  <c r="A156" i="1" s="1"/>
  <c r="G4" i="31" s="1"/>
  <c r="I154" i="1"/>
  <c r="I151" i="1"/>
  <c r="I156" i="1" l="1"/>
  <c r="K53" i="1" l="1"/>
  <c r="I92" i="46"/>
  <c r="I91" i="46"/>
  <c r="I74" i="46"/>
  <c r="H74" i="46" l="1"/>
  <c r="G74" i="46" s="1"/>
  <c r="H91" i="46"/>
  <c r="G91" i="46" s="1"/>
  <c r="H92" i="46"/>
  <c r="G92" i="46" s="1"/>
  <c r="C150" i="46" l="1"/>
  <c r="H105" i="46" l="1"/>
  <c r="G105" i="46" l="1"/>
  <c r="G106" i="46" s="1"/>
  <c r="H106" i="46"/>
  <c r="I118" i="46"/>
  <c r="I117" i="46"/>
  <c r="I116" i="46"/>
  <c r="I115" i="46"/>
  <c r="I121" i="46" l="1"/>
  <c r="H118" i="46"/>
  <c r="G118" i="46" s="1"/>
  <c r="H115" i="46"/>
  <c r="H116" i="46"/>
  <c r="G116" i="46" s="1"/>
  <c r="H117" i="46"/>
  <c r="G117" i="46" s="1"/>
  <c r="G115" i="46" l="1"/>
  <c r="H121" i="46"/>
  <c r="K124" i="1" l="1"/>
  <c r="G6" i="2"/>
  <c r="G14" i="2" s="1"/>
  <c r="F52" i="21" l="1"/>
  <c r="F59" i="21"/>
  <c r="F62" i="4"/>
  <c r="F57" i="4"/>
  <c r="H85" i="64"/>
  <c r="H73" i="44"/>
  <c r="H74" i="44" s="1"/>
  <c r="G31" i="79"/>
  <c r="G32" i="79" s="1"/>
  <c r="I26" i="79"/>
  <c r="I27" i="79" s="1"/>
  <c r="G38" i="79"/>
  <c r="G39" i="79" s="1"/>
  <c r="I38" i="79"/>
  <c r="I39" i="79" s="1"/>
  <c r="I31" i="79"/>
  <c r="I32" i="79" s="1"/>
  <c r="G26" i="79"/>
  <c r="G27" i="79" s="1"/>
  <c r="K27" i="79" s="1"/>
  <c r="H132" i="15"/>
  <c r="H133" i="15" s="1"/>
  <c r="H71" i="15"/>
  <c r="H72" i="15" s="1"/>
  <c r="H91" i="15"/>
  <c r="H92" i="15" s="1"/>
  <c r="G24" i="2"/>
  <c r="F50" i="22"/>
  <c r="D28" i="54"/>
  <c r="F26" i="26"/>
  <c r="F27" i="26" s="1"/>
  <c r="F54" i="22"/>
  <c r="F55" i="22" s="1"/>
  <c r="K16" i="1" s="1"/>
  <c r="K55" i="1"/>
  <c r="K56" i="1" s="1"/>
  <c r="F24" i="22"/>
  <c r="E28" i="54"/>
  <c r="G22" i="2"/>
  <c r="G27" i="2" s="1"/>
  <c r="J48" i="8"/>
  <c r="K39" i="79" l="1"/>
  <c r="F51" i="22"/>
  <c r="J13" i="8" s="1"/>
  <c r="F58" i="4"/>
  <c r="J7" i="8" s="1"/>
  <c r="F53" i="21"/>
  <c r="J20" i="8" s="1"/>
  <c r="K32" i="79"/>
  <c r="F63" i="4"/>
  <c r="K10" i="1" s="1"/>
  <c r="H86" i="64"/>
  <c r="F93" i="64" s="1"/>
  <c r="E29" i="54"/>
  <c r="E38" i="54" s="1"/>
  <c r="K11" i="1" s="1"/>
  <c r="D29" i="54"/>
  <c r="D38" i="54" s="1"/>
  <c r="F60" i="21"/>
  <c r="K23" i="1" s="1"/>
  <c r="K24" i="1" s="1"/>
  <c r="I18" i="79"/>
  <c r="G19" i="79"/>
  <c r="G17" i="79"/>
  <c r="G18" i="79"/>
  <c r="H81" i="44"/>
  <c r="H83" i="44" s="1"/>
  <c r="F27" i="22"/>
  <c r="J12" i="8" s="1"/>
  <c r="F26" i="22"/>
  <c r="K15" i="1" s="1"/>
  <c r="D41" i="54" l="1"/>
  <c r="J8" i="8"/>
  <c r="G20" i="79"/>
  <c r="H88" i="44"/>
  <c r="I19" i="79"/>
  <c r="K19" i="79" s="1"/>
  <c r="K18" i="79"/>
  <c r="I17" i="79"/>
  <c r="G91" i="15"/>
  <c r="G92" i="15" s="1"/>
  <c r="G132" i="15"/>
  <c r="G133" i="15" s="1"/>
  <c r="D133" i="15" s="1"/>
  <c r="G71" i="15"/>
  <c r="G72" i="15" s="1"/>
  <c r="D72" i="15" s="1"/>
  <c r="K40" i="1"/>
  <c r="K41" i="1" s="1"/>
  <c r="K58" i="1" s="1"/>
  <c r="F28" i="26"/>
  <c r="F29" i="26" s="1"/>
  <c r="H92" i="44" l="1"/>
  <c r="F30" i="26"/>
  <c r="K125" i="1" s="1"/>
  <c r="I20" i="79"/>
  <c r="K9" i="79" s="1"/>
  <c r="K31" i="1" s="1"/>
  <c r="D92" i="15"/>
  <c r="D11" i="15" s="1"/>
  <c r="K17" i="79"/>
  <c r="D12" i="15"/>
  <c r="K17" i="1" l="1"/>
  <c r="K18" i="1" s="1"/>
  <c r="D72" i="7"/>
  <c r="J49" i="8"/>
  <c r="K20" i="79"/>
  <c r="K10" i="79" s="1"/>
  <c r="J26" i="8" s="1"/>
  <c r="J14" i="8"/>
  <c r="J15" i="8" s="1"/>
  <c r="K129" i="1" l="1"/>
  <c r="D10" i="15"/>
  <c r="D14" i="15" s="1"/>
  <c r="E158" i="15" s="1"/>
  <c r="J53" i="8" l="1"/>
  <c r="C13" i="64"/>
  <c r="D71" i="21" s="1"/>
  <c r="D157" i="15" l="1"/>
  <c r="I157" i="15" s="1"/>
  <c r="D149" i="15"/>
  <c r="I149" i="15" s="1"/>
  <c r="K26" i="1"/>
  <c r="K34" i="1" s="1"/>
  <c r="D148" i="15"/>
  <c r="I148" i="15" s="1"/>
  <c r="D146" i="15"/>
  <c r="I146" i="15" s="1"/>
  <c r="J146" i="15" s="1"/>
  <c r="D147" i="15"/>
  <c r="I147" i="15" s="1"/>
  <c r="D152" i="15"/>
  <c r="I152" i="15" s="1"/>
  <c r="D154" i="15"/>
  <c r="I154" i="15" s="1"/>
  <c r="D151" i="15"/>
  <c r="I151" i="15" s="1"/>
  <c r="D153" i="15"/>
  <c r="I153" i="15" s="1"/>
  <c r="D155" i="15"/>
  <c r="I155" i="15" s="1"/>
  <c r="D156" i="15"/>
  <c r="I156" i="15" s="1"/>
  <c r="D150" i="15"/>
  <c r="I150" i="15" s="1"/>
  <c r="C14" i="64"/>
  <c r="D72" i="21" s="1"/>
  <c r="E146" i="15" l="1"/>
  <c r="E147" i="15" s="1"/>
  <c r="E148" i="15" s="1"/>
  <c r="E149" i="15" s="1"/>
  <c r="E150" i="15" s="1"/>
  <c r="E151" i="15" s="1"/>
  <c r="E152" i="15" s="1"/>
  <c r="E153" i="15" s="1"/>
  <c r="E154" i="15" s="1"/>
  <c r="E155" i="15" s="1"/>
  <c r="E156" i="15" s="1"/>
  <c r="E157" i="15" s="1"/>
  <c r="J147" i="15"/>
  <c r="J148" i="15" s="1"/>
  <c r="J149" i="15" s="1"/>
  <c r="J150" i="15" s="1"/>
  <c r="J151" i="15" s="1"/>
  <c r="J152" i="15" s="1"/>
  <c r="J153" i="15" s="1"/>
  <c r="J154" i="15" s="1"/>
  <c r="J155" i="15" s="1"/>
  <c r="J156" i="15" s="1"/>
  <c r="J157" i="15" s="1"/>
  <c r="D24" i="15" s="1"/>
  <c r="C15" i="64"/>
  <c r="D73" i="21" s="1"/>
  <c r="J23" i="8" l="1"/>
  <c r="C16" i="64"/>
  <c r="D74" i="21" s="1"/>
  <c r="C17" i="64" l="1"/>
  <c r="D75" i="21" s="1"/>
  <c r="C18" i="64" l="1"/>
  <c r="D76" i="21" s="1"/>
  <c r="C19" i="64" l="1"/>
  <c r="D77" i="21" s="1"/>
  <c r="C20" i="64" l="1"/>
  <c r="D78" i="21" s="1"/>
  <c r="C21" i="64" l="1"/>
  <c r="D79" i="21" s="1"/>
  <c r="C22" i="64" l="1"/>
  <c r="D80" i="21" s="1"/>
  <c r="C23" i="64" l="1"/>
  <c r="D81" i="21" s="1"/>
  <c r="C24" i="4"/>
  <c r="D82" i="21" l="1"/>
  <c r="C60" i="64"/>
  <c r="D109" i="21" l="1"/>
  <c r="D13" i="64"/>
  <c r="E71" i="21" s="1"/>
  <c r="D112" i="21" l="1"/>
  <c r="D14" i="64"/>
  <c r="E72" i="21" s="1"/>
  <c r="D129" i="21" l="1"/>
  <c r="D121" i="21"/>
  <c r="D123" i="21"/>
  <c r="D122" i="21"/>
  <c r="D124" i="21"/>
  <c r="D127" i="21"/>
  <c r="D119" i="21"/>
  <c r="D126" i="21"/>
  <c r="D128" i="21"/>
  <c r="D130" i="21"/>
  <c r="D125" i="21"/>
  <c r="D120" i="21"/>
  <c r="D15" i="64"/>
  <c r="E73" i="21" s="1"/>
  <c r="D131" i="21" l="1"/>
  <c r="D13" i="21"/>
  <c r="D16" i="64"/>
  <c r="E74" i="21" s="1"/>
  <c r="D14" i="21" l="1"/>
  <c r="D17" i="64"/>
  <c r="E75" i="21" s="1"/>
  <c r="D15" i="21" l="1"/>
  <c r="D18" i="64"/>
  <c r="E76" i="21" s="1"/>
  <c r="D16" i="21" l="1"/>
  <c r="D19" i="64"/>
  <c r="E77" i="21" s="1"/>
  <c r="D17" i="21" l="1"/>
  <c r="D20" i="64"/>
  <c r="E78" i="21" s="1"/>
  <c r="D18" i="21" l="1"/>
  <c r="D21" i="64"/>
  <c r="E79" i="21" s="1"/>
  <c r="D19" i="21" l="1"/>
  <c r="D22" i="64"/>
  <c r="E80" i="21" s="1"/>
  <c r="D20" i="21" l="1"/>
  <c r="D23" i="64"/>
  <c r="E81" i="21" s="1"/>
  <c r="D24" i="4"/>
  <c r="E82" i="21" l="1"/>
  <c r="D21" i="21"/>
  <c r="D60" i="64"/>
  <c r="D22" i="21" l="1"/>
  <c r="E109" i="21"/>
  <c r="I24" i="64"/>
  <c r="C125" i="48" s="1"/>
  <c r="E125" i="48" s="1"/>
  <c r="F24" i="64"/>
  <c r="C122" i="48" s="1"/>
  <c r="E122" i="48" s="1"/>
  <c r="G24" i="64"/>
  <c r="C123" i="48" s="1"/>
  <c r="E123" i="48" s="1"/>
  <c r="L182" i="4"/>
  <c r="L190" i="4" s="1"/>
  <c r="L24" i="64"/>
  <c r="C128" i="48" s="1"/>
  <c r="E128" i="48" s="1"/>
  <c r="F182" i="4"/>
  <c r="F190" i="4" s="1"/>
  <c r="G182" i="4"/>
  <c r="G190" i="4" s="1"/>
  <c r="G197" i="4" s="1"/>
  <c r="G12" i="4" s="1"/>
  <c r="K182" i="4"/>
  <c r="K190" i="4" s="1"/>
  <c r="K202" i="4" s="1"/>
  <c r="K24" i="64"/>
  <c r="C127" i="48" s="1"/>
  <c r="E127" i="48" s="1"/>
  <c r="J24" i="64"/>
  <c r="C126" i="48" s="1"/>
  <c r="E126" i="48" s="1"/>
  <c r="J182" i="4"/>
  <c r="J190" i="4" s="1"/>
  <c r="J208" i="4" s="1"/>
  <c r="M23" i="4"/>
  <c r="M24" i="64" s="1"/>
  <c r="H182" i="4"/>
  <c r="H190" i="4" s="1"/>
  <c r="H24" i="64"/>
  <c r="C124" i="48" s="1"/>
  <c r="E124" i="48" s="1"/>
  <c r="E182" i="4"/>
  <c r="E190" i="4" s="1"/>
  <c r="E24" i="64"/>
  <c r="C121" i="48" s="1"/>
  <c r="E121" i="48" s="1"/>
  <c r="I182" i="4"/>
  <c r="I190" i="4" s="1"/>
  <c r="K208" i="4" l="1"/>
  <c r="E200" i="4"/>
  <c r="E206" i="4"/>
  <c r="E199" i="4"/>
  <c r="D36" i="7"/>
  <c r="D23" i="21"/>
  <c r="E112" i="21"/>
  <c r="J205" i="4"/>
  <c r="J203" i="4"/>
  <c r="J201" i="4"/>
  <c r="J206" i="4"/>
  <c r="J198" i="4"/>
  <c r="J200" i="4"/>
  <c r="J199" i="4"/>
  <c r="J204" i="4"/>
  <c r="J197" i="4"/>
  <c r="J12" i="4" s="1"/>
  <c r="J207" i="4"/>
  <c r="J202" i="4"/>
  <c r="G199" i="4"/>
  <c r="G201" i="4"/>
  <c r="G206" i="4"/>
  <c r="G203" i="4"/>
  <c r="G198" i="4"/>
  <c r="G204" i="4"/>
  <c r="G207" i="4"/>
  <c r="G202" i="4"/>
  <c r="G205" i="4"/>
  <c r="G208" i="4"/>
  <c r="G200" i="4"/>
  <c r="L200" i="4"/>
  <c r="L198" i="4"/>
  <c r="L207" i="4"/>
  <c r="L204" i="4"/>
  <c r="L202" i="4"/>
  <c r="L199" i="4"/>
  <c r="L201" i="4"/>
  <c r="L206" i="4"/>
  <c r="L208" i="4"/>
  <c r="L203" i="4"/>
  <c r="L197" i="4"/>
  <c r="L12" i="4" s="1"/>
  <c r="L205" i="4"/>
  <c r="I200" i="4"/>
  <c r="I204" i="4"/>
  <c r="I203" i="4"/>
  <c r="I205" i="4"/>
  <c r="I198" i="4"/>
  <c r="I201" i="4"/>
  <c r="I197" i="4"/>
  <c r="I12" i="4" s="1"/>
  <c r="I199" i="4"/>
  <c r="I208" i="4"/>
  <c r="I206" i="4"/>
  <c r="I207" i="4"/>
  <c r="I202" i="4"/>
  <c r="H201" i="4"/>
  <c r="H206" i="4"/>
  <c r="H198" i="4"/>
  <c r="H204" i="4"/>
  <c r="H199" i="4"/>
  <c r="H205" i="4"/>
  <c r="H208" i="4"/>
  <c r="H197" i="4"/>
  <c r="H12" i="4" s="1"/>
  <c r="H207" i="4"/>
  <c r="H203" i="4"/>
  <c r="H202" i="4"/>
  <c r="H200" i="4"/>
  <c r="F206" i="4"/>
  <c r="F202" i="4"/>
  <c r="F203" i="4"/>
  <c r="F205" i="4"/>
  <c r="F198" i="4"/>
  <c r="F200" i="4"/>
  <c r="F207" i="4"/>
  <c r="F204" i="4"/>
  <c r="F199" i="4"/>
  <c r="F201" i="4"/>
  <c r="F197" i="4"/>
  <c r="F12" i="4" s="1"/>
  <c r="F208" i="4"/>
  <c r="K203" i="4"/>
  <c r="K205" i="4"/>
  <c r="K199" i="4"/>
  <c r="K207" i="4"/>
  <c r="K204" i="4"/>
  <c r="K198" i="4"/>
  <c r="K206" i="4"/>
  <c r="K201" i="4"/>
  <c r="K200" i="4"/>
  <c r="K197" i="4"/>
  <c r="K12" i="4" s="1"/>
  <c r="E208" i="4"/>
  <c r="D43" i="4"/>
  <c r="K9" i="1" s="1"/>
  <c r="E203" i="4"/>
  <c r="E204" i="4"/>
  <c r="E205" i="4"/>
  <c r="E201" i="4"/>
  <c r="M190" i="4"/>
  <c r="E197" i="4"/>
  <c r="E12" i="4" s="1"/>
  <c r="E202" i="4"/>
  <c r="E198" i="4"/>
  <c r="E207" i="4"/>
  <c r="D25" i="21" l="1"/>
  <c r="H13" i="4"/>
  <c r="H14" i="4" s="1"/>
  <c r="H15" i="4" s="1"/>
  <c r="H16" i="4" s="1"/>
  <c r="H17" i="4" s="1"/>
  <c r="H18" i="4" s="1"/>
  <c r="H19" i="4" s="1"/>
  <c r="H20" i="4" s="1"/>
  <c r="H21" i="4" s="1"/>
  <c r="H22" i="4" s="1"/>
  <c r="L80" i="48"/>
  <c r="J13" i="4"/>
  <c r="J14" i="4" s="1"/>
  <c r="J15" i="4" s="1"/>
  <c r="J16" i="4" s="1"/>
  <c r="J17" i="4" s="1"/>
  <c r="J18" i="4" s="1"/>
  <c r="J19" i="4" s="1"/>
  <c r="J20" i="4" s="1"/>
  <c r="J21" i="4" s="1"/>
  <c r="J22" i="4" s="1"/>
  <c r="K13" i="4"/>
  <c r="K14" i="4" s="1"/>
  <c r="K15" i="4" s="1"/>
  <c r="K16" i="4" s="1"/>
  <c r="K17" i="4" s="1"/>
  <c r="K18" i="4" s="1"/>
  <c r="K19" i="4" s="1"/>
  <c r="K20" i="4" s="1"/>
  <c r="K21" i="4" s="1"/>
  <c r="K22" i="4" s="1"/>
  <c r="L13" i="4"/>
  <c r="L14" i="4" s="1"/>
  <c r="L15" i="4" s="1"/>
  <c r="L16" i="4" s="1"/>
  <c r="L17" i="4" s="1"/>
  <c r="L18" i="4" s="1"/>
  <c r="L19" i="4" s="1"/>
  <c r="L20" i="4" s="1"/>
  <c r="L21" i="4" s="1"/>
  <c r="L22" i="4" s="1"/>
  <c r="G13" i="4"/>
  <c r="G14" i="4" s="1"/>
  <c r="G15" i="4" s="1"/>
  <c r="G16" i="4" s="1"/>
  <c r="G17" i="4" s="1"/>
  <c r="G18" i="4" s="1"/>
  <c r="G19" i="4" s="1"/>
  <c r="G20" i="4" s="1"/>
  <c r="G21" i="4" s="1"/>
  <c r="G22" i="4" s="1"/>
  <c r="F13" i="4"/>
  <c r="F14" i="4" s="1"/>
  <c r="F15" i="4" s="1"/>
  <c r="F16" i="4" s="1"/>
  <c r="F17" i="4" s="1"/>
  <c r="F18" i="4" s="1"/>
  <c r="F19" i="4" s="1"/>
  <c r="F20" i="4" s="1"/>
  <c r="F21" i="4" s="1"/>
  <c r="F22" i="4" s="1"/>
  <c r="I13" i="4"/>
  <c r="I14" i="4" s="1"/>
  <c r="I15" i="4" s="1"/>
  <c r="I16" i="4" s="1"/>
  <c r="I17" i="4" s="1"/>
  <c r="I18" i="4" s="1"/>
  <c r="I19" i="4" s="1"/>
  <c r="I20" i="4" s="1"/>
  <c r="I21" i="4" s="1"/>
  <c r="I22" i="4" s="1"/>
  <c r="E13" i="4"/>
  <c r="E14" i="4" s="1"/>
  <c r="E15" i="4" s="1"/>
  <c r="E16" i="4" s="1"/>
  <c r="E17" i="4" s="1"/>
  <c r="E18" i="4" s="1"/>
  <c r="E19" i="4" s="1"/>
  <c r="E20" i="4" s="1"/>
  <c r="E21" i="4" s="1"/>
  <c r="E22" i="4" s="1"/>
  <c r="E119" i="21"/>
  <c r="E129" i="21"/>
  <c r="E120" i="21"/>
  <c r="E127" i="21"/>
  <c r="E121" i="21"/>
  <c r="E130" i="21"/>
  <c r="E124" i="21"/>
  <c r="E125" i="21"/>
  <c r="E126" i="21"/>
  <c r="E123" i="21"/>
  <c r="E122" i="21"/>
  <c r="E128" i="21"/>
  <c r="G13" i="64"/>
  <c r="H71" i="21" s="1"/>
  <c r="K110" i="1"/>
  <c r="K95" i="1"/>
  <c r="L96" i="48" l="1"/>
  <c r="L98" i="48"/>
  <c r="L61" i="48"/>
  <c r="L99" i="48"/>
  <c r="L81" i="48"/>
  <c r="L87" i="48"/>
  <c r="L50" i="48"/>
  <c r="L68" i="48"/>
  <c r="L91" i="48"/>
  <c r="L85" i="48"/>
  <c r="L93" i="48"/>
  <c r="L88" i="48"/>
  <c r="L47" i="48"/>
  <c r="L64" i="48"/>
  <c r="L52" i="48"/>
  <c r="L53" i="48"/>
  <c r="L65" i="48"/>
  <c r="L33" i="48" s="1"/>
  <c r="L95" i="48"/>
  <c r="L63" i="48"/>
  <c r="L58" i="48"/>
  <c r="L51" i="48"/>
  <c r="L90" i="48"/>
  <c r="L60" i="48"/>
  <c r="L94" i="48"/>
  <c r="L49" i="48"/>
  <c r="L17" i="48" s="1"/>
  <c r="L57" i="48"/>
  <c r="L55" i="48"/>
  <c r="L82" i="48"/>
  <c r="L59" i="48"/>
  <c r="L97" i="48"/>
  <c r="L46" i="48"/>
  <c r="M46" i="48" s="1"/>
  <c r="L62" i="48"/>
  <c r="L86" i="48"/>
  <c r="L84" i="48"/>
  <c r="L79" i="48"/>
  <c r="L77" i="48"/>
  <c r="M77" i="48" s="1"/>
  <c r="N77" i="48" s="1"/>
  <c r="L67" i="48"/>
  <c r="L48" i="48"/>
  <c r="L89" i="48"/>
  <c r="L66" i="48"/>
  <c r="L78" i="48"/>
  <c r="L56" i="48"/>
  <c r="L24" i="48" s="1"/>
  <c r="L54" i="48"/>
  <c r="L92" i="48"/>
  <c r="L83" i="48"/>
  <c r="G16" i="64"/>
  <c r="H74" i="21" s="1"/>
  <c r="G17" i="64"/>
  <c r="H75" i="21" s="1"/>
  <c r="H14" i="64"/>
  <c r="I72" i="21" s="1"/>
  <c r="G15" i="64"/>
  <c r="H73" i="21" s="1"/>
  <c r="L14" i="64"/>
  <c r="M72" i="21" s="1"/>
  <c r="G14" i="64"/>
  <c r="H72" i="21" s="1"/>
  <c r="K131" i="1"/>
  <c r="K132" i="1"/>
  <c r="E131" i="21"/>
  <c r="E13" i="21"/>
  <c r="J14" i="64"/>
  <c r="K72" i="21" s="1"/>
  <c r="E14" i="64"/>
  <c r="F72" i="21" s="1"/>
  <c r="I14" i="64"/>
  <c r="J72" i="21" s="1"/>
  <c r="F13" i="64"/>
  <c r="G71" i="21" s="1"/>
  <c r="K13" i="64"/>
  <c r="L71" i="21" s="1"/>
  <c r="L13" i="64"/>
  <c r="M71" i="21" s="1"/>
  <c r="M13" i="4"/>
  <c r="M14" i="64" s="1"/>
  <c r="I13" i="64"/>
  <c r="J71" i="21" s="1"/>
  <c r="J13" i="64"/>
  <c r="K71" i="21" s="1"/>
  <c r="M12" i="4"/>
  <c r="E13" i="64"/>
  <c r="F71" i="21" s="1"/>
  <c r="H13" i="64"/>
  <c r="I71" i="21" s="1"/>
  <c r="M47" i="48" l="1"/>
  <c r="M48" i="48" s="1"/>
  <c r="M49" i="48" s="1"/>
  <c r="M50" i="48" s="1"/>
  <c r="M51" i="48" s="1"/>
  <c r="M52" i="48" s="1"/>
  <c r="M53" i="48" s="1"/>
  <c r="M54" i="48" s="1"/>
  <c r="M55" i="48" s="1"/>
  <c r="M56" i="48" s="1"/>
  <c r="M57" i="48" s="1"/>
  <c r="M58" i="48" s="1"/>
  <c r="M59" i="48" s="1"/>
  <c r="M60" i="48" s="1"/>
  <c r="M61" i="48" s="1"/>
  <c r="M62" i="48" s="1"/>
  <c r="M63" i="48" s="1"/>
  <c r="M64" i="48" s="1"/>
  <c r="M65" i="48" s="1"/>
  <c r="M66" i="48" s="1"/>
  <c r="M67" i="48" s="1"/>
  <c r="M68" i="48" s="1"/>
  <c r="N71" i="21"/>
  <c r="L29" i="48"/>
  <c r="L25" i="48"/>
  <c r="L35" i="48"/>
  <c r="L36" i="48"/>
  <c r="L31" i="48"/>
  <c r="L22" i="48"/>
  <c r="L28" i="48"/>
  <c r="L20" i="48"/>
  <c r="L18" i="48"/>
  <c r="L27" i="48"/>
  <c r="L26" i="48"/>
  <c r="L21" i="48"/>
  <c r="L30" i="48"/>
  <c r="L19" i="48"/>
  <c r="L15" i="48"/>
  <c r="L32" i="48"/>
  <c r="L34" i="48"/>
  <c r="L16" i="48"/>
  <c r="M14" i="48"/>
  <c r="L23" i="48"/>
  <c r="M78" i="48"/>
  <c r="M79" i="48" s="1"/>
  <c r="M80" i="48" s="1"/>
  <c r="M81" i="48" s="1"/>
  <c r="M82" i="48" s="1"/>
  <c r="M83" i="48" s="1"/>
  <c r="M84" i="48" s="1"/>
  <c r="M85" i="48" s="1"/>
  <c r="M86" i="48" s="1"/>
  <c r="M87" i="48" s="1"/>
  <c r="M88" i="48" s="1"/>
  <c r="M89" i="48" s="1"/>
  <c r="M90" i="48" s="1"/>
  <c r="M91" i="48" s="1"/>
  <c r="M92" i="48" s="1"/>
  <c r="M93" i="48" s="1"/>
  <c r="M94" i="48" s="1"/>
  <c r="M95" i="48" s="1"/>
  <c r="M96" i="48" s="1"/>
  <c r="M97" i="48" s="1"/>
  <c r="M98" i="48" s="1"/>
  <c r="M99" i="48" s="1"/>
  <c r="L14" i="48"/>
  <c r="E14" i="21"/>
  <c r="L15" i="64"/>
  <c r="M73" i="21" s="1"/>
  <c r="H15" i="64"/>
  <c r="I73" i="21" s="1"/>
  <c r="G18" i="64"/>
  <c r="H76" i="21" s="1"/>
  <c r="K14" i="64"/>
  <c r="L72" i="21" s="1"/>
  <c r="M49" i="64"/>
  <c r="I15" i="64"/>
  <c r="J73" i="21" s="1"/>
  <c r="J15" i="64"/>
  <c r="K73" i="21" s="1"/>
  <c r="F14" i="64"/>
  <c r="G72" i="21" s="1"/>
  <c r="N46" i="48"/>
  <c r="N14" i="48" s="1"/>
  <c r="M13" i="64"/>
  <c r="E15" i="64"/>
  <c r="F73" i="21" s="1"/>
  <c r="M14" i="4"/>
  <c r="M15" i="64" s="1"/>
  <c r="N72" i="21" l="1"/>
  <c r="N78" i="48"/>
  <c r="E15" i="21"/>
  <c r="H16" i="64"/>
  <c r="I74" i="21" s="1"/>
  <c r="N79" i="48"/>
  <c r="M50" i="64"/>
  <c r="K15" i="64"/>
  <c r="L73" i="21" s="1"/>
  <c r="G19" i="64"/>
  <c r="H77" i="21" s="1"/>
  <c r="L16" i="64"/>
  <c r="M74" i="21" s="1"/>
  <c r="E16" i="64"/>
  <c r="F74" i="21" s="1"/>
  <c r="M15" i="4"/>
  <c r="M16" i="64" s="1"/>
  <c r="M15" i="48"/>
  <c r="N47" i="48"/>
  <c r="N15" i="48" s="1"/>
  <c r="F15" i="64"/>
  <c r="G73" i="21" s="1"/>
  <c r="J16" i="64"/>
  <c r="K74" i="21" s="1"/>
  <c r="I16" i="64"/>
  <c r="J74" i="21" s="1"/>
  <c r="N73" i="21" l="1"/>
  <c r="E16" i="21"/>
  <c r="F16" i="64"/>
  <c r="G74" i="21" s="1"/>
  <c r="M51" i="64"/>
  <c r="G20" i="64"/>
  <c r="H78" i="21" s="1"/>
  <c r="L17" i="64"/>
  <c r="M75" i="21" s="1"/>
  <c r="K16" i="64"/>
  <c r="L74" i="21" s="1"/>
  <c r="I17" i="64"/>
  <c r="J75" i="21" s="1"/>
  <c r="J17" i="64"/>
  <c r="K75" i="21" s="1"/>
  <c r="M16" i="48"/>
  <c r="N48" i="48"/>
  <c r="N16" i="48" s="1"/>
  <c r="M16" i="4"/>
  <c r="M17" i="64" s="1"/>
  <c r="E17" i="64"/>
  <c r="F75" i="21" s="1"/>
  <c r="N80" i="48"/>
  <c r="H17" i="64"/>
  <c r="I75" i="21" s="1"/>
  <c r="N74" i="21" l="1"/>
  <c r="E17" i="21"/>
  <c r="E18" i="64"/>
  <c r="F76" i="21" s="1"/>
  <c r="N49" i="48"/>
  <c r="N17" i="48" s="1"/>
  <c r="M17" i="48"/>
  <c r="G21" i="64"/>
  <c r="H79" i="21" s="1"/>
  <c r="N81" i="48"/>
  <c r="I18" i="64"/>
  <c r="J76" i="21" s="1"/>
  <c r="L18" i="64"/>
  <c r="M76" i="21" s="1"/>
  <c r="F17" i="64"/>
  <c r="G75" i="21" s="1"/>
  <c r="M17" i="4"/>
  <c r="J18" i="64"/>
  <c r="K76" i="21" s="1"/>
  <c r="K17" i="64"/>
  <c r="L75" i="21" s="1"/>
  <c r="H18" i="64"/>
  <c r="I76" i="21" s="1"/>
  <c r="M52" i="64"/>
  <c r="N75" i="21" l="1"/>
  <c r="E18" i="21"/>
  <c r="M53" i="64"/>
  <c r="M18" i="64"/>
  <c r="H19" i="64"/>
  <c r="I77" i="21" s="1"/>
  <c r="N50" i="48"/>
  <c r="N18" i="48" s="1"/>
  <c r="M18" i="48"/>
  <c r="I19" i="64"/>
  <c r="J77" i="21" s="1"/>
  <c r="K18" i="64"/>
  <c r="L76" i="21" s="1"/>
  <c r="J19" i="64"/>
  <c r="K77" i="21" s="1"/>
  <c r="L19" i="64"/>
  <c r="M77" i="21" s="1"/>
  <c r="F18" i="64"/>
  <c r="N82" i="48"/>
  <c r="G22" i="64"/>
  <c r="H80" i="21" s="1"/>
  <c r="M18" i="4"/>
  <c r="M19" i="64" s="1"/>
  <c r="E19" i="64"/>
  <c r="F77" i="21" s="1"/>
  <c r="N77" i="21" l="1"/>
  <c r="M54" i="64"/>
  <c r="G76" i="21"/>
  <c r="E19" i="21"/>
  <c r="L20" i="64"/>
  <c r="M78" i="21" s="1"/>
  <c r="G23" i="64"/>
  <c r="H81" i="21" s="1"/>
  <c r="G24" i="4"/>
  <c r="F19" i="64"/>
  <c r="G77" i="21" s="1"/>
  <c r="M19" i="4"/>
  <c r="M20" i="64" s="1"/>
  <c r="M19" i="48"/>
  <c r="N51" i="48"/>
  <c r="N19" i="48" s="1"/>
  <c r="F78" i="21"/>
  <c r="J20" i="64"/>
  <c r="K78" i="21" s="1"/>
  <c r="H20" i="64"/>
  <c r="I78" i="21" s="1"/>
  <c r="K19" i="64"/>
  <c r="L77" i="21" s="1"/>
  <c r="I20" i="64"/>
  <c r="J78" i="21" s="1"/>
  <c r="N83" i="48"/>
  <c r="H82" i="21" l="1"/>
  <c r="H109" i="21" s="1"/>
  <c r="H112" i="21" s="1"/>
  <c r="N76" i="21"/>
  <c r="N78" i="21"/>
  <c r="G60" i="64"/>
  <c r="M55" i="64"/>
  <c r="E20" i="21"/>
  <c r="N84" i="48"/>
  <c r="I21" i="64"/>
  <c r="J79" i="21" s="1"/>
  <c r="K20" i="64"/>
  <c r="L78" i="21" s="1"/>
  <c r="H21" i="64"/>
  <c r="I79" i="21" s="1"/>
  <c r="M20" i="48"/>
  <c r="N52" i="48"/>
  <c r="N20" i="48" s="1"/>
  <c r="F20" i="64"/>
  <c r="G78" i="21" s="1"/>
  <c r="J21" i="64"/>
  <c r="K79" i="21" s="1"/>
  <c r="M20" i="4"/>
  <c r="M21" i="64" s="1"/>
  <c r="E21" i="64"/>
  <c r="F79" i="21" s="1"/>
  <c r="L21" i="64"/>
  <c r="M79" i="21" s="1"/>
  <c r="H119" i="21" l="1"/>
  <c r="H120" i="21"/>
  <c r="H131" i="21" s="1"/>
  <c r="H122" i="21"/>
  <c r="H129" i="21"/>
  <c r="H130" i="21"/>
  <c r="H127" i="21"/>
  <c r="H125" i="21"/>
  <c r="H128" i="21"/>
  <c r="H123" i="21"/>
  <c r="H121" i="21"/>
  <c r="H124" i="21"/>
  <c r="H126" i="21"/>
  <c r="H13" i="21"/>
  <c r="E21" i="21"/>
  <c r="E22" i="64"/>
  <c r="F80" i="21" s="1"/>
  <c r="E24" i="4"/>
  <c r="N53" i="48"/>
  <c r="N21" i="48" s="1"/>
  <c r="M21" i="48"/>
  <c r="K21" i="64"/>
  <c r="L79" i="21" s="1"/>
  <c r="M56" i="64"/>
  <c r="N85" i="48"/>
  <c r="H22" i="64"/>
  <c r="I80" i="21" s="1"/>
  <c r="L22" i="64"/>
  <c r="M80" i="21" s="1"/>
  <c r="J22" i="64"/>
  <c r="K80" i="21" s="1"/>
  <c r="F21" i="64"/>
  <c r="G79" i="21" s="1"/>
  <c r="I22" i="64"/>
  <c r="J80" i="21" s="1"/>
  <c r="N79" i="21" l="1"/>
  <c r="E22" i="21"/>
  <c r="H14" i="21"/>
  <c r="H15" i="21" s="1"/>
  <c r="H16" i="21" s="1"/>
  <c r="H17" i="21" s="1"/>
  <c r="H18" i="21" s="1"/>
  <c r="H19" i="21" s="1"/>
  <c r="H20" i="21" s="1"/>
  <c r="H21" i="21" s="1"/>
  <c r="H22" i="21" s="1"/>
  <c r="H23" i="21" s="1"/>
  <c r="N86" i="48"/>
  <c r="M22" i="48"/>
  <c r="N54" i="48"/>
  <c r="N22" i="48" s="1"/>
  <c r="F22" i="64"/>
  <c r="G80" i="21" s="1"/>
  <c r="H23" i="64"/>
  <c r="I81" i="21" s="1"/>
  <c r="H24" i="4"/>
  <c r="E23" i="64"/>
  <c r="F81" i="21" s="1"/>
  <c r="K22" i="64"/>
  <c r="L80" i="21" s="1"/>
  <c r="M22" i="4"/>
  <c r="I23" i="64"/>
  <c r="J81" i="21" s="1"/>
  <c r="I24" i="4"/>
  <c r="J23" i="64"/>
  <c r="K81" i="21" s="1"/>
  <c r="J24" i="4"/>
  <c r="L23" i="64"/>
  <c r="M81" i="21" s="1"/>
  <c r="L24" i="4"/>
  <c r="M57" i="64"/>
  <c r="M21" i="4"/>
  <c r="M22" i="64" s="1"/>
  <c r="M82" i="21" l="1"/>
  <c r="M109" i="21" s="1"/>
  <c r="M112" i="21" s="1"/>
  <c r="K82" i="21"/>
  <c r="K109" i="21" s="1"/>
  <c r="K112" i="21" s="1"/>
  <c r="J82" i="21"/>
  <c r="J109" i="21" s="1"/>
  <c r="J112" i="21" s="1"/>
  <c r="I82" i="21"/>
  <c r="I109" i="21" s="1"/>
  <c r="I112" i="21" s="1"/>
  <c r="N80" i="21"/>
  <c r="F82" i="21"/>
  <c r="H25" i="21"/>
  <c r="E23" i="21"/>
  <c r="M23" i="64"/>
  <c r="M24" i="4"/>
  <c r="D42" i="4" s="1"/>
  <c r="J6" i="8" s="1"/>
  <c r="F23" i="64"/>
  <c r="G81" i="21" s="1"/>
  <c r="F24" i="4"/>
  <c r="N87" i="48"/>
  <c r="J60" i="64"/>
  <c r="E60" i="64"/>
  <c r="K23" i="64"/>
  <c r="L81" i="21" s="1"/>
  <c r="K24" i="4"/>
  <c r="I60" i="64"/>
  <c r="M58" i="64"/>
  <c r="M23" i="48"/>
  <c r="N55" i="48"/>
  <c r="N23" i="48" s="1"/>
  <c r="M129" i="21" l="1"/>
  <c r="M130" i="21"/>
  <c r="M123" i="21"/>
  <c r="M126" i="21"/>
  <c r="M128" i="21"/>
  <c r="M124" i="21"/>
  <c r="M119" i="21"/>
  <c r="M122" i="21"/>
  <c r="M127" i="21"/>
  <c r="M121" i="21"/>
  <c r="M125" i="21"/>
  <c r="M120" i="21"/>
  <c r="L82" i="21"/>
  <c r="L109" i="21" s="1"/>
  <c r="L112" i="21" s="1"/>
  <c r="N81" i="21"/>
  <c r="K126" i="21"/>
  <c r="K128" i="21"/>
  <c r="K120" i="21"/>
  <c r="K121" i="21"/>
  <c r="K127" i="21"/>
  <c r="K130" i="21"/>
  <c r="K122" i="21"/>
  <c r="K119" i="21"/>
  <c r="K13" i="21" s="1"/>
  <c r="K124" i="21"/>
  <c r="K123" i="21"/>
  <c r="K129" i="21"/>
  <c r="K125" i="21"/>
  <c r="J129" i="21"/>
  <c r="J120" i="21"/>
  <c r="J131" i="21" s="1"/>
  <c r="J123" i="21"/>
  <c r="J124" i="21"/>
  <c r="J121" i="21"/>
  <c r="J122" i="21"/>
  <c r="J130" i="21"/>
  <c r="J128" i="21"/>
  <c r="J126" i="21"/>
  <c r="J127" i="21"/>
  <c r="J125" i="21"/>
  <c r="J119" i="21"/>
  <c r="J13" i="21" s="1"/>
  <c r="I125" i="21"/>
  <c r="I129" i="21"/>
  <c r="I123" i="21"/>
  <c r="I126" i="21"/>
  <c r="I127" i="21"/>
  <c r="I121" i="21"/>
  <c r="I131" i="21" s="1"/>
  <c r="I119" i="21"/>
  <c r="I130" i="21"/>
  <c r="I128" i="21"/>
  <c r="I124" i="21"/>
  <c r="I120" i="21"/>
  <c r="I122" i="21"/>
  <c r="G109" i="21"/>
  <c r="G112" i="21" s="1"/>
  <c r="G122" i="21" s="1"/>
  <c r="G82" i="21"/>
  <c r="N82" i="21"/>
  <c r="E25" i="21"/>
  <c r="G125" i="21"/>
  <c r="G128" i="21"/>
  <c r="G120" i="21"/>
  <c r="K131" i="21"/>
  <c r="F109" i="21"/>
  <c r="I13" i="21"/>
  <c r="M13" i="21"/>
  <c r="M131" i="21"/>
  <c r="K60" i="64"/>
  <c r="M59" i="64"/>
  <c r="M61" i="64" s="1"/>
  <c r="F91" i="64" s="1"/>
  <c r="N88" i="48"/>
  <c r="F60" i="64"/>
  <c r="N56" i="48"/>
  <c r="N24" i="48" s="1"/>
  <c r="M24" i="48"/>
  <c r="L125" i="21" l="1"/>
  <c r="L124" i="21"/>
  <c r="L119" i="21"/>
  <c r="L131" i="21" s="1"/>
  <c r="L130" i="21"/>
  <c r="L126" i="21"/>
  <c r="L121" i="21"/>
  <c r="L120" i="21"/>
  <c r="L129" i="21"/>
  <c r="L122" i="21"/>
  <c r="L127" i="21"/>
  <c r="L128" i="21"/>
  <c r="L123" i="21"/>
  <c r="N109" i="21"/>
  <c r="G119" i="21"/>
  <c r="G13" i="21" s="1"/>
  <c r="G126" i="21"/>
  <c r="G130" i="21"/>
  <c r="G121" i="21"/>
  <c r="G124" i="21"/>
  <c r="G129" i="21"/>
  <c r="G127" i="21"/>
  <c r="G123" i="21"/>
  <c r="F94" i="64"/>
  <c r="K127" i="1" s="1"/>
  <c r="J14" i="21"/>
  <c r="J15" i="21" s="1"/>
  <c r="J16" i="21" s="1"/>
  <c r="J17" i="21" s="1"/>
  <c r="J18" i="21" s="1"/>
  <c r="J19" i="21" s="1"/>
  <c r="J20" i="21" s="1"/>
  <c r="J21" i="21" s="1"/>
  <c r="J22" i="21" s="1"/>
  <c r="J23" i="21" s="1"/>
  <c r="M14" i="21"/>
  <c r="M15" i="21" s="1"/>
  <c r="M16" i="21" s="1"/>
  <c r="M17" i="21" s="1"/>
  <c r="M18" i="21" s="1"/>
  <c r="M19" i="21" s="1"/>
  <c r="M20" i="21" s="1"/>
  <c r="M21" i="21" s="1"/>
  <c r="M22" i="21" s="1"/>
  <c r="M23" i="21" s="1"/>
  <c r="F112" i="21"/>
  <c r="I14" i="21"/>
  <c r="I15" i="21" s="1"/>
  <c r="I16" i="21" s="1"/>
  <c r="I17" i="21" s="1"/>
  <c r="I18" i="21" s="1"/>
  <c r="I19" i="21" s="1"/>
  <c r="I20" i="21" s="1"/>
  <c r="I21" i="21" s="1"/>
  <c r="I22" i="21" s="1"/>
  <c r="I23" i="21" s="1"/>
  <c r="K14" i="21"/>
  <c r="K15" i="21" s="1"/>
  <c r="K16" i="21" s="1"/>
  <c r="K17" i="21" s="1"/>
  <c r="K18" i="21" s="1"/>
  <c r="K19" i="21" s="1"/>
  <c r="K20" i="21" s="1"/>
  <c r="K21" i="21" s="1"/>
  <c r="K22" i="21" s="1"/>
  <c r="K23" i="21" s="1"/>
  <c r="G131" i="21"/>
  <c r="L13" i="21"/>
  <c r="M25" i="48"/>
  <c r="N57" i="48"/>
  <c r="N25" i="48" s="1"/>
  <c r="N89" i="48"/>
  <c r="J25" i="21" l="1"/>
  <c r="I25" i="21"/>
  <c r="M25" i="21"/>
  <c r="K25" i="21"/>
  <c r="J51" i="8"/>
  <c r="K136" i="1"/>
  <c r="K138" i="1" s="1"/>
  <c r="L14" i="21"/>
  <c r="L15" i="21" s="1"/>
  <c r="L16" i="21" s="1"/>
  <c r="L17" i="21" s="1"/>
  <c r="L18" i="21" s="1"/>
  <c r="L19" i="21" s="1"/>
  <c r="L20" i="21" s="1"/>
  <c r="L21" i="21" s="1"/>
  <c r="L22" i="21" s="1"/>
  <c r="L23" i="21" s="1"/>
  <c r="G14" i="21"/>
  <c r="G15" i="21" s="1"/>
  <c r="G16" i="21" s="1"/>
  <c r="G17" i="21" s="1"/>
  <c r="G18" i="21" s="1"/>
  <c r="G19" i="21" s="1"/>
  <c r="G20" i="21" s="1"/>
  <c r="G21" i="21" s="1"/>
  <c r="G22" i="21" s="1"/>
  <c r="G23" i="21" s="1"/>
  <c r="F126" i="21"/>
  <c r="N126" i="21" s="1"/>
  <c r="F121" i="21"/>
  <c r="N121" i="21" s="1"/>
  <c r="F120" i="21"/>
  <c r="N120" i="21" s="1"/>
  <c r="F119" i="21"/>
  <c r="F129" i="21"/>
  <c r="N129" i="21" s="1"/>
  <c r="F124" i="21"/>
  <c r="N124" i="21" s="1"/>
  <c r="F122" i="21"/>
  <c r="N122" i="21" s="1"/>
  <c r="F128" i="21"/>
  <c r="N128" i="21" s="1"/>
  <c r="F127" i="21"/>
  <c r="N127" i="21" s="1"/>
  <c r="F130" i="21"/>
  <c r="N130" i="21" s="1"/>
  <c r="F125" i="21"/>
  <c r="N125" i="21" s="1"/>
  <c r="F123" i="21"/>
  <c r="N123" i="21" s="1"/>
  <c r="N112" i="21"/>
  <c r="N90" i="48"/>
  <c r="M26" i="48"/>
  <c r="N58" i="48"/>
  <c r="N26" i="48" s="1"/>
  <c r="L25" i="21" l="1"/>
  <c r="G25" i="21"/>
  <c r="D70" i="7"/>
  <c r="D71" i="7" s="1"/>
  <c r="D73" i="7" s="1"/>
  <c r="D79" i="7" s="1"/>
  <c r="K139" i="1"/>
  <c r="H89" i="44" s="1"/>
  <c r="F131" i="21"/>
  <c r="F13" i="21"/>
  <c r="N119" i="21"/>
  <c r="N131" i="21" s="1"/>
  <c r="M27" i="48"/>
  <c r="N59" i="48"/>
  <c r="N27" i="48" s="1"/>
  <c r="N91" i="48"/>
  <c r="N13" i="21" l="1"/>
  <c r="K141" i="1"/>
  <c r="C6" i="9" s="1"/>
  <c r="F14" i="21"/>
  <c r="N14" i="21" s="1"/>
  <c r="N92" i="48"/>
  <c r="M28" i="48"/>
  <c r="N60" i="48"/>
  <c r="N28" i="48" s="1"/>
  <c r="K146" i="1" l="1"/>
  <c r="F15" i="21"/>
  <c r="N93" i="48"/>
  <c r="M29" i="48"/>
  <c r="N61" i="48"/>
  <c r="N29" i="48" s="1"/>
  <c r="N15" i="21" l="1"/>
  <c r="F16" i="21"/>
  <c r="N16" i="21" s="1"/>
  <c r="M30" i="48"/>
  <c r="N62" i="48"/>
  <c r="N30" i="48" s="1"/>
  <c r="N94" i="48"/>
  <c r="F17" i="21" l="1"/>
  <c r="N17" i="21" s="1"/>
  <c r="N63" i="48"/>
  <c r="N31" i="48" s="1"/>
  <c r="M31" i="48"/>
  <c r="N95" i="48"/>
  <c r="F18" i="21" l="1"/>
  <c r="N18" i="21" s="1"/>
  <c r="N96" i="48"/>
  <c r="N64" i="48"/>
  <c r="N32" i="48" s="1"/>
  <c r="M32" i="48"/>
  <c r="F19" i="21" l="1"/>
  <c r="N19" i="21" s="1"/>
  <c r="N65" i="48"/>
  <c r="N33" i="48" s="1"/>
  <c r="M33" i="48"/>
  <c r="N97" i="48"/>
  <c r="F20" i="21" l="1"/>
  <c r="N20" i="21" s="1"/>
  <c r="M34" i="48"/>
  <c r="N66" i="48"/>
  <c r="N34" i="48" s="1"/>
  <c r="N98" i="48"/>
  <c r="N99" i="48"/>
  <c r="F21" i="21" l="1"/>
  <c r="N21" i="21" s="1"/>
  <c r="M35" i="48"/>
  <c r="N67" i="48"/>
  <c r="N35" i="48" s="1"/>
  <c r="F22" i="21" l="1"/>
  <c r="N22" i="21" s="1"/>
  <c r="M36" i="48"/>
  <c r="N68" i="48"/>
  <c r="N36" i="48" s="1"/>
  <c r="N37" i="48" s="1"/>
  <c r="D78" i="7" s="1"/>
  <c r="D80" i="7" s="1"/>
  <c r="D86" i="7" s="1"/>
  <c r="F23" i="21" l="1"/>
  <c r="D88" i="7"/>
  <c r="D89" i="7"/>
  <c r="H90" i="44" s="1"/>
  <c r="H91" i="44" l="1"/>
  <c r="H93" i="44" s="1"/>
  <c r="K155" i="1" s="1"/>
  <c r="N23" i="21"/>
  <c r="F25" i="21"/>
  <c r="N25" i="21" s="1"/>
  <c r="D91" i="7"/>
  <c r="K147" i="1" s="1"/>
  <c r="C7" i="9" l="1"/>
  <c r="J18" i="8"/>
  <c r="J21" i="8" s="1"/>
  <c r="J29" i="8" s="1"/>
  <c r="J38" i="8" l="1"/>
  <c r="J34" i="8"/>
  <c r="J41" i="8"/>
  <c r="F90" i="12"/>
  <c r="F92" i="12" s="1"/>
  <c r="F94" i="12" s="1"/>
  <c r="F98" i="12" s="1"/>
  <c r="F101" i="12" s="1"/>
  <c r="J56" i="8" l="1"/>
  <c r="J55" i="8"/>
  <c r="J59" i="8" l="1"/>
  <c r="J63" i="8" s="1"/>
  <c r="E67" i="8" l="1"/>
  <c r="E69" i="8" l="1"/>
  <c r="E71" i="8"/>
  <c r="E72" i="8" l="1"/>
  <c r="E14" i="65" s="1"/>
  <c r="E27" i="65" s="1"/>
  <c r="H27" i="65" s="1"/>
  <c r="E28" i="65" l="1"/>
  <c r="H28" i="65" s="1"/>
  <c r="E30" i="65"/>
  <c r="H30" i="65" s="1"/>
  <c r="E36" i="65"/>
  <c r="H36" i="65" s="1"/>
  <c r="E29" i="65"/>
  <c r="H29" i="65" s="1"/>
  <c r="E25" i="65"/>
  <c r="H25" i="65" s="1"/>
  <c r="J25" i="65" s="1"/>
  <c r="K25" i="65" s="1"/>
  <c r="L25" i="65" s="1"/>
  <c r="E31" i="65"/>
  <c r="H31" i="65" s="1"/>
  <c r="E26" i="65"/>
  <c r="H26" i="65" s="1"/>
  <c r="E33" i="65"/>
  <c r="H33" i="65" s="1"/>
  <c r="E34" i="65"/>
  <c r="H34" i="65" s="1"/>
  <c r="E35" i="65"/>
  <c r="H35" i="65" s="1"/>
  <c r="E32" i="65"/>
  <c r="H32" i="65" s="1"/>
  <c r="J26" i="65" l="1"/>
  <c r="K26" i="65" s="1"/>
  <c r="L26" i="65" s="1"/>
  <c r="J27" i="65" s="1"/>
  <c r="K27" i="65" s="1"/>
  <c r="L27" i="65" s="1"/>
  <c r="J28" i="65" s="1"/>
  <c r="K28" i="65" s="1"/>
  <c r="L28" i="65" s="1"/>
  <c r="J29" i="65" s="1"/>
  <c r="K29" i="65" s="1"/>
  <c r="L29" i="65" s="1"/>
  <c r="J30" i="65" s="1"/>
  <c r="K30" i="65" s="1"/>
  <c r="L30" i="65" s="1"/>
  <c r="J31" i="65" s="1"/>
  <c r="K31" i="65" s="1"/>
  <c r="L31" i="65" s="1"/>
  <c r="J32" i="65" s="1"/>
  <c r="K32" i="65" s="1"/>
  <c r="L32" i="65" s="1"/>
  <c r="J33" i="65" s="1"/>
  <c r="K33" i="65" s="1"/>
  <c r="L33" i="65" s="1"/>
  <c r="J34" i="65" s="1"/>
  <c r="K34" i="65" s="1"/>
  <c r="L34" i="65" s="1"/>
  <c r="J35" i="65" s="1"/>
  <c r="K35" i="65" s="1"/>
  <c r="L35" i="65" s="1"/>
  <c r="J36" i="65" s="1"/>
  <c r="K36" i="65" s="1"/>
  <c r="L36" i="65" s="1"/>
  <c r="E40" i="65" s="1"/>
  <c r="E42" i="65" s="1"/>
  <c r="E43" i="65" s="1"/>
  <c r="E44" i="65" s="1"/>
  <c r="K148" i="1" s="1"/>
  <c r="K151" i="1" l="1"/>
  <c r="D4" i="53" s="1"/>
  <c r="C8" i="9"/>
  <c r="C10" i="9" s="1"/>
  <c r="K154" i="1" l="1"/>
  <c r="K156" i="1" s="1"/>
  <c r="D17" i="53"/>
  <c r="L17" i="53" s="1"/>
  <c r="D13" i="53"/>
  <c r="D25" i="53"/>
  <c r="L25" i="53" s="1"/>
  <c r="D26" i="53"/>
  <c r="D12" i="53"/>
  <c r="D24" i="53"/>
  <c r="L24" i="53" s="1"/>
  <c r="D21" i="53"/>
  <c r="D18" i="53"/>
  <c r="D19" i="53"/>
  <c r="D22" i="53"/>
  <c r="D16" i="53"/>
  <c r="L16" i="53" s="1"/>
  <c r="D15" i="53"/>
  <c r="D20" i="53"/>
  <c r="D23" i="53"/>
  <c r="L23" i="53" l="1"/>
  <c r="C38" i="53"/>
  <c r="E38" i="53" s="1"/>
  <c r="I56" i="53" s="1"/>
  <c r="E56" i="53" s="1"/>
  <c r="C37" i="53"/>
  <c r="E37" i="53" s="1"/>
  <c r="I55" i="53" s="1"/>
  <c r="E55" i="53" s="1"/>
  <c r="L22" i="53"/>
  <c r="K13" i="53"/>
  <c r="M14" i="53" s="1"/>
  <c r="N14" i="53" s="1"/>
  <c r="L19" i="53"/>
  <c r="H37" i="53"/>
  <c r="J37" i="53" s="1"/>
  <c r="D28" i="53"/>
  <c r="K12" i="53"/>
  <c r="D46" i="53"/>
  <c r="B4" i="31"/>
  <c r="D18" i="31" s="1"/>
  <c r="K15" i="53"/>
  <c r="D48" i="53"/>
  <c r="H36" i="53"/>
  <c r="J36" i="53" s="1"/>
  <c r="L18" i="53"/>
  <c r="D59" i="53"/>
  <c r="G59" i="53" s="1"/>
  <c r="K26" i="53"/>
  <c r="L21" i="53"/>
  <c r="C36" i="53"/>
  <c r="E36" i="53" s="1"/>
  <c r="I54" i="53" s="1"/>
  <c r="H38" i="53"/>
  <c r="J38" i="53" s="1"/>
  <c r="L20" i="53"/>
  <c r="H54" i="53" l="1"/>
  <c r="D51" i="53"/>
  <c r="M51" i="53" s="1"/>
  <c r="D54" i="53"/>
  <c r="D55" i="53"/>
  <c r="C55" i="53" s="1"/>
  <c r="D52" i="53"/>
  <c r="M52" i="53" s="1"/>
  <c r="H55" i="53"/>
  <c r="D53" i="53"/>
  <c r="M53" i="53" s="1"/>
  <c r="H56" i="53"/>
  <c r="D56" i="53"/>
  <c r="C56" i="53" s="1"/>
  <c r="G48" i="53"/>
  <c r="C48" i="53"/>
  <c r="G46" i="53"/>
  <c r="C46" i="53"/>
  <c r="C59" i="53"/>
  <c r="I50" i="53"/>
  <c r="I57" i="53"/>
  <c r="K57" i="53" s="1"/>
  <c r="I49" i="53"/>
  <c r="E49" i="53" s="1"/>
  <c r="D49" i="53" s="1"/>
  <c r="I58" i="53"/>
  <c r="E58" i="53" s="1"/>
  <c r="D58" i="53" s="1"/>
  <c r="E54" i="53"/>
  <c r="E18" i="31"/>
  <c r="E20" i="31" s="1"/>
  <c r="F18" i="31"/>
  <c r="F20" i="31" s="1"/>
  <c r="D20" i="31"/>
  <c r="L14" i="53"/>
  <c r="I47" i="53" l="1"/>
  <c r="E47" i="53" s="1"/>
  <c r="E50" i="53"/>
  <c r="D50" i="53" s="1"/>
  <c r="H51" i="53"/>
  <c r="C51" i="53"/>
  <c r="H58" i="53"/>
  <c r="C58" i="53"/>
  <c r="C49" i="53"/>
  <c r="H49" i="53"/>
  <c r="H53" i="53"/>
  <c r="C53" i="53"/>
  <c r="C54" i="53"/>
  <c r="E57" i="53"/>
  <c r="D57" i="53" s="1"/>
  <c r="H52" i="53"/>
  <c r="C52" i="53"/>
  <c r="E61" i="53" l="1"/>
  <c r="B8" i="31" s="1"/>
  <c r="E24" i="31" s="1"/>
  <c r="H47" i="53"/>
  <c r="D47" i="53"/>
  <c r="M47" i="53" s="1"/>
  <c r="C50" i="53"/>
  <c r="M49" i="53"/>
  <c r="M50" i="53" s="1"/>
  <c r="H50" i="53"/>
  <c r="H57" i="53"/>
  <c r="J57" i="53" s="1"/>
  <c r="C57" i="53"/>
  <c r="C47" i="53" l="1"/>
  <c r="C61" i="53" s="1"/>
  <c r="D61" i="53"/>
  <c r="G47" i="53"/>
  <c r="F24" i="31"/>
  <c r="F27" i="31" s="1"/>
  <c r="E12" i="32" s="1"/>
  <c r="E14" i="32" s="1"/>
  <c r="E27" i="31"/>
  <c r="E26" i="32" s="1"/>
  <c r="E28" i="32" s="1"/>
  <c r="D24" i="31"/>
  <c r="D27" i="31" s="1"/>
  <c r="E20" i="32" l="1"/>
  <c r="E22" i="32" s="1"/>
  <c r="G123" i="61" l="1"/>
  <c r="G50" i="61" l="1"/>
  <c r="G203" i="61" s="1"/>
  <c r="I203" i="61"/>
</calcChain>
</file>

<file path=xl/sharedStrings.xml><?xml version="1.0" encoding="utf-8"?>
<sst xmlns="http://schemas.openxmlformats.org/spreadsheetml/2006/main" count="6520" uniqueCount="2883">
  <si>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</si>
  <si>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</si>
  <si>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</si>
  <si>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</si>
  <si>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</si>
  <si>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</si>
  <si>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</si>
  <si>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</si>
  <si>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</si>
  <si>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</si>
  <si>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</si>
  <si>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</si>
  <si>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</si>
  <si>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</si>
  <si>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</si>
  <si>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</si>
  <si>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</si>
  <si>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</si>
  <si>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</si>
  <si>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</si>
  <si>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</si>
  <si>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</si>
  <si>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</si>
  <si>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</si>
  <si>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</si>
  <si>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</si>
  <si>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</si>
  <si>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</si>
  <si>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</si>
  <si>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</si>
  <si>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</si>
  <si>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</si>
  <si>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</si>
  <si>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</si>
  <si>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</si>
  <si>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Factor</t>
  </si>
  <si>
    <t>1) Federal Income Tax rate</t>
  </si>
  <si>
    <t>Federal</t>
  </si>
  <si>
    <t>2) Composite State Income Tax Rate</t>
  </si>
  <si>
    <t>Fed Ins Cont Amt -- Current</t>
  </si>
  <si>
    <t>FICA/OASDI Emp Incntv.</t>
  </si>
  <si>
    <t>FICA/HIT Emp Incntv.</t>
  </si>
  <si>
    <t>Preferred Stock Amount -- Account 204</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</si>
  <si>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</si>
  <si>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</si>
  <si>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</si>
  <si>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</si>
  <si>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</si>
  <si>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</si>
  <si>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</si>
  <si>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</si>
  <si>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</si>
  <si>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</si>
  <si>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</si>
  <si>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</si>
  <si>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</si>
  <si>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</si>
  <si>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</si>
  <si>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</si>
  <si>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</si>
  <si>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</si>
  <si>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</si>
  <si>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</si>
  <si>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</si>
  <si>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</si>
  <si>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</si>
  <si>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</si>
  <si>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</si>
  <si>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</si>
  <si>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</si>
  <si>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</si>
  <si>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</si>
  <si>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</si>
  <si>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</si>
  <si>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</si>
  <si>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</si>
  <si>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</si>
  <si>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</si>
  <si>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</si>
  <si>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</si>
  <si>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</si>
  <si>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</si>
  <si>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</si>
  <si>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</si>
  <si>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</si>
  <si>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</si>
  <si>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</si>
  <si>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</si>
  <si>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</si>
  <si>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</si>
  <si>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</si>
  <si>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</si>
  <si>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</si>
  <si>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</si>
  <si>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</si>
  <si>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</si>
  <si>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</si>
  <si>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</si>
  <si>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</si>
  <si>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</si>
  <si>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</si>
  <si>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</si>
  <si>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</si>
  <si>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</si>
  <si>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</si>
  <si>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</si>
  <si>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</si>
  <si>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</si>
  <si>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</si>
  <si>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</si>
  <si>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</si>
  <si>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</si>
  <si>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</si>
  <si>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</si>
  <si>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</si>
  <si>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</si>
  <si>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</si>
  <si>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</si>
  <si>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</si>
  <si>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</si>
  <si>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</si>
  <si>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</si>
  <si>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</si>
  <si>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</si>
  <si>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</si>
  <si>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</si>
  <si>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</si>
  <si>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</si>
  <si>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</si>
  <si>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</si>
  <si>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</si>
  <si>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</si>
  <si>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</si>
  <si>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</si>
  <si>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</si>
  <si>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</si>
  <si>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</si>
  <si>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</si>
  <si>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</si>
  <si>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</si>
  <si>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</si>
  <si>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</si>
  <si>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Calculation of Low Voltage Access Charge:</t>
  </si>
  <si>
    <t>per kWh</t>
  </si>
  <si>
    <t>Calculation of High Voltage Utility Specific Rate:</t>
  </si>
  <si>
    <t>(used by ISO in billing of ISO TAC)</t>
  </si>
  <si>
    <t>SCE HV TRR =</t>
  </si>
  <si>
    <t>Calculation of High Voltage Existing Contracts Access Charge:</t>
  </si>
  <si>
    <t>MW</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</si>
  <si>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</si>
  <si>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</si>
  <si>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</si>
  <si>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</si>
  <si>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</si>
  <si>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</si>
  <si>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</si>
  <si>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</si>
  <si>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</si>
  <si>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</si>
  <si>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1) Calculation of Materials and Supplies</t>
  </si>
  <si>
    <t>FF1 111.57d</t>
  </si>
  <si>
    <t>FF1 111.57c</t>
  </si>
  <si>
    <t>Prepayments:</t>
  </si>
  <si>
    <t>Accumulated Depreciation Reserve</t>
  </si>
  <si>
    <t>Accumulated Deferred Income Taxes</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</si>
  <si>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</si>
  <si>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</si>
  <si>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</si>
  <si>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</si>
  <si>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</si>
  <si>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</si>
  <si>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</si>
  <si>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</si>
  <si>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</si>
  <si>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</si>
  <si>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</si>
  <si>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</si>
  <si>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</si>
  <si>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</si>
  <si>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</si>
  <si>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</si>
  <si>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</si>
  <si>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</si>
  <si>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</si>
  <si>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</si>
  <si>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</si>
  <si>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</si>
  <si>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</si>
  <si>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</si>
  <si>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</si>
  <si>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</si>
  <si>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</si>
  <si>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</si>
  <si>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</si>
  <si>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</si>
  <si>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</si>
  <si>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</si>
  <si>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</si>
  <si>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</si>
  <si>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</si>
  <si>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</si>
  <si>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</si>
  <si>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</si>
  <si>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</si>
  <si>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</si>
  <si>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</si>
  <si>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</si>
  <si>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</si>
  <si>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</si>
  <si>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</si>
  <si>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</si>
  <si>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</si>
  <si>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</si>
  <si>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</si>
  <si>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</si>
  <si>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</si>
  <si>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</si>
  <si>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</si>
  <si>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</si>
  <si>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</si>
  <si>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</si>
  <si>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</si>
  <si>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</si>
  <si>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</si>
  <si>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</si>
  <si>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</si>
  <si>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</si>
  <si>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</si>
  <si>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</si>
  <si>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</si>
  <si>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</si>
  <si>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</si>
  <si>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</si>
  <si>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</si>
  <si>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</si>
  <si>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</si>
  <si>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</si>
  <si>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</si>
  <si>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</si>
  <si>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</si>
  <si>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</si>
  <si>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</si>
  <si>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</si>
  <si>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</si>
  <si>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</si>
  <si>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</si>
  <si>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</si>
  <si>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</si>
  <si>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</si>
  <si>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</si>
  <si>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</si>
  <si>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</si>
  <si>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</si>
  <si>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</si>
  <si>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</si>
  <si>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</si>
  <si>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</si>
  <si>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</si>
  <si>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</si>
  <si>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</si>
  <si>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</si>
  <si>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</si>
  <si>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</si>
  <si>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</si>
  <si>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</si>
  <si>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</si>
  <si>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</si>
  <si>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</si>
  <si>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</si>
  <si>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</si>
  <si>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</si>
  <si>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Common Stock Equity Amount</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</si>
  <si>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</si>
  <si>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</si>
  <si>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</si>
  <si>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</si>
  <si>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</si>
  <si>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</si>
  <si>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</si>
  <si>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</si>
  <si>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</si>
  <si>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</si>
  <si>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</si>
  <si>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See Note 3</t>
  </si>
  <si>
    <t>MWh</t>
  </si>
  <si>
    <t>FF1 354.28b</t>
  </si>
  <si>
    <t>FF1 354.27b</t>
  </si>
  <si>
    <t>Uncollectibles Expense</t>
  </si>
  <si>
    <t>Franchise Fees Expense</t>
  </si>
  <si>
    <t>Difference</t>
  </si>
  <si>
    <t>(1/(1-CTR))</t>
  </si>
  <si>
    <t>Composite Tax Rate ("CTR")</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</si>
  <si>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</si>
  <si>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</si>
  <si>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</si>
  <si>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</si>
  <si>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</si>
  <si>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</si>
  <si>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</si>
  <si>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</si>
  <si>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</si>
  <si>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</si>
  <si>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</si>
  <si>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</si>
  <si>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</si>
  <si>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</si>
  <si>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</si>
  <si>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</si>
  <si>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</si>
  <si>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</si>
  <si>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</si>
  <si>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</si>
  <si>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</si>
  <si>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</si>
  <si>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</si>
  <si>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</si>
  <si>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</si>
  <si>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</si>
  <si>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</si>
  <si>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</si>
  <si>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</si>
  <si>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</si>
  <si>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</si>
  <si>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</si>
  <si>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</si>
  <si>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</si>
  <si>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</si>
  <si>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</si>
  <si>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</si>
  <si>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</si>
  <si>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</si>
  <si>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</si>
  <si>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</si>
  <si>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</si>
  <si>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Transmission Plant - ISO</t>
  </si>
  <si>
    <t>Distribution Plant - ISO</t>
  </si>
  <si>
    <t>SCE Retail Sales at ISO Grid level:</t>
  </si>
  <si>
    <t>Pump Load forecast:</t>
  </si>
  <si>
    <t>1) Tehachapi</t>
  </si>
  <si>
    <t>2) Devers-Colorado River</t>
  </si>
  <si>
    <t>1) Forecast Plant Additions * AFCR</t>
  </si>
  <si>
    <t>2) Forecast Period Incremental CWIP * AFCR for CWIP</t>
  </si>
  <si>
    <t>Devers to</t>
  </si>
  <si>
    <t>Colorado River</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</si>
  <si>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</si>
  <si>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</si>
  <si>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</si>
  <si>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</si>
  <si>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</si>
  <si>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</si>
  <si>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</si>
  <si>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</si>
  <si>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</si>
  <si>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</si>
  <si>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</si>
  <si>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</si>
  <si>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</si>
  <si>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</si>
  <si>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</si>
  <si>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</si>
  <si>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</si>
  <si>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</si>
  <si>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</si>
  <si>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</si>
  <si>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</si>
  <si>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</si>
  <si>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</si>
  <si>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</si>
  <si>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</si>
  <si>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</si>
  <si>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</si>
  <si>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</si>
  <si>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</si>
  <si>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</si>
  <si>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</si>
  <si>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</si>
  <si>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</si>
  <si>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</si>
  <si>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</si>
  <si>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</si>
  <si>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</si>
  <si>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</si>
  <si>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</si>
  <si>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</si>
  <si>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</si>
  <si>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</si>
  <si>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</si>
  <si>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</si>
  <si>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</si>
  <si>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</si>
  <si>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</si>
  <si>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</si>
  <si>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</si>
  <si>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</si>
  <si>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</si>
  <si>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</si>
  <si>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</si>
  <si>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</si>
  <si>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</si>
  <si>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</si>
  <si>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</si>
  <si>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</si>
  <si>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</si>
  <si>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</si>
  <si>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Prior</t>
  </si>
  <si>
    <t>Income Tax</t>
  </si>
  <si>
    <t>Rate ("CSITR")</t>
  </si>
  <si>
    <t>Rate ("FITR")</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</si>
  <si>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</si>
  <si>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</si>
  <si>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</si>
  <si>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</si>
  <si>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</si>
  <si>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</si>
  <si>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</si>
  <si>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</si>
  <si>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</si>
  <si>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</si>
  <si>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</si>
  <si>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</si>
  <si>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</si>
  <si>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</si>
  <si>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</si>
  <si>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</si>
  <si>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</si>
  <si>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</si>
  <si>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</si>
  <si>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</si>
  <si>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</si>
  <si>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</si>
  <si>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</si>
  <si>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</si>
  <si>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</si>
  <si>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</si>
  <si>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</si>
  <si>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</si>
  <si>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</si>
  <si>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</si>
  <si>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</si>
  <si>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</si>
  <si>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</si>
  <si>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</si>
  <si>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</si>
  <si>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</si>
  <si>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</si>
  <si>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</si>
  <si>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</si>
  <si>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</si>
  <si>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</si>
  <si>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</si>
  <si>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</si>
  <si>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</si>
  <si>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</si>
  <si>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</si>
  <si>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</si>
  <si>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</si>
  <si>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</si>
  <si>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</si>
  <si>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</si>
  <si>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</si>
  <si>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</si>
  <si>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</si>
  <si>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</si>
  <si>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</si>
  <si>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</si>
  <si>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</si>
  <si>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</si>
  <si>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</si>
  <si>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</si>
  <si>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</si>
  <si>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</si>
  <si>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</si>
  <si>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</si>
  <si>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</si>
  <si>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</si>
  <si>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</si>
  <si>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</si>
  <si>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</si>
  <si>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</si>
  <si>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</si>
  <si>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A) Total ISO Plant from Prior Year</t>
  </si>
  <si>
    <t>FERC Form 1</t>
  </si>
  <si>
    <t>Total Amount Excluded</t>
  </si>
  <si>
    <t>Shareholder</t>
  </si>
  <si>
    <t>Franchise</t>
  </si>
  <si>
    <t>Requirements</t>
  </si>
  <si>
    <t>PBOPs</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</si>
  <si>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</si>
  <si>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</si>
  <si>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</si>
  <si>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</si>
  <si>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</si>
  <si>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</si>
  <si>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</si>
  <si>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</si>
  <si>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</si>
  <si>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</si>
  <si>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</si>
  <si>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</si>
  <si>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</si>
  <si>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</si>
  <si>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</si>
  <si>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3) FF and U Factors</t>
  </si>
  <si>
    <t>1) Approved Franchise Fee Factor(s)</t>
  </si>
  <si>
    <t>Sum of Column 2 below</t>
  </si>
  <si>
    <t>a) Fill in Description for issue in above table.</t>
  </si>
  <si>
    <t>b) Enter costs in columns 1-3 in above table for the applicable Prior Year.</t>
  </si>
  <si>
    <t>Actual</t>
  </si>
  <si>
    <t>First Project:</t>
  </si>
  <si>
    <t>Fill in Name</t>
  </si>
  <si>
    <t>…</t>
  </si>
  <si>
    <t>2nd Project:</t>
  </si>
  <si>
    <t>(BOY value is EOY value from previous year)</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</si>
  <si>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</si>
  <si>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</si>
  <si>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</si>
  <si>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</si>
  <si>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</si>
  <si>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</si>
  <si>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</si>
  <si>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</si>
  <si>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</si>
  <si>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</si>
  <si>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</si>
  <si>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</si>
  <si>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</si>
  <si>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</si>
  <si>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</si>
  <si>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</si>
  <si>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</si>
  <si>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</si>
  <si>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</si>
  <si>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</si>
  <si>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</si>
  <si>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</si>
  <si>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</si>
  <si>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</si>
  <si>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</si>
  <si>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</si>
  <si>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</si>
  <si>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</si>
  <si>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</si>
  <si>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</si>
  <si>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</si>
  <si>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</si>
  <si>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</si>
  <si>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</si>
  <si>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</si>
  <si>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</si>
  <si>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</si>
  <si>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</si>
  <si>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</si>
  <si>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</si>
  <si>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</si>
  <si>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</si>
  <si>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</si>
  <si>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</si>
  <si>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</si>
  <si>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</si>
  <si>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</si>
  <si>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</si>
  <si>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</si>
  <si>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</si>
  <si>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</si>
  <si>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</si>
  <si>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</si>
  <si>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</si>
  <si>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</si>
  <si>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</si>
  <si>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</si>
  <si>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</si>
  <si>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</si>
  <si>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</si>
  <si>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</si>
  <si>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</si>
  <si>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</si>
  <si>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</si>
  <si>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</si>
  <si>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</si>
  <si>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</si>
  <si>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</si>
  <si>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</si>
  <si>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</si>
  <si>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</si>
  <si>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</si>
  <si>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</si>
  <si>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</si>
  <si>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</si>
  <si>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</si>
  <si>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</si>
  <si>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</si>
  <si>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</si>
  <si>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</si>
  <si>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</si>
  <si>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</si>
  <si>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</si>
  <si>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</si>
  <si>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</si>
  <si>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</si>
  <si>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</si>
  <si>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</si>
  <si>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</si>
  <si>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</si>
  <si>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</si>
  <si>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</si>
  <si>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</si>
  <si>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</si>
  <si>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</si>
  <si>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</si>
  <si>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</si>
  <si>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</si>
  <si>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</si>
  <si>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</si>
  <si>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</si>
  <si>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</si>
  <si>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</si>
  <si>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</si>
  <si>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</si>
  <si>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</si>
  <si>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</si>
  <si>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</si>
  <si>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</si>
  <si>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</si>
  <si>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</si>
  <si>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</si>
  <si>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</si>
  <si>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</si>
  <si>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</si>
  <si>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</si>
  <si>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</si>
  <si>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</si>
  <si>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</si>
  <si>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</si>
  <si>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10h</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</si>
  <si>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</si>
  <si>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</si>
  <si>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</si>
  <si>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</si>
  <si>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</si>
  <si>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</si>
  <si>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</si>
  <si>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</si>
  <si>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</si>
  <si>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</si>
  <si>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</si>
  <si>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</si>
  <si>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</si>
  <si>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</si>
  <si>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</si>
  <si>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</si>
  <si>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</si>
  <si>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</si>
  <si>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</si>
  <si>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</si>
  <si>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</si>
  <si>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</si>
  <si>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</si>
  <si>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</si>
  <si>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</si>
  <si>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</si>
  <si>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</si>
  <si>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</si>
  <si>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</si>
  <si>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</si>
  <si>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</si>
  <si>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</si>
  <si>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</si>
  <si>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</si>
  <si>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</si>
  <si>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</si>
  <si>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</si>
  <si>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</si>
  <si>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</si>
  <si>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</si>
  <si>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</si>
  <si>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</si>
  <si>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</si>
  <si>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</si>
  <si>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</si>
  <si>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</si>
  <si>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</si>
  <si>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</si>
  <si>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</si>
  <si>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</si>
  <si>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</si>
  <si>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</si>
  <si>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</si>
  <si>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</si>
  <si>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</si>
  <si>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</si>
  <si>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</si>
  <si>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</si>
  <si>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</si>
  <si>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</si>
  <si>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</si>
  <si>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</si>
  <si>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</si>
  <si>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</si>
  <si>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</si>
  <si>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</si>
  <si>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</si>
  <si>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</si>
  <si>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</si>
  <si>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</si>
  <si>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</si>
  <si>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</si>
  <si>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</si>
  <si>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</si>
  <si>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</si>
  <si>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</si>
  <si>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</si>
  <si>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</si>
  <si>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</si>
  <si>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</si>
  <si>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</si>
  <si>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</si>
  <si>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</si>
  <si>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</si>
  <si>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</si>
  <si>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</si>
  <si>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</si>
  <si>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</si>
  <si>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</si>
  <si>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</si>
  <si>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</si>
  <si>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</si>
  <si>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</si>
  <si>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</si>
  <si>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</si>
  <si>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</si>
  <si>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</si>
  <si>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</si>
  <si>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</si>
  <si>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</si>
  <si>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</si>
  <si>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</si>
  <si>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</si>
  <si>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</si>
  <si>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12u</t>
  </si>
  <si>
    <t>4186524</t>
  </si>
  <si>
    <t>Revenue From Scrap Paper - General Office</t>
  </si>
  <si>
    <t>12v</t>
  </si>
  <si>
    <t>4186528</t>
  </si>
  <si>
    <t>CTAC Revenues</t>
  </si>
  <si>
    <t>12w</t>
  </si>
  <si>
    <t>4186530</t>
  </si>
  <si>
    <t>AGTAC Revenues</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</si>
  <si>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</si>
  <si>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</si>
  <si>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</si>
  <si>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</si>
  <si>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</si>
  <si>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</si>
  <si>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</si>
  <si>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</si>
  <si>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</si>
  <si>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</si>
  <si>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</si>
  <si>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</si>
  <si>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</si>
  <si>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</si>
  <si>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</si>
  <si>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</si>
  <si>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</si>
  <si>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</si>
  <si>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</si>
  <si>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</si>
  <si>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</si>
  <si>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</si>
  <si>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</si>
  <si>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</si>
  <si>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</si>
  <si>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</si>
  <si>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</si>
  <si>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</si>
  <si>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</si>
  <si>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</si>
  <si>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</si>
  <si>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</si>
  <si>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</si>
  <si>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</si>
  <si>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</si>
  <si>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</si>
  <si>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</si>
  <si>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</si>
  <si>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</si>
  <si>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</si>
  <si>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</si>
  <si>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</si>
  <si>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12pp</t>
  </si>
  <si>
    <t>4196105</t>
  </si>
  <si>
    <t>DA Revenue</t>
  </si>
  <si>
    <t>12qq</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</si>
  <si>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</si>
  <si>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</si>
  <si>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</si>
  <si>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</si>
  <si>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</si>
  <si>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</si>
  <si>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</si>
  <si>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</si>
  <si>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</si>
  <si>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</si>
  <si>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</si>
  <si>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</si>
  <si>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</si>
  <si>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</si>
  <si>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</si>
  <si>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</si>
  <si>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</si>
  <si>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</si>
  <si>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</si>
  <si>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</si>
  <si>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</si>
  <si>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</si>
  <si>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</si>
  <si>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</si>
  <si>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</si>
  <si>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</si>
  <si>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</si>
  <si>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</si>
  <si>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</si>
  <si>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</si>
  <si>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</si>
  <si>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</si>
  <si>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</si>
  <si>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</si>
  <si>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</si>
  <si>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</si>
  <si>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</si>
  <si>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</si>
  <si>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</si>
  <si>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</si>
  <si>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</si>
  <si>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</si>
  <si>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</si>
  <si>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</si>
  <si>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</si>
  <si>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</si>
  <si>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</si>
  <si>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</si>
  <si>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</si>
  <si>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</si>
  <si>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</si>
  <si>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</si>
  <si>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</si>
  <si>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</si>
  <si>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</si>
  <si>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</si>
  <si>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</si>
  <si>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</si>
  <si>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</si>
  <si>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</si>
  <si>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</si>
  <si>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</si>
  <si>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</si>
  <si>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</si>
  <si>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</si>
  <si>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</si>
  <si>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</si>
  <si>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</si>
  <si>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</si>
  <si>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</si>
  <si>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</si>
  <si>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</si>
  <si>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</si>
  <si>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</si>
  <si>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</si>
  <si>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15r</t>
  </si>
  <si>
    <t>4198130</t>
  </si>
  <si>
    <t>Inland Empire CRT Tie-Line EX</t>
  </si>
  <si>
    <t>15s</t>
  </si>
  <si>
    <t>4198910</t>
  </si>
  <si>
    <t>Reliability Service Revenue - Non-PTO's</t>
  </si>
  <si>
    <t>456.1 Total</t>
  </si>
  <si>
    <t>18a</t>
  </si>
  <si>
    <t>457.1 Total</t>
  </si>
  <si>
    <t>21a</t>
  </si>
  <si>
    <t>457.2 Total</t>
  </si>
  <si>
    <t>Edison Carrier Solutions (ECS)</t>
  </si>
  <si>
    <t>24a</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</si>
  <si>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</si>
  <si>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</si>
  <si>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</si>
  <si>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</si>
  <si>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</si>
  <si>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</si>
  <si>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</si>
  <si>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</si>
  <si>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</si>
  <si>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</si>
  <si>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</si>
  <si>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</si>
  <si>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</si>
  <si>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</si>
  <si>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</si>
  <si>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</si>
  <si>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</si>
  <si>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</si>
  <si>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</si>
  <si>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</si>
  <si>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</si>
  <si>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</si>
  <si>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</si>
  <si>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</si>
  <si>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</si>
  <si>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</si>
  <si>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</si>
  <si>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</si>
  <si>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</si>
  <si>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</si>
  <si>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</si>
  <si>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</si>
  <si>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</si>
  <si>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</si>
  <si>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</si>
  <si>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</si>
  <si>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</si>
  <si>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</si>
  <si>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</si>
  <si>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</si>
  <si>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</si>
  <si>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</si>
  <si>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</si>
  <si>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</si>
  <si>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</si>
  <si>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</si>
  <si>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</si>
  <si>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</si>
  <si>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</si>
  <si>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</si>
  <si>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</si>
  <si>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</si>
  <si>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</si>
  <si>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</si>
  <si>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</si>
  <si>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</si>
  <si>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</si>
  <si>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</si>
  <si>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</si>
  <si>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</si>
  <si>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</si>
  <si>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</si>
  <si>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</si>
  <si>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</si>
  <si>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</si>
  <si>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</si>
  <si>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</si>
  <si>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</si>
  <si>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</si>
  <si>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</si>
  <si>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</si>
  <si>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</si>
  <si>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</si>
  <si>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</si>
  <si>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</si>
  <si>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</si>
  <si>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</si>
  <si>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</si>
  <si>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</si>
  <si>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</si>
  <si>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</si>
  <si>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</si>
  <si>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</si>
  <si>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TRR</t>
  </si>
  <si>
    <t>with Interest</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</si>
  <si>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</si>
  <si>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</si>
  <si>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</si>
  <si>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</si>
  <si>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</si>
  <si>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</si>
  <si>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</si>
  <si>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</si>
  <si>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</si>
  <si>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</si>
  <si>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</si>
  <si>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</si>
  <si>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</si>
  <si>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</si>
  <si>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</si>
  <si>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</si>
  <si>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</si>
  <si>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</si>
  <si>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</si>
  <si>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</si>
  <si>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</si>
  <si>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</si>
  <si>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</si>
  <si>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</si>
  <si>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</si>
  <si>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</si>
  <si>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</si>
  <si>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</si>
  <si>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</si>
  <si>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</si>
  <si>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</si>
  <si>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</si>
  <si>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</si>
  <si>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</si>
  <si>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</si>
  <si>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</si>
  <si>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</si>
  <si>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</si>
  <si>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</si>
  <si>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</si>
  <si>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5) Red Bluff</t>
  </si>
  <si>
    <t>6) Whirlwind Substation Exp.</t>
  </si>
  <si>
    <t>7) Colorado River Sub. Exp.</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</si>
  <si>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</si>
  <si>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</si>
  <si>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</si>
  <si>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</si>
  <si>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</si>
  <si>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</si>
  <si>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</si>
  <si>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</si>
  <si>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</si>
  <si>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</si>
  <si>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</si>
  <si>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</si>
  <si>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</si>
  <si>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</si>
  <si>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</si>
  <si>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</si>
  <si>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</si>
  <si>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</si>
  <si>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</si>
  <si>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</si>
  <si>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</si>
  <si>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</si>
  <si>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</si>
  <si>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</si>
  <si>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</si>
  <si>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</si>
  <si>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</si>
  <si>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</si>
  <si>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</si>
  <si>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</si>
  <si>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</si>
  <si>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</si>
  <si>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</si>
  <si>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</si>
  <si>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</si>
  <si>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</si>
  <si>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</si>
  <si>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</si>
  <si>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</si>
  <si>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</si>
  <si>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</si>
  <si>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</si>
  <si>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</si>
  <si>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</si>
  <si>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</si>
  <si>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</si>
  <si>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</si>
  <si>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</si>
  <si>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</si>
  <si>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</si>
  <si>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</si>
  <si>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</si>
  <si>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wo Interest for</t>
  </si>
  <si>
    <t>for Current</t>
  </si>
  <si>
    <t>Current Month</t>
  </si>
  <si>
    <t>See Note 9</t>
  </si>
  <si>
    <t>See Note 10</t>
  </si>
  <si>
    <t>Shortfall or Excess Revenue in Prior Year:</t>
  </si>
  <si>
    <t>TRR AAF</t>
  </si>
  <si>
    <t>Actual Retail Base Transmission Revenues for any months not included in True Up Period.</t>
  </si>
  <si>
    <t>3) "Actual Retail Base Transmission Revenues" are SCE retail transmission revenues attributable to this formula transmission rate.</t>
  </si>
  <si>
    <t>7) Interest for Current Month is calculated on average of beginning and ending balances (Column 9 previous month and Column 7 current month).</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</si>
  <si>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</si>
  <si>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</si>
  <si>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</si>
  <si>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</si>
  <si>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</si>
  <si>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</si>
  <si>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</si>
  <si>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</si>
  <si>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FF1 113.56c</t>
  </si>
  <si>
    <t>Average Outstanding Network Upgrade Credits Beginning and End of Year</t>
  </si>
  <si>
    <t>Interest On Network Upgrade Credits Recorded in FERC Acct 242</t>
  </si>
  <si>
    <t>Acct 242 Other</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</si>
  <si>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</si>
  <si>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</si>
  <si>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</si>
  <si>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</si>
  <si>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</si>
  <si>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</si>
  <si>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</si>
  <si>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</si>
  <si>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</si>
  <si>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</si>
  <si>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</si>
  <si>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</si>
  <si>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</si>
  <si>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</si>
  <si>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</si>
  <si>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</si>
  <si>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</si>
  <si>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</si>
  <si>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</si>
  <si>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</si>
  <si>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</si>
  <si>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</si>
  <si>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</si>
  <si>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</si>
  <si>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</si>
  <si>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</si>
  <si>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</si>
  <si>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</si>
  <si>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</si>
  <si>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</si>
  <si>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</si>
  <si>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</si>
  <si>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</si>
  <si>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</si>
  <si>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G) Red Bluff Incentives Received:</t>
  </si>
  <si>
    <t>H) Whirlwind Substation Expansion Incentives Received:</t>
  </si>
  <si>
    <t>I) Colorado River Substation Expansion Incentives Received:</t>
  </si>
  <si>
    <t>Commission decision.</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</si>
  <si>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</si>
  <si>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</si>
  <si>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</si>
  <si>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</si>
  <si>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</si>
  <si>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</si>
  <si>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</si>
  <si>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</si>
  <si>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</si>
  <si>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</si>
  <si>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</si>
  <si>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</si>
  <si>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</si>
  <si>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</si>
  <si>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</si>
  <si>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</si>
  <si>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</si>
  <si>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</si>
  <si>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</si>
  <si>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</si>
  <si>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</si>
  <si>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</si>
  <si>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</si>
  <si>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</si>
  <si>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</si>
  <si>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</si>
  <si>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</si>
  <si>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</si>
  <si>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</si>
  <si>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</si>
  <si>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</si>
  <si>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</si>
  <si>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</si>
  <si>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</si>
  <si>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</si>
  <si>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</si>
  <si>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</si>
  <si>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</si>
  <si>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</si>
  <si>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</si>
  <si>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</si>
  <si>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</si>
  <si>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</si>
  <si>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</si>
  <si>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</si>
  <si>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</si>
  <si>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</si>
  <si>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</si>
  <si>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</si>
  <si>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</si>
  <si>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</si>
  <si>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</si>
  <si>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</si>
  <si>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</si>
  <si>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</si>
  <si>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</si>
  <si>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</si>
  <si>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</si>
  <si>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</si>
  <si>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</si>
  <si>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</si>
  <si>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</si>
  <si>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</si>
  <si>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</si>
  <si>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</si>
  <si>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</si>
  <si>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</si>
  <si>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</si>
  <si>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</si>
  <si>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Note 11</t>
  </si>
  <si>
    <t>Energy Charge - $/kWh</t>
  </si>
  <si>
    <t>Rate Schedules in each CPUC Rate Group:</t>
  </si>
  <si>
    <t>Rate Schedules included in Each Rate Group in the Rate Effective Period</t>
  </si>
  <si>
    <t>Recorded 12-CP Load Data by Rate Group (MW)</t>
  </si>
  <si>
    <t>Line losses</t>
  </si>
  <si>
    <t>28e</t>
  </si>
  <si>
    <t>Calculation of Plant Held for Future Use</t>
  </si>
  <si>
    <t>Plant In Service</t>
  </si>
  <si>
    <t>13-Mo. Avg:</t>
  </si>
  <si>
    <t>Sum C2 - C4</t>
  </si>
  <si>
    <t>Average:</t>
  </si>
  <si>
    <t>G&amp;I Plant</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</si>
  <si>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</si>
  <si>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</si>
  <si>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</si>
  <si>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</si>
  <si>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</si>
  <si>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</si>
  <si>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</si>
  <si>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</si>
  <si>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</si>
  <si>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</si>
  <si>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</si>
  <si>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</si>
  <si>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</si>
  <si>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</si>
  <si>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</si>
  <si>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</si>
  <si>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</si>
  <si>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</si>
  <si>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</si>
  <si>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</si>
  <si>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</si>
  <si>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</si>
  <si>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</si>
  <si>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</si>
  <si>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Reason</t>
  </si>
  <si>
    <t>FF1 277.19k</t>
  </si>
  <si>
    <t>Account 282</t>
  </si>
  <si>
    <t>Account 283</t>
  </si>
  <si>
    <t>Account 190</t>
  </si>
  <si>
    <t>FF1 234.18c</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</si>
  <si>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</si>
  <si>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</si>
  <si>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</si>
  <si>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</si>
  <si>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</si>
  <si>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</si>
  <si>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</si>
  <si>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</si>
  <si>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</si>
  <si>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</si>
  <si>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</si>
  <si>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</si>
  <si>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</si>
  <si>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</si>
  <si>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</si>
  <si>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</si>
  <si>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</si>
  <si>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</si>
  <si>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</si>
  <si>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</si>
  <si>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</si>
  <si>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</si>
  <si>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</si>
  <si>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</si>
  <si>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</si>
  <si>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</si>
  <si>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</si>
  <si>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</si>
  <si>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</si>
  <si>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</si>
  <si>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</si>
  <si>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</si>
  <si>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Red Bluff:</t>
  </si>
  <si>
    <t>Whirlwind Sub Expansion:</t>
  </si>
  <si>
    <t>Colorado River Sub Expansion:</t>
  </si>
  <si>
    <t>South of Kramer:</t>
  </si>
  <si>
    <t>West of Devers:</t>
  </si>
  <si>
    <t>PY Total Return, Taxes, Incentive:</t>
  </si>
  <si>
    <t>Total without FF&amp;U:</t>
  </si>
  <si>
    <t>Total Contribution of CWIP to Retail Base TRR:</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</si>
  <si>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</si>
  <si>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</si>
  <si>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</si>
  <si>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</si>
  <si>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</si>
  <si>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</si>
  <si>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</si>
  <si>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</si>
  <si>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</si>
  <si>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</si>
  <si>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</si>
  <si>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</si>
  <si>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</si>
  <si>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</si>
  <si>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Sylmar/Palo Verde</t>
  </si>
  <si>
    <t>561.400 Scheduling, System Control and Dispatch Services</t>
  </si>
  <si>
    <t>562 - MOGS Station Expense</t>
  </si>
  <si>
    <t>562 - Sylmar/Palo Verde</t>
  </si>
  <si>
    <t>564 - Underground Line Expense</t>
  </si>
  <si>
    <t>565 - Wheeling Costs</t>
  </si>
  <si>
    <t>565 - WAPA Transmission for Remote Service</t>
  </si>
  <si>
    <t>566 - ISO/RSBA/TSP Balancing Accounts</t>
  </si>
  <si>
    <t>566 - Sylmar/Palo Verde/Other General Functions</t>
  </si>
  <si>
    <t>567 - Eldorado</t>
  </si>
  <si>
    <t>567 - Sylmar/Palo Verde</t>
  </si>
  <si>
    <t>568 - Sylmar/Palo Verde</t>
  </si>
  <si>
    <t>569 - Sylmar/Palo Verde</t>
  </si>
  <si>
    <t>570 - Sylmar/Palo Verde</t>
  </si>
  <si>
    <t>571 - Sylmar/Palo Verde</t>
  </si>
  <si>
    <t>572 - Maintenance of Underground Transmission Lines</t>
  </si>
  <si>
    <t>572 - Sylmar/Palo Verde</t>
  </si>
  <si>
    <t>Total Transmission O&amp;M</t>
  </si>
  <si>
    <t>Distribution Accounts</t>
  </si>
  <si>
    <t>590 - Maintenance Supervision and Engineering</t>
  </si>
  <si>
    <t>591 - Maintenance of Structures</t>
  </si>
  <si>
    <t>Accounts with no ISO Distribution Costs</t>
  </si>
  <si>
    <t>Total Distribution O&amp;M</t>
  </si>
  <si>
    <t>Total Transmission and Distribution O&amp;M</t>
  </si>
  <si>
    <t>Total Transmission O&amp;M Expenses in FERC Form 1:</t>
  </si>
  <si>
    <t>FF1 321.112b</t>
  </si>
  <si>
    <t>Total Distribution O&amp;M Expenses in FERC Form 1:</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</si>
  <si>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</si>
  <si>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</si>
  <si>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</si>
  <si>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</si>
  <si>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</si>
  <si>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</si>
  <si>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</si>
  <si>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</si>
  <si>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</si>
  <si>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</si>
  <si>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</si>
  <si>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</si>
  <si>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</si>
  <si>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</si>
  <si>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</si>
  <si>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</si>
  <si>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</si>
  <si>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</si>
  <si>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</si>
  <si>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</si>
  <si>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</si>
  <si>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</si>
  <si>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</si>
  <si>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</si>
  <si>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</si>
  <si>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</si>
  <si>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</si>
  <si>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</si>
  <si>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</si>
  <si>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</si>
  <si>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</si>
  <si>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</si>
  <si>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</si>
  <si>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</si>
  <si>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</si>
  <si>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</si>
  <si>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</si>
  <si>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</si>
  <si>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</si>
  <si>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</si>
  <si>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</si>
  <si>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</si>
  <si>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</si>
  <si>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</si>
  <si>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</si>
  <si>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</si>
  <si>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</si>
  <si>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</si>
  <si>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</si>
  <si>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</si>
  <si>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</si>
  <si>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</si>
  <si>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</si>
  <si>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</si>
  <si>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</si>
  <si>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</si>
  <si>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</si>
  <si>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</si>
  <si>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</si>
  <si>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</si>
  <si>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</si>
  <si>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</si>
  <si>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</si>
  <si>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</si>
  <si>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</si>
  <si>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</si>
  <si>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</si>
  <si>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</si>
  <si>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</si>
  <si>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</si>
  <si>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Trans. And Dist. Business Unit</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</si>
  <si>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</si>
  <si>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</si>
  <si>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</si>
  <si>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</si>
  <si>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</si>
  <si>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</si>
  <si>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</si>
  <si>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</si>
  <si>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</si>
  <si>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</si>
  <si>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</si>
  <si>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</si>
  <si>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High Voltage Utility-Specific Rate =</t>
  </si>
  <si>
    <t>HV Wholesale TRR =</t>
  </si>
  <si>
    <t>Sum of Monthly Peak Demands:</t>
  </si>
  <si>
    <t>HV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</si>
  <si>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</si>
  <si>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</si>
  <si>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</si>
  <si>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</si>
  <si>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</si>
  <si>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</si>
  <si>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</si>
  <si>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</si>
  <si>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</si>
  <si>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</si>
  <si>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</si>
  <si>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</si>
  <si>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</si>
  <si>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</si>
  <si>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</si>
  <si>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</si>
  <si>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</si>
  <si>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</si>
  <si>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</si>
  <si>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</si>
  <si>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</si>
  <si>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</si>
  <si>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</si>
  <si>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</si>
  <si>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</si>
  <si>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</si>
  <si>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</si>
  <si>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</si>
  <si>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</si>
  <si>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</si>
  <si>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</si>
  <si>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</si>
  <si>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</si>
  <si>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</si>
  <si>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</si>
  <si>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</si>
  <si>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</si>
  <si>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</si>
  <si>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</si>
  <si>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</si>
  <si>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</si>
  <si>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</si>
  <si>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</si>
  <si>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</si>
  <si>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</si>
  <si>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</si>
  <si>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</si>
  <si>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</si>
  <si>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</si>
  <si>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</si>
  <si>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</si>
  <si>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</si>
  <si>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</si>
  <si>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</si>
  <si>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</si>
  <si>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</si>
  <si>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</si>
  <si>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</si>
  <si>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FF</t>
  </si>
  <si>
    <t>= Sum C1 to C4</t>
  </si>
  <si>
    <t>FF&amp;U Expenses:</t>
  </si>
  <si>
    <t>CWIP Related Costs wo FF&amp;U:</t>
  </si>
  <si>
    <t>CWIP Related Costs with FF&amp;U:</t>
  </si>
  <si>
    <t>12-CP MW</t>
  </si>
  <si>
    <t>Loss Adjusted Average 12-CP</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</si>
  <si>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</si>
  <si>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</si>
  <si>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</si>
  <si>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</si>
  <si>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</si>
  <si>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</si>
  <si>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Unamortized Issuance Costs</t>
  </si>
  <si>
    <t>Minus Net Gain (Loss) From Purchase and Tender Offers</t>
  </si>
  <si>
    <t>Less Unappropriated Undist. Sub. Earnings -- Acct. 216.1</t>
  </si>
  <si>
    <t>Less Accumulated Other Comprehensive Loss -- Account 219</t>
  </si>
  <si>
    <t>Calculation of Preferred Stock Amount</t>
  </si>
  <si>
    <t>June</t>
  </si>
  <si>
    <t>Col 13</t>
  </si>
  <si>
    <t>Col 14</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</si>
  <si>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</si>
  <si>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</si>
  <si>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</si>
  <si>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</si>
  <si>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</si>
  <si>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</si>
  <si>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</si>
  <si>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</si>
  <si>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</si>
  <si>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</si>
  <si>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</si>
  <si>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</si>
  <si>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</si>
  <si>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</si>
  <si>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</si>
  <si>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</si>
  <si>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</si>
  <si>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</si>
  <si>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</si>
  <si>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</si>
  <si>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</si>
  <si>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</si>
  <si>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</si>
  <si>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</si>
  <si>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</si>
  <si>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</si>
  <si>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</si>
  <si>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</si>
  <si>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</si>
  <si>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</si>
  <si>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</si>
  <si>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</si>
  <si>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</si>
  <si>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</si>
  <si>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</si>
  <si>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</si>
  <si>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</si>
  <si>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</si>
  <si>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</si>
  <si>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</si>
  <si>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</si>
  <si>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</si>
  <si>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</si>
  <si>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</si>
  <si>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</si>
  <si>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</si>
  <si>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</si>
  <si>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</si>
  <si>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</si>
  <si>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</si>
  <si>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</si>
  <si>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</si>
  <si>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</si>
  <si>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</si>
  <si>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</si>
  <si>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</si>
  <si>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</si>
  <si>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</si>
  <si>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</si>
  <si>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</si>
  <si>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</si>
  <si>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</si>
  <si>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</si>
  <si>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</si>
  <si>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Balances for Transmission Plant - ISO during the Prior Year, including December of previous year (See Note 1):</t>
  </si>
  <si>
    <t>Transmission Activity Used to Determine Monthly Transmission Plant - ISO Balances</t>
  </si>
  <si>
    <t>4) Calculation of change in Non-Incentive ISO Plant:</t>
  </si>
  <si>
    <t>3) General and Intangible Depreciation Reserve</t>
  </si>
  <si>
    <t>Transmission Activity Used to Determine Monthly Transmission Depreciation Reserve - ISO Balances</t>
  </si>
  <si>
    <t>Balances for Transmission Depreciation Reserve - ISO during the Prior Year, including December of previous year (See Note 1):</t>
  </si>
  <si>
    <t>2) Distribution Depreciation Reserve - ISO (See Note 2)</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</si>
  <si>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</si>
  <si>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</si>
  <si>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</si>
  <si>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</si>
  <si>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</si>
  <si>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</si>
  <si>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</si>
  <si>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</si>
  <si>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</si>
  <si>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</si>
  <si>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</si>
  <si>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</si>
  <si>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</si>
  <si>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f) Red Bluff</t>
  </si>
  <si>
    <t>6) Summary of Incentive Projects and incentives granted</t>
  </si>
  <si>
    <t>for each month</t>
  </si>
  <si>
    <t>C1: Sum of below projects</t>
  </si>
  <si>
    <t>Related</t>
  </si>
  <si>
    <t>Total Accumulated Deferred Income Taxes</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</si>
  <si>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</si>
  <si>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</si>
  <si>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</si>
  <si>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</si>
  <si>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</si>
  <si>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</si>
  <si>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</si>
  <si>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</si>
  <si>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</si>
  <si>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</si>
  <si>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</si>
  <si>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</si>
  <si>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</si>
  <si>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</si>
  <si>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</si>
  <si>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</si>
  <si>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</si>
  <si>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</si>
  <si>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</si>
  <si>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</si>
  <si>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</si>
  <si>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</si>
  <si>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</si>
  <si>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</si>
  <si>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</si>
  <si>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</si>
  <si>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</si>
  <si>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</si>
  <si>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</si>
  <si>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</si>
  <si>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</si>
  <si>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</si>
  <si>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</si>
  <si>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</si>
  <si>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</si>
  <si>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</si>
  <si>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</si>
  <si>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</si>
  <si>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</si>
  <si>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</si>
  <si>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</si>
  <si>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</si>
  <si>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</si>
  <si>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</si>
  <si>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</si>
  <si>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</si>
  <si>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</si>
  <si>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</si>
  <si>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</si>
  <si>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</si>
  <si>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</si>
  <si>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</si>
  <si>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</si>
  <si>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</si>
  <si>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Low Voltage</t>
  </si>
  <si>
    <t>13-Month Averages:</t>
  </si>
  <si>
    <t>LV Allocation Factor)</t>
  </si>
  <si>
    <t>13-month avg.</t>
  </si>
  <si>
    <t>Total Account 282</t>
  </si>
  <si>
    <t>Allocation Factors (Plant and Wages)</t>
  </si>
  <si>
    <t>Total Account 190 ADIT</t>
  </si>
  <si>
    <t>Total Account 282 ADIT</t>
  </si>
  <si>
    <t>(Sum of amounts in Columns 4 to 6)</t>
  </si>
  <si>
    <t>Total Account 283 ADIT</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</si>
  <si>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</si>
  <si>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</si>
  <si>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</si>
  <si>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</si>
  <si>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</si>
  <si>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</si>
  <si>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</si>
  <si>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</si>
  <si>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</si>
  <si>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</si>
  <si>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</si>
  <si>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</si>
  <si>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</si>
  <si>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</si>
  <si>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</si>
  <si>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</si>
  <si>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 xml:space="preserve">1) Enter 13 months of balances for capital structure for Prior Year and December previous to Prior Year in Columns 2-14.  </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</si>
  <si>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</si>
  <si>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</si>
  <si>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</si>
  <si>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</si>
  <si>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</si>
  <si>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</si>
  <si>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</si>
  <si>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</si>
  <si>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</si>
  <si>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</si>
  <si>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</si>
  <si>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</si>
  <si>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</si>
  <si>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</si>
  <si>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</si>
  <si>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</si>
  <si>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</si>
  <si>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</si>
  <si>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</si>
  <si>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</si>
  <si>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</si>
  <si>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</si>
  <si>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</si>
  <si>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</si>
  <si>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</si>
  <si>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</si>
  <si>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</si>
  <si>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</si>
  <si>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</si>
  <si>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</si>
  <si>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</si>
  <si>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</si>
  <si>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</si>
  <si>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</si>
  <si>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</si>
  <si>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Supplies Balances</t>
  </si>
  <si>
    <t>Total Materials and</t>
  </si>
  <si>
    <t>Calculation of True Up TRR</t>
  </si>
  <si>
    <t>Calculation of True Up Adjustment Component of TRR</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</si>
  <si>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</si>
  <si>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</si>
  <si>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</si>
  <si>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</si>
  <si>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</si>
  <si>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</si>
  <si>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</si>
  <si>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</si>
  <si>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</si>
  <si>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</si>
  <si>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</si>
  <si>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</si>
  <si>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</si>
  <si>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</si>
  <si>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Instruction 1</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</si>
  <si>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</si>
  <si>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</si>
  <si>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</si>
  <si>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</si>
  <si>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</si>
  <si>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</si>
  <si>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</si>
  <si>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</si>
  <si>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</si>
  <si>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</si>
  <si>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</si>
  <si>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</si>
  <si>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</si>
  <si>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</si>
  <si>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</si>
  <si>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</si>
  <si>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</si>
  <si>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 xml:space="preserve"> One Time Adjustments include:</t>
  </si>
  <si>
    <t>Account 283 Gas and Other:</t>
  </si>
  <si>
    <t>Revenue From Decommission Trust Fund</t>
  </si>
  <si>
    <t>Revenue From Decommissioning Trust FAS115</t>
  </si>
  <si>
    <t>Revenue From Decommissioning Trust FAS115-1</t>
  </si>
  <si>
    <t>Prior Year TRR wo FF&amp;U:</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</si>
  <si>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</si>
  <si>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</si>
  <si>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</si>
  <si>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</si>
  <si>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</si>
  <si>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</si>
  <si>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</si>
  <si>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</si>
  <si>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</si>
  <si>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</si>
  <si>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</si>
  <si>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</si>
  <si>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</si>
  <si>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</si>
  <si>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r>
      <rPr>
        <b/>
        <sz val="10"/>
        <rFont val="Arial"/>
        <family val="2"/>
      </rPr>
      <t>Notes:</t>
    </r>
    <r>
      <rPr>
        <sz val="10"/>
        <rFont val="Arial"/>
        <family val="2"/>
      </rPr>
      <t xml:space="preserve"> 1) Depreciation rates may only be revised as approved by the Commission pursuant</t>
    </r>
  </si>
  <si>
    <t>Resulting Percentage is:</t>
  </si>
  <si>
    <t>Percent ISO</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</si>
  <si>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</si>
  <si>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</si>
  <si>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</si>
  <si>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</si>
  <si>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</si>
  <si>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</si>
  <si>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</si>
  <si>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</si>
  <si>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</si>
  <si>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</si>
  <si>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</si>
  <si>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</si>
  <si>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</si>
  <si>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</si>
  <si>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</si>
  <si>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</si>
  <si>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</si>
  <si>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</si>
  <si>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</si>
  <si>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</si>
  <si>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</si>
  <si>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</si>
  <si>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</si>
  <si>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</si>
  <si>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</si>
  <si>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</si>
  <si>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</si>
  <si>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</si>
  <si>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</si>
  <si>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on the Transmission Wages and Salaries Allocation Factor.</t>
  </si>
  <si>
    <t>17-</t>
  </si>
  <si>
    <t xml:space="preserve">2) In the event that depreciation rates stated on Schedule 18 to be applied to Distribution Plant - ISO are revised mid-year, calculate Depreciation Expense for </t>
  </si>
  <si>
    <t>See Instructions 2b, 3, and Note 2</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</si>
  <si>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</si>
  <si>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</si>
  <si>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</si>
  <si>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</si>
  <si>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</si>
  <si>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</si>
  <si>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</si>
  <si>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</si>
  <si>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</si>
  <si>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</si>
  <si>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</si>
  <si>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</si>
  <si>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</si>
  <si>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</si>
  <si>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</si>
  <si>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</si>
  <si>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</si>
  <si>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</si>
  <si>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</si>
  <si>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Gen. and Int.</t>
  </si>
  <si>
    <t>=C4+C5</t>
  </si>
  <si>
    <t>FF1 219.28c and 200.21c for previous year</t>
  </si>
  <si>
    <t>FF1 219.28c and 200.21c</t>
  </si>
  <si>
    <t>Values</t>
  </si>
  <si>
    <t>Applied to Accounts</t>
  </si>
  <si>
    <t>ISO Line Miles</t>
  </si>
  <si>
    <t>Non-ISO Line Miles</t>
  </si>
  <si>
    <t>Total Line Miles</t>
  </si>
  <si>
    <t>ISO Underground Line Miles</t>
  </si>
  <si>
    <t>Non-ISO Underground Line Miles</t>
  </si>
  <si>
    <t>Total Undergound Line Miles</t>
  </si>
  <si>
    <t>ISO Circuit Breakers</t>
  </si>
  <si>
    <t>Non-ISO Breakers</t>
  </si>
  <si>
    <t>Total Circuit Breakers</t>
  </si>
  <si>
    <t>Circuit Breakers Percent ISO</t>
  </si>
  <si>
    <t>Non-ISO Distribution Circuit Breakers</t>
  </si>
  <si>
    <t>Total Distribution Circuit Breakers</t>
  </si>
  <si>
    <t>ISO Distribution Circuit Breakers</t>
  </si>
  <si>
    <t>Distribution Circuit Breakers Percent ISO</t>
  </si>
  <si>
    <t>For the following Prior Years:</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</si>
  <si>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</si>
  <si>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</si>
  <si>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</si>
  <si>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</si>
  <si>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</si>
  <si>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Order approving revised ROE:</t>
  </si>
  <si>
    <t>In the event that the Return on Common Equity is revised from the initial value, enter cite to Commission Order approving the revised ROE on following line.</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</si>
  <si>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</si>
  <si>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</si>
  <si>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</si>
  <si>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</si>
  <si>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Investment Tax Credit Flowed Through</t>
  </si>
  <si>
    <t>South Georgia Income Tax Adjustment</t>
  </si>
  <si>
    <t>compared to the Retail Base TRR.  This difference is attributable to differences in the following six items,</t>
  </si>
  <si>
    <t>These six items may affect the Base TRR by affecting Rate Base, or affecting an annual expense (amortization).</t>
  </si>
  <si>
    <t>d) Total Expense Difference</t>
  </si>
  <si>
    <t>Partial Year True Up Allocation Factors calculated based on three years (2008-2010) of monthly SCE retail base transmission revenues.</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</si>
  <si>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</si>
  <si>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</si>
  <si>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</si>
  <si>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Long Term Debt Advances from Associated Companies -- Account 223</t>
  </si>
  <si>
    <t>75% of O&amp;M and A&amp;G in Prior Year TRR:</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</si>
  <si>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</si>
  <si>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</si>
  <si>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</si>
  <si>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</si>
  <si>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</si>
  <si>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</si>
  <si>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</si>
  <si>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</si>
  <si>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</si>
  <si>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</si>
  <si>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</si>
  <si>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</si>
  <si>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</si>
  <si>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</si>
  <si>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</si>
  <si>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</si>
  <si>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</si>
  <si>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</si>
  <si>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</si>
  <si>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</si>
  <si>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 xml:space="preserve">1) Any amount of "Provision for Doubtful Accounts" costs. </t>
  </si>
  <si>
    <t>2) Any amount of "Accounting Suspense" costs.</t>
  </si>
  <si>
    <t>g) Exclude the following costs included in any account 920-935:</t>
  </si>
  <si>
    <t>4) Any amount of costs recovered 100% through California Public Utilities Commission ("CPUC") rates.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</si>
  <si>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</si>
  <si>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</si>
  <si>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</si>
  <si>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</si>
  <si>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</si>
  <si>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 xml:space="preserve">c) The previous month balance of the Transmission Plant - ISO amounts on Lines 1-13.  </t>
  </si>
  <si>
    <t xml:space="preserve">For instance, the amount for May of the Prior Year (on Line 6) for Account 353 (Column 5) is the sum of the following values: </t>
  </si>
  <si>
    <t>The amounts for each month on the remaining lines are calculated by summing the following values:</t>
  </si>
  <si>
    <t>c) Balances for Transmission Depreciation Reserve (on Lines 1 to 13) for the previous month.</t>
  </si>
  <si>
    <t>For instance, the amount for May of the Prior Year (on Line 6) for Account 353 (Column 5) is the sum of the following values:</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</si>
  <si>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</si>
  <si>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</si>
  <si>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</si>
  <si>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</si>
  <si>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</si>
  <si>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</si>
  <si>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</si>
  <si>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</si>
  <si>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</si>
  <si>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</si>
  <si>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</si>
  <si>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</si>
  <si>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</si>
  <si>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</si>
  <si>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</si>
  <si>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</si>
  <si>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Amounts on Line 1 must match corresponding account Schedule 7, Column 2 for previous year.</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</si>
  <si>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</si>
  <si>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</si>
  <si>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</si>
  <si>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</si>
  <si>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</si>
  <si>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</si>
  <si>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</si>
  <si>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</si>
  <si>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</si>
  <si>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</si>
  <si>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</si>
  <si>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</si>
  <si>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</si>
  <si>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</si>
  <si>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</si>
  <si>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</si>
  <si>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</si>
  <si>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</si>
  <si>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</si>
  <si>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</si>
  <si>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</si>
  <si>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</si>
  <si>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</si>
  <si>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</si>
  <si>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</si>
  <si>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</si>
  <si>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</si>
  <si>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</si>
  <si>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</si>
  <si>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</si>
  <si>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</si>
  <si>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</si>
  <si>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</si>
  <si>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</si>
  <si>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</si>
  <si>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</si>
  <si>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</si>
  <si>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</si>
  <si>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</si>
  <si>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</si>
  <si>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</si>
  <si>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</si>
  <si>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</si>
  <si>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</si>
  <si>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</si>
  <si>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</si>
  <si>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</si>
  <si>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</si>
  <si>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</si>
  <si>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</si>
  <si>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</si>
  <si>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</si>
  <si>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</si>
  <si>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</si>
  <si>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</si>
  <si>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</si>
  <si>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</si>
  <si>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</si>
  <si>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</si>
  <si>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</si>
  <si>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</si>
  <si>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</si>
  <si>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</si>
  <si>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</si>
  <si>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</si>
  <si>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3d) Project:</t>
  </si>
  <si>
    <t>3e) Project:</t>
  </si>
  <si>
    <t>3f) Project:</t>
  </si>
  <si>
    <t>Whirlwind Substation Expansion</t>
  </si>
  <si>
    <t>Unload</t>
  </si>
  <si>
    <t>3g) Project:</t>
  </si>
  <si>
    <t>Colorado River Substation Expansion</t>
  </si>
  <si>
    <t>3h) Project:</t>
  </si>
  <si>
    <t>South of Kramer</t>
  </si>
  <si>
    <t>3i) Project:</t>
  </si>
  <si>
    <t>West of Devers</t>
  </si>
  <si>
    <t>3j) Project:</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</si>
  <si>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</si>
  <si>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</si>
  <si>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</si>
  <si>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</si>
  <si>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</si>
  <si>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</si>
  <si>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</si>
  <si>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</si>
  <si>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</si>
  <si>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3) Non-Incentive Plant Forecast (See Note 1)</t>
  </si>
  <si>
    <t>= Prior Month C2
+C2+C5+C6</t>
  </si>
  <si>
    <t>December Prior Year plant balances and accrual rates are as shown on Schedule 17 Depreciation</t>
  </si>
  <si>
    <t>Current Authorized PBOPs Expense Amount:</t>
  </si>
  <si>
    <t>Unfunded Reserves</t>
  </si>
  <si>
    <t>Determination of Unfunded Reserves</t>
  </si>
  <si>
    <t>(Line 17, Col 3)</t>
  </si>
  <si>
    <t>Unfunded</t>
  </si>
  <si>
    <t>Reserves</t>
  </si>
  <si>
    <t>Provision for Injuries and Damages</t>
  </si>
  <si>
    <t>Provision for Vac/Sick Leave</t>
  </si>
  <si>
    <t>Provision for Supplemental Executive Retirement Plan</t>
  </si>
  <si>
    <t>(Line 14 + Line 15 + Line 16)</t>
  </si>
  <si>
    <t>Calculations</t>
  </si>
  <si>
    <t>BOY/EOY</t>
  </si>
  <si>
    <t>Company Records - Input (Negative)</t>
  </si>
  <si>
    <t>(27-Allocators, Line 9)</t>
  </si>
  <si>
    <t>ISO Transmission Rate Base Applicable</t>
  </si>
  <si>
    <t>Vacation Leave</t>
  </si>
  <si>
    <t>Vacation and Personal Time Accruals - Acct. 2350080</t>
  </si>
  <si>
    <t>Supplemental Executive Retirement Plan</t>
  </si>
  <si>
    <t>Times:</t>
  </si>
  <si>
    <t>Applicable Rate Base Percentage</t>
  </si>
  <si>
    <t>Sub-Total Supplemental Executive Retirement Plan</t>
  </si>
  <si>
    <t>Unfunded Reserves (Average BOY/EOY):</t>
  </si>
  <si>
    <t>Unfunded Reserves (EOY):</t>
  </si>
  <si>
    <t>(Line 17, Col 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</si>
  <si>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</si>
  <si>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</si>
  <si>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</si>
  <si>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</si>
  <si>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</si>
  <si>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</si>
  <si>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Remaining A&amp;G after exclusions &amp; NOIC Adjustment:</t>
  </si>
  <si>
    <t>NOIC</t>
  </si>
  <si>
    <t xml:space="preserve">Note 2: Non-Officer Incentive Compensation ("NOIC") Adjustment </t>
  </si>
  <si>
    <t xml:space="preserve">Adjust NOIC by excluding accrued NOIC Amount and replacing with the </t>
  </si>
  <si>
    <t>Accrued NOIC Amount:</t>
  </si>
  <si>
    <t>Actual A&amp;G NOIC payout:</t>
  </si>
  <si>
    <t>2) Fill out "Itemization of Exclusions" table for all input cells. NOIC amount in</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</si>
  <si>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</si>
  <si>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</si>
  <si>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</si>
  <si>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</si>
  <si>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</si>
  <si>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</si>
  <si>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</si>
  <si>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</si>
  <si>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</si>
  <si>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</si>
  <si>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</si>
  <si>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</si>
  <si>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</si>
  <si>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</si>
  <si>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</si>
  <si>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</si>
  <si>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</si>
  <si>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</si>
  <si>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</si>
  <si>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</si>
  <si>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</si>
  <si>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17a</t>
  </si>
  <si>
    <t>17b</t>
  </si>
  <si>
    <t>17c</t>
  </si>
  <si>
    <t>17d</t>
  </si>
  <si>
    <t>17e</t>
  </si>
  <si>
    <t>17f</t>
  </si>
  <si>
    <t>17g</t>
  </si>
  <si>
    <t>17h</t>
  </si>
  <si>
    <t>17i</t>
  </si>
  <si>
    <t>17j</t>
  </si>
  <si>
    <t>17k</t>
  </si>
  <si>
    <t>17l</t>
  </si>
  <si>
    <t>17m</t>
  </si>
  <si>
    <t>c) Reliability Services Revenue.</t>
  </si>
  <si>
    <t>b) Transmission Access Charge Balancing Account Adjustment.</t>
  </si>
  <si>
    <t xml:space="preserve">a) Transmission Revenue Balancing Account Adjustment revenue. </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</si>
  <si>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</si>
  <si>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</si>
  <si>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Sum of Column D, Line 43 and Column G, Line 32</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</si>
  <si>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</si>
  <si>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</si>
  <si>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</si>
  <si>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</si>
  <si>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</si>
  <si>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</si>
  <si>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</si>
  <si>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</si>
  <si>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</si>
  <si>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</si>
  <si>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</si>
  <si>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</si>
  <si>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</si>
  <si>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</si>
  <si>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</si>
  <si>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</si>
  <si>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</si>
  <si>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</si>
  <si>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</si>
  <si>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</si>
  <si>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</si>
  <si>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</si>
  <si>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</si>
  <si>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</si>
  <si>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</si>
  <si>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</si>
  <si>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</si>
  <si>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</si>
  <si>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</si>
  <si>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</si>
  <si>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</si>
  <si>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</si>
  <si>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</si>
  <si>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</si>
  <si>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</si>
  <si>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</si>
  <si>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</si>
  <si>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</si>
  <si>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</si>
  <si>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</si>
  <si>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</si>
  <si>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</si>
  <si>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Domestic</t>
  </si>
  <si>
    <t>TC-1</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</si>
  <si>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</si>
  <si>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</si>
  <si>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</si>
  <si>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</si>
  <si>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</si>
  <si>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</si>
  <si>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</si>
  <si>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</si>
  <si>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</si>
  <si>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</si>
  <si>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</si>
  <si>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</si>
  <si>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</si>
  <si>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</si>
  <si>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</si>
  <si>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</si>
  <si>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</si>
  <si>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</si>
  <si>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</si>
  <si>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</si>
  <si>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</si>
  <si>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from Line1:Col2</t>
  </si>
  <si>
    <t>9a</t>
  </si>
  <si>
    <t>9b</t>
  </si>
  <si>
    <t>9c</t>
  </si>
  <si>
    <t>9d</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</si>
  <si>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</si>
  <si>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</si>
  <si>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</si>
  <si>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</si>
  <si>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</si>
  <si>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</si>
  <si>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</si>
  <si>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</si>
  <si>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</si>
  <si>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</si>
  <si>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</si>
  <si>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</si>
  <si>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</si>
  <si>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</si>
  <si>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</si>
  <si>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</si>
  <si>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</si>
  <si>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</si>
  <si>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</si>
  <si>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</si>
  <si>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</si>
  <si>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</si>
  <si>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</si>
  <si>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</si>
  <si>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26a</t>
  </si>
  <si>
    <t>26b</t>
  </si>
  <si>
    <t>26c</t>
  </si>
  <si>
    <t>26d</t>
  </si>
  <si>
    <t>26e</t>
  </si>
  <si>
    <t>26f</t>
  </si>
  <si>
    <t>26g</t>
  </si>
  <si>
    <t>26h</t>
  </si>
  <si>
    <t>26i</t>
  </si>
  <si>
    <t>26j</t>
  </si>
  <si>
    <t>26k</t>
  </si>
  <si>
    <t>26l</t>
  </si>
  <si>
    <t>26m</t>
  </si>
  <si>
    <t>26n</t>
  </si>
  <si>
    <t>26o</t>
  </si>
  <si>
    <t>= Line35:(Col1+Col2+Col3)/3</t>
  </si>
  <si>
    <t>from Line1:Col3</t>
  </si>
  <si>
    <t>3-Year Average</t>
  </si>
  <si>
    <t>12-CP Allocation factors</t>
  </si>
  <si>
    <t>35a</t>
  </si>
  <si>
    <t>35b</t>
  </si>
  <si>
    <t>35c</t>
  </si>
  <si>
    <t>35d</t>
  </si>
  <si>
    <t>35e</t>
  </si>
  <si>
    <t>35f</t>
  </si>
  <si>
    <t>35g</t>
  </si>
  <si>
    <t>35h</t>
  </si>
  <si>
    <t>35i</t>
  </si>
  <si>
    <t>35j</t>
  </si>
  <si>
    <t>35k</t>
  </si>
  <si>
    <t>35l</t>
  </si>
  <si>
    <t>35m</t>
  </si>
  <si>
    <t>35n</t>
  </si>
  <si>
    <t>35o</t>
  </si>
  <si>
    <t>1-BaseTRR WS, Line 86</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</si>
  <si>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</si>
  <si>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</si>
  <si>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</si>
  <si>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</si>
  <si>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</si>
  <si>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</si>
  <si>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</si>
  <si>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</si>
  <si>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</si>
  <si>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</si>
  <si>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</si>
  <si>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Straddle Subs (Cross 200 kV boundary):</t>
  </si>
  <si>
    <t>Gross Plant that can directly be determined to be HV or LV:</t>
  </si>
  <si>
    <t>B) Return on Capital</t>
  </si>
  <si>
    <t>C) Income Taxes</t>
  </si>
  <si>
    <t>D) True Up TRR Calculation</t>
  </si>
  <si>
    <t>E) Calculation of final True Up TRR with Franchise Fees and Uncollectibles Expenses</t>
  </si>
  <si>
    <t>AFCRCWIP = CLTD  + (COS * (1/(1 - CTR)))</t>
  </si>
  <si>
    <t xml:space="preserve">Year </t>
  </si>
  <si>
    <t>= Sum (Cols. 2-14)/13</t>
  </si>
  <si>
    <t>Reacquired Bonds -- Account 222 (Note 2): enter - of FF1</t>
  </si>
  <si>
    <t>121 FERC ¶ 61,168 at P 57</t>
  </si>
  <si>
    <t>121 FERC ¶ 61,168 at P 129</t>
  </si>
  <si>
    <t>-------</t>
  </si>
  <si>
    <t>121 FERC ¶ 61,168 at P 71</t>
  </si>
  <si>
    <t>121 FERC ¶ 61,168 at 129; modified by ER10-160 Settlement, see</t>
  </si>
  <si>
    <t>P2 and P3</t>
  </si>
  <si>
    <t>121 FERC ¶ 61,168 at P 57; modified by ER10-160 Settlement, see</t>
  </si>
  <si>
    <t xml:space="preserve">121 FERC ¶ 61,168 at P 129; modified by ER10-160 Settlement, see </t>
  </si>
  <si>
    <t>P 3 and P 7</t>
  </si>
  <si>
    <t>133 FERC ¶ 61,107 at P 76</t>
  </si>
  <si>
    <t>133 FERC ¶ 61,107 at P 102</t>
  </si>
  <si>
    <t>133 FERC ¶ 61,107 at P 88</t>
  </si>
  <si>
    <t>134 FERC ¶ 61,181 at P 79</t>
  </si>
  <si>
    <t>4o</t>
  </si>
  <si>
    <t>Conn-Charge - Residential</t>
  </si>
  <si>
    <t>4p</t>
  </si>
  <si>
    <t>Conn-Charge - Non-Residential</t>
  </si>
  <si>
    <t>4q</t>
  </si>
  <si>
    <t>Conn-Charge - At Pole</t>
  </si>
  <si>
    <t>6-PlantInService Line 15.</t>
  </si>
  <si>
    <t>6-PlantInService Line 16.</t>
  </si>
  <si>
    <t xml:space="preserve"> and the American Reinvestment Recovery Act for the Tehachapi Wind Energy Storage Project.</t>
  </si>
  <si>
    <t>5) Only exclude if not already excluded in Schedule 20.</t>
  </si>
  <si>
    <t>LV Substations (Less Than 200kV)</t>
  </si>
  <si>
    <t>(Line 24)</t>
  </si>
  <si>
    <t>(Line 29)</t>
  </si>
  <si>
    <t>(Line 36)</t>
  </si>
  <si>
    <t>(Line 22 x Line 23)</t>
  </si>
  <si>
    <t>(Line 27 x Line 28)</t>
  </si>
  <si>
    <t>(Line 32 x Line 33)</t>
  </si>
  <si>
    <t>(Line 34 x Line 35)</t>
  </si>
  <si>
    <t>Data Network Systems</t>
  </si>
  <si>
    <t>Telecom Power Systems</t>
  </si>
  <si>
    <t>NEM Adjustment</t>
  </si>
  <si>
    <t>NEM GWh</t>
  </si>
  <si>
    <t>Billing Determinants with NEM Adjustment</t>
  </si>
  <si>
    <t>Note 12</t>
  </si>
  <si>
    <t>Note 13</t>
  </si>
  <si>
    <t>2) Sales forecast in total Giga-watt hours usage, represents the customers' total annual GWh usage.  Based on same forecast as Gross Load forecast in Schedule 32, Line 1, but at customer meter level.</t>
  </si>
  <si>
    <t>Domestic (con't)</t>
  </si>
  <si>
    <t>Note 8</t>
  </si>
  <si>
    <t>Sales Forecast (Not Including Backup)</t>
  </si>
  <si>
    <t>Sales Forecast (Backup)</t>
  </si>
  <si>
    <t>= (Line1:Col3 + Line1:Col4) - Line1:Col5</t>
  </si>
  <si>
    <t>= Line1:Col2 / (Line1:Col8*10^6)</t>
  </si>
  <si>
    <t>= Line1:Col2 / ((Line1:Col6 + Line1:Col7)*10^3)</t>
  </si>
  <si>
    <t xml:space="preserve"> GWh</t>
  </si>
  <si>
    <t>Backup GWh</t>
  </si>
  <si>
    <t>Notes 9,10</t>
  </si>
  <si>
    <r>
      <t>2) Determination of</t>
    </r>
    <r>
      <rPr>
        <b/>
        <strike/>
        <sz val="12"/>
        <rFont val="Arial"/>
        <family val="2"/>
      </rPr>
      <t xml:space="preserve"> </t>
    </r>
    <r>
      <rPr>
        <b/>
        <sz val="12"/>
        <rFont val="Arial"/>
        <family val="2"/>
      </rPr>
      <t>Demand Rates for Large Power (TOU-8) Rate Groups</t>
    </r>
  </si>
  <si>
    <t>from Line1:Col7</t>
  </si>
  <si>
    <t>= Col1 / Col2 / 10^3</t>
  </si>
  <si>
    <t>= Col 6 / (Col 7 * 10^3)</t>
  </si>
  <si>
    <r>
      <t>Standby</t>
    </r>
    <r>
      <rPr>
        <b/>
        <u/>
        <sz val="10"/>
        <rFont val="Arial"/>
        <family val="2"/>
      </rPr>
      <t xml:space="preserve"> </t>
    </r>
    <r>
      <rPr>
        <b/>
        <sz val="10"/>
        <rFont val="Arial"/>
        <family val="2"/>
      </rPr>
      <t>Allocated costs</t>
    </r>
  </si>
  <si>
    <t>Standby Demand - MW</t>
  </si>
  <si>
    <t>Contracted Standby Demand Charge $/kW</t>
  </si>
  <si>
    <t>Non-Standby Allocated Costs</t>
  </si>
  <si>
    <t>Sum of Standby and Non-Standby Demand</t>
  </si>
  <si>
    <t>Supplemental kW demand Charge $/kW</t>
  </si>
  <si>
    <t>= Col 2 + Col 3</t>
  </si>
  <si>
    <t>= Line1:Col2 - Line16:Col3</t>
  </si>
  <si>
    <t>= Line16:Col7 * Line1:Col7 *10^3</t>
  </si>
  <si>
    <t>= Line16:Col2 / (Line1:Col8 * 10^6)</t>
  </si>
  <si>
    <t>= Line16:Col2 / Line1:Col6 / 10^3</t>
  </si>
  <si>
    <t>from Line9:Col3</t>
  </si>
  <si>
    <t>Note 14</t>
  </si>
  <si>
    <t>Total Revenues</t>
  </si>
  <si>
    <t>Note 15</t>
  </si>
  <si>
    <t>Note 16</t>
  </si>
  <si>
    <t xml:space="preserve">    Does not include Backup GWh included in Column 4 (the sum of Column 3 and 4 equals total Sales Forecast).</t>
  </si>
  <si>
    <t>3) Backup GWh represents the amount of electric service that is provided by SCE to a customer who has an onsite generating facility during unscheduled outages of the customer’s on-site generator.</t>
  </si>
  <si>
    <t xml:space="preserve">    Only applies to TOU-8-Standby-SEC, TOU-8-Standby-PRI, TOU-8-Standby-SUB Rate Groups.</t>
  </si>
  <si>
    <t>4) Amount of energy included in the sales forecast that is not subject to transmission charges pursuant to the California Public Utilities Commission (“CPUC”) approved Net Energy Metering Program.</t>
  </si>
  <si>
    <t>5) Sales forecast pertaining to the sum of monthly maximum supplemental Mega-watt demand, applies to demand charge schedules</t>
  </si>
  <si>
    <t>6) Sales forecast pertaining to the sum of monthly contracted standby Mega-watt demand, applies to standby schedules</t>
  </si>
  <si>
    <t>7) Net Forecast in total Giga-watt hours usage - represents the customers' annual Net GWh, applicable to Non-Demand Charge Schedules such as Residential or Small General Service</t>
  </si>
  <si>
    <t>8) Recorded sales from Sample meters adjusted for population - use to set the total demand rate for the optional time-of-use schedules within the GS-1 rate group</t>
  </si>
  <si>
    <t>9) Line 1b2, Col11 = Line 1b Col9 * Line 1b Col11 * 10^6</t>
  </si>
  <si>
    <t>10) Total demand rate for the optional time-of-use schedules within the GS-1 rate group, Line 1b2:Col10 =  Line 1b2:Col12 ( which = Line 1b2:Col11  / ((Line1b:Col12 + Line1b:Col13) * 10^3)</t>
  </si>
  <si>
    <t>11) Sum of the TOU-8 Standby and TOU-8 Non-Standby billing determinants in Line1:Col6</t>
  </si>
  <si>
    <t>12) For TOU-8 Rates revenue = Supplemental Demand Charge on Line 9 Column 8 * Maximum Demand on Lines 1 Column 6</t>
  </si>
  <si>
    <t>15)  Applicable to time-of-use schedules within the GS-1 rate group</t>
  </si>
  <si>
    <t>from Line1:Col4</t>
  </si>
  <si>
    <t>= Col 7 + Col 8</t>
  </si>
  <si>
    <t>= Line35:(Col4*Col5/Col6*Col9)</t>
  </si>
  <si>
    <t>= Line35:(Col10 / total of Col10)</t>
  </si>
  <si>
    <t>Note 17</t>
  </si>
  <si>
    <t>Recorded GWh (Average)</t>
  </si>
  <si>
    <t>Standby Adjusted Sales Forecast - GWh</t>
  </si>
  <si>
    <t>Total Sales Forecast - GWh</t>
  </si>
  <si>
    <t xml:space="preserve">a) Attribute True Up TRR to months in the Prior Year (see Note #1) to determine "Monthly True Up TRR" for each month (see Note #2).  </t>
  </si>
  <si>
    <t>Including previous Annual Update Cumulative Excess or Shortfall in Revenue.</t>
  </si>
  <si>
    <t>One-Time</t>
  </si>
  <si>
    <t>Adjustments and</t>
  </si>
  <si>
    <t>Shortfall/Excess</t>
  </si>
  <si>
    <t>Revenue In</t>
  </si>
  <si>
    <t>Annual Update</t>
  </si>
  <si>
    <t>Previous Annual Update TU Adjustment:</t>
  </si>
  <si>
    <t>TU Adjustment without Projected Interest</t>
  </si>
  <si>
    <t>Projected Interest to Rate Year Mid-Point:</t>
  </si>
  <si>
    <t>Transmission Revenues: (Note 8)</t>
  </si>
  <si>
    <t>Enter with the same sign as in previous Annual Update.  If there is no Previous Annual Update True Up Adjustment, then enter $0.</t>
  </si>
  <si>
    <t xml:space="preserve">4) Enter any One Time Adjustments on Column 4, Line 12 (or other appropriate).  If SCE is owed enter as positive, if SCE is to return to customers enter as negative.  </t>
  </si>
  <si>
    <t xml:space="preserve">a) In the event that a Commission Order revises SCE's True Up TRR for a previous Prior Year, </t>
  </si>
  <si>
    <t>SCE shall include that difference in the True Up Adjustment, including interest, at the first opportunity, in accordance with tariff protocols.</t>
  </si>
  <si>
    <t>b) Any refunds attributable to SCE's previous CWIP TRR cases (Docket Nos. ER08-375, ER09-187, ER10-160, and ER11-1952), not previously returned to customers.</t>
  </si>
  <si>
    <t>c) Amounts resulting from input errors impacting the True Up TRR in a previous Formula Rate Annual Update pursuant to Protocol Section 3(d)(8).</t>
  </si>
  <si>
    <t xml:space="preserve">7) If true up period is less than entire calendar year, then adjust calculation accordingly by including $0 Monthly True Up TRR and $0 </t>
  </si>
  <si>
    <t>6) "Cumulative Excess (-) or Shortfall (+) in Revenue wo Interest for Current Month" is, beginning for the January month,</t>
  </si>
  <si>
    <t>the amount in Column 9 for previous month plus the current month amount in Column 5.  For the first December, it is the amount in Column 5.</t>
  </si>
  <si>
    <t>No interest is applied for the first December.</t>
  </si>
  <si>
    <t>8) Only provide if formula was in effect during Prior Year.</t>
  </si>
  <si>
    <t>9) Only include Base Transmission Revenue attributable to this formula transmission rate.</t>
  </si>
  <si>
    <t>10) Other Transmission Revenue includes the following:</t>
  </si>
  <si>
    <t>a) Depreciation Expense for May of the Prior Year (on Line 44, Column 5);</t>
  </si>
  <si>
    <t>c) The balances for Transmission Depreciation Reserve for April of the Prior Year (on Line 5, column 5).</t>
  </si>
  <si>
    <t>E: Exclude amount of costs transfered to account from A&amp;G Account 920 pursuant to Order 668.</t>
  </si>
  <si>
    <t>F: Excludes shareholder funded costs.</t>
  </si>
  <si>
    <t>FF1 263 or 263.x (see note to left)</t>
  </si>
  <si>
    <t xml:space="preserve">1) Any amount of "Sub-Total Local Taxes" or "Payroll Taxes Expense" may be excluded if appropriate with the provision of a workpaper showing the </t>
  </si>
  <si>
    <t>reason for the exclusion and the amount of the exclusion.</t>
  </si>
  <si>
    <t xml:space="preserve">2) No change in Return on Common Equity will be made absent a Section 205 filing at the Commission. </t>
  </si>
  <si>
    <t>4) Cost Adjustment may be included as provided in the Tariff protocols.</t>
  </si>
  <si>
    <t>Line 3 - Line 1</t>
  </si>
  <si>
    <t>Line 6 - Line 4</t>
  </si>
  <si>
    <t>Line 10 - Line 8</t>
  </si>
  <si>
    <t>2) High Voltage Utility-Specific Rate</t>
  </si>
  <si>
    <t>3) HV Existing Contracts Access Charge</t>
  </si>
  <si>
    <t xml:space="preserve">1) Amounts on Line 13 based on current year Plant Study.  Amounts on Line 1 shall be based on previous year Plant Study, and </t>
  </si>
  <si>
    <t>f) EPRI and EEI Dues</t>
  </si>
  <si>
    <t>c) Calculation of EPRI and EEI Dues Exclusion</t>
  </si>
  <si>
    <t>EPRI Dues</t>
  </si>
  <si>
    <t>EEI Dues</t>
  </si>
  <si>
    <t>Sum of EPRI and EEI Dues</t>
  </si>
  <si>
    <t>EPRI and EEI Dues Exclusion</t>
  </si>
  <si>
    <t>5) EPRI and EEI Dues Exclusion</t>
  </si>
  <si>
    <t>6) Additional Expense Difference</t>
  </si>
  <si>
    <t>6) If appropriate, additional expenses may be excluded from the Wholesale Base TRR</t>
  </si>
  <si>
    <t>and the "Equity Rate of Return Including Preferred Stock" on Line 23 in the event that the ROE is revised during the Prior Year.  In this event,</t>
  </si>
  <si>
    <t>The difference between Retail and Wholesale Rate Base is attributable to the following four items,</t>
  </si>
  <si>
    <t>3) Add additional years past 2025 if necessary.</t>
  </si>
  <si>
    <t>HV Abandoned Plant (BOY):</t>
  </si>
  <si>
    <t>Abandoned Plant (BOY)</t>
  </si>
  <si>
    <t>Total: 12-Abandoned Plant Line 2, HV: 12-Abandoned Plant Line 5, LV = Total - HV</t>
  </si>
  <si>
    <t>B) Gross Plant Percentage for the Rate Year:</t>
  </si>
  <si>
    <t>In Service Additions in Rate Year:</t>
  </si>
  <si>
    <t>CWIP in Rate Year</t>
  </si>
  <si>
    <t>Total HV and LV Gross Plant for Rate Year</t>
  </si>
  <si>
    <t>See Note 1, c</t>
  </si>
  <si>
    <t>See Note 1, f</t>
  </si>
  <si>
    <t>Note 1, c</t>
  </si>
  <si>
    <t>Note 1, f</t>
  </si>
  <si>
    <t xml:space="preserve">1) </t>
  </si>
  <si>
    <t>Beginning of Year Amount</t>
  </si>
  <si>
    <t>FERC Form 1 Acct. 165 Recorded Amount:</t>
  </si>
  <si>
    <t>Prior Period Adjustment:</t>
  </si>
  <si>
    <t>BOY Prepayments Amount:</t>
  </si>
  <si>
    <t>End of Year Amount</t>
  </si>
  <si>
    <t>EOY Prepayments Amount:</t>
  </si>
  <si>
    <r>
      <t>563 -</t>
    </r>
    <r>
      <rPr>
        <strike/>
        <sz val="10"/>
        <rFont val="Arial"/>
        <family val="2"/>
      </rPr>
      <t xml:space="preserve"> </t>
    </r>
    <r>
      <rPr>
        <sz val="10"/>
        <rFont val="Arial"/>
        <family val="2"/>
      </rPr>
      <t>Overhead Line Expenses - Allocated</t>
    </r>
  </si>
  <si>
    <t>567 - Line Rents - Allocated</t>
  </si>
  <si>
    <t>571 - Maintenance of Overhead Lines - Allocated</t>
  </si>
  <si>
    <t>All Other Non 0% or 100% Transmission O&amp;M Accounts</t>
  </si>
  <si>
    <r>
      <t xml:space="preserve">582 - Station Expenses </t>
    </r>
    <r>
      <rPr>
        <strike/>
        <sz val="10"/>
        <color rgb="FFFF0000"/>
        <rFont val="Arial"/>
        <family val="2"/>
      </rPr>
      <t/>
    </r>
  </si>
  <si>
    <t xml:space="preserve">592 - Maintenance of Station Equipment </t>
  </si>
  <si>
    <t>560 - Operations Supervision and Engineering - Allocated</t>
  </si>
  <si>
    <t>561 Load Dispatch - Allocated</t>
  </si>
  <si>
    <t>561.500 Reliability Planning and Standards Development</t>
  </si>
  <si>
    <t>562 - Station Expenses - Allocated</t>
  </si>
  <si>
    <t>563 - Overhead Line Expenses - Allocated</t>
  </si>
  <si>
    <t>564 - Underground Line Expenses - Allocated</t>
  </si>
  <si>
    <t>565 - Transmission of Electricity by Others</t>
  </si>
  <si>
    <t>566 - Miscellaneous Transmission Expenses - Allocated</t>
  </si>
  <si>
    <t>568 - Maintenance Supervision and Engineering - Allocated</t>
  </si>
  <si>
    <t>569 - Maintenance of Structures - Allocated</t>
  </si>
  <si>
    <t xml:space="preserve">570 - Maintenance of Station Equipment - Allocated </t>
  </si>
  <si>
    <t xml:space="preserve">571 - Maintenance of Overhead Lines - Allocated </t>
  </si>
  <si>
    <t>572 - Maintenance of Underground Lines - Allocated</t>
  </si>
  <si>
    <t xml:space="preserve">573 - Maintenance of Miscellaneous Trans. Plant - Allocated </t>
  </si>
  <si>
    <t>27-Allocators Line 42</t>
  </si>
  <si>
    <t>27-Allocators Line 30</t>
  </si>
  <si>
    <t>27-Allocators Line 36</t>
  </si>
  <si>
    <t>27-Allocators Line 48</t>
  </si>
  <si>
    <t>3) South of Kramer</t>
  </si>
  <si>
    <t>4) West of Devers</t>
  </si>
  <si>
    <t>d) South of Kramer</t>
  </si>
  <si>
    <t>e) West of Devers</t>
  </si>
  <si>
    <t>E) South of Kramer Incentives Received:</t>
  </si>
  <si>
    <t>F) West of Devers Incentives Received:</t>
  </si>
  <si>
    <t>Capitalization Rate (Note 3)</t>
  </si>
  <si>
    <t>1) Federal Source Statute:</t>
  </si>
  <si>
    <t>3) Capitalization Rate approved in:</t>
  </si>
  <si>
    <t>2) California State Source Statue:</t>
  </si>
  <si>
    <t>Income Tax Rates</t>
  </si>
  <si>
    <t>3) Any penalties or fines.</t>
  </si>
  <si>
    <t>Total Acct 242 - Miscellaneous Current and Accrued Liabilities</t>
  </si>
  <si>
    <t>Total Acct 252 - Customer Advances for Construction</t>
  </si>
  <si>
    <t>Line Miles Percent ISO</t>
  </si>
  <si>
    <t>Underground Line Miles Percent ISO</t>
  </si>
  <si>
    <t>((L1 FF Factor * L1 Days) + (L2 FF Factor * L2 Days))/(L1+L2 Days)</t>
  </si>
  <si>
    <t>((L3 U Factor * L3 Days) + (L4 U Factor * L4 Days))/(L3+L4 Days)</t>
  </si>
  <si>
    <t>Dec 2016</t>
  </si>
  <si>
    <t>1) Total Transmission Plant Balances by Account (See Note 3)</t>
  </si>
  <si>
    <t>2) Total Transmission Activity by Account (See Note 4):</t>
  </si>
  <si>
    <t>3) ISO Incentive Plant Balances (See Note 5)</t>
  </si>
  <si>
    <t>4) ISO Incentive Plant Activity (See Note 6)</t>
  </si>
  <si>
    <t>5) Total Transmission Activity Not Including Incentive Plant Activity (See Note 7):</t>
  </si>
  <si>
    <t>6) Total Monthly Transmission Activity as a Percent of Annual Transmission Activity (See Note 8)</t>
  </si>
  <si>
    <t>A) Change in ISO Plant Balance December to December (See Note 9)</t>
  </si>
  <si>
    <t>B) Change in Incentive ISO Plant (See Note 10)</t>
  </si>
  <si>
    <t>C) Change in Non-Incentive ISO Plant (See Note 11)</t>
  </si>
  <si>
    <t>5) Other ISO Transmission Activity without Incentive Plant Activity (See Note 12):</t>
  </si>
  <si>
    <t>a) Other ISO Transmission Activity without Incentive Plant Activity on Lines 108-119 for the same month;</t>
  </si>
  <si>
    <t>b) ISO Incentive Plant Activity on Lines 67 to 78 for the same month; and</t>
  </si>
  <si>
    <t>a) the "Other ISO Transmission Activity without Incentive Plant Activity" for May of the Prior Year (on Line 112, Column 5);</t>
  </si>
  <si>
    <t>b) the "ISO Incentive Plant Activity" for May of the Prior Year (on Line 71, Column 5),</t>
  </si>
  <si>
    <t>c) and the "Transmission Plant - ISO" amount for April of the Prior Year (on Line 5, Column 5).</t>
  </si>
  <si>
    <t>3) Reconciles to BOY and EOY FERC Form 1 (FF1 207, Lines 48-56 , Column g).</t>
  </si>
  <si>
    <t>4) Includes recorded Transmission Plant-In-Service additions, retirements, transfers and adjustments.  From SCE internal acounting records.</t>
  </si>
  <si>
    <t>5) Includes balances for SCE Incentive Projects.</t>
  </si>
  <si>
    <t>7) Amount in matrix on lines 41 to 52 minus amount in matrix on lines 67 to 78</t>
  </si>
  <si>
    <t>8) Amount in "Total Transmission Activity Not Including Incentive Plant Activity" matrix divided by Total on Line 92 for each account/month.</t>
  </si>
  <si>
    <t>1) ISO Depreciation Expense (See Note 3)</t>
  </si>
  <si>
    <t>2) Total Transmission Allocation Factors (See Note 4)</t>
  </si>
  <si>
    <t>3) Calculation of Non-Incentive ISO Reserve</t>
  </si>
  <si>
    <t>A) Change in Depreciation Reserve - ISO (See Note 5)</t>
  </si>
  <si>
    <t>B) Total Depreciation Expense (See Note 6)</t>
  </si>
  <si>
    <t>C) Other Activity (See Note 7)</t>
  </si>
  <si>
    <t>4) Other Transmission Activity (See Note 8)</t>
  </si>
  <si>
    <t xml:space="preserve">b) Other Transmission Activity (on Lines 55 to 66) for the same month; and </t>
  </si>
  <si>
    <t xml:space="preserve">b) Other Transmission Activity for May of the Prior Year (on Line 59, Column 5); and </t>
  </si>
  <si>
    <t>4) From 6-PlantInService, Lines 93 to 104.</t>
  </si>
  <si>
    <t>8) Multiply the montly "Total Transmission Allocation Factors" ratios found in Lines 40-51 by the</t>
  </si>
  <si>
    <t>"Other Activity" on Line 54.</t>
  </si>
  <si>
    <t>Electric Miscellaneous Intangible Plant - ISO</t>
  </si>
  <si>
    <t>General Plant - ISO</t>
  </si>
  <si>
    <t>Rent Rev NU-NonBRRBA</t>
  </si>
  <si>
    <t>Fac Cost N/U-BRRBA</t>
  </si>
  <si>
    <t>Intercon One Time</t>
  </si>
  <si>
    <t>EV Charging Revenue</t>
  </si>
  <si>
    <t>Energy Reltd Srv-TSP</t>
  </si>
  <si>
    <t>N/U Labor Mrkp-BRRBA</t>
  </si>
  <si>
    <t>4188720</t>
  </si>
  <si>
    <t>LCFS CR 411.8</t>
  </si>
  <si>
    <t>Miscellaneous Revenues - ISO</t>
  </si>
  <si>
    <t>15t</t>
  </si>
  <si>
    <t>4198132</t>
  </si>
  <si>
    <t>Radial Line Agreement-Base-Mojave Solr</t>
  </si>
  <si>
    <t>4198134</t>
  </si>
  <si>
    <t>Radial Line Agreement-O&amp;M-Mojave Solr</t>
  </si>
  <si>
    <t>4188716</t>
  </si>
  <si>
    <t>ISO Non-Refundable Interconnection Deposit</t>
  </si>
  <si>
    <t>ECS - Instrastate End User Revenue</t>
  </si>
  <si>
    <t>ECS - Intrastate End User Fees</t>
  </si>
  <si>
    <t>a) Line Miles</t>
  </si>
  <si>
    <t>b) Underground Line Miles</t>
  </si>
  <si>
    <t>c) Circuit Breakers</t>
  </si>
  <si>
    <t>d) Distribution Circuit Breakers</t>
  </si>
  <si>
    <t>Line 17, column 3</t>
  </si>
  <si>
    <t>4) Enter "Shortfall or Excess Revenue in Previous Annual Update" on Line 11, or other appropriate (from Previous Annual Update, Line 23, Column 9).</t>
  </si>
  <si>
    <t>1) Use weighted average (by time) of the Return on Equity in effect during the Prior Year in determining the "Cost of Capital Rate" on Line 19</t>
  </si>
  <si>
    <t>See Line f below</t>
  </si>
  <si>
    <t>Prior Year Authorized PBOPs Expense Amount:</t>
  </si>
  <si>
    <t>Authorized PBOPs Expense Amount during Prior Year</t>
  </si>
  <si>
    <t>in accordance with the tariff protocols.  Accordingly, any amount different than the authorized PBOPs expense</t>
  </si>
  <si>
    <t>during the Prior Year is excluded from account 926 (see note 3). Docket or Decision approving authorized PBOPs amount:</t>
  </si>
  <si>
    <t xml:space="preserve">to a Section 205 or 206 filing.  </t>
  </si>
  <si>
    <t>100%</t>
  </si>
  <si>
    <t>0%</t>
  </si>
  <si>
    <t>6)  See Column 9 for references to source of each  Percent ISO.</t>
  </si>
  <si>
    <t xml:space="preserve">a filing at the Commission.  Investment Tax Credit Flowed Through amount shall be negative $520,000 through the Prior Year of 2018, </t>
  </si>
  <si>
    <t>negative $183,000 for the Prior Year of 2019, and $0 thereafter.</t>
  </si>
  <si>
    <t>2) For January through December = previous month balance plus amount in Column 2.</t>
  </si>
  <si>
    <t>Col 5 / Tot. Days</t>
  </si>
  <si>
    <t>= Col 2 * Col 6</t>
  </si>
  <si>
    <t>Mthly Deferred</t>
  </si>
  <si>
    <t xml:space="preserve">Deferred </t>
  </si>
  <si>
    <t>Number of Days</t>
  </si>
  <si>
    <t>Prorata</t>
  </si>
  <si>
    <t xml:space="preserve">Monthly </t>
  </si>
  <si>
    <t>Annual Accumulated</t>
  </si>
  <si>
    <t>Future Test Period</t>
  </si>
  <si>
    <t>Tax Amount</t>
  </si>
  <si>
    <t>Tax Balance</t>
  </si>
  <si>
    <t>Days in Month</t>
  </si>
  <si>
    <t>Left in Period</t>
  </si>
  <si>
    <t>Percentages</t>
  </si>
  <si>
    <t>Prorata Amounts</t>
  </si>
  <si>
    <t>Prorata Calculation</t>
  </si>
  <si>
    <t xml:space="preserve">1) Calculation of "Long Term Debt Cost Percentage" </t>
  </si>
  <si>
    <t>Total Annual Cost of Outstanding Series Debt:</t>
  </si>
  <si>
    <t>Total Annual Amortized Loss on Reacquired Debt:</t>
  </si>
  <si>
    <t>Total Annual Cost of Debt:</t>
  </si>
  <si>
    <t>= L1 + L2</t>
  </si>
  <si>
    <t>Total "Principal Amount Outstanding" Debt:</t>
  </si>
  <si>
    <t xml:space="preserve">Total Reacquired Debt: </t>
  </si>
  <si>
    <t>Total Unamortized Loss on Reacquired Debt:</t>
  </si>
  <si>
    <t>Total Debt Balance:</t>
  </si>
  <si>
    <t>Long Term Debt Cost Percentage:</t>
  </si>
  <si>
    <t>= L3 / L7</t>
  </si>
  <si>
    <t>2) Long Term Debt Information for each Outstanding Series</t>
  </si>
  <si>
    <t>FF1 256, Col a</t>
  </si>
  <si>
    <t>FF1 256, Col d</t>
  </si>
  <si>
    <t>FF1 256, Col e</t>
  </si>
  <si>
    <t>= Col 5 - Col 7</t>
  </si>
  <si>
    <t>= Col 5 * Col 9</t>
  </si>
  <si>
    <t>Series</t>
  </si>
  <si>
    <t>Date of Offering</t>
  </si>
  <si>
    <t>Maturity Date</t>
  </si>
  <si>
    <t>Coupon Rate</t>
  </si>
  <si>
    <t>Principal Amount Oustanding ($000s)</t>
  </si>
  <si>
    <t>Amort-ization Period (Years)</t>
  </si>
  <si>
    <t>Net Discount &amp; Issuance Cost ($000s)</t>
  </si>
  <si>
    <t>Net Proceeds ($000s)</t>
  </si>
  <si>
    <t>Cost of 
Money</t>
  </si>
  <si>
    <t>Annual Cost  ($000s)</t>
  </si>
  <si>
    <t>Comments:  See below</t>
  </si>
  <si>
    <t>Comments for Section 2 "Long Term Debt Information for each Outstanding Series":</t>
  </si>
  <si>
    <t>Comment #:</t>
  </si>
  <si>
    <t>Comment</t>
  </si>
  <si>
    <t>Total Principal Amount Outstanding (sum of above * 1,000):</t>
  </si>
  <si>
    <t>Total Annual Cost (sum of above * 1,000):</t>
  </si>
  <si>
    <t>3) Long Term Debt Information for each Reacquired Series</t>
  </si>
  <si>
    <t>Principal Amount ($000s)</t>
  </si>
  <si>
    <t>Total Principal Amount (sum of above * 1,000):</t>
  </si>
  <si>
    <t>Comments for Section 3 "Long Term Debt Information for each Reacquired Series":</t>
  </si>
  <si>
    <t>1) Calculation of "Preferred Stock Cost Percentage"</t>
  </si>
  <si>
    <t>Total Annual Cost of Preferred Stock:</t>
  </si>
  <si>
    <t>Total Reacquired Preferred Stock Cost:</t>
  </si>
  <si>
    <t>Total Annual Cost of Preferred:</t>
  </si>
  <si>
    <t>Total Preferred Stock Amount Outstanding:</t>
  </si>
  <si>
    <t>Total Preferred Balance:</t>
  </si>
  <si>
    <t>= L5 - L6</t>
  </si>
  <si>
    <t>Preferred Stock Cost Percentage:</t>
  </si>
  <si>
    <t>2) Preferred Stock Information for each Outstanding Series</t>
  </si>
  <si>
    <t>FF1 250, Col a</t>
  </si>
  <si>
    <t>FF1 251, Col f</t>
  </si>
  <si>
    <t>Sec 3, Col 2</t>
  </si>
  <si>
    <t>= Col 4 - Col 5</t>
  </si>
  <si>
    <t>= Col 6 / Col 4</t>
  </si>
  <si>
    <t>= Col 3 / Col 7</t>
  </si>
  <si>
    <t>= Col 4 * Col 8</t>
  </si>
  <si>
    <t>Issue Date</t>
  </si>
  <si>
    <t>Dividend Rate</t>
  </si>
  <si>
    <t>% of Face Value</t>
  </si>
  <si>
    <t>Cost of Money / Effective Rate</t>
  </si>
  <si>
    <t>3)  Preferred Stock Issuance Cost Details for each Outstanding Series</t>
  </si>
  <si>
    <t>Same list as in Section 2</t>
  </si>
  <si>
    <t>Full Amortization Period</t>
  </si>
  <si>
    <t>4)  Reacquired Preferred Stock Information</t>
  </si>
  <si>
    <t>Call Date</t>
  </si>
  <si>
    <t>Amortization Period</t>
  </si>
  <si>
    <t>= Prior Month C9
 - C4 + C8</t>
  </si>
  <si>
    <t>Less Unamortized Discount on Long Term Debt -- Account 226</t>
  </si>
  <si>
    <t>Unamortized Debt Expenses -- Account 181</t>
  </si>
  <si>
    <t>Unamortized Loss on Reacquired Debt -- Account 189</t>
  </si>
  <si>
    <t>Removal of Long Term Debt Related to Fuel Inventories</t>
  </si>
  <si>
    <t>Adjustments related to "LT Debt Related to Fuel Inventories"</t>
  </si>
  <si>
    <t>13-month avg.; enter negative</t>
  </si>
  <si>
    <t xml:space="preserve">After tax amount of Unamortized Loss on Reacquired Debt </t>
  </si>
  <si>
    <t>Line 40 * Line 42</t>
  </si>
  <si>
    <t xml:space="preserve"> Long Term Debt Advances from Associated Companies (Note 3):</t>
  </si>
  <si>
    <t>Other Long Term Debt -- Account 224 (Note 4):</t>
  </si>
  <si>
    <t>Unamortized Premium on Long Term Debt -- Account 225 (Note 5)</t>
  </si>
  <si>
    <t>Preferred Stock Amount -- Account 204 (Note 11):</t>
  </si>
  <si>
    <t>Total Proprietary Capital (Note 14):</t>
  </si>
  <si>
    <t>Unappropriated Undist. Sub. Earnings -- Acct. 216.1 (Note 15): enter - of FF1</t>
  </si>
  <si>
    <t>Accumulated Other Comprehensive Loss -- Account 219 (Note 16): enter - of FF1</t>
  </si>
  <si>
    <t xml:space="preserve">3) Amount in Column 2 from FF1 112.20d, amount in Column 14 from FF1 112.20c, amounts in columns 3-13 from SCE internal records. </t>
  </si>
  <si>
    <t xml:space="preserve">4) Amount in Column 2 from FF1 112.21d, amount in Column 14 from FF1 112.21c, amounts in columns 3-13 from SCE internal records. </t>
  </si>
  <si>
    <t xml:space="preserve">11) Amount in Column 2 from FF1 112.3d, amount in Column 14 from FF1 112.3c, amounts in columns 3-13 from SCE internal records. </t>
  </si>
  <si>
    <t>Comment #</t>
  </si>
  <si>
    <t>10) Amounts in Columns 2-14 are from SCE internal records.</t>
  </si>
  <si>
    <t>12) Amounts in Columns 2-14 are from SCE internal records.</t>
  </si>
  <si>
    <t>13) Amounts in Columns 2-14 are from SCE internal records.</t>
  </si>
  <si>
    <t>9) Amounts in Columns 2-14 are from SCE internal records.</t>
  </si>
  <si>
    <t>Less Unamortized Discount on Long Term Debt -- Account 226 (Note 6): enter - of FF1</t>
  </si>
  <si>
    <t>Unamortized Debt Expenses -- Account 181 (Note 7): enter - of FF1</t>
  </si>
  <si>
    <t>Unamortized Loss on Reacquired Debt -- Account 189 (Note 8): enter - of FF1</t>
  </si>
  <si>
    <t>Previous Annual Update:</t>
  </si>
  <si>
    <t>Instruction 3: Classify any ADIT line items relating to refunding and retirement of debt as Plant related (Column 5).</t>
  </si>
  <si>
    <t>a) Depreciation Expense (on Lines 27 to 38) for the same month;</t>
  </si>
  <si>
    <t>6) Monthly differences from previous matrix.  Other columns from SCE internal accounting records.</t>
  </si>
  <si>
    <t>1/8 (O&amp;M + A&amp;G)</t>
  </si>
  <si>
    <t>ELM</t>
  </si>
  <si>
    <t>Mesa</t>
  </si>
  <si>
    <t>Alberhill</t>
  </si>
  <si>
    <t>Series Caps</t>
  </si>
  <si>
    <t>ELM Series Capacitors</t>
  </si>
  <si>
    <t>161 FERC ¶ 61,107 at P35</t>
  </si>
  <si>
    <t>161 FERC ¶ 61,107 at P 21</t>
  </si>
  <si>
    <t>J) Mesa</t>
  </si>
  <si>
    <t>K) Alberhill</t>
  </si>
  <si>
    <t>L) ELM Series Caps</t>
  </si>
  <si>
    <t>8) Mesa</t>
  </si>
  <si>
    <t>9) Alberhill</t>
  </si>
  <si>
    <t>10) ELM Series Caps</t>
  </si>
  <si>
    <t>ELM Series Caps</t>
  </si>
  <si>
    <t>3k) Project:</t>
  </si>
  <si>
    <t>add additional projects below this line (See Instruction 3)</t>
  </si>
  <si>
    <t xml:space="preserve">i) Mesa </t>
  </si>
  <si>
    <t>j) Alberhill</t>
  </si>
  <si>
    <t>FF1 263, Row 6, Column i</t>
  </si>
  <si>
    <t>FF1 263, Row 7, Column i</t>
  </si>
  <si>
    <t>FF1 263, Row 8, Column i</t>
  </si>
  <si>
    <t>FF1 263, Row 21, Column i</t>
  </si>
  <si>
    <t>FF1 263, Row 9, Column i</t>
  </si>
  <si>
    <t>FF1 263.1, Row 30, Column i</t>
  </si>
  <si>
    <t>FF1 263.1, Row 1, Column i</t>
  </si>
  <si>
    <t>FF1 263, Row 39, Column i</t>
  </si>
  <si>
    <t>Jan 2017</t>
  </si>
  <si>
    <t>Feb 2017</t>
  </si>
  <si>
    <t>Mar 2017</t>
  </si>
  <si>
    <t>Apr 2017</t>
  </si>
  <si>
    <t>May 2017</t>
  </si>
  <si>
    <t>Jun 2017</t>
  </si>
  <si>
    <t>Jul 2017</t>
  </si>
  <si>
    <t>Aug 2017</t>
  </si>
  <si>
    <t>Sep 2017</t>
  </si>
  <si>
    <t>Oct 2017</t>
  </si>
  <si>
    <t>Nov 2017</t>
  </si>
  <si>
    <t>Dec 2017</t>
  </si>
  <si>
    <t>FF1 322.156b</t>
  </si>
  <si>
    <t>Series 2004B</t>
  </si>
  <si>
    <t>Series 2004G</t>
  </si>
  <si>
    <t>Series 2005B</t>
  </si>
  <si>
    <t>Series 2005E</t>
  </si>
  <si>
    <t>Series 4CRNRS 05AB</t>
  </si>
  <si>
    <t>Series 2006A</t>
  </si>
  <si>
    <t>SONGS_2006A</t>
  </si>
  <si>
    <t>SONGS_2006B</t>
  </si>
  <si>
    <t>Series 2006E</t>
  </si>
  <si>
    <t>Series 2008A</t>
  </si>
  <si>
    <t>Series 2008B</t>
  </si>
  <si>
    <t>Series 2009A</t>
  </si>
  <si>
    <t>Series 2010A</t>
  </si>
  <si>
    <t>Series 2010B</t>
  </si>
  <si>
    <t>SONGS 2010A</t>
  </si>
  <si>
    <t>4CRNRS 2011</t>
  </si>
  <si>
    <t>CPCFA SONGS 2011</t>
  </si>
  <si>
    <t>6.65% Notes</t>
  </si>
  <si>
    <t>Ft. Irwin Loan</t>
  </si>
  <si>
    <t>$25 Par Value 4.32% Series</t>
  </si>
  <si>
    <t>$25 Par Value 4.08% Series</t>
  </si>
  <si>
    <t>$25 Par Value 4.24% Series</t>
  </si>
  <si>
    <t>$25 Par Value 4.78% Series</t>
  </si>
  <si>
    <t>Series E</t>
  </si>
  <si>
    <t>Series G</t>
  </si>
  <si>
    <t>Series H</t>
  </si>
  <si>
    <t>Series J</t>
  </si>
  <si>
    <t>Series K</t>
  </si>
  <si>
    <t>Series L</t>
  </si>
  <si>
    <t>Docket No. ER18-169</t>
  </si>
  <si>
    <t>k) ELM Series Caps</t>
  </si>
  <si>
    <t>Mesa:</t>
  </si>
  <si>
    <t>Alberhill:</t>
  </si>
  <si>
    <t>ELM Series Caps:</t>
  </si>
  <si>
    <t xml:space="preserve">Alberhill </t>
  </si>
  <si>
    <t>Sub</t>
  </si>
  <si>
    <t xml:space="preserve"> SCE records</t>
  </si>
  <si>
    <t>10aa</t>
  </si>
  <si>
    <t>NEM 2.0</t>
  </si>
  <si>
    <t>Present</t>
  </si>
  <si>
    <t>Schedule 28 - Workpaper Line 3</t>
  </si>
  <si>
    <t>Schedule 28 - Workpaper Line 4</t>
  </si>
  <si>
    <t>Fully amortized</t>
  </si>
  <si>
    <t>Redeemed Series B and C</t>
  </si>
  <si>
    <t>Redeemed Series D</t>
  </si>
  <si>
    <t>8.540% Preferred, premium</t>
  </si>
  <si>
    <t>Net gain from open-market purchase of 67,400 shares in November 1985</t>
  </si>
  <si>
    <t>12.000% Preferred, redemption</t>
  </si>
  <si>
    <t>Redemption premium paid to holders (so loss to company)</t>
  </si>
  <si>
    <t>Initial issue discount</t>
  </si>
  <si>
    <t>Series A</t>
  </si>
  <si>
    <t>Series B</t>
  </si>
  <si>
    <t>Redeemed by Series G</t>
  </si>
  <si>
    <t>Series C</t>
  </si>
  <si>
    <t>Series D</t>
  </si>
  <si>
    <t>Series D was redeemed by Series K</t>
  </si>
  <si>
    <t>Series F</t>
  </si>
  <si>
    <t>Redeemed by Series L</t>
  </si>
  <si>
    <t xml:space="preserve">4) In the event that either the Federal or State Income Tax Rate applicable to the Rate Year differs from that in effect </t>
  </si>
  <si>
    <t>during the Prior Year, the True Up TRR for the Prior Year will be calculated utilizing the same Formula Rate</t>
  </si>
  <si>
    <t>Spreadsheet except for the Income Tax rate(s).  The difference between the True Up TRR calculated in such</t>
  </si>
  <si>
    <t xml:space="preserve">workpaper using the Income Tax Rates that were in effect during the Prior Year and the True Up TRR otherwise </t>
  </si>
  <si>
    <t xml:space="preserve">the Formula Spreadsheet correctly calculates the True Up TRR for the Prior Year to be based on the Income Tax </t>
  </si>
  <si>
    <t>Rate(s) that were in effect during that year.  For the Prior Years of 2016 and 2017, both of which will have</t>
  </si>
  <si>
    <t>Income Tax Rates that differ between the Prior Year and the Rate Year due to the passage of the 2017 Tax Cuts and</t>
  </si>
  <si>
    <t>Jobs Act, this provision will be implemented as part of the Section 6 of the Formula Rate Protocols, which will</t>
  </si>
  <si>
    <t>calculate the True Up TRR for those years based on a Federal Income Tax Rate of 35%.</t>
  </si>
  <si>
    <t>Amort of Debt Issuance Cost</t>
  </si>
  <si>
    <t>C: Relates to all Regulated Electric Property</t>
  </si>
  <si>
    <t>Executive Incentive Comp</t>
  </si>
  <si>
    <t>C: Relates to employees in all functions</t>
  </si>
  <si>
    <t>Bond Discount Amort</t>
  </si>
  <si>
    <t>Executive Incentive Plan</t>
  </si>
  <si>
    <t>Ins - Inj/Damages Prov</t>
  </si>
  <si>
    <t>Accrued Vacation</t>
  </si>
  <si>
    <t>PBOP 401H Amortization</t>
  </si>
  <si>
    <t>EMS</t>
  </si>
  <si>
    <t>Amortization of Debt Expense</t>
  </si>
  <si>
    <t>Decommissioning</t>
  </si>
  <si>
    <t>Relates to Nuclear Decommissioning Costs</t>
  </si>
  <si>
    <t>Balancing Accounts</t>
  </si>
  <si>
    <t>Relates Entirely to CPUC Balancing Account Recovery</t>
  </si>
  <si>
    <t>CIAC/ITCC</t>
  </si>
  <si>
    <t>Non-Rate Base FAS 109 Tax - CIAC</t>
  </si>
  <si>
    <t>Pension &amp; PBOP</t>
  </si>
  <si>
    <t>Property/Non-ISO</t>
  </si>
  <si>
    <t>Non-Rate Base Property</t>
  </si>
  <si>
    <t>Regulatory Assets/Liab</t>
  </si>
  <si>
    <t xml:space="preserve">Relates to Nonrecovery Balancing Account  </t>
  </si>
  <si>
    <t>Temp - Other/Non-ISO</t>
  </si>
  <si>
    <t>Not Component of Rate Base</t>
  </si>
  <si>
    <t>Net Operating Losses DTA</t>
  </si>
  <si>
    <t xml:space="preserve">NOL/DTA </t>
  </si>
  <si>
    <t>Temp - Other/Non-ISO - Gas</t>
  </si>
  <si>
    <t>Net Operating Losses DTA - Gas</t>
  </si>
  <si>
    <t>Temp - Other/Non-ISO - Other</t>
  </si>
  <si>
    <t>Net Operating Losses DTA - Other</t>
  </si>
  <si>
    <t>Gas Related Costs</t>
  </si>
  <si>
    <t>Other Non-ISO Related Costs</t>
  </si>
  <si>
    <t xml:space="preserve">Fully Normalized Deferred Tax </t>
  </si>
  <si>
    <t>Property-Related FERC Costs</t>
  </si>
  <si>
    <t>Property-Related CPUC Costs</t>
  </si>
  <si>
    <t>Capitalized software</t>
  </si>
  <si>
    <t>Property-Related CPUC Costs - Cap Software</t>
  </si>
  <si>
    <t>Audit Rollforward</t>
  </si>
  <si>
    <t xml:space="preserve">Property-Related CPUC Costs - Audit </t>
  </si>
  <si>
    <t>Property/Non-ISO - Gas</t>
  </si>
  <si>
    <t>Property/Non-ISO - Other</t>
  </si>
  <si>
    <t>Ad Valorem Lien Date Adj-Electric</t>
  </si>
  <si>
    <t>Relates to all Regulated Electric Property</t>
  </si>
  <si>
    <t>Refunding &amp; Retirement of Debt</t>
  </si>
  <si>
    <t>Health Care - IBNR</t>
  </si>
  <si>
    <t>Capitalized Software</t>
  </si>
  <si>
    <t>Non-Rate Base FAS 109 Tax Flow-Thru</t>
  </si>
  <si>
    <t>California Rev. &amp; Tax. Cd. § 23151</t>
  </si>
  <si>
    <t>Series 2011A</t>
  </si>
  <si>
    <t>Series 2011E</t>
  </si>
  <si>
    <t>Series 2012A</t>
  </si>
  <si>
    <t>Series 2013A</t>
  </si>
  <si>
    <t>Series 2013C</t>
  </si>
  <si>
    <t>Series 2013D</t>
  </si>
  <si>
    <t>Series 2014B</t>
  </si>
  <si>
    <t>Series 2014C</t>
  </si>
  <si>
    <t>Series 2015A</t>
  </si>
  <si>
    <t>Series 2015B</t>
  </si>
  <si>
    <t>Series 2015C</t>
  </si>
  <si>
    <t>Series 2017A</t>
  </si>
  <si>
    <t>CLARK COUNTY 2010</t>
  </si>
  <si>
    <t>Series PV2000AB</t>
  </si>
  <si>
    <t>Bond matured in 2017.</t>
  </si>
  <si>
    <t>Fuel Bond matured in 2017.</t>
  </si>
  <si>
    <t>FF1 has the variable rate. 0.796% is based on 2017 average.</t>
  </si>
  <si>
    <t>Reacquired series are shown below in Section 3 see line 201</t>
  </si>
  <si>
    <t xml:space="preserve">                                                                                                                                                                                                                                                                                                                </t>
  </si>
  <si>
    <t>CPUC D. 15-11-021</t>
  </si>
  <si>
    <t>G: Exclude EEI &amp; EPRI Dues Re-Mapped to FERC Account 930.2 Miscellaneous general expenses.</t>
  </si>
  <si>
    <t>2015-2017</t>
  </si>
  <si>
    <t>M) Future Incentive Projects</t>
  </si>
  <si>
    <t>24p</t>
  </si>
  <si>
    <t>24q</t>
  </si>
  <si>
    <t>ECS - Interstate End User Tax Exempt</t>
  </si>
  <si>
    <t>ECS- EU USAC E-Rate</t>
  </si>
  <si>
    <t>12eee</t>
  </si>
  <si>
    <t>Power Quality C&amp;I Customer Program</t>
  </si>
  <si>
    <t>Settlement in ER11-3697</t>
  </si>
  <si>
    <t>Includes Schedules D, D-CARE, D-FERA,TOU-D-T, TOU-EV-1, TOU-D-TEV, DE, D-SDP, D-SDP-O, DM, DMS-1, DMS-2, DMS-3, and DS.</t>
  </si>
  <si>
    <t>Includes Schedules TC-1, Wi-Fi-1, and WTR.</t>
  </si>
  <si>
    <t>Amortization of Excess Deferred Tax Liability</t>
  </si>
  <si>
    <t xml:space="preserve">calculated by this formula shall be entered as a One Time Adjustment on Schedule 3, ensuring that </t>
  </si>
  <si>
    <t>2019 TRBAA</t>
  </si>
  <si>
    <t>ER19-220</t>
  </si>
  <si>
    <t>Beginning Deferred Tax Balance (Line 10, Col. 2)</t>
  </si>
  <si>
    <r>
      <t>3) No change in the South Georgia Income Tax Adjustment "Credits and Other" term</t>
    </r>
    <r>
      <rPr>
        <sz val="10"/>
        <rFont val="Arial"/>
        <family val="2"/>
      </rPr>
      <t xml:space="preserve"> will be made absent </t>
    </r>
  </si>
  <si>
    <t>Ending Balance (Line 5, Col. 2)</t>
  </si>
  <si>
    <t>Note 1, Note 4</t>
  </si>
  <si>
    <t>Accumulated Deferred Income Taxes and Net Excess Deferred Tax Liabilities</t>
  </si>
  <si>
    <t>1) Summary of Accumulated Deferred Income Taxes and Net Excess Deferred Tax Liabilities</t>
  </si>
  <si>
    <t>a) End of Year Accumulated Deferred Income Taxes and Net Excess Deferred Tax Liabilities</t>
  </si>
  <si>
    <t>and Net Excess Deferred Tax Liabilities</t>
  </si>
  <si>
    <t>Line 817, Coumn 8</t>
  </si>
  <si>
    <t>5) Tax Normalization Calculation Pursuant to Treas. Reg §1.167(l)-1(h)(6)</t>
  </si>
  <si>
    <t>Line 805 is equal to Line 10, Column 2.  Lines 806 through 817 equal previous amount in Column 8, plus amount in Column 7.</t>
  </si>
  <si>
    <t>Net Excess/Deficient Deferred Tax Liability/Asset - 2017 TCAJA</t>
  </si>
  <si>
    <t>FF1 278, see Notes 4 and 5</t>
  </si>
  <si>
    <t xml:space="preserve">5) SCE must submit a Federal Power Act Section 205 filing to obtain Commission approval prior to reflecting in rates any regulatory assets </t>
  </si>
  <si>
    <t>and liabilities arising from future tax changes.</t>
  </si>
  <si>
    <t>4) The net excess/deficiency is derived from the deficiency arising in Account 190 offset by excesses in Accounts 282 and 283.</t>
  </si>
  <si>
    <t>Transportation Electrification (TE) Energy Charge - $/kWh</t>
  </si>
  <si>
    <t xml:space="preserve">16) Rates associated with Rate Groups GS-2 and TOU-GS-3 are calculated on a combined basis, so that the rate is the sum of the combined Revenue Associated with Supplemental Demand or Energy in </t>
  </si>
  <si>
    <t xml:space="preserve">      Column 2 (line 16d and 16e) divided by the sum of the sum of the Billing Determinants in Column 8 (Line 1d and 1e).</t>
  </si>
  <si>
    <t>17)  Applicable to the optional schedules that contain horse power charge such as PA-1</t>
  </si>
  <si>
    <t>18) GWh for TOU-8-Standby-SEC, TOU-8-Standby-PRI, TOU-8-Standby-SUB Rate Groups are placed in TOU-8-SEC, TOU-8-PRI, TOU-8-SUB Rate Groups respectively.</t>
  </si>
  <si>
    <t>Note 18</t>
  </si>
  <si>
    <t>Unamortized Premium on Long Term Debt - Account 225</t>
  </si>
  <si>
    <t>Removal of Long Term Debt Not Financing Rate Base (Note 9)</t>
  </si>
  <si>
    <t>Adjustments related to "LT Debt Not Financing Rate Base" (Note 10)</t>
  </si>
  <si>
    <t>Unamortized Issuance Costs (Note 12)</t>
  </si>
  <si>
    <t xml:space="preserve">5) Amount in Column 2 from FF1 112.22d, amount in Column 14 from FF1 112.22c, amounts in columns 3-13 from SCE internal records. </t>
  </si>
  <si>
    <t xml:space="preserve">6) Amount in Column 2 from FF1 112.23d, amount in Column 14 from FF1 112.23c, amounts in columns 3-13 from SCE internal records. </t>
  </si>
  <si>
    <t xml:space="preserve">7) Amount in Column 2 from FF1 111.69d, amount in Column 14 from FF1 111.69c, amounts in columns 3-13 from SCE internal records. </t>
  </si>
  <si>
    <t xml:space="preserve">8) Amount in Column 2 from FF1 111.81d, amount in Column 14 from FF1 111.81c, amounts in columns 3-13 from SCE internal records. </t>
  </si>
  <si>
    <t>After-Tax Total Unamortized Loss on Reacquired Debt:</t>
  </si>
  <si>
    <t>1-BaseTRR, Line 59</t>
  </si>
  <si>
    <t>= L7 * (1 - L8)</t>
  </si>
  <si>
    <t>= L5 + L6 + L9</t>
  </si>
  <si>
    <t>= L3 / L10</t>
  </si>
  <si>
    <t>FF1 257, Col h</t>
  </si>
  <si>
    <t>FF1 256, Col c</t>
  </si>
  <si>
    <t>1) Equal to maturity date less the date of offering year</t>
  </si>
  <si>
    <t>3) 18 CFR 35.13 (22) Statement AV - Rate of Return (ii)(B)(6) Cost of money</t>
  </si>
  <si>
    <t>2) Sum of all amounts for each issuance</t>
  </si>
  <si>
    <t>SONGS 2006C&amp;D</t>
  </si>
  <si>
    <t>Net Gain (Loss) from Purchase and Tender Offers:</t>
  </si>
  <si>
    <t>FF1 112.3c</t>
  </si>
  <si>
    <t>Col 3 / Col 5</t>
  </si>
  <si>
    <t>Pump Load True-Up:</t>
  </si>
  <si>
    <t>4) The Pump Load True-Up value is equal to actual recorded less forecast Pump Load for the Prior Year.</t>
  </si>
  <si>
    <t>Line 1 + Line 2 + Line 3</t>
  </si>
  <si>
    <t>FF1 117.64c</t>
  </si>
  <si>
    <t>Prorata Avg.</t>
  </si>
  <si>
    <t>Net Gain (Loss) From Purchase and Tender Offers (Note 13):</t>
  </si>
  <si>
    <t xml:space="preserve">14) Amount in Column 2 from FF1 112.16d, amount in Column 14 from FF1 112.16c, amounts in columns 3-13 from SCE internal records. </t>
  </si>
  <si>
    <t xml:space="preserve">15) Amount in Column 2 from FF1 112.12d, amount in Column 14 from FF1 112.12c, amounts in columns 3-13 from SCE internal records. </t>
  </si>
  <si>
    <t>16) Amount in Column 2 from FF1 112.15d, amount in Column 14 from FF1 112.15c, amounts in columns 3-13 from SCE internal records.</t>
  </si>
  <si>
    <t>Total Issuance Cost ($000s)</t>
  </si>
  <si>
    <t>Net Proceeds at Issuance ($000s)</t>
  </si>
  <si>
    <t>Annualized Cost ($000s)</t>
  </si>
  <si>
    <t>Net Gain (Loss) from Purchase and Tender Offers  ($000s)</t>
  </si>
  <si>
    <t>Issuance Amortization Cost ($000s)</t>
  </si>
  <si>
    <t>Face Value / Amount Outstanding ($000s)</t>
  </si>
  <si>
    <t>14a</t>
  </si>
  <si>
    <t xml:space="preserve">Proprietary Capital Adjustment for Wildfire Related Capital </t>
  </si>
  <si>
    <t>14a) Represents Capital disclosed by SCE related to Wildfire Related Capital, not yet paid on a cash basis.  Amounts in Columns 2-14 are from SCE internal records</t>
  </si>
  <si>
    <t>the Formula Rate Spreadsheet in effect during the Prior Year.</t>
  </si>
  <si>
    <t>4) Excludes debt, or portions thereof, that does not finance Rate Base</t>
  </si>
  <si>
    <t>Depreciation Rates (Percent per year)  See Instruction 1.</t>
  </si>
  <si>
    <t>1) Depreciation rates on lines 17a-17m are input based on the stated values of ISO Transmission Plant depreciation rates from Schedule 18 of</t>
  </si>
  <si>
    <t>c) Prorata Average of Beginning and End of Year Accumulated Deferred Income Taxes and Net Excess Deferred Tax Liabilities</t>
  </si>
  <si>
    <t>b) Beginning of Year Accumulated Deferred Income Taxes and Net Excess Deferred Tax Liabilities</t>
  </si>
  <si>
    <t>Prorata Average Balance:</t>
  </si>
  <si>
    <t xml:space="preserve">1) The monthly deferred tax amounts are equal to the ending Accumulated Deferred Income Taxes and Net Excess Deferred Tax Liabilities </t>
  </si>
  <si>
    <t>balance minus the beginning Accumulated Deferred Income Taxes and Net Excess Deferred Tax Liabilities balance, divided by 12 months.</t>
  </si>
  <si>
    <t>3) The average Accumulated Deferred Income Taxes and Net Excess Deferred Tax Liabilities Balance is equal to the amount on Line 817, Column 8.</t>
  </si>
  <si>
    <t xml:space="preserve">ISO Transmission Wages and Salaries </t>
  </si>
  <si>
    <t>Injuries and Damages - See Note 1</t>
  </si>
  <si>
    <t xml:space="preserve">1) Includes any Unfunded Reserves relating to accrued expenses included in Account 925 “Injuries and Damages”, </t>
  </si>
  <si>
    <t>reduced for any expected offsetting payments.</t>
  </si>
  <si>
    <t xml:space="preserve">  D (Option CPP), D-CARE (Option CPP), TOU-D-Option A, TOU-D-Option B, TOU-D-3, TOU-D-T-CPP, TOU-D (Options 4-9 PM, 5-8 PM, PRIME, and CPP)</t>
  </si>
  <si>
    <t>TOU-GS-1</t>
  </si>
  <si>
    <t>Includes Schedules GS-1, TOU-EV-3, TOU-EV-7 (Options D and E), and TOU-GS-1 (Options E, ES, D, LG, C, A, B, RTP, CPP, Standby, GS-APS, GS-APS-E, and ME).</t>
  </si>
  <si>
    <t>TOU-GS-2</t>
  </si>
  <si>
    <t xml:space="preserve">Includes Schedules GS-2, TOU-EV-4, TOU-EV-8, and TOU-GS-2 (Options D, E, A, B, R, RTP, CPP, Standby, GS-APS, GS-APS-E, and ME). </t>
  </si>
  <si>
    <t>Includes Schedules TOU-GS-3-CPP, TOU-EV-8, and TOU-GS-3 (Options D, E, A, B, R, RTP, SOP, Standby, TOU-BIP, GS-APS, GS-APS-E, and ME).</t>
  </si>
  <si>
    <t>Includes Schedules TOU-8-CPP, TOU-8-RBU, TOU-EV-9, and TOU-8 (Options D, E, A, B, R, RTP, TOU-BIP, GS-APS, GS-APS-E, Backup-B, and ME).</t>
  </si>
  <si>
    <t>Includes Schedules TOU-8-Standby (Options D, LG, A, B, RTP, TOU-BIP, GS-APS, GS-APS-E, and ME).</t>
  </si>
  <si>
    <t>Includes Schedules TOU-8-Standby (Options D, LG, A, A2, B, RTP, TOU-BIP, GS-APS, GS-APS-E, and ME).</t>
  </si>
  <si>
    <t>Includes Schedules  PA-1, PA-2, TOU-PA-ICE, and TOU-PA-2 (Options D, E, 4-9 PM, 5-8 PM, A, B, RTP, SOP-1, SOP-2, CPP, Standby, and AP-I).</t>
  </si>
  <si>
    <t>Includes Schedules  TOU-PA-3-CPP, and TOU-PA-3 (Options D, E, 4-9 PM, 5-8 PM, A, B, RTP, SOP-1, SOP-2, Standby, and AP-I).</t>
  </si>
  <si>
    <t>Includes Schedules AL-2, AL-2-B, AL-2-F, DWL, LS-1, LS-2, LS-3, LS-3-B, and OL-1.</t>
  </si>
  <si>
    <t xml:space="preserve">  TOU-GS-1 continued</t>
  </si>
  <si>
    <t>ER19-1226</t>
  </si>
  <si>
    <t>Total all Substations (L7 + L8 + L9)</t>
  </si>
  <si>
    <t>Total Transmission Lines (L2 + L3):</t>
  </si>
  <si>
    <t>Internal Revenue Code § 11.b</t>
  </si>
  <si>
    <r>
      <t>13) For optional time-of-use schedules within the GS-1 rate group (Line16b:Col6), = (Line1b</t>
    </r>
    <r>
      <rPr>
        <vertAlign val="subscript"/>
        <sz val="10"/>
        <rFont val="Arial"/>
        <family val="2"/>
      </rPr>
      <t>2</t>
    </r>
    <r>
      <rPr>
        <sz val="10"/>
        <rFont val="Arial"/>
        <family val="2"/>
      </rPr>
      <t>:Col11 - Line16:Col3) / Line1b:Col12 / 10^3</t>
    </r>
  </si>
  <si>
    <t xml:space="preserve">1) If issuance costs not fully amortized then the “Cost of Money Effective Rate” is the 18 CFR 35.13 (22) Statement AV - Rate of Return (ii)(B)(6) Cost of money.  </t>
  </si>
  <si>
    <t>If the issuance costs are fully amortized then the “Cost of Money Effective Rate” is equal to Column 3 / Column 7.</t>
  </si>
  <si>
    <t>State</t>
  </si>
  <si>
    <t>14) For the non TOU-8-Standby rate group, it is the minimum of Line16i:Col7, or the total demand rate in Line1:Col10</t>
  </si>
  <si>
    <t>Exhibit No. SCE-4</t>
  </si>
  <si>
    <t>TO2019A</t>
  </si>
  <si>
    <t>Populated Formula Rate Spreadsheet</t>
  </si>
  <si>
    <t>with Proposed Base TRR and Associated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</si>
</sst>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00%"/>
    <numFmt numFmtId="173" formatCode="&quot;$&quot;#,##0.00000"/>
    <numFmt numFmtId="174" formatCode="0.0000"/>
    <numFmt numFmtId="175" formatCode="_(&quot;$&quot;* #,##0.00_);_(&quot;$&quot;* \(#,##0.00\);_(&quot;$&quot;* &quot;-&quot;_);_(@_)"/>
    <numFmt numFmtId="176" formatCode="_-* #,##0.00\ _D_M_-;\-* #,##0.00\ _D_M_-;_-* &quot;-&quot;??\ _D_M_-;_-@_-"/>
    <numFmt numFmtId="177" formatCode="_-* #,##0\ _D_M_-;\-* #,##0\ _D_M_-;_-* &quot;-&quot;??\ _D_M_-;_-@_-"/>
    <numFmt numFmtId="178" formatCode="_(&quot;$&quot;* #,##0_);_(&quot;$&quot;* \(#,##0\);_(&quot;$&quot;* &quot;-&quot;??_);_(@_)"/>
    <numFmt numFmtId="179" formatCode="#,##0.0_);[Red]\(#,##0.0\)"/>
    <numFmt numFmtId="180" formatCode="&quot;$&quot;#,##0.000000"/>
    <numFmt numFmtId="181" formatCode="0_);\(0\)"/>
    <numFmt numFmtId="182" formatCode="[$-409]mmm\-yy;@"/>
    <numFmt numFmtId="183" formatCode="[$-409]mmmm\ d\,\ yyyy;@"/>
    <numFmt numFmtId="184" formatCode="[$-409]d\-mmm;@"/>
    <numFmt numFmtId="185" formatCode="_([$€-2]* #,##0.00_);_([$€-2]* \(#,##0.00\);_([$€-2]* &quot;-&quot;??_)"/>
    <numFmt numFmtId="186" formatCode="0.000000"/>
    <numFmt numFmtId="187" formatCode="[$-409]d\-mmm\-yy;@"/>
    <numFmt numFmtId="188" formatCode="m\-d\-yy"/>
    <numFmt numFmtId="189" formatCode="yymmmmdd"/>
    <numFmt numFmtId="190" formatCode="0.0%;;"/>
    <numFmt numFmtId="191" formatCode="0.000\ \¢"/>
    <numFmt numFmtId="192" formatCode="&quot;$&quot;.00;;"/>
    <numFmt numFmtId="193" formatCode="_-* #,##0.00\ &quot;DM&quot;_-;\-* #,##0.00\ &quot;DM&quot;_-;_-* &quot;-&quot;??\ &quot;DM&quot;_-;_-@_-"/>
    <numFmt numFmtId="194" formatCode="&quot;$&quot;#,##0.00;\-&quot;$&quot;#,##0.00"/>
    <numFmt numFmtId="195" formatCode="_-* #,##0.0_-;\-* #,##0.0_-;_-* &quot;-&quot;??_-;_-@_-"/>
    <numFmt numFmtId="196" formatCode="General_)"/>
    <numFmt numFmtId="197" formatCode="#,##0.00&quot; $&quot;;\-#,##0.00&quot; $&quot;"/>
    <numFmt numFmtId="198" formatCode=";;;"/>
    <numFmt numFmtId="199" formatCode="#,##0;;"/>
    <numFmt numFmtId="200" formatCode="0.00_)"/>
    <numFmt numFmtId="201" formatCode="&quot;$&quot;#,##0_);[Red]\(&quot;$&quot;#,##0\);&quot;-&quot;???"/>
    <numFmt numFmtId="202" formatCode="[$-409]mmmm\-yy;@"/>
    <numFmt numFmtId="203" formatCode="0.0"/>
    <numFmt numFmtId="204" formatCode="0.0%_);[Red]\(0.0%\)"/>
    <numFmt numFmtId="205" formatCode="mm/dd/yy"/>
    <numFmt numFmtId="206" formatCode="0.00000000%"/>
    <numFmt numFmtId="207" formatCode="m/yy"/>
    <numFmt numFmtId="208" formatCode="0.0000000000000000%"/>
    <numFmt numFmtId="209" formatCode="mmm\ d\,\ yyyy"/>
    <numFmt numFmtId="210" formatCode="0.00000_);[Red]\(0.000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b/>
      <sz val="12"/>
      <name val="Arial"/>
      <family val="2"/>
    </font>
    <font>
      <vertAlign val="subscript"/>
      <sz val="10"/>
      <name val="Arial"/>
      <family val="2"/>
    </font>
    <font>
      <u/>
      <sz val="10"/>
      <color rgb="FFFF0000"/>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strike/>
      <sz val="10"/>
      <color rgb="FFFF0000"/>
      <name val="Arial"/>
      <family val="2"/>
    </font>
    <font>
      <b/>
      <strike/>
      <sz val="12"/>
      <name val="Arial"/>
      <family val="2"/>
    </font>
    <font>
      <b/>
      <strike/>
      <u/>
      <sz val="10"/>
      <color rgb="FFFF0000"/>
      <name val="Arial"/>
      <family val="2"/>
    </font>
    <font>
      <b/>
      <strike/>
      <sz val="10"/>
      <color rgb="FFFF0000"/>
      <name val="Arial"/>
      <family val="2"/>
    </font>
    <font>
      <sz val="10"/>
      <color theme="0" tint="-0.34998626667073579"/>
      <name val="Arial"/>
      <family val="2"/>
    </font>
    <font>
      <sz val="10"/>
      <name val="Helv"/>
    </font>
    <font>
      <sz val="10"/>
      <color rgb="FF0070C0"/>
      <name val="Arial"/>
      <family val="2"/>
    </font>
    <font>
      <b/>
      <sz val="18"/>
      <name val="Arial"/>
      <family val="2"/>
    </font>
    <font>
      <b/>
      <sz val="22"/>
      <name val="Arial"/>
      <family val="2"/>
    </font>
    <font>
      <b/>
      <sz val="14"/>
      <name val="Arial"/>
      <family val="2"/>
    </font>
    <font>
      <sz val="14"/>
      <name val="Arial"/>
      <family val="2"/>
    </font>
  </fonts>
  <fills count="114">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theme="0"/>
        <bgColor indexed="64"/>
      </patternFill>
    </fill>
  </fills>
  <borders count="65">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53894">
    <xf numFmtId="0" fontId="0" fillId="0" borderId="0"/>
    <xf numFmtId="0" fontId="37" fillId="8" borderId="0" applyNumberFormat="0" applyBorder="0" applyAlignment="0" applyProtection="0"/>
    <xf numFmtId="0" fontId="37" fillId="9" borderId="0" applyNumberFormat="0" applyBorder="0" applyAlignment="0" applyProtection="0"/>
    <xf numFmtId="0" fontId="38" fillId="10"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8" fillId="14"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8" fillId="9" borderId="0" applyNumberFormat="0" applyBorder="0" applyAlignment="0" applyProtection="0"/>
    <xf numFmtId="0" fontId="37" fillId="20" borderId="0" applyNumberFormat="0" applyBorder="0" applyAlignment="0" applyProtection="0"/>
    <xf numFmtId="0" fontId="37" fillId="13" borderId="0" applyNumberFormat="0" applyBorder="0" applyAlignment="0" applyProtection="0"/>
    <xf numFmtId="0" fontId="38" fillId="21" borderId="0" applyNumberFormat="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6" fontId="23" fillId="0" borderId="0" applyFont="0" applyFill="0" applyBorder="0" applyAlignment="0" applyProtection="0"/>
    <xf numFmtId="44" fontId="20" fillId="0" borderId="0" applyFont="0" applyFill="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9"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8" fontId="30" fillId="0" borderId="0"/>
    <xf numFmtId="9" fontId="20" fillId="0" borderId="0" applyFont="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4" fontId="42" fillId="25" borderId="1" applyNumberFormat="0" applyProtection="0">
      <alignment vertical="center"/>
    </xf>
    <xf numFmtId="4" fontId="44" fillId="25" borderId="1" applyNumberFormat="0" applyProtection="0">
      <alignment vertical="center"/>
    </xf>
    <xf numFmtId="4" fontId="42" fillId="25" borderId="1" applyNumberFormat="0" applyProtection="0">
      <alignment horizontal="left" vertical="center" indent="1"/>
    </xf>
    <xf numFmtId="0" fontId="42" fillId="25" borderId="1" applyNumberFormat="0" applyProtection="0">
      <alignment horizontal="left" vertical="top" indent="1"/>
    </xf>
    <xf numFmtId="4" fontId="42" fillId="27" borderId="0" applyNumberFormat="0" applyProtection="0">
      <alignment horizontal="left" vertical="center" indent="1"/>
    </xf>
    <xf numFmtId="4" fontId="40" fillId="2" borderId="1" applyNumberFormat="0" applyProtection="0">
      <alignment horizontal="right" vertical="center"/>
    </xf>
    <xf numFmtId="4" fontId="40" fillId="4" borderId="1" applyNumberFormat="0" applyProtection="0">
      <alignment horizontal="right" vertical="center"/>
    </xf>
    <xf numFmtId="4" fontId="40" fillId="11" borderId="1" applyNumberFormat="0" applyProtection="0">
      <alignment horizontal="right" vertical="center"/>
    </xf>
    <xf numFmtId="4" fontId="40" fillId="6" borderId="1" applyNumberFormat="0" applyProtection="0">
      <alignment horizontal="right" vertical="center"/>
    </xf>
    <xf numFmtId="4" fontId="40" fillId="7" borderId="1" applyNumberFormat="0" applyProtection="0">
      <alignment horizontal="right" vertical="center"/>
    </xf>
    <xf numFmtId="4" fontId="40" fillId="19" borderId="1" applyNumberFormat="0" applyProtection="0">
      <alignment horizontal="right" vertical="center"/>
    </xf>
    <xf numFmtId="4" fontId="40" fillId="15" borderId="1" applyNumberFormat="0" applyProtection="0">
      <alignment horizontal="right" vertical="center"/>
    </xf>
    <xf numFmtId="4" fontId="40" fillId="28" borderId="1" applyNumberFormat="0" applyProtection="0">
      <alignment horizontal="right" vertical="center"/>
    </xf>
    <xf numFmtId="4" fontId="40" fillId="5" borderId="1" applyNumberFormat="0" applyProtection="0">
      <alignment horizontal="right" vertical="center"/>
    </xf>
    <xf numFmtId="4" fontId="42" fillId="29" borderId="2" applyNumberFormat="0" applyProtection="0">
      <alignment horizontal="left" vertical="center" indent="1"/>
    </xf>
    <xf numFmtId="4" fontId="40" fillId="30" borderId="0" applyNumberFormat="0" applyProtection="0">
      <alignment horizontal="left" vertical="center" indent="1"/>
    </xf>
    <xf numFmtId="4" fontId="45" fillId="31" borderId="0" applyNumberFormat="0" applyProtection="0">
      <alignment horizontal="left" vertical="center" indent="1"/>
    </xf>
    <xf numFmtId="4" fontId="40" fillId="27" borderId="1" applyNumberFormat="0" applyProtection="0">
      <alignment horizontal="right" vertical="center"/>
    </xf>
    <xf numFmtId="4" fontId="40" fillId="30" borderId="0" applyNumberFormat="0" applyProtection="0">
      <alignment horizontal="left" vertical="center" indent="1"/>
    </xf>
    <xf numFmtId="4" fontId="40" fillId="27" borderId="0" applyNumberFormat="0" applyProtection="0">
      <alignment horizontal="left" vertical="center" indent="1"/>
    </xf>
    <xf numFmtId="0" fontId="23" fillId="31" borderId="1" applyNumberFormat="0" applyProtection="0">
      <alignment horizontal="left" vertical="center" indent="1"/>
    </xf>
    <xf numFmtId="0" fontId="23" fillId="31" borderId="1" applyNumberFormat="0" applyProtection="0">
      <alignment horizontal="left" vertical="top" indent="1"/>
    </xf>
    <xf numFmtId="0" fontId="23" fillId="27" borderId="1" applyNumberFormat="0" applyProtection="0">
      <alignment horizontal="left" vertical="center" indent="1"/>
    </xf>
    <xf numFmtId="0" fontId="23" fillId="27" borderId="1" applyNumberFormat="0" applyProtection="0">
      <alignment horizontal="left" vertical="top" indent="1"/>
    </xf>
    <xf numFmtId="0" fontId="23" fillId="3" borderId="1" applyNumberFormat="0" applyProtection="0">
      <alignment horizontal="left" vertical="center" indent="1"/>
    </xf>
    <xf numFmtId="0" fontId="23" fillId="3" borderId="1" applyNumberFormat="0" applyProtection="0">
      <alignment horizontal="left" vertical="top" indent="1"/>
    </xf>
    <xf numFmtId="0" fontId="23" fillId="30" borderId="1" applyNumberFormat="0" applyProtection="0">
      <alignment horizontal="left" vertical="center" indent="1"/>
    </xf>
    <xf numFmtId="0" fontId="23" fillId="30" borderId="1" applyNumberFormat="0" applyProtection="0">
      <alignment horizontal="left" vertical="top" indent="1"/>
    </xf>
    <xf numFmtId="0" fontId="23" fillId="32" borderId="3" applyNumberFormat="0">
      <protection locked="0"/>
    </xf>
    <xf numFmtId="4" fontId="40" fillId="26" borderId="1" applyNumberFormat="0" applyProtection="0">
      <alignment vertical="center"/>
    </xf>
    <xf numFmtId="4" fontId="46" fillId="26" borderId="1" applyNumberFormat="0" applyProtection="0">
      <alignment vertical="center"/>
    </xf>
    <xf numFmtId="4" fontId="40" fillId="26" borderId="1" applyNumberFormat="0" applyProtection="0">
      <alignment horizontal="left" vertical="center" indent="1"/>
    </xf>
    <xf numFmtId="0" fontId="40" fillId="26" borderId="1" applyNumberFormat="0" applyProtection="0">
      <alignment horizontal="left" vertical="top" indent="1"/>
    </xf>
    <xf numFmtId="4" fontId="40" fillId="30" borderId="1" applyNumberFormat="0" applyProtection="0">
      <alignment horizontal="right" vertical="center"/>
    </xf>
    <xf numFmtId="4" fontId="46" fillId="30" borderId="1" applyNumberFormat="0" applyProtection="0">
      <alignment horizontal="right" vertical="center"/>
    </xf>
    <xf numFmtId="4" fontId="40" fillId="27" borderId="1" applyNumberFormat="0" applyProtection="0">
      <alignment horizontal="left" vertical="center" indent="1"/>
    </xf>
    <xf numFmtId="0" fontId="40" fillId="27" borderId="1" applyNumberFormat="0" applyProtection="0">
      <alignment horizontal="left" vertical="top" indent="1"/>
    </xf>
    <xf numFmtId="4" fontId="47" fillId="33" borderId="0" applyNumberFormat="0" applyProtection="0">
      <alignment horizontal="left" vertical="center" indent="1"/>
    </xf>
    <xf numFmtId="4" fontId="41" fillId="30" borderId="1" applyNumberFormat="0" applyProtection="0">
      <alignment horizontal="right" vertical="center"/>
    </xf>
    <xf numFmtId="0" fontId="48" fillId="0" borderId="0" applyNumberFormat="0" applyFill="0" applyBorder="0" applyAlignment="0" applyProtection="0"/>
    <xf numFmtId="0" fontId="20" fillId="0" borderId="0"/>
    <xf numFmtId="0" fontId="19" fillId="0" borderId="0"/>
    <xf numFmtId="0" fontId="19" fillId="0" borderId="0"/>
    <xf numFmtId="176" fontId="20" fillId="0" borderId="0" applyFont="0" applyFill="0" applyBorder="0" applyAlignment="0" applyProtection="0"/>
    <xf numFmtId="0" fontId="20" fillId="31" borderId="1" applyNumberFormat="0" applyProtection="0">
      <alignment horizontal="left" vertical="center" indent="1"/>
    </xf>
    <xf numFmtId="0" fontId="20" fillId="31" borderId="1" applyNumberFormat="0" applyProtection="0">
      <alignment horizontal="left" vertical="top" indent="1"/>
    </xf>
    <xf numFmtId="0" fontId="20" fillId="27" borderId="1" applyNumberFormat="0" applyProtection="0">
      <alignment horizontal="left" vertical="center" indent="1"/>
    </xf>
    <xf numFmtId="0" fontId="20" fillId="27" borderId="1" applyNumberFormat="0" applyProtection="0">
      <alignment horizontal="left" vertical="top" indent="1"/>
    </xf>
    <xf numFmtId="0" fontId="20" fillId="3" borderId="1" applyNumberFormat="0" applyProtection="0">
      <alignment horizontal="left" vertical="center" indent="1"/>
    </xf>
    <xf numFmtId="0" fontId="20" fillId="3" borderId="1" applyNumberFormat="0" applyProtection="0">
      <alignment horizontal="left" vertical="top" indent="1"/>
    </xf>
    <xf numFmtId="0" fontId="20" fillId="30" borderId="1" applyNumberFormat="0" applyProtection="0">
      <alignment horizontal="left" vertical="center" indent="1"/>
    </xf>
    <xf numFmtId="0" fontId="20" fillId="30" borderId="1" applyNumberFormat="0" applyProtection="0">
      <alignment horizontal="left" vertical="top" indent="1"/>
    </xf>
    <xf numFmtId="0" fontId="20" fillId="32" borderId="3" applyNumberFormat="0">
      <protection locked="0"/>
    </xf>
    <xf numFmtId="0" fontId="6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43" fontId="53" fillId="0" borderId="0" applyFont="0" applyFill="0" applyBorder="0" applyAlignment="0" applyProtection="0"/>
    <xf numFmtId="9" fontId="20" fillId="0" borderId="0" applyFont="0" applyFill="0" applyBorder="0" applyAlignment="0" applyProtection="0"/>
    <xf numFmtId="0" fontId="20" fillId="0" borderId="0"/>
    <xf numFmtId="0" fontId="13" fillId="0" borderId="0"/>
    <xf numFmtId="0" fontId="13" fillId="0" borderId="0"/>
    <xf numFmtId="0" fontId="13"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73" fillId="0" borderId="0"/>
    <xf numFmtId="0" fontId="74" fillId="0" borderId="0"/>
    <xf numFmtId="0" fontId="20" fillId="0" borderId="0"/>
    <xf numFmtId="0" fontId="20" fillId="0" borderId="0"/>
    <xf numFmtId="0" fontId="8"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82" fontId="4" fillId="0" borderId="0"/>
    <xf numFmtId="43" fontId="37" fillId="0" borderId="0" applyFont="0" applyFill="0" applyBorder="0" applyAlignment="0" applyProtection="0"/>
    <xf numFmtId="0" fontId="90" fillId="0" borderId="0"/>
    <xf numFmtId="183" fontId="90" fillId="0" borderId="0"/>
    <xf numFmtId="184" fontId="90" fillId="0" borderId="0"/>
    <xf numFmtId="185" fontId="90" fillId="0" borderId="0"/>
    <xf numFmtId="183" fontId="90" fillId="0" borderId="0"/>
    <xf numFmtId="184" fontId="90" fillId="0" borderId="0"/>
    <xf numFmtId="184" fontId="90" fillId="0" borderId="0"/>
    <xf numFmtId="184" fontId="90" fillId="0" borderId="0"/>
    <xf numFmtId="0" fontId="90" fillId="0" borderId="0"/>
    <xf numFmtId="183" fontId="90" fillId="0" borderId="0"/>
    <xf numFmtId="184" fontId="90" fillId="0" borderId="0"/>
    <xf numFmtId="185" fontId="90" fillId="0" borderId="0"/>
    <xf numFmtId="183" fontId="90" fillId="0" borderId="0"/>
    <xf numFmtId="184" fontId="90" fillId="0" borderId="0"/>
    <xf numFmtId="184" fontId="90" fillId="0" borderId="0"/>
    <xf numFmtId="184" fontId="90" fillId="0" borderId="0"/>
    <xf numFmtId="183" fontId="91" fillId="0" borderId="0" applyNumberFormat="0" applyFill="0" applyBorder="0" applyAlignment="0" applyProtection="0">
      <alignment vertical="top"/>
    </xf>
    <xf numFmtId="184" fontId="91" fillId="0" borderId="0" applyNumberFormat="0" applyFill="0" applyBorder="0" applyAlignment="0" applyProtection="0">
      <alignment vertical="top"/>
    </xf>
    <xf numFmtId="183" fontId="92" fillId="0" borderId="0" applyNumberFormat="0" applyFill="0" applyBorder="0" applyAlignment="0" applyProtection="0">
      <alignment vertical="top"/>
    </xf>
    <xf numFmtId="184" fontId="92" fillId="0" borderId="0" applyNumberFormat="0" applyFill="0" applyBorder="0" applyAlignment="0" applyProtection="0">
      <alignment vertical="top"/>
    </xf>
    <xf numFmtId="183" fontId="20" fillId="0" borderId="0" applyNumberFormat="0" applyFill="0" applyBorder="0" applyAlignment="0" applyProtection="0"/>
    <xf numFmtId="183" fontId="20" fillId="0" borderId="0" applyNumberFormat="0" applyFill="0" applyBorder="0" applyAlignment="0" applyProtection="0"/>
    <xf numFmtId="184" fontId="20" fillId="0" borderId="0" applyNumberFormat="0" applyFill="0" applyBorder="0" applyAlignment="0" applyProtection="0"/>
    <xf numFmtId="184" fontId="20" fillId="0" borderId="0" applyNumberFormat="0" applyFill="0" applyBorder="0" applyAlignment="0" applyProtection="0"/>
    <xf numFmtId="183" fontId="93" fillId="0" borderId="0" applyNumberFormat="0" applyFill="0" applyBorder="0" applyAlignment="0" applyProtection="0">
      <alignment vertical="top"/>
    </xf>
    <xf numFmtId="184" fontId="93" fillId="0" borderId="0" applyNumberFormat="0" applyFill="0" applyBorder="0" applyAlignment="0" applyProtection="0">
      <alignment vertical="top"/>
    </xf>
    <xf numFmtId="183" fontId="94" fillId="0" borderId="29" applyBorder="0">
      <alignment horizontal="left"/>
    </xf>
    <xf numFmtId="184" fontId="94" fillId="0" borderId="29" applyBorder="0">
      <alignment horizontal="left"/>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186" fontId="20" fillId="0" borderId="0">
      <alignment horizontal="left" wrapText="1"/>
    </xf>
    <xf numFmtId="0" fontId="37" fillId="70" borderId="0" applyNumberFormat="0" applyBorder="0" applyAlignment="0" applyProtection="0"/>
    <xf numFmtId="187" fontId="40" fillId="27" borderId="0" applyNumberFormat="0" applyBorder="0" applyAlignment="0" applyProtection="0"/>
    <xf numFmtId="184" fontId="40" fillId="27"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0"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5"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0"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0"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0"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5"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0" fontId="37" fillId="70"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5" fontId="4" fillId="46" borderId="0" applyNumberFormat="0" applyBorder="0" applyAlignment="0" applyProtection="0"/>
    <xf numFmtId="183"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184" fontId="4" fillId="46" borderId="0" applyNumberFormat="0" applyBorder="0" applyAlignment="0" applyProtection="0"/>
    <xf numFmtId="0"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3" fontId="37" fillId="70" borderId="0" applyNumberFormat="0" applyBorder="0" applyAlignment="0" applyProtection="0"/>
    <xf numFmtId="183"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0" fontId="37" fillId="70" borderId="0" applyNumberFormat="0" applyBorder="0" applyAlignment="0" applyProtection="0"/>
    <xf numFmtId="184" fontId="37" fillId="70" borderId="0" applyNumberFormat="0" applyBorder="0" applyAlignment="0" applyProtection="0"/>
    <xf numFmtId="184" fontId="37" fillId="70" borderId="0" applyNumberFormat="0" applyBorder="0" applyAlignment="0" applyProtection="0"/>
    <xf numFmtId="185" fontId="40" fillId="27" borderId="0" applyNumberFormat="0" applyBorder="0" applyAlignment="0" applyProtection="0"/>
    <xf numFmtId="183" fontId="40" fillId="27" borderId="0" applyNumberFormat="0" applyBorder="0" applyAlignment="0" applyProtection="0"/>
    <xf numFmtId="183"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5" fontId="40" fillId="27" borderId="0" applyNumberFormat="0" applyBorder="0" applyAlignment="0" applyProtection="0"/>
    <xf numFmtId="184" fontId="40" fillId="27" borderId="0" applyNumberFormat="0" applyBorder="0" applyAlignment="0" applyProtection="0"/>
    <xf numFmtId="184" fontId="40" fillId="27" borderId="0" applyNumberFormat="0" applyBorder="0" applyAlignment="0" applyProtection="0"/>
    <xf numFmtId="184" fontId="4" fillId="46" borderId="0" applyNumberFormat="0" applyBorder="0" applyAlignment="0" applyProtection="0"/>
    <xf numFmtId="182" fontId="4" fillId="46" borderId="0" applyNumberFormat="0" applyBorder="0" applyAlignment="0" applyProtection="0"/>
    <xf numFmtId="0" fontId="37" fillId="2" borderId="0" applyNumberFormat="0" applyBorder="0" applyAlignment="0" applyProtection="0"/>
    <xf numFmtId="187" fontId="40" fillId="4" borderId="0" applyNumberFormat="0" applyBorder="0" applyAlignment="0" applyProtection="0"/>
    <xf numFmtId="184" fontId="40" fillId="4"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0"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5"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5"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0" fontId="37" fillId="2"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5" fontId="4" fillId="50" borderId="0" applyNumberFormat="0" applyBorder="0" applyAlignment="0" applyProtection="0"/>
    <xf numFmtId="183"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184" fontId="4" fillId="50" borderId="0" applyNumberFormat="0" applyBorder="0" applyAlignment="0" applyProtection="0"/>
    <xf numFmtId="0"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3" fontId="37" fillId="2" borderId="0" applyNumberFormat="0" applyBorder="0" applyAlignment="0" applyProtection="0"/>
    <xf numFmtId="183"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0" fontId="37" fillId="2" borderId="0" applyNumberFormat="0" applyBorder="0" applyAlignment="0" applyProtection="0"/>
    <xf numFmtId="184" fontId="37" fillId="2" borderId="0" applyNumberFormat="0" applyBorder="0" applyAlignment="0" applyProtection="0"/>
    <xf numFmtId="184" fontId="37" fillId="2"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4" fontId="4" fillId="50" borderId="0" applyNumberFormat="0" applyBorder="0" applyAlignment="0" applyProtection="0"/>
    <xf numFmtId="182" fontId="4" fillId="50" borderId="0" applyNumberFormat="0" applyBorder="0" applyAlignment="0" applyProtection="0"/>
    <xf numFmtId="0" fontId="37" fillId="71" borderId="0" applyNumberFormat="0" applyBorder="0" applyAlignment="0" applyProtection="0"/>
    <xf numFmtId="187" fontId="40" fillId="26" borderId="0" applyNumberFormat="0" applyBorder="0" applyAlignment="0" applyProtection="0"/>
    <xf numFmtId="184" fontId="40" fillId="26"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0"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5"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0"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0"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0"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5"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0" fontId="37" fillId="71"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5" fontId="4" fillId="54" borderId="0" applyNumberFormat="0" applyBorder="0" applyAlignment="0" applyProtection="0"/>
    <xf numFmtId="183"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184" fontId="4" fillId="54" borderId="0" applyNumberFormat="0" applyBorder="0" applyAlignment="0" applyProtection="0"/>
    <xf numFmtId="0"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3" fontId="37" fillId="71" borderId="0" applyNumberFormat="0" applyBorder="0" applyAlignment="0" applyProtection="0"/>
    <xf numFmtId="183"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0" fontId="37" fillId="71" borderId="0" applyNumberFormat="0" applyBorder="0" applyAlignment="0" applyProtection="0"/>
    <xf numFmtId="184" fontId="37" fillId="71" borderId="0" applyNumberFormat="0" applyBorder="0" applyAlignment="0" applyProtection="0"/>
    <xf numFmtId="184" fontId="37" fillId="71" borderId="0" applyNumberFormat="0" applyBorder="0" applyAlignment="0" applyProtection="0"/>
    <xf numFmtId="185" fontId="40" fillId="26" borderId="0" applyNumberFormat="0" applyBorder="0" applyAlignment="0" applyProtection="0"/>
    <xf numFmtId="183" fontId="40" fillId="26" borderId="0" applyNumberFormat="0" applyBorder="0" applyAlignment="0" applyProtection="0"/>
    <xf numFmtId="183"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5" fontId="40" fillId="26" borderId="0" applyNumberFormat="0" applyBorder="0" applyAlignment="0" applyProtection="0"/>
    <xf numFmtId="184" fontId="40" fillId="26" borderId="0" applyNumberFormat="0" applyBorder="0" applyAlignment="0" applyProtection="0"/>
    <xf numFmtId="184" fontId="40" fillId="26" borderId="0" applyNumberFormat="0" applyBorder="0" applyAlignment="0" applyProtection="0"/>
    <xf numFmtId="184" fontId="4" fillId="54" borderId="0" applyNumberFormat="0" applyBorder="0" applyAlignment="0" applyProtection="0"/>
    <xf numFmtId="182" fontId="4" fillId="54" borderId="0" applyNumberFormat="0" applyBorder="0" applyAlignment="0" applyProtection="0"/>
    <xf numFmtId="0" fontId="37" fillId="72" borderId="0" applyNumberFormat="0" applyBorder="0" applyAlignment="0" applyProtection="0"/>
    <xf numFmtId="187" fontId="40" fillId="32" borderId="0" applyNumberFormat="0" applyBorder="0" applyAlignment="0" applyProtection="0"/>
    <xf numFmtId="184" fontId="40" fillId="3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0"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5"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0"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0"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0"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5"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0" fontId="37" fillId="72"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5" fontId="4" fillId="58" borderId="0" applyNumberFormat="0" applyBorder="0" applyAlignment="0" applyProtection="0"/>
    <xf numFmtId="183"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184" fontId="4" fillId="58" borderId="0" applyNumberFormat="0" applyBorder="0" applyAlignment="0" applyProtection="0"/>
    <xf numFmtId="0"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40" fillId="32" borderId="0" applyNumberFormat="0" applyBorder="0" applyAlignment="0" applyProtection="0"/>
    <xf numFmtId="183" fontId="40" fillId="32" borderId="0" applyNumberFormat="0" applyBorder="0" applyAlignment="0" applyProtection="0"/>
    <xf numFmtId="183"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5" fontId="40" fillId="32" borderId="0" applyNumberFormat="0" applyBorder="0" applyAlignment="0" applyProtection="0"/>
    <xf numFmtId="184" fontId="40" fillId="32" borderId="0" applyNumberFormat="0" applyBorder="0" applyAlignment="0" applyProtection="0"/>
    <xf numFmtId="184" fontId="40" fillId="32" borderId="0" applyNumberFormat="0" applyBorder="0" applyAlignment="0" applyProtection="0"/>
    <xf numFmtId="184" fontId="4" fillId="58" borderId="0" applyNumberFormat="0" applyBorder="0" applyAlignment="0" applyProtection="0"/>
    <xf numFmtId="182" fontId="4" fillId="58" borderId="0" applyNumberFormat="0" applyBorder="0" applyAlignment="0" applyProtection="0"/>
    <xf numFmtId="0" fontId="37" fillId="73" borderId="0" applyNumberFormat="0" applyBorder="0" applyAlignment="0" applyProtection="0"/>
    <xf numFmtId="187" fontId="40" fillId="3" borderId="0" applyNumberFormat="0" applyBorder="0" applyAlignment="0" applyProtection="0"/>
    <xf numFmtId="184" fontId="40" fillId="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0"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5"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0"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0"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0"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5"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0" fontId="37" fillId="73"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5" fontId="4" fillId="62" borderId="0" applyNumberFormat="0" applyBorder="0" applyAlignment="0" applyProtection="0"/>
    <xf numFmtId="183"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184" fontId="4" fillId="62" borderId="0" applyNumberFormat="0" applyBorder="0" applyAlignment="0" applyProtection="0"/>
    <xf numFmtId="0"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3" fontId="37" fillId="73" borderId="0" applyNumberFormat="0" applyBorder="0" applyAlignment="0" applyProtection="0"/>
    <xf numFmtId="183"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0" fontId="37" fillId="73" borderId="0" applyNumberFormat="0" applyBorder="0" applyAlignment="0" applyProtection="0"/>
    <xf numFmtId="184" fontId="37" fillId="73" borderId="0" applyNumberFormat="0" applyBorder="0" applyAlignment="0" applyProtection="0"/>
    <xf numFmtId="184" fontId="37" fillId="73" borderId="0" applyNumberFormat="0" applyBorder="0" applyAlignment="0" applyProtection="0"/>
    <xf numFmtId="185" fontId="40" fillId="3" borderId="0" applyNumberFormat="0" applyBorder="0" applyAlignment="0" applyProtection="0"/>
    <xf numFmtId="183" fontId="40" fillId="3" borderId="0" applyNumberFormat="0" applyBorder="0" applyAlignment="0" applyProtection="0"/>
    <xf numFmtId="183"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5" fontId="40" fillId="3" borderId="0" applyNumberFormat="0" applyBorder="0" applyAlignment="0" applyProtection="0"/>
    <xf numFmtId="184" fontId="40" fillId="3" borderId="0" applyNumberFormat="0" applyBorder="0" applyAlignment="0" applyProtection="0"/>
    <xf numFmtId="184" fontId="40" fillId="3" borderId="0" applyNumberFormat="0" applyBorder="0" applyAlignment="0" applyProtection="0"/>
    <xf numFmtId="184" fontId="4" fillId="62" borderId="0" applyNumberFormat="0" applyBorder="0" applyAlignment="0" applyProtection="0"/>
    <xf numFmtId="182" fontId="4" fillId="62" borderId="0" applyNumberFormat="0" applyBorder="0" applyAlignment="0" applyProtection="0"/>
    <xf numFmtId="0" fontId="37" fillId="74" borderId="0" applyNumberFormat="0" applyBorder="0" applyAlignment="0" applyProtection="0"/>
    <xf numFmtId="187" fontId="40" fillId="2" borderId="0" applyNumberFormat="0" applyBorder="0" applyAlignment="0" applyProtection="0"/>
    <xf numFmtId="184" fontId="40" fillId="2"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0"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5"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0"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0"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0"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5"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0" fontId="37" fillId="74"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5" fontId="4" fillId="66" borderId="0" applyNumberFormat="0" applyBorder="0" applyAlignment="0" applyProtection="0"/>
    <xf numFmtId="183"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184" fontId="4" fillId="66" borderId="0" applyNumberFormat="0" applyBorder="0" applyAlignment="0" applyProtection="0"/>
    <xf numFmtId="0"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3" fontId="37" fillId="74" borderId="0" applyNumberFormat="0" applyBorder="0" applyAlignment="0" applyProtection="0"/>
    <xf numFmtId="183"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0" fontId="37" fillId="74" borderId="0" applyNumberFormat="0" applyBorder="0" applyAlignment="0" applyProtection="0"/>
    <xf numFmtId="184" fontId="37" fillId="74" borderId="0" applyNumberFormat="0" applyBorder="0" applyAlignment="0" applyProtection="0"/>
    <xf numFmtId="184" fontId="37" fillId="74" borderId="0" applyNumberFormat="0" applyBorder="0" applyAlignment="0" applyProtection="0"/>
    <xf numFmtId="185" fontId="40" fillId="2" borderId="0" applyNumberFormat="0" applyBorder="0" applyAlignment="0" applyProtection="0"/>
    <xf numFmtId="183" fontId="40" fillId="2" borderId="0" applyNumberFormat="0" applyBorder="0" applyAlignment="0" applyProtection="0"/>
    <xf numFmtId="183"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5" fontId="40" fillId="2" borderId="0" applyNumberFormat="0" applyBorder="0" applyAlignment="0" applyProtection="0"/>
    <xf numFmtId="184" fontId="40" fillId="2" borderId="0" applyNumberFormat="0" applyBorder="0" applyAlignment="0" applyProtection="0"/>
    <xf numFmtId="184" fontId="40" fillId="2" borderId="0" applyNumberFormat="0" applyBorder="0" applyAlignment="0" applyProtection="0"/>
    <xf numFmtId="184" fontId="4" fillId="66" borderId="0" applyNumberFormat="0" applyBorder="0" applyAlignment="0" applyProtection="0"/>
    <xf numFmtId="182" fontId="4" fillId="66" borderId="0" applyNumberFormat="0" applyBorder="0" applyAlignment="0" applyProtection="0"/>
    <xf numFmtId="0" fontId="37" fillId="3" borderId="0" applyNumberFormat="0" applyBorder="0" applyAlignment="0" applyProtection="0"/>
    <xf numFmtId="187" fontId="40" fillId="31" borderId="0" applyNumberFormat="0" applyBorder="0" applyAlignment="0" applyProtection="0"/>
    <xf numFmtId="184" fontId="40" fillId="31"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0"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5"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5"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0" fontId="37" fillId="3"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5" fontId="4" fillId="47" borderId="0" applyNumberFormat="0" applyBorder="0" applyAlignment="0" applyProtection="0"/>
    <xf numFmtId="183"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184" fontId="4" fillId="47" borderId="0" applyNumberFormat="0" applyBorder="0" applyAlignment="0" applyProtection="0"/>
    <xf numFmtId="0"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4" fontId="4" fillId="47" borderId="0" applyNumberFormat="0" applyBorder="0" applyAlignment="0" applyProtection="0"/>
    <xf numFmtId="182" fontId="4" fillId="47" borderId="0" applyNumberFormat="0" applyBorder="0" applyAlignment="0" applyProtection="0"/>
    <xf numFmtId="0" fontId="37" fillId="4" borderId="0" applyNumberFormat="0" applyBorder="0" applyAlignment="0" applyProtection="0"/>
    <xf numFmtId="187" fontId="40" fillId="4" borderId="0" applyNumberFormat="0" applyBorder="0" applyAlignment="0" applyProtection="0"/>
    <xf numFmtId="184" fontId="40"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0"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5"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0"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5"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0" fontId="37" fillId="4"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5" fontId="4" fillId="51" borderId="0" applyNumberFormat="0" applyBorder="0" applyAlignment="0" applyProtection="0"/>
    <xf numFmtId="183"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184" fontId="4" fillId="51" borderId="0" applyNumberFormat="0" applyBorder="0" applyAlignment="0" applyProtection="0"/>
    <xf numFmtId="0"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3" fontId="37" fillId="4" borderId="0" applyNumberFormat="0" applyBorder="0" applyAlignment="0" applyProtection="0"/>
    <xf numFmtId="183"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0" fontId="37" fillId="4" borderId="0" applyNumberFormat="0" applyBorder="0" applyAlignment="0" applyProtection="0"/>
    <xf numFmtId="184" fontId="37" fillId="4" borderId="0" applyNumberFormat="0" applyBorder="0" applyAlignment="0" applyProtection="0"/>
    <xf numFmtId="184" fontId="37" fillId="4" borderId="0" applyNumberFormat="0" applyBorder="0" applyAlignment="0" applyProtection="0"/>
    <xf numFmtId="185" fontId="40" fillId="4" borderId="0" applyNumberFormat="0" applyBorder="0" applyAlignment="0" applyProtection="0"/>
    <xf numFmtId="183" fontId="40" fillId="4" borderId="0" applyNumberFormat="0" applyBorder="0" applyAlignment="0" applyProtection="0"/>
    <xf numFmtId="183"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5" fontId="40" fillId="4" borderId="0" applyNumberFormat="0" applyBorder="0" applyAlignment="0" applyProtection="0"/>
    <xf numFmtId="184" fontId="40" fillId="4" borderId="0" applyNumberFormat="0" applyBorder="0" applyAlignment="0" applyProtection="0"/>
    <xf numFmtId="184" fontId="40" fillId="4" borderId="0" applyNumberFormat="0" applyBorder="0" applyAlignment="0" applyProtection="0"/>
    <xf numFmtId="184" fontId="4" fillId="51" borderId="0" applyNumberFormat="0" applyBorder="0" applyAlignment="0" applyProtection="0"/>
    <xf numFmtId="182" fontId="4" fillId="51" borderId="0" applyNumberFormat="0" applyBorder="0" applyAlignment="0" applyProtection="0"/>
    <xf numFmtId="0" fontId="37" fillId="5" borderId="0" applyNumberFormat="0" applyBorder="0" applyAlignment="0" applyProtection="0"/>
    <xf numFmtId="187" fontId="40" fillId="15" borderId="0" applyNumberFormat="0" applyBorder="0" applyAlignment="0" applyProtection="0"/>
    <xf numFmtId="184" fontId="40" fillId="1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0"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5"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0"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0"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0"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5"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0" fontId="37" fillId="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5" fontId="4" fillId="55" borderId="0" applyNumberFormat="0" applyBorder="0" applyAlignment="0" applyProtection="0"/>
    <xf numFmtId="183"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184" fontId="4" fillId="55" borderId="0" applyNumberFormat="0" applyBorder="0" applyAlignment="0" applyProtection="0"/>
    <xf numFmtId="0"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3" fontId="37" fillId="5" borderId="0" applyNumberFormat="0" applyBorder="0" applyAlignment="0" applyProtection="0"/>
    <xf numFmtId="183"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0" fontId="37" fillId="5" borderId="0" applyNumberFormat="0" applyBorder="0" applyAlignment="0" applyProtection="0"/>
    <xf numFmtId="184" fontId="37" fillId="5" borderId="0" applyNumberFormat="0" applyBorder="0" applyAlignment="0" applyProtection="0"/>
    <xf numFmtId="184" fontId="37" fillId="5" borderId="0" applyNumberFormat="0" applyBorder="0" applyAlignment="0" applyProtection="0"/>
    <xf numFmtId="185" fontId="40" fillId="15" borderId="0" applyNumberFormat="0" applyBorder="0" applyAlignment="0" applyProtection="0"/>
    <xf numFmtId="183" fontId="40" fillId="15" borderId="0" applyNumberFormat="0" applyBorder="0" applyAlignment="0" applyProtection="0"/>
    <xf numFmtId="183"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5" fontId="40" fillId="15" borderId="0" applyNumberFormat="0" applyBorder="0" applyAlignment="0" applyProtection="0"/>
    <xf numFmtId="184" fontId="40" fillId="15" borderId="0" applyNumberFormat="0" applyBorder="0" applyAlignment="0" applyProtection="0"/>
    <xf numFmtId="184" fontId="40" fillId="15" borderId="0" applyNumberFormat="0" applyBorder="0" applyAlignment="0" applyProtection="0"/>
    <xf numFmtId="184" fontId="4" fillId="55" borderId="0" applyNumberFormat="0" applyBorder="0" applyAlignment="0" applyProtection="0"/>
    <xf numFmtId="182" fontId="4" fillId="55" borderId="0" applyNumberFormat="0" applyBorder="0" applyAlignment="0" applyProtection="0"/>
    <xf numFmtId="0" fontId="37" fillId="72" borderId="0" applyNumberFormat="0" applyBorder="0" applyAlignment="0" applyProtection="0"/>
    <xf numFmtId="187" fontId="40" fillId="75" borderId="0" applyNumberFormat="0" applyBorder="0" applyAlignment="0" applyProtection="0"/>
    <xf numFmtId="184" fontId="40" fillId="75"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0"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5"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0"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0"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0"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5"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0" fontId="37" fillId="72"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5" fontId="4" fillId="59" borderId="0" applyNumberFormat="0" applyBorder="0" applyAlignment="0" applyProtection="0"/>
    <xf numFmtId="183"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184" fontId="4" fillId="59" borderId="0" applyNumberFormat="0" applyBorder="0" applyAlignment="0" applyProtection="0"/>
    <xf numFmtId="0"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3" fontId="37" fillId="72" borderId="0" applyNumberFormat="0" applyBorder="0" applyAlignment="0" applyProtection="0"/>
    <xf numFmtId="183"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0" fontId="37" fillId="72" borderId="0" applyNumberFormat="0" applyBorder="0" applyAlignment="0" applyProtection="0"/>
    <xf numFmtId="184" fontId="37" fillId="72" borderId="0" applyNumberFormat="0" applyBorder="0" applyAlignment="0" applyProtection="0"/>
    <xf numFmtId="184" fontId="37" fillId="72" borderId="0" applyNumberFormat="0" applyBorder="0" applyAlignment="0" applyProtection="0"/>
    <xf numFmtId="185" fontId="40" fillId="75" borderId="0" applyNumberFormat="0" applyBorder="0" applyAlignment="0" applyProtection="0"/>
    <xf numFmtId="183" fontId="40" fillId="75" borderId="0" applyNumberFormat="0" applyBorder="0" applyAlignment="0" applyProtection="0"/>
    <xf numFmtId="183"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5" fontId="40" fillId="75" borderId="0" applyNumberFormat="0" applyBorder="0" applyAlignment="0" applyProtection="0"/>
    <xf numFmtId="184" fontId="40" fillId="75" borderId="0" applyNumberFormat="0" applyBorder="0" applyAlignment="0" applyProtection="0"/>
    <xf numFmtId="184" fontId="40" fillId="75" borderId="0" applyNumberFormat="0" applyBorder="0" applyAlignment="0" applyProtection="0"/>
    <xf numFmtId="184" fontId="4" fillId="59" borderId="0" applyNumberFormat="0" applyBorder="0" applyAlignment="0" applyProtection="0"/>
    <xf numFmtId="182" fontId="4" fillId="59" borderId="0" applyNumberFormat="0" applyBorder="0" applyAlignment="0" applyProtection="0"/>
    <xf numFmtId="0" fontId="37" fillId="3" borderId="0" applyNumberFormat="0" applyBorder="0" applyAlignment="0" applyProtection="0"/>
    <xf numFmtId="187" fontId="40" fillId="31" borderId="0" applyNumberFormat="0" applyBorder="0" applyAlignment="0" applyProtection="0"/>
    <xf numFmtId="184" fontId="40" fillId="31"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0"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5"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0"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5"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0" fontId="37" fillId="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5" fontId="4" fillId="63" borderId="0" applyNumberFormat="0" applyBorder="0" applyAlignment="0" applyProtection="0"/>
    <xf numFmtId="183"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184" fontId="4" fillId="63" borderId="0" applyNumberFormat="0" applyBorder="0" applyAlignment="0" applyProtection="0"/>
    <xf numFmtId="0"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3" fontId="37" fillId="3" borderId="0" applyNumberFormat="0" applyBorder="0" applyAlignment="0" applyProtection="0"/>
    <xf numFmtId="183"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0" fontId="37" fillId="3" borderId="0" applyNumberFormat="0" applyBorder="0" applyAlignment="0" applyProtection="0"/>
    <xf numFmtId="184" fontId="37" fillId="3" borderId="0" applyNumberFormat="0" applyBorder="0" applyAlignment="0" applyProtection="0"/>
    <xf numFmtId="184" fontId="37" fillId="3" borderId="0" applyNumberFormat="0" applyBorder="0" applyAlignment="0" applyProtection="0"/>
    <xf numFmtId="185" fontId="40" fillId="31" borderId="0" applyNumberFormat="0" applyBorder="0" applyAlignment="0" applyProtection="0"/>
    <xf numFmtId="183" fontId="40" fillId="31" borderId="0" applyNumberFormat="0" applyBorder="0" applyAlignment="0" applyProtection="0"/>
    <xf numFmtId="183"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5" fontId="40" fillId="31" borderId="0" applyNumberFormat="0" applyBorder="0" applyAlignment="0" applyProtection="0"/>
    <xf numFmtId="184" fontId="40" fillId="31" borderId="0" applyNumberFormat="0" applyBorder="0" applyAlignment="0" applyProtection="0"/>
    <xf numFmtId="184" fontId="40" fillId="31" borderId="0" applyNumberFormat="0" applyBorder="0" applyAlignment="0" applyProtection="0"/>
    <xf numFmtId="184" fontId="4" fillId="63" borderId="0" applyNumberFormat="0" applyBorder="0" applyAlignment="0" applyProtection="0"/>
    <xf numFmtId="182" fontId="4" fillId="63" borderId="0" applyNumberFormat="0" applyBorder="0" applyAlignment="0" applyProtection="0"/>
    <xf numFmtId="0" fontId="37" fillId="6" borderId="0" applyNumberFormat="0" applyBorder="0" applyAlignment="0" applyProtection="0"/>
    <xf numFmtId="187" fontId="40" fillId="74" borderId="0" applyNumberFormat="0" applyBorder="0" applyAlignment="0" applyProtection="0"/>
    <xf numFmtId="184" fontId="40" fillId="74"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0"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5"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0"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0"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0"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5"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0" fontId="37" fillId="6"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5" fontId="4" fillId="67" borderId="0" applyNumberFormat="0" applyBorder="0" applyAlignment="0" applyProtection="0"/>
    <xf numFmtId="183"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184" fontId="4" fillId="67" borderId="0" applyNumberFormat="0" applyBorder="0" applyAlignment="0" applyProtection="0"/>
    <xf numFmtId="0"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3" fontId="37" fillId="6" borderId="0" applyNumberFormat="0" applyBorder="0" applyAlignment="0" applyProtection="0"/>
    <xf numFmtId="183"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0" fontId="37" fillId="6" borderId="0" applyNumberFormat="0" applyBorder="0" applyAlignment="0" applyProtection="0"/>
    <xf numFmtId="184" fontId="37" fillId="6" borderId="0" applyNumberFormat="0" applyBorder="0" applyAlignment="0" applyProtection="0"/>
    <xf numFmtId="184" fontId="37" fillId="6" borderId="0" applyNumberFormat="0" applyBorder="0" applyAlignment="0" applyProtection="0"/>
    <xf numFmtId="185" fontId="40" fillId="74" borderId="0" applyNumberFormat="0" applyBorder="0" applyAlignment="0" applyProtection="0"/>
    <xf numFmtId="183" fontId="40" fillId="74" borderId="0" applyNumberFormat="0" applyBorder="0" applyAlignment="0" applyProtection="0"/>
    <xf numFmtId="183"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5" fontId="40" fillId="74" borderId="0" applyNumberFormat="0" applyBorder="0" applyAlignment="0" applyProtection="0"/>
    <xf numFmtId="184" fontId="40" fillId="74" borderId="0" applyNumberFormat="0" applyBorder="0" applyAlignment="0" applyProtection="0"/>
    <xf numFmtId="184" fontId="40" fillId="74" borderId="0" applyNumberFormat="0" applyBorder="0" applyAlignment="0" applyProtection="0"/>
    <xf numFmtId="184" fontId="4" fillId="67" borderId="0" applyNumberFormat="0" applyBorder="0" applyAlignment="0" applyProtection="0"/>
    <xf numFmtId="182" fontId="4" fillId="67" borderId="0" applyNumberFormat="0" applyBorder="0" applyAlignment="0" applyProtection="0"/>
    <xf numFmtId="0" fontId="38" fillId="76" borderId="0" applyNumberFormat="0" applyBorder="0" applyAlignment="0" applyProtection="0"/>
    <xf numFmtId="184" fontId="38" fillId="76" borderId="0" applyNumberFormat="0" applyBorder="0" applyAlignment="0" applyProtection="0"/>
    <xf numFmtId="0"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5" fontId="38" fillId="76"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4" fontId="38" fillId="76" borderId="0" applyNumberFormat="0" applyBorder="0" applyAlignment="0" applyProtection="0"/>
    <xf numFmtId="187" fontId="95" fillId="31" borderId="0" applyNumberFormat="0" applyBorder="0" applyAlignment="0" applyProtection="0"/>
    <xf numFmtId="0" fontId="38" fillId="76" borderId="0" applyNumberFormat="0" applyBorder="0" applyAlignment="0" applyProtection="0"/>
    <xf numFmtId="184" fontId="38" fillId="76" borderId="0" applyNumberFormat="0" applyBorder="0" applyAlignment="0" applyProtection="0"/>
    <xf numFmtId="184" fontId="95" fillId="31" borderId="0" applyNumberFormat="0" applyBorder="0" applyAlignment="0" applyProtection="0"/>
    <xf numFmtId="0" fontId="38" fillId="76"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38" fillId="76"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5" fontId="89" fillId="48" borderId="0" applyNumberFormat="0" applyBorder="0" applyAlignment="0" applyProtection="0"/>
    <xf numFmtId="183"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184" fontId="89" fillId="48" borderId="0" applyNumberFormat="0" applyBorder="0" applyAlignment="0" applyProtection="0"/>
    <xf numFmtId="0" fontId="38" fillId="76"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5" fontId="38" fillId="76" borderId="0" applyNumberFormat="0" applyBorder="0" applyAlignment="0" applyProtection="0"/>
    <xf numFmtId="183" fontId="38" fillId="76" borderId="0" applyNumberFormat="0" applyBorder="0" applyAlignment="0" applyProtection="0"/>
    <xf numFmtId="184" fontId="38" fillId="76" borderId="0" applyNumberFormat="0" applyBorder="0" applyAlignment="0" applyProtection="0"/>
    <xf numFmtId="184" fontId="38" fillId="76" borderId="0" applyNumberFormat="0" applyBorder="0" applyAlignment="0" applyProtection="0"/>
    <xf numFmtId="184" fontId="38" fillId="76"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89" fillId="48" borderId="0" applyNumberFormat="0" applyBorder="0" applyAlignment="0" applyProtection="0"/>
    <xf numFmtId="182" fontId="89" fillId="48"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0"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0"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7" fontId="95" fillId="4" borderId="0" applyNumberFormat="0" applyBorder="0" applyAlignment="0" applyProtection="0"/>
    <xf numFmtId="0" fontId="38" fillId="4" borderId="0" applyNumberFormat="0" applyBorder="0" applyAlignment="0" applyProtection="0"/>
    <xf numFmtId="184" fontId="38" fillId="4" borderId="0" applyNumberFormat="0" applyBorder="0" applyAlignment="0" applyProtection="0"/>
    <xf numFmtId="184" fontId="95" fillId="4" borderId="0" applyNumberFormat="0" applyBorder="0" applyAlignment="0" applyProtection="0"/>
    <xf numFmtId="0" fontId="38"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38" fillId="4"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5" fontId="89" fillId="52" borderId="0" applyNumberFormat="0" applyBorder="0" applyAlignment="0" applyProtection="0"/>
    <xf numFmtId="183"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184" fontId="89" fillId="52" borderId="0" applyNumberFormat="0" applyBorder="0" applyAlignment="0" applyProtection="0"/>
    <xf numFmtId="0"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5" fontId="38" fillId="4" borderId="0" applyNumberFormat="0" applyBorder="0" applyAlignment="0" applyProtection="0"/>
    <xf numFmtId="183"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4" fontId="38" fillId="4" borderId="0" applyNumberFormat="0" applyBorder="0" applyAlignment="0" applyProtection="0"/>
    <xf numFmtId="185" fontId="95" fillId="4" borderId="0" applyNumberFormat="0" applyBorder="0" applyAlignment="0" applyProtection="0"/>
    <xf numFmtId="183" fontId="95" fillId="4" borderId="0" applyNumberFormat="0" applyBorder="0" applyAlignment="0" applyProtection="0"/>
    <xf numFmtId="184" fontId="95" fillId="4" borderId="0" applyNumberFormat="0" applyBorder="0" applyAlignment="0" applyProtection="0"/>
    <xf numFmtId="184" fontId="95" fillId="4" borderId="0" applyNumberFormat="0" applyBorder="0" applyAlignment="0" applyProtection="0"/>
    <xf numFmtId="184" fontId="89" fillId="52" borderId="0" applyNumberFormat="0" applyBorder="0" applyAlignment="0" applyProtection="0"/>
    <xf numFmtId="182" fontId="89" fillId="52"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0"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0"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7" fontId="95" fillId="15" borderId="0" applyNumberFormat="0" applyBorder="0" applyAlignment="0" applyProtection="0"/>
    <xf numFmtId="0" fontId="38" fillId="5" borderId="0" applyNumberFormat="0" applyBorder="0" applyAlignment="0" applyProtection="0"/>
    <xf numFmtId="184" fontId="38" fillId="5" borderId="0" applyNumberFormat="0" applyBorder="0" applyAlignment="0" applyProtection="0"/>
    <xf numFmtId="184" fontId="95" fillId="15" borderId="0" applyNumberFormat="0" applyBorder="0" applyAlignment="0" applyProtection="0"/>
    <xf numFmtId="0" fontId="38" fillId="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38" fillId="5"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5" fontId="89" fillId="56" borderId="0" applyNumberFormat="0" applyBorder="0" applyAlignment="0" applyProtection="0"/>
    <xf numFmtId="183"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184" fontId="89" fillId="56" borderId="0" applyNumberFormat="0" applyBorder="0" applyAlignment="0" applyProtection="0"/>
    <xf numFmtId="0"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5" fontId="38" fillId="5" borderId="0" applyNumberFormat="0" applyBorder="0" applyAlignment="0" applyProtection="0"/>
    <xf numFmtId="183"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4" fontId="38" fillId="5" borderId="0" applyNumberFormat="0" applyBorder="0" applyAlignment="0" applyProtection="0"/>
    <xf numFmtId="185" fontId="95" fillId="15" borderId="0" applyNumberFormat="0" applyBorder="0" applyAlignment="0" applyProtection="0"/>
    <xf numFmtId="183" fontId="95" fillId="15" borderId="0" applyNumberFormat="0" applyBorder="0" applyAlignment="0" applyProtection="0"/>
    <xf numFmtId="184" fontId="95" fillId="15" borderId="0" applyNumberFormat="0" applyBorder="0" applyAlignment="0" applyProtection="0"/>
    <xf numFmtId="184" fontId="95" fillId="15" borderId="0" applyNumberFormat="0" applyBorder="0" applyAlignment="0" applyProtection="0"/>
    <xf numFmtId="184" fontId="89" fillId="56" borderId="0" applyNumberFormat="0" applyBorder="0" applyAlignment="0" applyProtection="0"/>
    <xf numFmtId="182" fontId="89" fillId="56"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0"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0"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7" fontId="95" fillId="75"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95" fillId="75" borderId="0" applyNumberFormat="0" applyBorder="0" applyAlignment="0" applyProtection="0"/>
    <xf numFmtId="0" fontId="38" fillId="77"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38" fillId="77"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5" fontId="89" fillId="60" borderId="0" applyNumberFormat="0" applyBorder="0" applyAlignment="0" applyProtection="0"/>
    <xf numFmtId="183"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184" fontId="89" fillId="60"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95" fillId="75" borderId="0" applyNumberFormat="0" applyBorder="0" applyAlignment="0" applyProtection="0"/>
    <xf numFmtId="183" fontId="95" fillId="75" borderId="0" applyNumberFormat="0" applyBorder="0" applyAlignment="0" applyProtection="0"/>
    <xf numFmtId="184" fontId="95" fillId="75" borderId="0" applyNumberFormat="0" applyBorder="0" applyAlignment="0" applyProtection="0"/>
    <xf numFmtId="184" fontId="95" fillId="75" borderId="0" applyNumberFormat="0" applyBorder="0" applyAlignment="0" applyProtection="0"/>
    <xf numFmtId="184" fontId="89" fillId="60" borderId="0" applyNumberFormat="0" applyBorder="0" applyAlignment="0" applyProtection="0"/>
    <xf numFmtId="182" fontId="89" fillId="60"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0"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0"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7" fontId="95" fillId="3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95" fillId="31" borderId="0" applyNumberFormat="0" applyBorder="0" applyAlignment="0" applyProtection="0"/>
    <xf numFmtId="0" fontId="38" fillId="78"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38" fillId="78"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5" fontId="89" fillId="64" borderId="0" applyNumberFormat="0" applyBorder="0" applyAlignment="0" applyProtection="0"/>
    <xf numFmtId="183"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184" fontId="89" fillId="64"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95" fillId="31" borderId="0" applyNumberFormat="0" applyBorder="0" applyAlignment="0" applyProtection="0"/>
    <xf numFmtId="183" fontId="95" fillId="31" borderId="0" applyNumberFormat="0" applyBorder="0" applyAlignment="0" applyProtection="0"/>
    <xf numFmtId="184" fontId="95" fillId="31" borderId="0" applyNumberFormat="0" applyBorder="0" applyAlignment="0" applyProtection="0"/>
    <xf numFmtId="184" fontId="95" fillId="31" borderId="0" applyNumberFormat="0" applyBorder="0" applyAlignment="0" applyProtection="0"/>
    <xf numFmtId="184" fontId="89" fillId="64" borderId="0" applyNumberFormat="0" applyBorder="0" applyAlignment="0" applyProtection="0"/>
    <xf numFmtId="182" fontId="89" fillId="64" borderId="0" applyNumberFormat="0" applyBorder="0" applyAlignment="0" applyProtection="0"/>
    <xf numFmtId="0" fontId="38" fillId="7" borderId="0" applyNumberFormat="0" applyBorder="0" applyAlignment="0" applyProtection="0"/>
    <xf numFmtId="184" fontId="38" fillId="7" borderId="0" applyNumberFormat="0" applyBorder="0" applyAlignment="0" applyProtection="0"/>
    <xf numFmtId="0"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0"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5" fontId="38" fillId="7"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4" fontId="38" fillId="7" borderId="0" applyNumberFormat="0" applyBorder="0" applyAlignment="0" applyProtection="0"/>
    <xf numFmtId="187" fontId="95" fillId="74" borderId="0" applyNumberFormat="0" applyBorder="0" applyAlignment="0" applyProtection="0"/>
    <xf numFmtId="0" fontId="38" fillId="7" borderId="0" applyNumberFormat="0" applyBorder="0" applyAlignment="0" applyProtection="0"/>
    <xf numFmtId="184" fontId="38" fillId="7" borderId="0" applyNumberFormat="0" applyBorder="0" applyAlignment="0" applyProtection="0"/>
    <xf numFmtId="184" fontId="95" fillId="74" borderId="0" applyNumberFormat="0" applyBorder="0" applyAlignment="0" applyProtection="0"/>
    <xf numFmtId="0" fontId="38" fillId="7"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38" fillId="7"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5" fontId="89" fillId="68" borderId="0" applyNumberFormat="0" applyBorder="0" applyAlignment="0" applyProtection="0"/>
    <xf numFmtId="183"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184" fontId="89" fillId="68" borderId="0" applyNumberFormat="0" applyBorder="0" applyAlignment="0" applyProtection="0"/>
    <xf numFmtId="0" fontId="38" fillId="7"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5" fontId="38" fillId="7" borderId="0" applyNumberFormat="0" applyBorder="0" applyAlignment="0" applyProtection="0"/>
    <xf numFmtId="183" fontId="38" fillId="7" borderId="0" applyNumberFormat="0" applyBorder="0" applyAlignment="0" applyProtection="0"/>
    <xf numFmtId="184" fontId="38" fillId="7" borderId="0" applyNumberFormat="0" applyBorder="0" applyAlignment="0" applyProtection="0"/>
    <xf numFmtId="184" fontId="38" fillId="7" borderId="0" applyNumberFormat="0" applyBorder="0" applyAlignment="0" applyProtection="0"/>
    <xf numFmtId="184" fontId="38" fillId="7" borderId="0" applyNumberFormat="0" applyBorder="0" applyAlignment="0" applyProtection="0"/>
    <xf numFmtId="185" fontId="95" fillId="74" borderId="0" applyNumberFormat="0" applyBorder="0" applyAlignment="0" applyProtection="0"/>
    <xf numFmtId="183" fontId="95" fillId="74" borderId="0" applyNumberFormat="0" applyBorder="0" applyAlignment="0" applyProtection="0"/>
    <xf numFmtId="184" fontId="95" fillId="74" borderId="0" applyNumberFormat="0" applyBorder="0" applyAlignment="0" applyProtection="0"/>
    <xf numFmtId="184" fontId="95" fillId="74" borderId="0" applyNumberFormat="0" applyBorder="0" applyAlignment="0" applyProtection="0"/>
    <xf numFmtId="184" fontId="89" fillId="68" borderId="0" applyNumberFormat="0" applyBorder="0" applyAlignment="0" applyProtection="0"/>
    <xf numFmtId="182" fontId="89" fillId="68" borderId="0" applyNumberFormat="0" applyBorder="0" applyAlignment="0" applyProtection="0"/>
    <xf numFmtId="184" fontId="37" fillId="8" borderId="0" applyNumberFormat="0" applyBorder="0" applyAlignment="0" applyProtection="0"/>
    <xf numFmtId="182" fontId="37" fillId="79" borderId="0" applyNumberFormat="0" applyBorder="0" applyAlignment="0" applyProtection="0"/>
    <xf numFmtId="0"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79" borderId="0" applyNumberFormat="0" applyBorder="0" applyAlignment="0" applyProtection="0"/>
    <xf numFmtId="183" fontId="37" fillId="79" borderId="0" applyNumberFormat="0" applyBorder="0" applyAlignment="0" applyProtection="0"/>
    <xf numFmtId="183" fontId="37" fillId="79" borderId="0" applyNumberFormat="0" applyBorder="0" applyAlignment="0" applyProtection="0"/>
    <xf numFmtId="184" fontId="37" fillId="79" borderId="0" applyNumberFormat="0" applyBorder="0" applyAlignment="0" applyProtection="0"/>
    <xf numFmtId="184" fontId="37" fillId="79" borderId="0" applyNumberFormat="0" applyBorder="0" applyAlignment="0" applyProtection="0"/>
    <xf numFmtId="0" fontId="37" fillId="79" borderId="0" applyNumberFormat="0" applyBorder="0" applyAlignment="0" applyProtection="0"/>
    <xf numFmtId="184" fontId="37" fillId="79" borderId="0" applyNumberFormat="0" applyBorder="0" applyAlignment="0" applyProtection="0"/>
    <xf numFmtId="184" fontId="37" fillId="79"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4" fontId="37" fillId="9" borderId="0" applyNumberFormat="0" applyBorder="0" applyAlignment="0" applyProtection="0"/>
    <xf numFmtId="182" fontId="37" fillId="18" borderId="0" applyNumberFormat="0" applyBorder="0" applyAlignment="0" applyProtection="0"/>
    <xf numFmtId="0"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2" fontId="38" fillId="80" borderId="0" applyNumberFormat="0" applyBorder="0" applyAlignment="0" applyProtection="0"/>
    <xf numFmtId="0"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185"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10" borderId="0" applyNumberFormat="0" applyBorder="0" applyAlignment="0" applyProtection="0"/>
    <xf numFmtId="185"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183" fontId="38" fillId="10" borderId="0" applyNumberFormat="0" applyBorder="0" applyAlignment="0" applyProtection="0"/>
    <xf numFmtId="184"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187"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0" fontId="38" fillId="10" borderId="0" applyNumberFormat="0" applyBorder="0" applyAlignment="0" applyProtection="0"/>
    <xf numFmtId="184" fontId="38" fillId="10" borderId="0" applyNumberFormat="0" applyBorder="0" applyAlignment="0" applyProtection="0"/>
    <xf numFmtId="184" fontId="38" fillId="10"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4" fontId="38" fillId="81" borderId="0" applyNumberFormat="0" applyBorder="0" applyAlignment="0" applyProtection="0"/>
    <xf numFmtId="184"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182" fontId="89" fillId="45"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0"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2" fontId="38" fillId="81"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7" fontId="38" fillId="81"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7" fontId="38" fillId="81" borderId="0" applyNumberFormat="0" applyBorder="0" applyAlignment="0" applyProtection="0"/>
    <xf numFmtId="0" fontId="38" fillId="82" borderId="0" applyNumberFormat="0" applyBorder="0" applyAlignment="0" applyProtection="0"/>
    <xf numFmtId="184" fontId="38" fillId="82"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0"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5" fontId="89" fillId="45" borderId="0" applyNumberFormat="0" applyBorder="0" applyAlignment="0" applyProtection="0"/>
    <xf numFmtId="183"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184" fontId="89" fillId="45"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7"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2"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0"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5"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185" fontId="38" fillId="81" borderId="0" applyNumberFormat="0" applyBorder="0" applyAlignment="0" applyProtection="0"/>
    <xf numFmtId="183" fontId="38" fillId="81" borderId="0" applyNumberFormat="0" applyBorder="0" applyAlignment="0" applyProtection="0"/>
    <xf numFmtId="184" fontId="38" fillId="81" borderId="0" applyNumberFormat="0" applyBorder="0" applyAlignment="0" applyProtection="0"/>
    <xf numFmtId="184" fontId="38" fillId="81"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0" fontId="38" fillId="82" borderId="0" applyNumberFormat="0" applyBorder="0" applyAlignment="0" applyProtection="0"/>
    <xf numFmtId="183" fontId="38" fillId="82" borderId="0" applyNumberFormat="0" applyBorder="0" applyAlignment="0" applyProtection="0"/>
    <xf numFmtId="184" fontId="38" fillId="82" borderId="0" applyNumberFormat="0" applyBorder="0" applyAlignment="0" applyProtection="0"/>
    <xf numFmtId="184" fontId="38" fillId="82" borderId="0" applyNumberFormat="0" applyBorder="0" applyAlignment="0" applyProtection="0"/>
    <xf numFmtId="184" fontId="37" fillId="12" borderId="0" applyNumberFormat="0" applyBorder="0" applyAlignment="0" applyProtection="0"/>
    <xf numFmtId="182" fontId="37" fillId="83" borderId="0" applyNumberFormat="0" applyBorder="0" applyAlignment="0" applyProtection="0"/>
    <xf numFmtId="0"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0" fontId="37" fillId="83" borderId="0" applyNumberFormat="0" applyBorder="0" applyAlignment="0" applyProtection="0"/>
    <xf numFmtId="183" fontId="37" fillId="83" borderId="0" applyNumberFormat="0" applyBorder="0" applyAlignment="0" applyProtection="0"/>
    <xf numFmtId="183"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7"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5"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183" fontId="37" fillId="12" borderId="0" applyNumberFormat="0" applyBorder="0" applyAlignment="0" applyProtection="0"/>
    <xf numFmtId="183"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7"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0" fontId="37" fillId="12" borderId="0" applyNumberFormat="0" applyBorder="0" applyAlignment="0" applyProtection="0"/>
    <xf numFmtId="184" fontId="37" fillId="12" borderId="0" applyNumberFormat="0" applyBorder="0" applyAlignment="0" applyProtection="0"/>
    <xf numFmtId="184" fontId="37" fillId="13" borderId="0" applyNumberFormat="0" applyBorder="0" applyAlignment="0" applyProtection="0"/>
    <xf numFmtId="182" fontId="37" fillId="17" borderId="0" applyNumberFormat="0" applyBorder="0" applyAlignment="0" applyProtection="0"/>
    <xf numFmtId="0"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2" fontId="38" fillId="1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3" borderId="0" applyNumberFormat="0" applyBorder="0" applyAlignment="0" applyProtection="0"/>
    <xf numFmtId="183" fontId="38" fillId="13" borderId="0" applyNumberFormat="0" applyBorder="0" applyAlignment="0" applyProtection="0"/>
    <xf numFmtId="184" fontId="38" fillId="13" borderId="0" applyNumberFormat="0" applyBorder="0" applyAlignment="0" applyProtection="0"/>
    <xf numFmtId="184" fontId="38" fillId="13"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7"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4" fontId="38" fillId="84" borderId="0" applyNumberFormat="0" applyBorder="0" applyAlignment="0" applyProtection="0"/>
    <xf numFmtId="184"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182" fontId="89" fillId="49"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2" fontId="38" fillId="84"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7" fontId="38" fillId="84"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7" fontId="38" fillId="84" borderId="0" applyNumberFormat="0" applyBorder="0" applyAlignment="0" applyProtection="0"/>
    <xf numFmtId="0" fontId="38" fillId="11" borderId="0" applyNumberFormat="0" applyBorder="0" applyAlignment="0" applyProtection="0"/>
    <xf numFmtId="184" fontId="38" fillId="11"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0"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5" fontId="89" fillId="49" borderId="0" applyNumberFormat="0" applyBorder="0" applyAlignment="0" applyProtection="0"/>
    <xf numFmtId="183"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184" fontId="89" fillId="49"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7"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2"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0"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5"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185" fontId="38" fillId="84" borderId="0" applyNumberFormat="0" applyBorder="0" applyAlignment="0" applyProtection="0"/>
    <xf numFmtId="183" fontId="38" fillId="84" borderId="0" applyNumberFormat="0" applyBorder="0" applyAlignment="0" applyProtection="0"/>
    <xf numFmtId="184" fontId="38" fillId="84" borderId="0" applyNumberFormat="0" applyBorder="0" applyAlignment="0" applyProtection="0"/>
    <xf numFmtId="184" fontId="38" fillId="84"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0" fontId="38" fillId="11" borderId="0" applyNumberFormat="0" applyBorder="0" applyAlignment="0" applyProtection="0"/>
    <xf numFmtId="183" fontId="38" fillId="11" borderId="0" applyNumberFormat="0" applyBorder="0" applyAlignment="0" applyProtection="0"/>
    <xf numFmtId="184" fontId="38" fillId="11" borderId="0" applyNumberFormat="0" applyBorder="0" applyAlignment="0" applyProtection="0"/>
    <xf numFmtId="184" fontId="38" fillId="11" borderId="0" applyNumberFormat="0" applyBorder="0" applyAlignment="0" applyProtection="0"/>
    <xf numFmtId="184" fontId="37" fillId="16" borderId="0" applyNumberFormat="0" applyBorder="0" applyAlignment="0" applyProtection="0"/>
    <xf numFmtId="182" fontId="37" fillId="85" borderId="0" applyNumberFormat="0" applyBorder="0" applyAlignment="0" applyProtection="0"/>
    <xf numFmtId="0"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85" borderId="0" applyNumberFormat="0" applyBorder="0" applyAlignment="0" applyProtection="0"/>
    <xf numFmtId="183" fontId="37" fillId="85" borderId="0" applyNumberFormat="0" applyBorder="0" applyAlignment="0" applyProtection="0"/>
    <xf numFmtId="183" fontId="37" fillId="85" borderId="0" applyNumberFormat="0" applyBorder="0" applyAlignment="0" applyProtection="0"/>
    <xf numFmtId="184" fontId="37" fillId="85" borderId="0" applyNumberFormat="0" applyBorder="0" applyAlignment="0" applyProtection="0"/>
    <xf numFmtId="184" fontId="37" fillId="85" borderId="0" applyNumberFormat="0" applyBorder="0" applyAlignment="0" applyProtection="0"/>
    <xf numFmtId="0" fontId="37" fillId="85" borderId="0" applyNumberFormat="0" applyBorder="0" applyAlignment="0" applyProtection="0"/>
    <xf numFmtId="184" fontId="37" fillId="85" borderId="0" applyNumberFormat="0" applyBorder="0" applyAlignment="0" applyProtection="0"/>
    <xf numFmtId="184" fontId="37" fillId="85"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7"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5"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7"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4" fontId="37" fillId="17" borderId="0" applyNumberFormat="0" applyBorder="0" applyAlignment="0" applyProtection="0"/>
    <xf numFmtId="182" fontId="37" fillId="86" borderId="0" applyNumberFormat="0" applyBorder="0" applyAlignment="0" applyProtection="0"/>
    <xf numFmtId="0"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86" borderId="0" applyNumberFormat="0" applyBorder="0" applyAlignment="0" applyProtection="0"/>
    <xf numFmtId="183" fontId="37" fillId="86" borderId="0" applyNumberFormat="0" applyBorder="0" applyAlignment="0" applyProtection="0"/>
    <xf numFmtId="183"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0"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2" fontId="38" fillId="87" borderId="0" applyNumberFormat="0" applyBorder="0" applyAlignment="0" applyProtection="0"/>
    <xf numFmtId="0"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87" borderId="0" applyNumberFormat="0" applyBorder="0" applyAlignment="0" applyProtection="0"/>
    <xf numFmtId="183" fontId="38" fillId="87" borderId="0" applyNumberFormat="0" applyBorder="0" applyAlignment="0" applyProtection="0"/>
    <xf numFmtId="184" fontId="38" fillId="87" borderId="0" applyNumberFormat="0" applyBorder="0" applyAlignment="0" applyProtection="0"/>
    <xf numFmtId="184" fontId="38" fillId="87"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7"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89" fillId="53" borderId="0" applyNumberFormat="0" applyBorder="0" applyAlignment="0" applyProtection="0"/>
    <xf numFmtId="184" fontId="89" fillId="53"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0" fontId="38" fillId="88" borderId="0" applyNumberFormat="0" applyBorder="0" applyAlignment="0" applyProtection="0"/>
    <xf numFmtId="184" fontId="38" fillId="88" borderId="0" applyNumberFormat="0" applyBorder="0" applyAlignment="0" applyProtection="0"/>
    <xf numFmtId="184"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182" fontId="89" fillId="53"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2" fontId="38" fillId="88"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7" fontId="38" fillId="14"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7" fontId="38" fillId="14"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0"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5" fontId="89" fillId="53" borderId="0" applyNumberFormat="0" applyBorder="0" applyAlignment="0" applyProtection="0"/>
    <xf numFmtId="183"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184" fontId="89" fillId="53"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7" fontId="38" fillId="14" borderId="0" applyNumberFormat="0" applyBorder="0" applyAlignment="0" applyProtection="0"/>
    <xf numFmtId="0"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2" fontId="38" fillId="88"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5"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0"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0" fontId="38" fillId="88" borderId="0" applyNumberFormat="0" applyBorder="0" applyAlignment="0" applyProtection="0"/>
    <xf numFmtId="183" fontId="38" fillId="88" borderId="0" applyNumberFormat="0" applyBorder="0" applyAlignment="0" applyProtection="0"/>
    <xf numFmtId="184" fontId="38" fillId="88" borderId="0" applyNumberFormat="0" applyBorder="0" applyAlignment="0" applyProtection="0"/>
    <xf numFmtId="184" fontId="38" fillId="88"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5"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185" fontId="38" fillId="14" borderId="0" applyNumberFormat="0" applyBorder="0" applyAlignment="0" applyProtection="0"/>
    <xf numFmtId="183" fontId="38" fillId="14" borderId="0" applyNumberFormat="0" applyBorder="0" applyAlignment="0" applyProtection="0"/>
    <xf numFmtId="184" fontId="38" fillId="14" borderId="0" applyNumberFormat="0" applyBorder="0" applyAlignment="0" applyProtection="0"/>
    <xf numFmtId="184" fontId="38" fillId="14"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183" fontId="38" fillId="15" borderId="0" applyNumberFormat="0" applyBorder="0" applyAlignment="0" applyProtection="0"/>
    <xf numFmtId="184" fontId="38" fillId="15" borderId="0" applyNumberFormat="0" applyBorder="0" applyAlignment="0" applyProtection="0"/>
    <xf numFmtId="184" fontId="38" fillId="15" borderId="0" applyNumberFormat="0" applyBorder="0" applyAlignment="0" applyProtection="0"/>
    <xf numFmtId="184" fontId="37" fillId="17" borderId="0" applyNumberFormat="0" applyBorder="0" applyAlignment="0" applyProtection="0"/>
    <xf numFmtId="182" fontId="37" fillId="83" borderId="0" applyNumberFormat="0" applyBorder="0" applyAlignment="0" applyProtection="0"/>
    <xf numFmtId="0"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83" borderId="0" applyNumberFormat="0" applyBorder="0" applyAlignment="0" applyProtection="0"/>
    <xf numFmtId="183" fontId="37" fillId="83" borderId="0" applyNumberFormat="0" applyBorder="0" applyAlignment="0" applyProtection="0"/>
    <xf numFmtId="183"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83" borderId="0" applyNumberFormat="0" applyBorder="0" applyAlignment="0" applyProtection="0"/>
    <xf numFmtId="184" fontId="37" fillId="83" borderId="0" applyNumberFormat="0" applyBorder="0" applyAlignment="0" applyProtection="0"/>
    <xf numFmtId="184" fontId="37" fillId="83"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5"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183" fontId="37" fillId="17" borderId="0" applyNumberFormat="0" applyBorder="0" applyAlignment="0" applyProtection="0"/>
    <xf numFmtId="183"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7"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0" fontId="37" fillId="17" borderId="0" applyNumberFormat="0" applyBorder="0" applyAlignment="0" applyProtection="0"/>
    <xf numFmtId="184" fontId="37" fillId="17" borderId="0" applyNumberFormat="0" applyBorder="0" applyAlignment="0" applyProtection="0"/>
    <xf numFmtId="184" fontId="37" fillId="18" borderId="0" applyNumberFormat="0" applyBorder="0" applyAlignment="0" applyProtection="0"/>
    <xf numFmtId="182" fontId="37" fillId="14" borderId="0" applyNumberFormat="0" applyBorder="0" applyAlignment="0" applyProtection="0"/>
    <xf numFmtId="0"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4" borderId="0" applyNumberFormat="0" applyBorder="0" applyAlignment="0" applyProtection="0"/>
    <xf numFmtId="183" fontId="37" fillId="14" borderId="0" applyNumberFormat="0" applyBorder="0" applyAlignment="0" applyProtection="0"/>
    <xf numFmtId="183" fontId="37" fillId="14" borderId="0" applyNumberFormat="0" applyBorder="0" applyAlignment="0" applyProtection="0"/>
    <xf numFmtId="184" fontId="37" fillId="14" borderId="0" applyNumberFormat="0" applyBorder="0" applyAlignment="0" applyProtection="0"/>
    <xf numFmtId="184" fontId="37" fillId="14" borderId="0" applyNumberFormat="0" applyBorder="0" applyAlignment="0" applyProtection="0"/>
    <xf numFmtId="0" fontId="37" fillId="14" borderId="0" applyNumberFormat="0" applyBorder="0" applyAlignment="0" applyProtection="0"/>
    <xf numFmtId="184" fontId="37" fillId="14" borderId="0" applyNumberFormat="0" applyBorder="0" applyAlignment="0" applyProtection="0"/>
    <xf numFmtId="184" fontId="37" fillId="14"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7"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5"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183" fontId="37" fillId="18" borderId="0" applyNumberFormat="0" applyBorder="0" applyAlignment="0" applyProtection="0"/>
    <xf numFmtId="183"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7"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0" fontId="37" fillId="18" borderId="0" applyNumberFormat="0" applyBorder="0" applyAlignment="0" applyProtection="0"/>
    <xf numFmtId="184" fontId="37" fillId="18" borderId="0" applyNumberFormat="0" applyBorder="0" applyAlignment="0" applyProtection="0"/>
    <xf numFmtId="182" fontId="38" fillId="17" borderId="0" applyNumberFormat="0" applyBorder="0" applyAlignment="0" applyProtection="0"/>
    <xf numFmtId="0"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7" borderId="0" applyNumberFormat="0" applyBorder="0" applyAlignment="0" applyProtection="0"/>
    <xf numFmtId="183" fontId="38" fillId="17" borderId="0" applyNumberFormat="0" applyBorder="0" applyAlignment="0" applyProtection="0"/>
    <xf numFmtId="184" fontId="38" fillId="17" borderId="0" applyNumberFormat="0" applyBorder="0" applyAlignment="0" applyProtection="0"/>
    <xf numFmtId="184" fontId="38" fillId="17" borderId="0" applyNumberFormat="0" applyBorder="0" applyAlignment="0" applyProtection="0"/>
    <xf numFmtId="184" fontId="38" fillId="18" borderId="0" applyNumberFormat="0" applyBorder="0" applyAlignment="0" applyProtection="0"/>
    <xf numFmtId="185"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3"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7"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184" fontId="38" fillId="18" borderId="0" applyNumberFormat="0" applyBorder="0" applyAlignment="0" applyProtection="0"/>
    <xf numFmtId="184" fontId="38" fillId="18"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89" fillId="57" borderId="0" applyNumberFormat="0" applyBorder="0" applyAlignment="0" applyProtection="0"/>
    <xf numFmtId="184" fontId="89" fillId="57"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0" fontId="38" fillId="90" borderId="0" applyNumberFormat="0" applyBorder="0" applyAlignment="0" applyProtection="0"/>
    <xf numFmtId="184" fontId="38" fillId="90" borderId="0" applyNumberFormat="0" applyBorder="0" applyAlignment="0" applyProtection="0"/>
    <xf numFmtId="184"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182" fontId="89" fillId="57"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0"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2" fontId="38" fillId="90"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7" fontId="38" fillId="89"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7" fontId="38" fillId="89"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0"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5" fontId="89" fillId="57" borderId="0" applyNumberFormat="0" applyBorder="0" applyAlignment="0" applyProtection="0"/>
    <xf numFmtId="183"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184" fontId="89" fillId="57"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7" fontId="38" fillId="89" borderId="0" applyNumberFormat="0" applyBorder="0" applyAlignment="0" applyProtection="0"/>
    <xf numFmtId="0"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2" fontId="38" fillId="90"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5"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0"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0" fontId="38" fillId="90" borderId="0" applyNumberFormat="0" applyBorder="0" applyAlignment="0" applyProtection="0"/>
    <xf numFmtId="183" fontId="38" fillId="90" borderId="0" applyNumberFormat="0" applyBorder="0" applyAlignment="0" applyProtection="0"/>
    <xf numFmtId="184" fontId="38" fillId="90" borderId="0" applyNumberFormat="0" applyBorder="0" applyAlignment="0" applyProtection="0"/>
    <xf numFmtId="184" fontId="38" fillId="90"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5"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185" fontId="38" fillId="89" borderId="0" applyNumberFormat="0" applyBorder="0" applyAlignment="0" applyProtection="0"/>
    <xf numFmtId="183" fontId="38" fillId="89" borderId="0" applyNumberFormat="0" applyBorder="0" applyAlignment="0" applyProtection="0"/>
    <xf numFmtId="184" fontId="38" fillId="89" borderId="0" applyNumberFormat="0" applyBorder="0" applyAlignment="0" applyProtection="0"/>
    <xf numFmtId="184" fontId="38" fillId="89"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0" fontId="38" fillId="77" borderId="0" applyNumberFormat="0" applyBorder="0" applyAlignment="0" applyProtection="0"/>
    <xf numFmtId="183" fontId="38" fillId="77" borderId="0" applyNumberFormat="0" applyBorder="0" applyAlignment="0" applyProtection="0"/>
    <xf numFmtId="184" fontId="38" fillId="77" borderId="0" applyNumberFormat="0" applyBorder="0" applyAlignment="0" applyProtection="0"/>
    <xf numFmtId="184" fontId="38" fillId="77" borderId="0" applyNumberFormat="0" applyBorder="0" applyAlignment="0" applyProtection="0"/>
    <xf numFmtId="184" fontId="37" fillId="8" borderId="0" applyNumberFormat="0" applyBorder="0" applyAlignment="0" applyProtection="0"/>
    <xf numFmtId="182" fontId="37" fillId="16" borderId="0" applyNumberFormat="0" applyBorder="0" applyAlignment="0" applyProtection="0"/>
    <xf numFmtId="0"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16" borderId="0" applyNumberFormat="0" applyBorder="0" applyAlignment="0" applyProtection="0"/>
    <xf numFmtId="183" fontId="37" fillId="16" borderId="0" applyNumberFormat="0" applyBorder="0" applyAlignment="0" applyProtection="0"/>
    <xf numFmtId="183"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16" borderId="0" applyNumberFormat="0" applyBorder="0" applyAlignment="0" applyProtection="0"/>
    <xf numFmtId="184" fontId="37" fillId="16" borderId="0" applyNumberFormat="0" applyBorder="0" applyAlignment="0" applyProtection="0"/>
    <xf numFmtId="184" fontId="37" fillId="16"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5"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183" fontId="37" fillId="8" borderId="0" applyNumberFormat="0" applyBorder="0" applyAlignment="0" applyProtection="0"/>
    <xf numFmtId="183"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187"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0" fontId="37" fillId="8" borderId="0" applyNumberFormat="0" applyBorder="0" applyAlignment="0" applyProtection="0"/>
    <xf numFmtId="184" fontId="37" fillId="8" borderId="0" applyNumberFormat="0" applyBorder="0" applyAlignment="0" applyProtection="0"/>
    <xf numFmtId="0"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5"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3" fontId="37" fillId="9" borderId="0" applyNumberFormat="0" applyBorder="0" applyAlignment="0" applyProtection="0"/>
    <xf numFmtId="183"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0" fontId="37" fillId="9" borderId="0" applyNumberFormat="0" applyBorder="0" applyAlignment="0" applyProtection="0"/>
    <xf numFmtId="184" fontId="37" fillId="9" borderId="0" applyNumberFormat="0" applyBorder="0" applyAlignment="0" applyProtection="0"/>
    <xf numFmtId="187" fontId="37" fillId="9" borderId="0" applyNumberFormat="0" applyBorder="0" applyAlignment="0" applyProtection="0"/>
    <xf numFmtId="184" fontId="37" fillId="9" borderId="0" applyNumberFormat="0" applyBorder="0" applyAlignment="0" applyProtection="0"/>
    <xf numFmtId="184" fontId="37" fillId="9" borderId="0" applyNumberFormat="0" applyBorder="0" applyAlignment="0" applyProtection="0"/>
    <xf numFmtId="182" fontId="37" fillId="9" borderId="0" applyNumberFormat="0" applyBorder="0" applyAlignment="0" applyProtection="0"/>
    <xf numFmtId="182" fontId="38" fillId="80" borderId="0" applyNumberFormat="0" applyBorder="0" applyAlignment="0" applyProtection="0"/>
    <xf numFmtId="0"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9" borderId="0" applyNumberFormat="0" applyBorder="0" applyAlignment="0" applyProtection="0"/>
    <xf numFmtId="185"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3"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7"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0" fontId="38" fillId="9" borderId="0" applyNumberFormat="0" applyBorder="0" applyAlignment="0" applyProtection="0"/>
    <xf numFmtId="184" fontId="38" fillId="9" borderId="0" applyNumberFormat="0" applyBorder="0" applyAlignment="0" applyProtection="0"/>
    <xf numFmtId="184" fontId="38" fillId="9"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89" fillId="61" borderId="0" applyNumberFormat="0" applyBorder="0" applyAlignment="0" applyProtection="0"/>
    <xf numFmtId="184" fontId="89" fillId="61"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0" fontId="38" fillId="80" borderId="0" applyNumberFormat="0" applyBorder="0" applyAlignment="0" applyProtection="0"/>
    <xf numFmtId="184" fontId="38" fillId="80" borderId="0" applyNumberFormat="0" applyBorder="0" applyAlignment="0" applyProtection="0"/>
    <xf numFmtId="184"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182" fontId="89" fillId="61"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2" fontId="38" fillId="80"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7" fontId="38" fillId="91" borderId="0" applyNumberFormat="0" applyBorder="0" applyAlignment="0" applyProtection="0"/>
    <xf numFmtId="184" fontId="38" fillId="91" borderId="0" applyNumberFormat="0" applyBorder="0" applyAlignment="0" applyProtection="0"/>
    <xf numFmtId="184" fontId="89" fillId="6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7" fontId="38" fillId="9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7" fontId="38" fillId="9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0"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5" fontId="89" fillId="61" borderId="0" applyNumberFormat="0" applyBorder="0" applyAlignment="0" applyProtection="0"/>
    <xf numFmtId="183"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184" fontId="89" fillId="6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7" fontId="38" fillId="91" borderId="0" applyNumberFormat="0" applyBorder="0" applyAlignment="0" applyProtection="0"/>
    <xf numFmtId="0"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2" fontId="38" fillId="80"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5"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0"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0" fontId="38" fillId="80" borderId="0" applyNumberFormat="0" applyBorder="0" applyAlignment="0" applyProtection="0"/>
    <xf numFmtId="183" fontId="38" fillId="80" borderId="0" applyNumberFormat="0" applyBorder="0" applyAlignment="0" applyProtection="0"/>
    <xf numFmtId="184" fontId="38" fillId="80" borderId="0" applyNumberFormat="0" applyBorder="0" applyAlignment="0" applyProtection="0"/>
    <xf numFmtId="184" fontId="38" fillId="80"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5"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185" fontId="38" fillId="91" borderId="0" applyNumberFormat="0" applyBorder="0" applyAlignment="0" applyProtection="0"/>
    <xf numFmtId="183" fontId="38" fillId="91" borderId="0" applyNumberFormat="0" applyBorder="0" applyAlignment="0" applyProtection="0"/>
    <xf numFmtId="184" fontId="38" fillId="91" borderId="0" applyNumberFormat="0" applyBorder="0" applyAlignment="0" applyProtection="0"/>
    <xf numFmtId="184" fontId="38" fillId="91"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8" fillId="78" borderId="0" applyNumberFormat="0" applyBorder="0" applyAlignment="0" applyProtection="0"/>
    <xf numFmtId="183" fontId="38" fillId="78" borderId="0" applyNumberFormat="0" applyBorder="0" applyAlignment="0" applyProtection="0"/>
    <xf numFmtId="184" fontId="38" fillId="78" borderId="0" applyNumberFormat="0" applyBorder="0" applyAlignment="0" applyProtection="0"/>
    <xf numFmtId="184" fontId="38" fillId="78" borderId="0" applyNumberFormat="0" applyBorder="0" applyAlignment="0" applyProtection="0"/>
    <xf numFmtId="0"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0" fontId="37" fillId="20" borderId="0" applyNumberFormat="0" applyBorder="0" applyAlignment="0" applyProtection="0"/>
    <xf numFmtId="184" fontId="37" fillId="20" borderId="0" applyNumberFormat="0" applyBorder="0" applyAlignment="0" applyProtection="0"/>
    <xf numFmtId="187"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5"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3" fontId="37" fillId="20" borderId="0" applyNumberFormat="0" applyBorder="0" applyAlignment="0" applyProtection="0"/>
    <xf numFmtId="183"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0" fontId="37" fillId="20" borderId="0" applyNumberFormat="0" applyBorder="0" applyAlignment="0" applyProtection="0"/>
    <xf numFmtId="184" fontId="37" fillId="20" borderId="0" applyNumberFormat="0" applyBorder="0" applyAlignment="0" applyProtection="0"/>
    <xf numFmtId="187" fontId="37" fillId="20" borderId="0" applyNumberFormat="0" applyBorder="0" applyAlignment="0" applyProtection="0"/>
    <xf numFmtId="184" fontId="37" fillId="20" borderId="0" applyNumberFormat="0" applyBorder="0" applyAlignment="0" applyProtection="0"/>
    <xf numFmtId="184" fontId="37" fillId="20" borderId="0" applyNumberFormat="0" applyBorder="0" applyAlignment="0" applyProtection="0"/>
    <xf numFmtId="182" fontId="37" fillId="20" borderId="0" applyNumberFormat="0" applyBorder="0" applyAlignment="0" applyProtection="0"/>
    <xf numFmtId="184" fontId="37" fillId="13" borderId="0" applyNumberFormat="0" applyBorder="0" applyAlignment="0" applyProtection="0"/>
    <xf numFmtId="182" fontId="37" fillId="21" borderId="0" applyNumberFormat="0" applyBorder="0" applyAlignment="0" applyProtection="0"/>
    <xf numFmtId="0"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21" borderId="0" applyNumberFormat="0" applyBorder="0" applyAlignment="0" applyProtection="0"/>
    <xf numFmtId="183" fontId="37" fillId="21" borderId="0" applyNumberFormat="0" applyBorder="0" applyAlignment="0" applyProtection="0"/>
    <xf numFmtId="183" fontId="37" fillId="21" borderId="0" applyNumberFormat="0" applyBorder="0" applyAlignment="0" applyProtection="0"/>
    <xf numFmtId="184" fontId="37" fillId="21" borderId="0" applyNumberFormat="0" applyBorder="0" applyAlignment="0" applyProtection="0"/>
    <xf numFmtId="184" fontId="37" fillId="21" borderId="0" applyNumberFormat="0" applyBorder="0" applyAlignment="0" applyProtection="0"/>
    <xf numFmtId="0" fontId="37" fillId="21" borderId="0" applyNumberFormat="0" applyBorder="0" applyAlignment="0" applyProtection="0"/>
    <xf numFmtId="184" fontId="37" fillId="21" borderId="0" applyNumberFormat="0" applyBorder="0" applyAlignment="0" applyProtection="0"/>
    <xf numFmtId="184" fontId="37" fillId="21"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5"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183" fontId="37" fillId="13" borderId="0" applyNumberFormat="0" applyBorder="0" applyAlignment="0" applyProtection="0"/>
    <xf numFmtId="183"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7"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0" fontId="37" fillId="13" borderId="0" applyNumberFormat="0" applyBorder="0" applyAlignment="0" applyProtection="0"/>
    <xf numFmtId="184" fontId="37" fillId="13" borderId="0" applyNumberFormat="0" applyBorder="0" applyAlignment="0" applyProtection="0"/>
    <xf numFmtId="182" fontId="38" fillId="92" borderId="0" applyNumberFormat="0" applyBorder="0" applyAlignment="0" applyProtection="0"/>
    <xf numFmtId="0"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5"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0" fontId="38" fillId="92" borderId="0" applyNumberFormat="0" applyBorder="0" applyAlignment="0" applyProtection="0"/>
    <xf numFmtId="183" fontId="38" fillId="92" borderId="0" applyNumberFormat="0" applyBorder="0" applyAlignment="0" applyProtection="0"/>
    <xf numFmtId="184" fontId="38" fillId="92" borderId="0" applyNumberFormat="0" applyBorder="0" applyAlignment="0" applyProtection="0"/>
    <xf numFmtId="184" fontId="38" fillId="92" borderId="0" applyNumberFormat="0" applyBorder="0" applyAlignment="0" applyProtection="0"/>
    <xf numFmtId="184" fontId="38" fillId="21" borderId="0" applyNumberFormat="0" applyBorder="0" applyAlignment="0" applyProtection="0"/>
    <xf numFmtId="185"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183"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7"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0" fontId="38" fillId="21" borderId="0" applyNumberFormat="0" applyBorder="0" applyAlignment="0" applyProtection="0"/>
    <xf numFmtId="184" fontId="38" fillId="21" borderId="0" applyNumberFormat="0" applyBorder="0" applyAlignment="0" applyProtection="0"/>
    <xf numFmtId="184" fontId="38" fillId="21"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89" fillId="65" borderId="0" applyNumberFormat="0" applyBorder="0" applyAlignment="0" applyProtection="0"/>
    <xf numFmtId="184" fontId="89" fillId="65"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0" fontId="38" fillId="94" borderId="0" applyNumberFormat="0" applyBorder="0" applyAlignment="0" applyProtection="0"/>
    <xf numFmtId="184" fontId="38" fillId="94" borderId="0" applyNumberFormat="0" applyBorder="0" applyAlignment="0" applyProtection="0"/>
    <xf numFmtId="184"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182" fontId="89" fillId="65"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0"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2" fontId="38" fillId="94"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7" fontId="38" fillId="93"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7" fontId="38" fillId="93"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0"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5" fontId="89" fillId="65" borderId="0" applyNumberFormat="0" applyBorder="0" applyAlignment="0" applyProtection="0"/>
    <xf numFmtId="183"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184" fontId="89" fillId="65"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7" fontId="38" fillId="93" borderId="0" applyNumberFormat="0" applyBorder="0" applyAlignment="0" applyProtection="0"/>
    <xf numFmtId="0"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2" fontId="38" fillId="94"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5"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0"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0" fontId="38" fillId="94" borderId="0" applyNumberFormat="0" applyBorder="0" applyAlignment="0" applyProtection="0"/>
    <xf numFmtId="183" fontId="38" fillId="94" borderId="0" applyNumberFormat="0" applyBorder="0" applyAlignment="0" applyProtection="0"/>
    <xf numFmtId="184" fontId="38" fillId="94" borderId="0" applyNumberFormat="0" applyBorder="0" applyAlignment="0" applyProtection="0"/>
    <xf numFmtId="184" fontId="38" fillId="94"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5"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185" fontId="38" fillId="93" borderId="0" applyNumberFormat="0" applyBorder="0" applyAlignment="0" applyProtection="0"/>
    <xf numFmtId="183" fontId="38" fillId="93" borderId="0" applyNumberFormat="0" applyBorder="0" applyAlignment="0" applyProtection="0"/>
    <xf numFmtId="184" fontId="38" fillId="93" borderId="0" applyNumberFormat="0" applyBorder="0" applyAlignment="0" applyProtection="0"/>
    <xf numFmtId="184" fontId="38" fillId="93"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38" fillId="19" borderId="0" applyNumberFormat="0" applyBorder="0" applyAlignment="0" applyProtection="0"/>
    <xf numFmtId="183" fontId="38" fillId="19" borderId="0" applyNumberFormat="0" applyBorder="0" applyAlignment="0" applyProtection="0"/>
    <xf numFmtId="184" fontId="38" fillId="19" borderId="0" applyNumberFormat="0" applyBorder="0" applyAlignment="0" applyProtection="0"/>
    <xf numFmtId="184" fontId="38" fillId="19" borderId="0" applyNumberFormat="0" applyBorder="0" applyAlignment="0" applyProtection="0"/>
    <xf numFmtId="0" fontId="22" fillId="0" borderId="0" applyNumberFormat="0" applyAlignment="0"/>
    <xf numFmtId="0" fontId="22" fillId="0" borderId="0" applyNumberFormat="0" applyAlignment="0"/>
    <xf numFmtId="183" fontId="22" fillId="0" borderId="0" applyNumberFormat="0" applyAlignment="0"/>
    <xf numFmtId="184" fontId="22" fillId="0" borderId="0" applyNumberFormat="0" applyAlignment="0"/>
    <xf numFmtId="185" fontId="22" fillId="0" borderId="0" applyNumberFormat="0" applyAlignment="0"/>
    <xf numFmtId="183" fontId="22" fillId="0" borderId="0" applyNumberFormat="0" applyAlignment="0"/>
    <xf numFmtId="184" fontId="22" fillId="0" borderId="0" applyNumberFormat="0" applyAlignment="0"/>
    <xf numFmtId="184" fontId="22" fillId="0" borderId="0" applyNumberFormat="0" applyAlignment="0"/>
    <xf numFmtId="184" fontId="22" fillId="0" borderId="0" applyNumberFormat="0" applyAlignment="0"/>
    <xf numFmtId="185" fontId="22" fillId="0" borderId="0" applyNumberFormat="0" applyAlignment="0"/>
    <xf numFmtId="183" fontId="22" fillId="0" borderId="0" applyNumberFormat="0" applyAlignment="0"/>
    <xf numFmtId="184" fontId="22" fillId="0" borderId="0" applyNumberFormat="0" applyAlignment="0"/>
    <xf numFmtId="184" fontId="22" fillId="0" borderId="0" applyNumberFormat="0" applyAlignment="0"/>
    <xf numFmtId="183" fontId="22" fillId="0" borderId="0" applyNumberFormat="0" applyAlignment="0"/>
    <xf numFmtId="184" fontId="22" fillId="0" borderId="0" applyNumberFormat="0" applyAlignment="0"/>
    <xf numFmtId="187" fontId="22" fillId="0" borderId="0" applyNumberFormat="0" applyAlignment="0"/>
    <xf numFmtId="184" fontId="22" fillId="0" borderId="0" applyNumberFormat="0" applyAlignment="0"/>
    <xf numFmtId="184" fontId="22" fillId="0" borderId="0" applyNumberFormat="0" applyAlignment="0"/>
    <xf numFmtId="188" fontId="21" fillId="95" borderId="30">
      <alignment horizontal="center" vertical="center"/>
    </xf>
    <xf numFmtId="189" fontId="90" fillId="95" borderId="30">
      <alignment horizontal="center" vertical="center"/>
    </xf>
    <xf numFmtId="188" fontId="21" fillId="95" borderId="30">
      <alignment horizontal="center" vertical="center"/>
    </xf>
    <xf numFmtId="0" fontId="30" fillId="0" borderId="0">
      <alignment horizontal="center" wrapText="1"/>
      <protection locked="0"/>
    </xf>
    <xf numFmtId="0"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5"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5"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5"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183" fontId="30" fillId="0" borderId="0">
      <alignment horizontal="center" wrapText="1"/>
      <protection locked="0"/>
    </xf>
    <xf numFmtId="184" fontId="30" fillId="0" borderId="0">
      <alignment horizontal="center" wrapText="1"/>
      <protection locked="0"/>
    </xf>
    <xf numFmtId="187" fontId="30" fillId="0" borderId="0">
      <alignment horizontal="center" wrapText="1"/>
      <protection locked="0"/>
    </xf>
    <xf numFmtId="184" fontId="30" fillId="0" borderId="0">
      <alignment horizontal="center" wrapText="1"/>
      <protection locked="0"/>
    </xf>
    <xf numFmtId="184" fontId="30" fillId="0" borderId="0">
      <alignment horizontal="center" wrapText="1"/>
      <protection locked="0"/>
    </xf>
    <xf numFmtId="0" fontId="96" fillId="2" borderId="0" applyNumberFormat="0" applyBorder="0" applyAlignment="0" applyProtection="0"/>
    <xf numFmtId="0"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2" fontId="97" fillId="20" borderId="0" applyNumberFormat="0" applyBorder="0" applyAlignment="0" applyProtection="0"/>
    <xf numFmtId="0"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7" fontId="98" fillId="13" borderId="0" applyNumberFormat="0" applyBorder="0" applyAlignment="0" applyProtection="0"/>
    <xf numFmtId="184" fontId="98" fillId="13" borderId="0" applyNumberFormat="0" applyBorder="0" applyAlignment="0" applyProtection="0"/>
    <xf numFmtId="184" fontId="80" fillId="39" borderId="0" applyNumberFormat="0" applyBorder="0" applyAlignment="0" applyProtection="0"/>
    <xf numFmtId="0"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97" fillId="20"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3" fontId="97" fillId="20" borderId="0" applyNumberFormat="0" applyBorder="0" applyAlignment="0" applyProtection="0"/>
    <xf numFmtId="184" fontId="97" fillId="20" borderId="0" applyNumberFormat="0" applyBorder="0" applyAlignment="0" applyProtection="0"/>
    <xf numFmtId="184" fontId="97" fillId="20"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7" fontId="98" fillId="13" borderId="0" applyNumberFormat="0" applyBorder="0" applyAlignment="0" applyProtection="0"/>
    <xf numFmtId="0" fontId="96" fillId="2" borderId="0" applyNumberFormat="0" applyBorder="0" applyAlignment="0" applyProtection="0"/>
    <xf numFmtId="184" fontId="96" fillId="2" borderId="0" applyNumberFormat="0" applyBorder="0" applyAlignment="0" applyProtection="0"/>
    <xf numFmtId="184" fontId="98" fillId="13" borderId="0" applyNumberFormat="0" applyBorder="0" applyAlignment="0" applyProtection="0"/>
    <xf numFmtId="0" fontId="96" fillId="2"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0" fontId="96" fillId="2"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5" fontId="80" fillId="39" borderId="0" applyNumberFormat="0" applyBorder="0" applyAlignment="0" applyProtection="0"/>
    <xf numFmtId="183"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0" fontId="96" fillId="2" borderId="0" applyNumberFormat="0" applyBorder="0" applyAlignment="0" applyProtection="0"/>
    <xf numFmtId="0" fontId="98" fillId="13" borderId="0" applyNumberFormat="0" applyBorder="0" applyAlignment="0" applyProtection="0"/>
    <xf numFmtId="0"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5" fontId="96" fillId="2" borderId="0" applyNumberFormat="0" applyBorder="0" applyAlignment="0" applyProtection="0"/>
    <xf numFmtId="183"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4" fontId="96" fillId="2" borderId="0" applyNumberFormat="0" applyBorder="0" applyAlignment="0" applyProtection="0"/>
    <xf numFmtId="185" fontId="98" fillId="13" borderId="0" applyNumberFormat="0" applyBorder="0" applyAlignment="0" applyProtection="0"/>
    <xf numFmtId="183" fontId="98" fillId="13" borderId="0" applyNumberFormat="0" applyBorder="0" applyAlignment="0" applyProtection="0"/>
    <xf numFmtId="184" fontId="98" fillId="13" borderId="0" applyNumberFormat="0" applyBorder="0" applyAlignment="0" applyProtection="0"/>
    <xf numFmtId="184" fontId="98" fillId="13" borderId="0" applyNumberFormat="0" applyBorder="0" applyAlignment="0" applyProtection="0"/>
    <xf numFmtId="0" fontId="80" fillId="39" borderId="0" applyNumberFormat="0" applyBorder="0" applyAlignment="0" applyProtection="0"/>
    <xf numFmtId="184" fontId="80" fillId="39" borderId="0" applyNumberFormat="0" applyBorder="0" applyAlignment="0" applyProtection="0"/>
    <xf numFmtId="184" fontId="80" fillId="39" borderId="0" applyNumberFormat="0" applyBorder="0" applyAlignment="0" applyProtection="0"/>
    <xf numFmtId="182" fontId="80" fillId="39"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5"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5"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83" fontId="99" fillId="0" borderId="0" applyNumberFormat="0" applyFill="0" applyBorder="0" applyAlignment="0" applyProtection="0"/>
    <xf numFmtId="184" fontId="99" fillId="0" borderId="0" applyNumberFormat="0" applyFill="0" applyBorder="0" applyAlignment="0" applyProtection="0"/>
    <xf numFmtId="187" fontId="99" fillId="0" borderId="0" applyNumberFormat="0" applyFill="0" applyBorder="0" applyAlignment="0" applyProtection="0"/>
    <xf numFmtId="184" fontId="99" fillId="0" borderId="0" applyNumberFormat="0" applyFill="0" applyBorder="0" applyAlignment="0" applyProtection="0"/>
    <xf numFmtId="184" fontId="99" fillId="0" borderId="0" applyNumberFormat="0" applyFill="0" applyBorder="0" applyAlignment="0" applyProtection="0"/>
    <xf numFmtId="171" fontId="100" fillId="0" borderId="3" applyFont="0"/>
    <xf numFmtId="1" fontId="100" fillId="0" borderId="3"/>
    <xf numFmtId="9" fontId="101" fillId="0" borderId="29" applyNumberFormat="0" applyBorder="0">
      <alignment horizontal="right"/>
    </xf>
    <xf numFmtId="165" fontId="20" fillId="0" borderId="0" applyFill="0" applyBorder="0" applyAlignment="0"/>
    <xf numFmtId="165" fontId="20" fillId="0" borderId="0" applyFill="0" applyBorder="0" applyAlignment="0"/>
    <xf numFmtId="165" fontId="20" fillId="0" borderId="0" applyFill="0" applyBorder="0" applyAlignment="0"/>
    <xf numFmtId="165" fontId="20" fillId="0" borderId="0" applyFill="0" applyBorder="0" applyAlignment="0"/>
    <xf numFmtId="182" fontId="84" fillId="42" borderId="23" applyNumberFormat="0" applyAlignment="0" applyProtection="0"/>
    <xf numFmtId="0" fontId="102" fillId="75" borderId="31" applyNumberFormat="0" applyAlignment="0" applyProtection="0"/>
    <xf numFmtId="0"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0" fontId="103" fillId="96" borderId="32" applyNumberFormat="0" applyAlignment="0" applyProtection="0"/>
    <xf numFmtId="184" fontId="103" fillId="96" borderId="32" applyNumberFormat="0" applyAlignment="0" applyProtection="0"/>
    <xf numFmtId="184" fontId="102" fillId="75" borderId="31" applyNumberFormat="0" applyAlignment="0" applyProtection="0"/>
    <xf numFmtId="182" fontId="103" fillId="96" borderId="32" applyNumberFormat="0" applyAlignment="0" applyProtection="0"/>
    <xf numFmtId="0"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3" fillId="96" borderId="32"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3"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0" fontId="103" fillId="96" borderId="32" applyNumberFormat="0" applyAlignment="0" applyProtection="0"/>
    <xf numFmtId="184" fontId="103" fillId="96" borderId="32" applyNumberFormat="0" applyAlignment="0" applyProtection="0"/>
    <xf numFmtId="184" fontId="103" fillId="96" borderId="32"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7" fontId="104" fillId="97" borderId="31" applyNumberFormat="0" applyAlignment="0" applyProtection="0"/>
    <xf numFmtId="0"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7"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102" fillId="75"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2" fillId="75" borderId="31" applyNumberFormat="0" applyAlignment="0" applyProtection="0"/>
    <xf numFmtId="183" fontId="84" fillId="42" borderId="23" applyNumberFormat="0" applyAlignment="0" applyProtection="0"/>
    <xf numFmtId="184" fontId="84" fillId="42" borderId="23" applyNumberFormat="0" applyAlignment="0" applyProtection="0"/>
    <xf numFmtId="185" fontId="84" fillId="42" borderId="23" applyNumberFormat="0" applyAlignment="0" applyProtection="0"/>
    <xf numFmtId="183"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184" fontId="84" fillId="42" borderId="23" applyNumberFormat="0" applyAlignment="0" applyProtection="0"/>
    <xf numFmtId="0"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3" fontId="102" fillId="75" borderId="31" applyNumberFormat="0" applyAlignment="0" applyProtection="0"/>
    <xf numFmtId="183"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0" fontId="102" fillId="75" borderId="31" applyNumberFormat="0" applyAlignment="0" applyProtection="0"/>
    <xf numFmtId="184" fontId="102" fillId="75" borderId="31" applyNumberFormat="0" applyAlignment="0" applyProtection="0"/>
    <xf numFmtId="184" fontId="102" fillId="75" borderId="31" applyNumberFormat="0" applyAlignment="0" applyProtection="0"/>
    <xf numFmtId="185" fontId="104" fillId="97" borderId="31" applyNumberFormat="0" applyAlignment="0" applyProtection="0"/>
    <xf numFmtId="183" fontId="104" fillId="97" borderId="31" applyNumberFormat="0" applyAlignment="0" applyProtection="0"/>
    <xf numFmtId="183"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185" fontId="104" fillId="97" borderId="31" applyNumberFormat="0" applyAlignment="0" applyProtection="0"/>
    <xf numFmtId="184" fontId="104" fillId="97" borderId="31" applyNumberFormat="0" applyAlignment="0" applyProtection="0"/>
    <xf numFmtId="184" fontId="104" fillId="97" borderId="31" applyNumberFormat="0" applyAlignment="0" applyProtection="0"/>
    <xf numFmtId="0" fontId="84" fillId="42" borderId="23" applyNumberFormat="0" applyAlignment="0" applyProtection="0"/>
    <xf numFmtId="184" fontId="84" fillId="42" borderId="23" applyNumberFormat="0" applyAlignment="0" applyProtection="0"/>
    <xf numFmtId="0" fontId="103" fillId="96" borderId="32" applyNumberFormat="0" applyAlignment="0" applyProtection="0"/>
    <xf numFmtId="184" fontId="103" fillId="96" borderId="32" applyNumberFormat="0" applyAlignment="0" applyProtection="0"/>
    <xf numFmtId="184" fontId="84" fillId="42" borderId="23" applyNumberFormat="0" applyAlignment="0" applyProtection="0"/>
    <xf numFmtId="0" fontId="105" fillId="0" borderId="0" applyNumberFormat="0" applyFont="0" applyFill="0" applyBorder="0" applyProtection="0">
      <alignment horizontal="centerContinuous"/>
    </xf>
    <xf numFmtId="183"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5" fontId="105" fillId="0" borderId="0" applyNumberFormat="0" applyFont="0" applyFill="0" applyBorder="0" applyProtection="0">
      <alignment horizontal="centerContinuous"/>
    </xf>
    <xf numFmtId="183"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84" fontId="105" fillId="0" borderId="0" applyNumberFormat="0" applyFont="0" applyFill="0" applyBorder="0" applyProtection="0">
      <alignment horizontal="centerContinuous"/>
    </xf>
    <xf numFmtId="190" fontId="105" fillId="0" borderId="0" applyNumberFormat="0" applyFont="0" applyFill="0" applyBorder="0" applyProtection="0">
      <alignment horizontal="centerContinuous" wrapText="1"/>
    </xf>
    <xf numFmtId="191" fontId="20" fillId="0" borderId="0"/>
    <xf numFmtId="0" fontId="106" fillId="98" borderId="33" applyNumberFormat="0" applyAlignment="0" applyProtection="0"/>
    <xf numFmtId="0"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2" fontId="106" fillId="90" borderId="33" applyNumberFormat="0" applyAlignment="0" applyProtection="0"/>
    <xf numFmtId="0"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106" fillId="90" borderId="33" applyNumberFormat="0" applyAlignment="0" applyProtection="0"/>
    <xf numFmtId="183" fontId="106" fillId="14" borderId="33" applyNumberFormat="0" applyAlignment="0" applyProtection="0"/>
    <xf numFmtId="184" fontId="106" fillId="14" borderId="33" applyNumberFormat="0" applyAlignment="0" applyProtection="0"/>
    <xf numFmtId="183" fontId="106" fillId="90" borderId="33" applyNumberFormat="0" applyAlignment="0" applyProtection="0"/>
    <xf numFmtId="184" fontId="106" fillId="90" borderId="33" applyNumberFormat="0" applyAlignment="0" applyProtection="0"/>
    <xf numFmtId="184" fontId="106" fillId="90" borderId="33" applyNumberFormat="0" applyAlignment="0" applyProtection="0"/>
    <xf numFmtId="183" fontId="106" fillId="98" borderId="33" applyNumberFormat="0" applyAlignment="0" applyProtection="0"/>
    <xf numFmtId="184" fontId="106" fillId="98" borderId="33" applyNumberFormat="0" applyAlignment="0" applyProtection="0"/>
    <xf numFmtId="185"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7" fontId="106" fillId="14" borderId="33" applyNumberFormat="0" applyAlignment="0" applyProtection="0"/>
    <xf numFmtId="0" fontId="106" fillId="98" borderId="33" applyNumberFormat="0" applyAlignment="0" applyProtection="0"/>
    <xf numFmtId="184" fontId="106" fillId="98" borderId="33" applyNumberFormat="0" applyAlignment="0" applyProtection="0"/>
    <xf numFmtId="184" fontId="106" fillId="14" borderId="33" applyNumberFormat="0" applyAlignment="0" applyProtection="0"/>
    <xf numFmtId="0" fontId="106" fillId="98" borderId="33" applyNumberFormat="0" applyAlignment="0" applyProtection="0"/>
    <xf numFmtId="183" fontId="106" fillId="14" borderId="33" applyNumberFormat="0" applyAlignment="0" applyProtection="0"/>
    <xf numFmtId="184" fontId="106" fillId="14" borderId="33"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98" borderId="33" applyNumberFormat="0" applyAlignment="0" applyProtection="0"/>
    <xf numFmtId="183" fontId="86" fillId="43" borderId="26" applyNumberFormat="0" applyAlignment="0" applyProtection="0"/>
    <xf numFmtId="184" fontId="86" fillId="43" borderId="26" applyNumberFormat="0" applyAlignment="0" applyProtection="0"/>
    <xf numFmtId="185" fontId="86" fillId="43" borderId="26" applyNumberFormat="0" applyAlignment="0" applyProtection="0"/>
    <xf numFmtId="183"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0"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5" fontId="106" fillId="98" borderId="33" applyNumberFormat="0" applyAlignment="0" applyProtection="0"/>
    <xf numFmtId="183"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4" fontId="106" fillId="98" borderId="33" applyNumberFormat="0" applyAlignment="0" applyProtection="0"/>
    <xf numFmtId="185" fontId="106" fillId="14" borderId="33" applyNumberFormat="0" applyAlignment="0" applyProtection="0"/>
    <xf numFmtId="183" fontId="106" fillId="14" borderId="33" applyNumberFormat="0" applyAlignment="0" applyProtection="0"/>
    <xf numFmtId="184" fontId="106" fillId="14" borderId="33" applyNumberFormat="0" applyAlignment="0" applyProtection="0"/>
    <xf numFmtId="184" fontId="106" fillId="14" borderId="33" applyNumberFormat="0" applyAlignment="0" applyProtection="0"/>
    <xf numFmtId="0" fontId="86" fillId="43" borderId="26" applyNumberFormat="0" applyAlignment="0" applyProtection="0"/>
    <xf numFmtId="184" fontId="86" fillId="43" borderId="26" applyNumberFormat="0" applyAlignment="0" applyProtection="0"/>
    <xf numFmtId="184" fontId="86" fillId="43" borderId="26" applyNumberFormat="0" applyAlignment="0" applyProtection="0"/>
    <xf numFmtId="182" fontId="86" fillId="43" borderId="26" applyNumberFormat="0" applyAlignment="0" applyProtection="0"/>
    <xf numFmtId="41" fontId="20" fillId="0" borderId="0" applyFont="0" applyFill="0" applyBorder="0" applyAlignment="0" applyProtection="0"/>
    <xf numFmtId="41"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07" fillId="0" borderId="0" applyNumberFormat="0" applyAlignment="0">
      <alignment horizontal="left"/>
    </xf>
    <xf numFmtId="0"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5"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83" fontId="107" fillId="0" borderId="0" applyNumberFormat="0" applyAlignment="0">
      <alignment horizontal="left"/>
    </xf>
    <xf numFmtId="184" fontId="107" fillId="0" borderId="0" applyNumberFormat="0" applyAlignment="0">
      <alignment horizontal="left"/>
    </xf>
    <xf numFmtId="187" fontId="107" fillId="0" borderId="0" applyNumberFormat="0" applyAlignment="0">
      <alignment horizontal="left"/>
    </xf>
    <xf numFmtId="184" fontId="107" fillId="0" borderId="0" applyNumberFormat="0" applyAlignment="0">
      <alignment horizontal="left"/>
    </xf>
    <xf numFmtId="184" fontId="107" fillId="0" borderId="0" applyNumberFormat="0" applyAlignment="0">
      <alignment horizontal="left"/>
    </xf>
    <xf numFmtId="192" fontId="100" fillId="0" borderId="3"/>
    <xf numFmtId="44" fontId="37"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4" fontId="108" fillId="0" borderId="0" applyFont="0" applyFill="0" applyBorder="0" applyAlignment="0" applyProtection="0"/>
    <xf numFmtId="6" fontId="109" fillId="0" borderId="0">
      <protection locked="0"/>
    </xf>
    <xf numFmtId="14" fontId="20" fillId="0" borderId="0" applyFont="0" applyFill="0" applyBorder="0" applyAlignment="0" applyProtection="0"/>
    <xf numFmtId="14" fontId="20" fillId="0" borderId="0" applyFont="0" applyFill="0" applyBorder="0" applyAlignment="0" applyProtection="0"/>
    <xf numFmtId="6" fontId="110" fillId="0" borderId="0">
      <protection locked="0"/>
    </xf>
    <xf numFmtId="4" fontId="111" fillId="0" borderId="0" applyFont="0" applyFill="0" applyBorder="0" applyAlignment="0" applyProtection="0"/>
    <xf numFmtId="182" fontId="39" fillId="99" borderId="0" applyNumberFormat="0" applyBorder="0" applyAlignment="0" applyProtection="0"/>
    <xf numFmtId="0"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185"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0" fontId="39" fillId="99" borderId="0" applyNumberFormat="0" applyBorder="0" applyAlignment="0" applyProtection="0"/>
    <xf numFmtId="183" fontId="39" fillId="99" borderId="0" applyNumberFormat="0" applyBorder="0" applyAlignment="0" applyProtection="0"/>
    <xf numFmtId="184" fontId="39" fillId="99" borderId="0" applyNumberFormat="0" applyBorder="0" applyAlignment="0" applyProtection="0"/>
    <xf numFmtId="184" fontId="39" fillId="99" borderId="0" applyNumberFormat="0" applyBorder="0" applyAlignment="0" applyProtection="0"/>
    <xf numFmtId="184" fontId="39" fillId="22" borderId="0" applyNumberFormat="0" applyBorder="0" applyAlignment="0" applyProtection="0"/>
    <xf numFmtId="185"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183" fontId="39" fillId="22" borderId="0" applyNumberFormat="0" applyBorder="0" applyAlignment="0" applyProtection="0"/>
    <xf numFmtId="184"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187"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0" fontId="39" fillId="22" borderId="0" applyNumberFormat="0" applyBorder="0" applyAlignment="0" applyProtection="0"/>
    <xf numFmtId="184" fontId="39" fillId="22" borderId="0" applyNumberFormat="0" applyBorder="0" applyAlignment="0" applyProtection="0"/>
    <xf numFmtId="184" fontId="39" fillId="22" borderId="0" applyNumberFormat="0" applyBorder="0" applyAlignment="0" applyProtection="0"/>
    <xf numFmtId="182" fontId="39" fillId="100" borderId="0" applyNumberFormat="0" applyBorder="0" applyAlignment="0" applyProtection="0"/>
    <xf numFmtId="0"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185"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0" fontId="39" fillId="100" borderId="0" applyNumberFormat="0" applyBorder="0" applyAlignment="0" applyProtection="0"/>
    <xf numFmtId="183" fontId="39" fillId="100" borderId="0" applyNumberFormat="0" applyBorder="0" applyAlignment="0" applyProtection="0"/>
    <xf numFmtId="184" fontId="39" fillId="100" borderId="0" applyNumberFormat="0" applyBorder="0" applyAlignment="0" applyProtection="0"/>
    <xf numFmtId="184" fontId="39" fillId="100" borderId="0" applyNumberFormat="0" applyBorder="0" applyAlignment="0" applyProtection="0"/>
    <xf numFmtId="184" fontId="39" fillId="23" borderId="0" applyNumberFormat="0" applyBorder="0" applyAlignment="0" applyProtection="0"/>
    <xf numFmtId="185"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183" fontId="39" fillId="23" borderId="0" applyNumberFormat="0" applyBorder="0" applyAlignment="0" applyProtection="0"/>
    <xf numFmtId="184"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187"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0" fontId="39" fillId="23" borderId="0" applyNumberFormat="0" applyBorder="0" applyAlignment="0" applyProtection="0"/>
    <xf numFmtId="184" fontId="39" fillId="23" borderId="0" applyNumberFormat="0" applyBorder="0" applyAlignment="0" applyProtection="0"/>
    <xf numFmtId="184" fontId="39" fillId="23" borderId="0" applyNumberFormat="0" applyBorder="0" applyAlignment="0" applyProtection="0"/>
    <xf numFmtId="0"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5"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5"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3" fontId="39" fillId="24" borderId="0" applyNumberFormat="0" applyBorder="0" applyAlignment="0" applyProtection="0"/>
    <xf numFmtId="184" fontId="39" fillId="24" borderId="0" applyNumberFormat="0" applyBorder="0" applyAlignment="0" applyProtection="0"/>
    <xf numFmtId="187" fontId="39" fillId="24" borderId="0" applyNumberFormat="0" applyBorder="0" applyAlignment="0" applyProtection="0"/>
    <xf numFmtId="184" fontId="39" fillId="24" borderId="0" applyNumberFormat="0" applyBorder="0" applyAlignment="0" applyProtection="0"/>
    <xf numFmtId="184" fontId="39" fillId="24" borderId="0" applyNumberFormat="0" applyBorder="0" applyAlignment="0" applyProtection="0"/>
    <xf numFmtId="182" fontId="39" fillId="24" borderId="0" applyNumberFormat="0" applyBorder="0" applyAlignment="0" applyProtection="0"/>
    <xf numFmtId="0" fontId="112" fillId="0" borderId="0" applyNumberFormat="0" applyAlignment="0">
      <alignment horizontal="left"/>
    </xf>
    <xf numFmtId="0"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3" fontId="112" fillId="0" borderId="0" applyNumberFormat="0" applyAlignment="0">
      <alignment horizontal="left"/>
    </xf>
    <xf numFmtId="184" fontId="112" fillId="0" borderId="0" applyNumberFormat="0" applyAlignment="0">
      <alignment horizontal="left"/>
    </xf>
    <xf numFmtId="187" fontId="112" fillId="0" borderId="0" applyNumberFormat="0" applyAlignment="0">
      <alignment horizontal="left"/>
    </xf>
    <xf numFmtId="184" fontId="112" fillId="0" borderId="0" applyNumberFormat="0" applyAlignment="0">
      <alignment horizontal="left"/>
    </xf>
    <xf numFmtId="184" fontId="112" fillId="0" borderId="0" applyNumberFormat="0" applyAlignment="0">
      <alignment horizontal="left"/>
    </xf>
    <xf numFmtId="185"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7"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0"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0"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5"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7" fontId="114" fillId="0" borderId="0" applyNumberFormat="0" applyFill="0" applyBorder="0" applyAlignment="0" applyProtection="0"/>
    <xf numFmtId="0" fontId="113" fillId="0" borderId="0" applyNumberFormat="0" applyFill="0" applyBorder="0" applyAlignment="0" applyProtection="0"/>
    <xf numFmtId="184" fontId="113" fillId="0" borderId="0" applyNumberFormat="0" applyFill="0" applyBorder="0" applyAlignment="0" applyProtection="0"/>
    <xf numFmtId="184" fontId="114" fillId="0" borderId="0" applyNumberFormat="0" applyFill="0" applyBorder="0" applyAlignment="0" applyProtection="0"/>
    <xf numFmtId="0" fontId="113"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3"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5" fontId="88" fillId="0" borderId="0" applyNumberFormat="0" applyFill="0" applyBorder="0" applyAlignment="0" applyProtection="0"/>
    <xf numFmtId="183"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184" fontId="88" fillId="0" borderId="0" applyNumberFormat="0" applyFill="0" applyBorder="0" applyAlignment="0" applyProtection="0"/>
    <xf numFmtId="0"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5" fontId="113" fillId="0" borderId="0" applyNumberFormat="0" applyFill="0" applyBorder="0" applyAlignment="0" applyProtection="0"/>
    <xf numFmtId="183"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5" fontId="114" fillId="0" borderId="0" applyNumberFormat="0" applyFill="0" applyBorder="0" applyAlignment="0" applyProtection="0"/>
    <xf numFmtId="183" fontId="114" fillId="0" borderId="0" applyNumberFormat="0" applyFill="0" applyBorder="0" applyAlignment="0" applyProtection="0"/>
    <xf numFmtId="184" fontId="114" fillId="0" borderId="0" applyNumberFormat="0" applyFill="0" applyBorder="0" applyAlignment="0" applyProtection="0"/>
    <xf numFmtId="184" fontId="114" fillId="0" borderId="0" applyNumberFormat="0" applyFill="0" applyBorder="0" applyAlignment="0" applyProtection="0"/>
    <xf numFmtId="184" fontId="88" fillId="0" borderId="0" applyNumberFormat="0" applyFill="0" applyBorder="0" applyAlignment="0" applyProtection="0"/>
    <xf numFmtId="182" fontId="88" fillId="0" borderId="0" applyNumberFormat="0" applyFill="0" applyBorder="0" applyAlignment="0" applyProtection="0"/>
    <xf numFmtId="195" fontId="20" fillId="0" borderId="0">
      <protection locked="0"/>
    </xf>
    <xf numFmtId="195" fontId="20" fillId="0" borderId="0">
      <protection locked="0"/>
    </xf>
    <xf numFmtId="195" fontId="20" fillId="0" borderId="0">
      <protection locked="0"/>
    </xf>
    <xf numFmtId="195" fontId="20" fillId="0" borderId="0">
      <protection locked="0"/>
    </xf>
    <xf numFmtId="0" fontId="111" fillId="0" borderId="0" applyFont="0" applyFill="0" applyBorder="0" applyAlignment="0" applyProtection="0"/>
    <xf numFmtId="0"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84" fontId="20" fillId="0" borderId="0" applyFont="0" applyFill="0" applyBorder="0" applyAlignment="0" applyProtection="0"/>
    <xf numFmtId="196" fontId="33" fillId="0" borderId="0"/>
    <xf numFmtId="0" fontId="115" fillId="71" borderId="0" applyNumberFormat="0" applyBorder="0" applyAlignment="0" applyProtection="0"/>
    <xf numFmtId="0"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2" fontId="37" fillId="86" borderId="0" applyNumberFormat="0" applyBorder="0" applyAlignment="0" applyProtection="0"/>
    <xf numFmtId="0"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7" fontId="115" fillId="101" borderId="0" applyNumberFormat="0" applyBorder="0" applyAlignment="0" applyProtection="0"/>
    <xf numFmtId="184" fontId="115" fillId="101" borderId="0" applyNumberFormat="0" applyBorder="0" applyAlignment="0" applyProtection="0"/>
    <xf numFmtId="184" fontId="79" fillId="38" borderId="0" applyNumberFormat="0" applyBorder="0" applyAlignment="0" applyProtection="0"/>
    <xf numFmtId="0"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37" fillId="86"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3" fontId="37" fillId="86" borderId="0" applyNumberFormat="0" applyBorder="0" applyAlignment="0" applyProtection="0"/>
    <xf numFmtId="183"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0" fontId="37" fillId="86" borderId="0" applyNumberFormat="0" applyBorder="0" applyAlignment="0" applyProtection="0"/>
    <xf numFmtId="184" fontId="37" fillId="86" borderId="0" applyNumberFormat="0" applyBorder="0" applyAlignment="0" applyProtection="0"/>
    <xf numFmtId="184" fontId="37" fillId="86"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5"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7" fontId="115" fillId="101" borderId="0" applyNumberFormat="0" applyBorder="0" applyAlignment="0" applyProtection="0"/>
    <xf numFmtId="0" fontId="115" fillId="71" borderId="0" applyNumberFormat="0" applyBorder="0" applyAlignment="0" applyProtection="0"/>
    <xf numFmtId="184" fontId="115" fillId="71" borderId="0" applyNumberFormat="0" applyBorder="0" applyAlignment="0" applyProtection="0"/>
    <xf numFmtId="184" fontId="115" fillId="101" borderId="0" applyNumberFormat="0" applyBorder="0" applyAlignment="0" applyProtection="0"/>
    <xf numFmtId="0" fontId="115" fillId="7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0" fontId="115" fillId="71"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5" fontId="79" fillId="38" borderId="0" applyNumberFormat="0" applyBorder="0" applyAlignment="0" applyProtection="0"/>
    <xf numFmtId="183"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0"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5" fontId="115" fillId="71" borderId="0" applyNumberFormat="0" applyBorder="0" applyAlignment="0" applyProtection="0"/>
    <xf numFmtId="183"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4" fontId="115" fillId="71" borderId="0" applyNumberFormat="0" applyBorder="0" applyAlignment="0" applyProtection="0"/>
    <xf numFmtId="185" fontId="115" fillId="101" borderId="0" applyNumberFormat="0" applyBorder="0" applyAlignment="0" applyProtection="0"/>
    <xf numFmtId="183" fontId="115" fillId="101" borderId="0" applyNumberFormat="0" applyBorder="0" applyAlignment="0" applyProtection="0"/>
    <xf numFmtId="184" fontId="115" fillId="101" borderId="0" applyNumberFormat="0" applyBorder="0" applyAlignment="0" applyProtection="0"/>
    <xf numFmtId="184" fontId="115" fillId="101" borderId="0" applyNumberFormat="0" applyBorder="0" applyAlignment="0" applyProtection="0"/>
    <xf numFmtId="0" fontId="79" fillId="38" borderId="0" applyNumberFormat="0" applyBorder="0" applyAlignment="0" applyProtection="0"/>
    <xf numFmtId="184" fontId="79" fillId="38" borderId="0" applyNumberFormat="0" applyBorder="0" applyAlignment="0" applyProtection="0"/>
    <xf numFmtId="184" fontId="79" fillId="38" borderId="0" applyNumberFormat="0" applyBorder="0" applyAlignment="0" applyProtection="0"/>
    <xf numFmtId="182" fontId="79" fillId="38" borderId="0" applyNumberFormat="0" applyBorder="0" applyAlignment="0" applyProtection="0"/>
    <xf numFmtId="38" fontId="22" fillId="69" borderId="0" applyNumberFormat="0" applyBorder="0" applyAlignment="0" applyProtection="0"/>
    <xf numFmtId="38" fontId="22" fillId="69" borderId="0" applyNumberFormat="0" applyBorder="0" applyAlignment="0" applyProtection="0"/>
    <xf numFmtId="0" fontId="116" fillId="0" borderId="0" applyNumberFormat="0" applyFill="0" applyBorder="0" applyAlignment="0" applyProtection="0"/>
    <xf numFmtId="185" fontId="116" fillId="0" borderId="0" applyNumberFormat="0" applyFill="0" applyBorder="0" applyAlignment="0" applyProtection="0"/>
    <xf numFmtId="0"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5"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183" fontId="116" fillId="0" borderId="0" applyNumberFormat="0" applyFill="0" applyBorder="0" applyAlignment="0" applyProtection="0"/>
    <xf numFmtId="184" fontId="116" fillId="0" borderId="0" applyNumberFormat="0" applyFill="0" applyBorder="0" applyAlignment="0" applyProtection="0"/>
    <xf numFmtId="187" fontId="116" fillId="0" borderId="0" applyNumberFormat="0" applyFill="0" applyBorder="0" applyAlignment="0" applyProtection="0"/>
    <xf numFmtId="184" fontId="116" fillId="0" borderId="0" applyNumberFormat="0" applyFill="0" applyBorder="0" applyAlignment="0" applyProtection="0"/>
    <xf numFmtId="184" fontId="116" fillId="0" borderId="0" applyNumberFormat="0" applyFill="0" applyBorder="0" applyAlignment="0" applyProtection="0"/>
    <xf numFmtId="0" fontId="70" fillId="0" borderId="18" applyNumberFormat="0" applyAlignment="0" applyProtection="0">
      <alignment horizontal="left" vertical="center"/>
    </xf>
    <xf numFmtId="0"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5"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5"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183" fontId="70" fillId="0" borderId="18" applyNumberFormat="0" applyAlignment="0" applyProtection="0">
      <alignment horizontal="left" vertical="center"/>
    </xf>
    <xf numFmtId="184" fontId="70" fillId="0" borderId="18" applyNumberFormat="0" applyAlignment="0" applyProtection="0">
      <alignment horizontal="left" vertical="center"/>
    </xf>
    <xf numFmtId="187" fontId="70" fillId="0" borderId="18" applyNumberFormat="0" applyAlignment="0" applyProtection="0">
      <alignment horizontal="left" vertical="center"/>
    </xf>
    <xf numFmtId="184" fontId="70" fillId="0" borderId="18" applyNumberFormat="0" applyAlignment="0" applyProtection="0">
      <alignment horizontal="left" vertical="center"/>
    </xf>
    <xf numFmtId="184" fontId="70" fillId="0" borderId="18" applyNumberFormat="0" applyAlignment="0" applyProtection="0">
      <alignment horizontal="left" vertical="center"/>
    </xf>
    <xf numFmtId="0" fontId="70" fillId="0" borderId="9">
      <alignment horizontal="left" vertical="center"/>
    </xf>
    <xf numFmtId="0"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5" fontId="70" fillId="0" borderId="9">
      <alignment horizontal="left" vertical="center"/>
    </xf>
    <xf numFmtId="185"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3" fontId="70" fillId="0" borderId="9">
      <alignment horizontal="left" vertical="center"/>
    </xf>
    <xf numFmtId="183"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187" fontId="70" fillId="0" borderId="9">
      <alignment horizontal="left" vertical="center"/>
    </xf>
    <xf numFmtId="187" fontId="70" fillId="0" borderId="9">
      <alignment horizontal="left" vertical="center"/>
    </xf>
    <xf numFmtId="187" fontId="70" fillId="0" borderId="9">
      <alignment horizontal="left" vertical="center"/>
    </xf>
    <xf numFmtId="187"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0" fontId="70" fillId="0" borderId="9">
      <alignment horizontal="left" vertical="center"/>
    </xf>
    <xf numFmtId="0" fontId="70" fillId="0" borderId="9">
      <alignment horizontal="left" vertical="center"/>
    </xf>
    <xf numFmtId="184" fontId="70" fillId="0" borderId="9">
      <alignment horizontal="left" vertical="center"/>
    </xf>
    <xf numFmtId="184" fontId="70" fillId="0" borderId="9">
      <alignment horizontal="left" vertical="center"/>
    </xf>
    <xf numFmtId="184" fontId="70" fillId="0" borderId="9">
      <alignment horizontal="left" vertical="center"/>
    </xf>
    <xf numFmtId="0" fontId="117" fillId="0" borderId="34" applyNumberFormat="0" applyFill="0" applyAlignment="0" applyProtection="0"/>
    <xf numFmtId="0"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2" fontId="118" fillId="0" borderId="35" applyNumberFormat="0" applyFill="0" applyAlignment="0" applyProtection="0"/>
    <xf numFmtId="0"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0"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5"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7" fontId="118" fillId="0" borderId="35" applyNumberFormat="0" applyFill="0" applyAlignment="0" applyProtection="0"/>
    <xf numFmtId="0" fontId="117" fillId="0" borderId="34" applyNumberFormat="0" applyFill="0" applyAlignment="0" applyProtection="0"/>
    <xf numFmtId="184" fontId="117" fillId="0" borderId="34" applyNumberFormat="0" applyFill="0" applyAlignment="0" applyProtection="0"/>
    <xf numFmtId="184" fontId="118" fillId="0" borderId="35" applyNumberFormat="0" applyFill="0" applyAlignment="0" applyProtection="0"/>
    <xf numFmtId="0" fontId="117" fillId="0" borderId="34"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7" fillId="0" borderId="34"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5" fontId="76" fillId="0" borderId="20" applyNumberFormat="0" applyFill="0" applyAlignment="0" applyProtection="0"/>
    <xf numFmtId="183"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0"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5" fontId="117" fillId="0" borderId="34" applyNumberFormat="0" applyFill="0" applyAlignment="0" applyProtection="0"/>
    <xf numFmtId="183"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4" fontId="117" fillId="0" borderId="34" applyNumberFormat="0" applyFill="0" applyAlignment="0" applyProtection="0"/>
    <xf numFmtId="185" fontId="118" fillId="0" borderId="35" applyNumberFormat="0" applyFill="0" applyAlignment="0" applyProtection="0"/>
    <xf numFmtId="183" fontId="118" fillId="0" borderId="35" applyNumberFormat="0" applyFill="0" applyAlignment="0" applyProtection="0"/>
    <xf numFmtId="184" fontId="118" fillId="0" borderId="35" applyNumberFormat="0" applyFill="0" applyAlignment="0" applyProtection="0"/>
    <xf numFmtId="184" fontId="118" fillId="0" borderId="35" applyNumberFormat="0" applyFill="0" applyAlignment="0" applyProtection="0"/>
    <xf numFmtId="0" fontId="76" fillId="0" borderId="20" applyNumberFormat="0" applyFill="0" applyAlignment="0" applyProtection="0"/>
    <xf numFmtId="184" fontId="76" fillId="0" borderId="20" applyNumberFormat="0" applyFill="0" applyAlignment="0" applyProtection="0"/>
    <xf numFmtId="184" fontId="76" fillId="0" borderId="20" applyNumberFormat="0" applyFill="0" applyAlignment="0" applyProtection="0"/>
    <xf numFmtId="182" fontId="76" fillId="0" borderId="20"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2" fontId="120" fillId="0" borderId="37" applyNumberFormat="0" applyFill="0" applyAlignment="0" applyProtection="0"/>
    <xf numFmtId="0"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120" fillId="0" borderId="37"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3" fontId="120" fillId="0" borderId="37" applyNumberFormat="0" applyFill="0" applyAlignment="0" applyProtection="0"/>
    <xf numFmtId="184" fontId="120" fillId="0" borderId="37" applyNumberFormat="0" applyFill="0" applyAlignment="0" applyProtection="0"/>
    <xf numFmtId="184" fontId="120" fillId="0" borderId="37"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5"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7" fontId="120" fillId="0" borderId="36" applyNumberFormat="0" applyFill="0" applyAlignment="0" applyProtection="0"/>
    <xf numFmtId="0" fontId="119" fillId="0" borderId="36" applyNumberFormat="0" applyFill="0" applyAlignment="0" applyProtection="0"/>
    <xf numFmtId="184" fontId="119" fillId="0" borderId="36" applyNumberFormat="0" applyFill="0" applyAlignment="0" applyProtection="0"/>
    <xf numFmtId="184" fontId="120" fillId="0" borderId="36" applyNumberFormat="0" applyFill="0" applyAlignment="0" applyProtection="0"/>
    <xf numFmtId="0" fontId="119"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19" fillId="0" borderId="36"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5" fontId="77" fillId="0" borderId="21" applyNumberFormat="0" applyFill="0" applyAlignment="0" applyProtection="0"/>
    <xf numFmtId="183"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0"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5" fontId="119" fillId="0" borderId="36" applyNumberFormat="0" applyFill="0" applyAlignment="0" applyProtection="0"/>
    <xf numFmtId="183"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4" fontId="119" fillId="0" borderId="36" applyNumberFormat="0" applyFill="0" applyAlignment="0" applyProtection="0"/>
    <xf numFmtId="185" fontId="120" fillId="0" borderId="36" applyNumberFormat="0" applyFill="0" applyAlignment="0" applyProtection="0"/>
    <xf numFmtId="183" fontId="120" fillId="0" borderId="36" applyNumberFormat="0" applyFill="0" applyAlignment="0" applyProtection="0"/>
    <xf numFmtId="184" fontId="120" fillId="0" borderId="36" applyNumberFormat="0" applyFill="0" applyAlignment="0" applyProtection="0"/>
    <xf numFmtId="184" fontId="120" fillId="0" borderId="36" applyNumberFormat="0" applyFill="0" applyAlignment="0" applyProtection="0"/>
    <xf numFmtId="0" fontId="77" fillId="0" borderId="21" applyNumberFormat="0" applyFill="0" applyAlignment="0" applyProtection="0"/>
    <xf numFmtId="184" fontId="77" fillId="0" borderId="21" applyNumberFormat="0" applyFill="0" applyAlignment="0" applyProtection="0"/>
    <xf numFmtId="184" fontId="77" fillId="0" borderId="21" applyNumberFormat="0" applyFill="0" applyAlignment="0" applyProtection="0"/>
    <xf numFmtId="182" fontId="77" fillId="0" borderId="21" applyNumberFormat="0" applyFill="0" applyAlignment="0" applyProtection="0"/>
    <xf numFmtId="0" fontId="121" fillId="0" borderId="38" applyNumberFormat="0" applyFill="0" applyAlignment="0" applyProtection="0"/>
    <xf numFmtId="0"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2" fontId="122" fillId="0" borderId="39" applyNumberFormat="0" applyFill="0" applyAlignment="0" applyProtection="0"/>
    <xf numFmtId="0"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122" fillId="0" borderId="39"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3" fontId="122" fillId="0" borderId="39" applyNumberFormat="0" applyFill="0" applyAlignment="0" applyProtection="0"/>
    <xf numFmtId="184" fontId="122" fillId="0" borderId="39" applyNumberFormat="0" applyFill="0" applyAlignment="0" applyProtection="0"/>
    <xf numFmtId="184" fontId="122" fillId="0" borderId="39"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5"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7" fontId="122" fillId="0" borderId="40" applyNumberFormat="0" applyFill="0" applyAlignment="0" applyProtection="0"/>
    <xf numFmtId="0" fontId="121" fillId="0" borderId="38" applyNumberFormat="0" applyFill="0" applyAlignment="0" applyProtection="0"/>
    <xf numFmtId="184" fontId="121" fillId="0" borderId="38" applyNumberFormat="0" applyFill="0" applyAlignment="0" applyProtection="0"/>
    <xf numFmtId="184" fontId="122" fillId="0" borderId="40" applyNumberFormat="0" applyFill="0" applyAlignment="0" applyProtection="0"/>
    <xf numFmtId="0" fontId="121" fillId="0" borderId="38"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1" fillId="0" borderId="38"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5" fontId="78" fillId="0" borderId="22" applyNumberFormat="0" applyFill="0" applyAlignment="0" applyProtection="0"/>
    <xf numFmtId="183"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0"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5" fontId="121" fillId="0" borderId="38" applyNumberFormat="0" applyFill="0" applyAlignment="0" applyProtection="0"/>
    <xf numFmtId="183"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4" fontId="121" fillId="0" borderId="38" applyNumberFormat="0" applyFill="0" applyAlignment="0" applyProtection="0"/>
    <xf numFmtId="185" fontId="122" fillId="0" borderId="40" applyNumberFormat="0" applyFill="0" applyAlignment="0" applyProtection="0"/>
    <xf numFmtId="183" fontId="122" fillId="0" borderId="40" applyNumberFormat="0" applyFill="0" applyAlignment="0" applyProtection="0"/>
    <xf numFmtId="184" fontId="122" fillId="0" borderId="40" applyNumberFormat="0" applyFill="0" applyAlignment="0" applyProtection="0"/>
    <xf numFmtId="184" fontId="122" fillId="0" borderId="40" applyNumberFormat="0" applyFill="0" applyAlignment="0" applyProtection="0"/>
    <xf numFmtId="0" fontId="78" fillId="0" borderId="22" applyNumberFormat="0" applyFill="0" applyAlignment="0" applyProtection="0"/>
    <xf numFmtId="184" fontId="78" fillId="0" borderId="22" applyNumberFormat="0" applyFill="0" applyAlignment="0" applyProtection="0"/>
    <xf numFmtId="184" fontId="78" fillId="0" borderId="22" applyNumberFormat="0" applyFill="0" applyAlignment="0" applyProtection="0"/>
    <xf numFmtId="182" fontId="78" fillId="0" borderId="2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2" fontId="122" fillId="0" borderId="0" applyNumberFormat="0" applyFill="0" applyBorder="0" applyAlignment="0" applyProtection="0"/>
    <xf numFmtId="0"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0"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5"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7" fontId="122" fillId="0" borderId="0" applyNumberFormat="0" applyFill="0" applyBorder="0" applyAlignment="0" applyProtection="0"/>
    <xf numFmtId="0" fontId="121" fillId="0" borderId="0" applyNumberFormat="0" applyFill="0" applyBorder="0" applyAlignment="0" applyProtection="0"/>
    <xf numFmtId="184" fontId="121" fillId="0" borderId="0" applyNumberFormat="0" applyFill="0" applyBorder="0" applyAlignment="0" applyProtection="0"/>
    <xf numFmtId="184" fontId="122" fillId="0" borderId="0" applyNumberFormat="0" applyFill="0" applyBorder="0" applyAlignment="0" applyProtection="0"/>
    <xf numFmtId="0" fontId="121"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1"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5" fontId="78"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0"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5" fontId="121" fillId="0" borderId="0" applyNumberFormat="0" applyFill="0" applyBorder="0" applyAlignment="0" applyProtection="0"/>
    <xf numFmtId="183"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4" fontId="121" fillId="0" borderId="0" applyNumberFormat="0" applyFill="0" applyBorder="0" applyAlignment="0" applyProtection="0"/>
    <xf numFmtId="185" fontId="122" fillId="0" borderId="0" applyNumberFormat="0" applyFill="0" applyBorder="0" applyAlignment="0" applyProtection="0"/>
    <xf numFmtId="183" fontId="122" fillId="0" borderId="0" applyNumberFormat="0" applyFill="0" applyBorder="0" applyAlignment="0" applyProtection="0"/>
    <xf numFmtId="184" fontId="122" fillId="0" borderId="0" applyNumberFormat="0" applyFill="0" applyBorder="0" applyAlignment="0" applyProtection="0"/>
    <xf numFmtId="184" fontId="122" fillId="0" borderId="0" applyNumberFormat="0" applyFill="0" applyBorder="0" applyAlignment="0" applyProtection="0"/>
    <xf numFmtId="0" fontId="78" fillId="0" borderId="0" applyNumberFormat="0" applyFill="0" applyBorder="0" applyAlignment="0" applyProtection="0"/>
    <xf numFmtId="184" fontId="78" fillId="0" borderId="0" applyNumberFormat="0" applyFill="0" applyBorder="0" applyAlignment="0" applyProtection="0"/>
    <xf numFmtId="184" fontId="78" fillId="0" borderId="0" applyNumberFormat="0" applyFill="0" applyBorder="0" applyAlignment="0" applyProtection="0"/>
    <xf numFmtId="182" fontId="78" fillId="0" borderId="0" applyNumberFormat="0" applyFill="0" applyBorder="0" applyAlignment="0" applyProtection="0"/>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197" fontId="20" fillId="0" borderId="0">
      <protection locked="0"/>
    </xf>
    <xf numFmtId="0" fontId="123" fillId="0" borderId="41">
      <alignment horizontal="center"/>
    </xf>
    <xf numFmtId="0" fontId="123" fillId="0" borderId="41">
      <alignment horizontal="center"/>
    </xf>
    <xf numFmtId="183"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5" fontId="123" fillId="0" borderId="41">
      <alignment horizontal="center"/>
    </xf>
    <xf numFmtId="183" fontId="123" fillId="0" borderId="41">
      <alignment horizontal="center"/>
    </xf>
    <xf numFmtId="184" fontId="123" fillId="0" borderId="41">
      <alignment horizontal="center"/>
    </xf>
    <xf numFmtId="184" fontId="123" fillId="0" borderId="41">
      <alignment horizontal="center"/>
    </xf>
    <xf numFmtId="183" fontId="123" fillId="0" borderId="41">
      <alignment horizontal="center"/>
    </xf>
    <xf numFmtId="184" fontId="123" fillId="0" borderId="41">
      <alignment horizontal="center"/>
    </xf>
    <xf numFmtId="187" fontId="123" fillId="0" borderId="41">
      <alignment horizontal="center"/>
    </xf>
    <xf numFmtId="184" fontId="123" fillId="0" borderId="41">
      <alignment horizontal="center"/>
    </xf>
    <xf numFmtId="184" fontId="123" fillId="0" borderId="41">
      <alignment horizontal="center"/>
    </xf>
    <xf numFmtId="0" fontId="123" fillId="0" borderId="0">
      <alignment horizontal="center"/>
    </xf>
    <xf numFmtId="0" fontId="123" fillId="0" borderId="0">
      <alignment horizontal="center"/>
    </xf>
    <xf numFmtId="183"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5" fontId="123" fillId="0" borderId="0">
      <alignment horizontal="center"/>
    </xf>
    <xf numFmtId="183" fontId="123" fillId="0" borderId="0">
      <alignment horizontal="center"/>
    </xf>
    <xf numFmtId="184" fontId="123" fillId="0" borderId="0">
      <alignment horizontal="center"/>
    </xf>
    <xf numFmtId="184" fontId="123" fillId="0" borderId="0">
      <alignment horizontal="center"/>
    </xf>
    <xf numFmtId="183" fontId="123" fillId="0" borderId="0">
      <alignment horizontal="center"/>
    </xf>
    <xf numFmtId="184" fontId="123" fillId="0" borderId="0">
      <alignment horizontal="center"/>
    </xf>
    <xf numFmtId="187" fontId="123" fillId="0" borderId="0">
      <alignment horizontal="center"/>
    </xf>
    <xf numFmtId="184" fontId="123" fillId="0" borderId="0">
      <alignment horizontal="center"/>
    </xf>
    <xf numFmtId="184" fontId="123" fillId="0" borderId="0">
      <alignment horizontal="center"/>
    </xf>
    <xf numFmtId="0" fontId="111" fillId="0" borderId="0" applyProtection="0">
      <alignment horizontal="right"/>
    </xf>
    <xf numFmtId="0" fontId="111" fillId="0" borderId="0" applyProtection="0">
      <alignment horizontal="right"/>
    </xf>
    <xf numFmtId="183" fontId="111" fillId="0" borderId="0" applyProtection="0">
      <alignment horizontal="right"/>
    </xf>
    <xf numFmtId="184" fontId="111" fillId="0" borderId="0" applyProtection="0">
      <alignment horizontal="right"/>
    </xf>
    <xf numFmtId="185" fontId="111" fillId="0" borderId="0" applyProtection="0">
      <alignment horizontal="right"/>
    </xf>
    <xf numFmtId="183" fontId="111" fillId="0" borderId="0" applyProtection="0">
      <alignment horizontal="right"/>
    </xf>
    <xf numFmtId="184" fontId="111" fillId="0" borderId="0" applyProtection="0">
      <alignment horizontal="right"/>
    </xf>
    <xf numFmtId="184" fontId="111" fillId="0" borderId="0" applyProtection="0">
      <alignment horizontal="right"/>
    </xf>
    <xf numFmtId="184" fontId="111" fillId="0" borderId="0" applyProtection="0">
      <alignment horizontal="right"/>
    </xf>
    <xf numFmtId="185" fontId="111" fillId="0" borderId="0" applyProtection="0">
      <alignment horizontal="right"/>
    </xf>
    <xf numFmtId="183" fontId="111" fillId="0" borderId="0" applyProtection="0">
      <alignment horizontal="right"/>
    </xf>
    <xf numFmtId="184" fontId="111" fillId="0" borderId="0" applyProtection="0">
      <alignment horizontal="right"/>
    </xf>
    <xf numFmtId="184" fontId="111" fillId="0" borderId="0" applyProtection="0">
      <alignment horizontal="right"/>
    </xf>
    <xf numFmtId="183" fontId="111" fillId="0" borderId="0" applyProtection="0">
      <alignment horizontal="right"/>
    </xf>
    <xf numFmtId="184" fontId="111" fillId="0" borderId="0" applyProtection="0">
      <alignment horizontal="right"/>
    </xf>
    <xf numFmtId="187" fontId="111" fillId="0" borderId="0" applyProtection="0">
      <alignment horizontal="right"/>
    </xf>
    <xf numFmtId="184" fontId="111" fillId="0" borderId="0" applyProtection="0">
      <alignment horizontal="right"/>
    </xf>
    <xf numFmtId="184" fontId="111" fillId="0" borderId="0" applyProtection="0">
      <alignment horizontal="right"/>
    </xf>
    <xf numFmtId="198" fontId="20" fillId="0" borderId="0" applyFont="0" applyFill="0" applyBorder="0" applyAlignment="0" applyProtection="0"/>
    <xf numFmtId="198" fontId="20" fillId="0" borderId="0" applyFont="0" applyFill="0" applyBorder="0" applyAlignment="0" applyProtection="0"/>
    <xf numFmtId="0" fontId="124" fillId="0" borderId="42" applyNumberFormat="0" applyFill="0" applyAlignment="0" applyProtection="0"/>
    <xf numFmtId="185" fontId="124" fillId="0" borderId="42" applyNumberFormat="0" applyFill="0" applyAlignment="0" applyProtection="0"/>
    <xf numFmtId="0"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5"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4" fillId="0" borderId="42" applyNumberFormat="0" applyFill="0" applyAlignment="0" applyProtection="0"/>
    <xf numFmtId="184" fontId="124" fillId="0" borderId="42" applyNumberFormat="0" applyFill="0" applyAlignment="0" applyProtection="0"/>
    <xf numFmtId="187" fontId="124" fillId="0" borderId="42" applyNumberFormat="0" applyFill="0" applyAlignment="0" applyProtection="0"/>
    <xf numFmtId="184" fontId="124" fillId="0" borderId="42" applyNumberFormat="0" applyFill="0" applyAlignment="0" applyProtection="0"/>
    <xf numFmtId="184" fontId="124" fillId="0" borderId="42" applyNumberFormat="0" applyFill="0" applyAlignment="0" applyProtection="0"/>
    <xf numFmtId="183" fontId="125" fillId="0" borderId="0" applyFill="0" applyBorder="0" applyAlignment="0" applyProtection="0">
      <alignment horizontal="right"/>
    </xf>
    <xf numFmtId="184" fontId="125" fillId="0" borderId="0" applyFill="0" applyBorder="0" applyAlignment="0" applyProtection="0">
      <alignment horizontal="right"/>
    </xf>
    <xf numFmtId="10" fontId="22" fillId="102" borderId="3" applyNumberFormat="0" applyBorder="0" applyAlignment="0" applyProtection="0"/>
    <xf numFmtId="10" fontId="22" fillId="102" borderId="3" applyNumberFormat="0" applyBorder="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82" fillId="41" borderId="23" applyNumberFormat="0" applyAlignment="0" applyProtection="0"/>
    <xf numFmtId="184" fontId="82" fillId="41" borderId="23"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182" fontId="82" fillId="41" borderId="23"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0"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4" fontId="126" fillId="21" borderId="32" applyNumberFormat="0" applyAlignment="0" applyProtection="0"/>
    <xf numFmtId="184" fontId="127" fillId="74" borderId="31" applyNumberFormat="0" applyAlignment="0" applyProtection="0"/>
    <xf numFmtId="182" fontId="126" fillId="21" borderId="32"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2"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7" fontId="82" fillId="41" borderId="23" applyNumberFormat="0" applyAlignment="0" applyProtection="0"/>
    <xf numFmtId="0"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82" fillId="41" borderId="23"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7" fontId="126" fillId="21" borderId="31" applyNumberFormat="0" applyAlignment="0" applyProtection="0"/>
    <xf numFmtId="187"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0"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5" fontId="82" fillId="41" borderId="23" applyNumberFormat="0" applyAlignment="0" applyProtection="0"/>
    <xf numFmtId="183"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184" fontId="82" fillId="41" borderId="23"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7" fontId="126" fillId="21" borderId="31" applyNumberFormat="0" applyAlignment="0" applyProtection="0"/>
    <xf numFmtId="187"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0"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3"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0" fontId="126" fillId="21" borderId="32" applyNumberFormat="0" applyAlignment="0" applyProtection="0"/>
    <xf numFmtId="184" fontId="126" fillId="21" borderId="32" applyNumberFormat="0" applyAlignment="0" applyProtection="0"/>
    <xf numFmtId="184" fontId="126" fillId="21" borderId="32"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3" fontId="126" fillId="21" borderId="31" applyNumberFormat="0" applyAlignment="0" applyProtection="0"/>
    <xf numFmtId="183"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185" fontId="126" fillId="21" borderId="31" applyNumberFormat="0" applyAlignment="0" applyProtection="0"/>
    <xf numFmtId="184" fontId="126" fillId="21" borderId="31" applyNumberFormat="0" applyAlignment="0" applyProtection="0"/>
    <xf numFmtId="184" fontId="126" fillId="21"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3" fontId="127" fillId="74" borderId="31" applyNumberFormat="0" applyAlignment="0" applyProtection="0"/>
    <xf numFmtId="183"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0" fontId="127" fillId="74" borderId="31" applyNumberFormat="0" applyAlignment="0" applyProtection="0"/>
    <xf numFmtId="184" fontId="127" fillId="74" borderId="31" applyNumberFormat="0" applyAlignment="0" applyProtection="0"/>
    <xf numFmtId="184" fontId="127" fillId="74" borderId="31" applyNumberFormat="0" applyAlignment="0" applyProtection="0"/>
    <xf numFmtId="199" fontId="128" fillId="0" borderId="0" applyFont="0" applyFill="0" applyBorder="0" applyProtection="0">
      <alignment horizontal="center"/>
    </xf>
    <xf numFmtId="183" fontId="33" fillId="34" borderId="0" applyNumberFormat="0" applyFont="0" applyBorder="0" applyAlignment="0" applyProtection="0">
      <alignment horizontal="left"/>
    </xf>
    <xf numFmtId="184" fontId="33" fillId="34" borderId="0" applyNumberFormat="0" applyFont="0" applyBorder="0" applyAlignment="0" applyProtection="0">
      <alignment horizontal="left"/>
    </xf>
    <xf numFmtId="0" fontId="129" fillId="0" borderId="43" applyNumberFormat="0" applyFill="0" applyAlignment="0" applyProtection="0"/>
    <xf numFmtId="0"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2" fontId="115" fillId="0" borderId="44" applyNumberFormat="0" applyFill="0" applyAlignment="0" applyProtection="0"/>
    <xf numFmtId="0"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115" fillId="0" borderId="44"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3" fontId="115" fillId="0" borderId="44" applyNumberFormat="0" applyFill="0" applyAlignment="0" applyProtection="0"/>
    <xf numFmtId="184" fontId="115" fillId="0" borderId="44" applyNumberFormat="0" applyFill="0" applyAlignment="0" applyProtection="0"/>
    <xf numFmtId="184" fontId="115" fillId="0" borderId="44"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5"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7" fontId="130" fillId="0" borderId="45" applyNumberFormat="0" applyFill="0" applyAlignment="0" applyProtection="0"/>
    <xf numFmtId="0" fontId="129" fillId="0" borderId="43" applyNumberFormat="0" applyFill="0" applyAlignment="0" applyProtection="0"/>
    <xf numFmtId="184" fontId="129" fillId="0" borderId="43" applyNumberFormat="0" applyFill="0" applyAlignment="0" applyProtection="0"/>
    <xf numFmtId="184" fontId="130" fillId="0" borderId="45" applyNumberFormat="0" applyFill="0" applyAlignment="0" applyProtection="0"/>
    <xf numFmtId="0" fontId="129" fillId="0" borderId="43"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29" fillId="0" borderId="43"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5" fontId="85" fillId="0" borderId="25" applyNumberFormat="0" applyFill="0" applyAlignment="0" applyProtection="0"/>
    <xf numFmtId="183"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0"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5" fontId="129" fillId="0" borderId="43" applyNumberFormat="0" applyFill="0" applyAlignment="0" applyProtection="0"/>
    <xf numFmtId="183"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4" fontId="129" fillId="0" borderId="43" applyNumberFormat="0" applyFill="0" applyAlignment="0" applyProtection="0"/>
    <xf numFmtId="185" fontId="130" fillId="0" borderId="45" applyNumberFormat="0" applyFill="0" applyAlignment="0" applyProtection="0"/>
    <xf numFmtId="183" fontId="130" fillId="0" borderId="45" applyNumberFormat="0" applyFill="0" applyAlignment="0" applyProtection="0"/>
    <xf numFmtId="184" fontId="130" fillId="0" borderId="45" applyNumberFormat="0" applyFill="0" applyAlignment="0" applyProtection="0"/>
    <xf numFmtId="184" fontId="130" fillId="0" borderId="45" applyNumberFormat="0" applyFill="0" applyAlignment="0" applyProtection="0"/>
    <xf numFmtId="0" fontId="85" fillId="0" borderId="25" applyNumberFormat="0" applyFill="0" applyAlignment="0" applyProtection="0"/>
    <xf numFmtId="184" fontId="85" fillId="0" borderId="25" applyNumberFormat="0" applyFill="0" applyAlignment="0" applyProtection="0"/>
    <xf numFmtId="184" fontId="85" fillId="0" borderId="25" applyNumberFormat="0" applyFill="0" applyAlignment="0" applyProtection="0"/>
    <xf numFmtId="182" fontId="85" fillId="0" borderId="25" applyNumberFormat="0" applyFill="0" applyAlignment="0" applyProtection="0"/>
    <xf numFmtId="183" fontId="131" fillId="103" borderId="0">
      <alignment horizontal="right"/>
    </xf>
    <xf numFmtId="184" fontId="131" fillId="103" borderId="0">
      <alignment horizontal="right"/>
    </xf>
    <xf numFmtId="17" fontId="132" fillId="0" borderId="0" applyFont="0" applyFill="0" applyBorder="0" applyAlignment="0" applyProtection="0">
      <alignment horizontal="centerContinuous"/>
      <protection locked="0"/>
    </xf>
    <xf numFmtId="0" fontId="133" fillId="25" borderId="0" applyNumberFormat="0" applyBorder="0" applyAlignment="0" applyProtection="0"/>
    <xf numFmtId="0"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2" fontId="115" fillId="21" borderId="0" applyNumberFormat="0" applyBorder="0" applyAlignment="0" applyProtection="0"/>
    <xf numFmtId="0"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7" fontId="133" fillId="21" borderId="0" applyNumberFormat="0" applyBorder="0" applyAlignment="0" applyProtection="0"/>
    <xf numFmtId="184" fontId="133" fillId="21" borderId="0" applyNumberFormat="0" applyBorder="0" applyAlignment="0" applyProtection="0"/>
    <xf numFmtId="184" fontId="81" fillId="40" borderId="0" applyNumberFormat="0" applyBorder="0" applyAlignment="0" applyProtection="0"/>
    <xf numFmtId="0"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0"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15"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3" fontId="115" fillId="21" borderId="0" applyNumberFormat="0" applyBorder="0" applyAlignment="0" applyProtection="0"/>
    <xf numFmtId="184" fontId="115" fillId="21" borderId="0" applyNumberFormat="0" applyBorder="0" applyAlignment="0" applyProtection="0"/>
    <xf numFmtId="184" fontId="115" fillId="21"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5"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7" fontId="81" fillId="40" borderId="0" applyNumberFormat="0" applyBorder="0" applyAlignment="0" applyProtection="0"/>
    <xf numFmtId="0" fontId="133" fillId="25" borderId="0" applyNumberFormat="0" applyBorder="0" applyAlignment="0" applyProtection="0"/>
    <xf numFmtId="184" fontId="133" fillId="25"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5" fontId="81" fillId="40" borderId="0" applyNumberFormat="0" applyBorder="0" applyAlignment="0" applyProtection="0"/>
    <xf numFmtId="183"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0"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5" fontId="133" fillId="25" borderId="0" applyNumberFormat="0" applyBorder="0" applyAlignment="0" applyProtection="0"/>
    <xf numFmtId="183"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4" fontId="133" fillId="25" borderId="0" applyNumberFormat="0" applyBorder="0" applyAlignment="0" applyProtection="0"/>
    <xf numFmtId="185" fontId="133" fillId="21" borderId="0" applyNumberFormat="0" applyBorder="0" applyAlignment="0" applyProtection="0"/>
    <xf numFmtId="183" fontId="133" fillId="21" borderId="0" applyNumberFormat="0" applyBorder="0" applyAlignment="0" applyProtection="0"/>
    <xf numFmtId="184" fontId="133" fillId="21" borderId="0" applyNumberFormat="0" applyBorder="0" applyAlignment="0" applyProtection="0"/>
    <xf numFmtId="184" fontId="133" fillId="21" borderId="0" applyNumberFormat="0" applyBorder="0" applyAlignment="0" applyProtection="0"/>
    <xf numFmtId="0" fontId="81" fillId="40" borderId="0" applyNumberFormat="0" applyBorder="0" applyAlignment="0" applyProtection="0"/>
    <xf numFmtId="184" fontId="81" fillId="40" borderId="0" applyNumberFormat="0" applyBorder="0" applyAlignment="0" applyProtection="0"/>
    <xf numFmtId="184" fontId="81" fillId="40" borderId="0" applyNumberFormat="0" applyBorder="0" applyAlignment="0" applyProtection="0"/>
    <xf numFmtId="182" fontId="81" fillId="40" borderId="0" applyNumberFormat="0" applyBorder="0" applyAlignment="0" applyProtection="0"/>
    <xf numFmtId="37" fontId="134" fillId="0" borderId="0"/>
    <xf numFmtId="200" fontId="135" fillId="0" borderId="0"/>
    <xf numFmtId="201" fontId="20" fillId="0" borderId="0"/>
    <xf numFmtId="201" fontId="20"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183" fontId="20" fillId="0" borderId="0"/>
    <xf numFmtId="184" fontId="20" fillId="0" borderId="0"/>
    <xf numFmtId="184" fontId="20" fillId="0" borderId="0"/>
    <xf numFmtId="187" fontId="4" fillId="0" borderId="0"/>
    <xf numFmtId="0"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4"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0" fontId="22" fillId="104" borderId="0"/>
    <xf numFmtId="183" fontId="22" fillId="104" borderId="0"/>
    <xf numFmtId="184" fontId="22" fillId="104" borderId="0"/>
    <xf numFmtId="184" fontId="22" fillId="104" borderId="0"/>
    <xf numFmtId="187" fontId="22" fillId="104" borderId="0"/>
    <xf numFmtId="184" fontId="22" fillId="104" borderId="0"/>
    <xf numFmtId="184" fontId="4"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4"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0" fontId="22" fillId="104" borderId="0"/>
    <xf numFmtId="183" fontId="22" fillId="104" borderId="0"/>
    <xf numFmtId="184" fontId="22" fillId="104" borderId="0"/>
    <xf numFmtId="184" fontId="22" fillId="104" borderId="0"/>
    <xf numFmtId="187"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4" fillId="0" borderId="0"/>
    <xf numFmtId="0" fontId="4" fillId="0" borderId="0"/>
    <xf numFmtId="183" fontId="4" fillId="0" borderId="0"/>
    <xf numFmtId="184" fontId="4" fillId="0" borderId="0"/>
    <xf numFmtId="185" fontId="4" fillId="0" borderId="0"/>
    <xf numFmtId="183"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183" fontId="4" fillId="0" borderId="0"/>
    <xf numFmtId="184" fontId="4" fillId="0" borderId="0"/>
    <xf numFmtId="185" fontId="4" fillId="0" borderId="0"/>
    <xf numFmtId="183" fontId="4" fillId="0" borderId="0"/>
    <xf numFmtId="184" fontId="4" fillId="0" borderId="0"/>
    <xf numFmtId="184" fontId="4" fillId="0" borderId="0"/>
    <xf numFmtId="0" fontId="22" fillId="104" borderId="0"/>
    <xf numFmtId="183" fontId="22" fillId="104" borderId="0"/>
    <xf numFmtId="184" fontId="22" fillId="104" borderId="0"/>
    <xf numFmtId="184" fontId="22" fillId="104" borderId="0"/>
    <xf numFmtId="187" fontId="22" fillId="104" borderId="0"/>
    <xf numFmtId="184" fontId="22" fillId="104" borderId="0"/>
    <xf numFmtId="184" fontId="4"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184" fontId="20" fillId="0" borderId="0"/>
    <xf numFmtId="185" fontId="20" fillId="0" borderId="0"/>
    <xf numFmtId="183" fontId="20" fillId="0" borderId="0"/>
    <xf numFmtId="184" fontId="20" fillId="0" borderId="0"/>
    <xf numFmtId="185"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2" fillId="104"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0" fontId="22" fillId="104" borderId="0"/>
    <xf numFmtId="183" fontId="22" fillId="104" borderId="0"/>
    <xf numFmtId="184"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7"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2" fillId="104"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0" fontId="22" fillId="104" borderId="0"/>
    <xf numFmtId="183" fontId="22" fillId="104" borderId="0"/>
    <xf numFmtId="184"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4" fontId="22" fillId="104" borderId="0"/>
    <xf numFmtId="184" fontId="20" fillId="0" borderId="0"/>
    <xf numFmtId="182" fontId="22" fillId="104" borderId="0"/>
    <xf numFmtId="202" fontId="4" fillId="0" borderId="0"/>
    <xf numFmtId="0" fontId="4" fillId="0" borderId="0"/>
    <xf numFmtId="202"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187"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0" fillId="0" borderId="0"/>
    <xf numFmtId="184" fontId="20"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4" fontId="20" fillId="0" borderId="0"/>
    <xf numFmtId="184" fontId="20" fillId="0" borderId="0"/>
    <xf numFmtId="187" fontId="4" fillId="0" borderId="0"/>
    <xf numFmtId="0" fontId="20" fillId="0" borderId="0"/>
    <xf numFmtId="184" fontId="20" fillId="0" borderId="0"/>
    <xf numFmtId="184" fontId="4" fillId="0" borderId="0"/>
    <xf numFmtId="0" fontId="20" fillId="0" borderId="0"/>
    <xf numFmtId="184" fontId="20" fillId="0" borderId="0"/>
    <xf numFmtId="0"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4" fontId="20" fillId="0" borderId="0"/>
    <xf numFmtId="182" fontId="20" fillId="0" borderId="0"/>
    <xf numFmtId="202" fontId="4" fillId="0" borderId="0"/>
    <xf numFmtId="0" fontId="136"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136" fillId="0" borderId="0"/>
    <xf numFmtId="183" fontId="136" fillId="0" borderId="0"/>
    <xf numFmtId="184" fontId="136"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36" fillId="0" borderId="0"/>
    <xf numFmtId="185" fontId="136" fillId="0" borderId="0"/>
    <xf numFmtId="183" fontId="136" fillId="0" borderId="0"/>
    <xf numFmtId="183" fontId="136" fillId="0" borderId="0"/>
    <xf numFmtId="184" fontId="136" fillId="0" borderId="0"/>
    <xf numFmtId="0" fontId="4" fillId="0" borderId="0"/>
    <xf numFmtId="183" fontId="4" fillId="0" borderId="0"/>
    <xf numFmtId="184" fontId="4" fillId="0" borderId="0"/>
    <xf numFmtId="184" fontId="4" fillId="0" borderId="0"/>
    <xf numFmtId="184" fontId="136" fillId="0" borderId="0"/>
    <xf numFmtId="185" fontId="136" fillId="0" borderId="0"/>
    <xf numFmtId="183" fontId="136" fillId="0" borderId="0"/>
    <xf numFmtId="184" fontId="136" fillId="0" borderId="0"/>
    <xf numFmtId="184" fontId="136"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36" fillId="0" borderId="0"/>
    <xf numFmtId="0" fontId="136" fillId="0" borderId="0"/>
    <xf numFmtId="183" fontId="136" fillId="0" borderId="0"/>
    <xf numFmtId="184" fontId="136" fillId="0" borderId="0"/>
    <xf numFmtId="184" fontId="136" fillId="0" borderId="0"/>
    <xf numFmtId="184" fontId="136" fillId="0" borderId="0"/>
    <xf numFmtId="0"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20" fillId="0" borderId="0"/>
    <xf numFmtId="183" fontId="20" fillId="0" borderId="0"/>
    <xf numFmtId="184" fontId="20" fillId="0" borderId="0"/>
    <xf numFmtId="184" fontId="20" fillId="0" borderId="0"/>
    <xf numFmtId="187" fontId="20"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7" fontId="4" fillId="0" borderId="0"/>
    <xf numFmtId="184" fontId="4" fillId="0" borderId="0"/>
    <xf numFmtId="184" fontId="20" fillId="0" borderId="0"/>
    <xf numFmtId="202"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0" fillId="0" borderId="0"/>
    <xf numFmtId="184" fontId="20"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186" fontId="20" fillId="0" borderId="0">
      <alignment horizontal="left" wrapText="1"/>
    </xf>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6" fontId="20" fillId="0" borderId="0">
      <alignment horizontal="left" wrapText="1"/>
    </xf>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186" fontId="20" fillId="0" borderId="0">
      <alignment horizontal="left" wrapText="1"/>
    </xf>
    <xf numFmtId="0" fontId="22"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7" fontId="4" fillId="0" borderId="0"/>
    <xf numFmtId="184" fontId="4" fillId="0" borderId="0"/>
    <xf numFmtId="184" fontId="4" fillId="0" borderId="0"/>
    <xf numFmtId="202" fontId="4"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3"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3"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0" fontId="53" fillId="0" borderId="0"/>
    <xf numFmtId="183" fontId="53" fillId="0" borderId="0"/>
    <xf numFmtId="184" fontId="53" fillId="0" borderId="0"/>
    <xf numFmtId="184" fontId="53" fillId="0" borderId="0"/>
    <xf numFmtId="0" fontId="4" fillId="0" borderId="0"/>
    <xf numFmtId="183" fontId="4" fillId="0" borderId="0"/>
    <xf numFmtId="184" fontId="4" fillId="0" borderId="0"/>
    <xf numFmtId="184" fontId="4" fillId="0" borderId="0"/>
    <xf numFmtId="184" fontId="53"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3" fontId="22" fillId="104" borderId="0"/>
    <xf numFmtId="183" fontId="22" fillId="104" borderId="0"/>
    <xf numFmtId="184" fontId="22" fillId="104" borderId="0"/>
    <xf numFmtId="0" fontId="4" fillId="0" borderId="0"/>
    <xf numFmtId="183" fontId="4" fillId="0" borderId="0"/>
    <xf numFmtId="184" fontId="4" fillId="0" borderId="0"/>
    <xf numFmtId="184" fontId="4" fillId="0" borderId="0"/>
    <xf numFmtId="184" fontId="22" fillId="104"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2" fillId="104" borderId="0"/>
    <xf numFmtId="0" fontId="22" fillId="104" borderId="0"/>
    <xf numFmtId="183" fontId="22" fillId="104" borderId="0"/>
    <xf numFmtId="184" fontId="22" fillId="104" borderId="0"/>
    <xf numFmtId="184" fontId="22" fillId="104" borderId="0"/>
    <xf numFmtId="0" fontId="22" fillId="104" borderId="0"/>
    <xf numFmtId="0" fontId="22" fillId="104" borderId="0"/>
    <xf numFmtId="183" fontId="22" fillId="104" borderId="0"/>
    <xf numFmtId="184" fontId="22" fillId="104" borderId="0"/>
    <xf numFmtId="184" fontId="22" fillId="104" borderId="0"/>
    <xf numFmtId="183" fontId="22" fillId="104" borderId="0"/>
    <xf numFmtId="184" fontId="22" fillId="104" borderId="0"/>
    <xf numFmtId="184" fontId="22" fillId="104" borderId="0"/>
    <xf numFmtId="0" fontId="4" fillId="0" borderId="0"/>
    <xf numFmtId="183" fontId="4" fillId="0" borderId="0"/>
    <xf numFmtId="184" fontId="4" fillId="0" borderId="0"/>
    <xf numFmtId="184" fontId="4" fillId="0" borderId="0"/>
    <xf numFmtId="183" fontId="22" fillId="104" borderId="0"/>
    <xf numFmtId="184" fontId="22" fillId="104" borderId="0"/>
    <xf numFmtId="184" fontId="22" fillId="104" borderId="0"/>
    <xf numFmtId="0"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184" fontId="20" fillId="0" borderId="0"/>
    <xf numFmtId="0"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184" fontId="20" fillId="0" borderId="0"/>
    <xf numFmtId="0"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184" fontId="20"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185" fontId="4" fillId="0" borderId="0"/>
    <xf numFmtId="183"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37" fillId="0" borderId="0"/>
    <xf numFmtId="187" fontId="4" fillId="0" borderId="0"/>
    <xf numFmtId="184" fontId="4" fillId="0" borderId="0"/>
    <xf numFmtId="184" fontId="20" fillId="0" borderId="0"/>
    <xf numFmtId="202" fontId="20" fillId="0" borderId="0"/>
    <xf numFmtId="182"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0" fontId="20" fillId="0" borderId="0"/>
    <xf numFmtId="183"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0" fontId="20" fillId="0" borderId="0"/>
    <xf numFmtId="0" fontId="20" fillId="0" borderId="0"/>
    <xf numFmtId="183" fontId="20" fillId="0" borderId="0"/>
    <xf numFmtId="184" fontId="20" fillId="0" borderId="0"/>
    <xf numFmtId="184" fontId="20" fillId="0" borderId="0"/>
    <xf numFmtId="0" fontId="20" fillId="0" borderId="0"/>
    <xf numFmtId="183" fontId="20" fillId="0" borderId="0"/>
    <xf numFmtId="184" fontId="20" fillId="0" borderId="0"/>
    <xf numFmtId="184" fontId="20" fillId="0" borderId="0"/>
    <xf numFmtId="183" fontId="20" fillId="0" borderId="0"/>
    <xf numFmtId="184" fontId="20" fillId="0" borderId="0"/>
    <xf numFmtId="0" fontId="20" fillId="0" borderId="0"/>
    <xf numFmtId="184" fontId="20"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0" fontId="53" fillId="0" borderId="0"/>
    <xf numFmtId="183" fontId="53" fillId="0" borderId="0"/>
    <xf numFmtId="184" fontId="53" fillId="0" borderId="0"/>
    <xf numFmtId="184" fontId="53" fillId="0" borderId="0"/>
    <xf numFmtId="183" fontId="4" fillId="0" borderId="0"/>
    <xf numFmtId="184" fontId="4" fillId="0" borderId="0"/>
    <xf numFmtId="183" fontId="4" fillId="0" borderId="0"/>
    <xf numFmtId="184" fontId="4" fillId="0" borderId="0"/>
    <xf numFmtId="183"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0" fontId="22" fillId="104" borderId="0"/>
    <xf numFmtId="183" fontId="22" fillId="104" borderId="0"/>
    <xf numFmtId="184" fontId="22" fillId="104" borderId="0"/>
    <xf numFmtId="184" fontId="22" fillId="104" borderId="0"/>
    <xf numFmtId="183" fontId="22" fillId="104" borderId="0"/>
    <xf numFmtId="184" fontId="22" fillId="104" borderId="0"/>
    <xf numFmtId="183" fontId="4" fillId="0" borderId="0"/>
    <xf numFmtId="184" fontId="4" fillId="0" borderId="0"/>
    <xf numFmtId="0" fontId="4" fillId="0" borderId="0"/>
    <xf numFmtId="184" fontId="4" fillId="0" borderId="0"/>
    <xf numFmtId="0" fontId="22" fillId="104" borderId="0"/>
    <xf numFmtId="184" fontId="22" fillId="104"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4" fontId="22" fillId="104" borderId="0"/>
    <xf numFmtId="0" fontId="53" fillId="0" borderId="0"/>
    <xf numFmtId="0" fontId="22" fillId="104" borderId="0"/>
    <xf numFmtId="184" fontId="22" fillId="104" borderId="0"/>
    <xf numFmtId="184" fontId="53" fillId="0" borderId="0"/>
    <xf numFmtId="0" fontId="22" fillId="104" borderId="0"/>
    <xf numFmtId="184" fontId="22" fillId="104"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187" fontId="20" fillId="0" borderId="0"/>
    <xf numFmtId="187" fontId="20" fillId="0" borderId="0"/>
    <xf numFmtId="184" fontId="20" fillId="0" borderId="0"/>
    <xf numFmtId="184" fontId="20" fillId="0" borderId="0"/>
    <xf numFmtId="0" fontId="20" fillId="0" borderId="0"/>
    <xf numFmtId="184" fontId="20" fillId="0" borderId="0"/>
    <xf numFmtId="0" fontId="22" fillId="104" borderId="0"/>
    <xf numFmtId="184" fontId="22" fillId="104"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184" fontId="22" fillId="104" borderId="0"/>
    <xf numFmtId="0" fontId="22" fillId="104" borderId="0"/>
    <xf numFmtId="184" fontId="22" fillId="104" borderId="0"/>
    <xf numFmtId="0" fontId="4" fillId="0" borderId="0"/>
    <xf numFmtId="184" fontId="4" fillId="0" borderId="0"/>
    <xf numFmtId="0" fontId="22" fillId="104" borderId="0"/>
    <xf numFmtId="184" fontId="22" fillId="104" borderId="0"/>
    <xf numFmtId="0" fontId="22" fillId="104" borderId="0"/>
    <xf numFmtId="184" fontId="22" fillId="104" borderId="0"/>
    <xf numFmtId="0" fontId="22" fillId="104" borderId="0"/>
    <xf numFmtId="184" fontId="22" fillId="104" borderId="0"/>
    <xf numFmtId="0" fontId="22" fillId="104" borderId="0"/>
    <xf numFmtId="184" fontId="22" fillId="104" borderId="0"/>
    <xf numFmtId="184" fontId="4"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182" fontId="53" fillId="0" borderId="0"/>
    <xf numFmtId="0" fontId="22" fillId="104" borderId="0"/>
    <xf numFmtId="202" fontId="4" fillId="0" borderId="0"/>
    <xf numFmtId="202" fontId="4" fillId="0" borderId="0"/>
    <xf numFmtId="0"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202" fontId="4" fillId="0" borderId="0"/>
    <xf numFmtId="202" fontId="4" fillId="0" borderId="0"/>
    <xf numFmtId="202" fontId="4" fillId="0" borderId="0"/>
    <xf numFmtId="202" fontId="4" fillId="0" borderId="0"/>
    <xf numFmtId="202" fontId="4" fillId="0" borderId="0"/>
    <xf numFmtId="183" fontId="4" fillId="0" borderId="0"/>
    <xf numFmtId="183" fontId="4" fillId="0" borderId="0"/>
    <xf numFmtId="183" fontId="4" fillId="0" borderId="0"/>
    <xf numFmtId="0" fontId="22" fillId="104" borderId="0"/>
    <xf numFmtId="0" fontId="22" fillId="104"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22" fillId="104" borderId="0"/>
    <xf numFmtId="0" fontId="4" fillId="0" borderId="0"/>
    <xf numFmtId="0" fontId="4" fillId="0" borderId="0"/>
    <xf numFmtId="202"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187"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0" fontId="4" fillId="0" borderId="0"/>
    <xf numFmtId="0" fontId="4" fillId="0" borderId="0"/>
    <xf numFmtId="0" fontId="22" fillId="104" borderId="0"/>
    <xf numFmtId="0" fontId="22" fillId="104" borderId="0"/>
    <xf numFmtId="0" fontId="4" fillId="0" borderId="0"/>
    <xf numFmtId="0" fontId="4" fillId="0" borderId="0"/>
    <xf numFmtId="0" fontId="4" fillId="0" borderId="0"/>
    <xf numFmtId="0"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4" fillId="0" borderId="0"/>
    <xf numFmtId="0" fontId="4" fillId="0" borderId="0"/>
    <xf numFmtId="0" fontId="4"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0" fontId="22" fillId="104" borderId="0"/>
    <xf numFmtId="0" fontId="22" fillId="104" borderId="0"/>
    <xf numFmtId="0" fontId="22" fillId="104" borderId="0"/>
    <xf numFmtId="0" fontId="4" fillId="0" borderId="0"/>
    <xf numFmtId="0" fontId="22" fillId="104" borderId="0"/>
    <xf numFmtId="0" fontId="22" fillId="104" borderId="0"/>
    <xf numFmtId="202" fontId="4" fillId="0" borderId="0"/>
    <xf numFmtId="202" fontId="4" fillId="0" borderId="0"/>
    <xf numFmtId="202"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2" fillId="104" borderId="0"/>
    <xf numFmtId="0" fontId="22" fillId="104" borderId="0"/>
    <xf numFmtId="0" fontId="20" fillId="0" borderId="0"/>
    <xf numFmtId="0" fontId="20" fillId="0" borderId="0"/>
    <xf numFmtId="0" fontId="20" fillId="0" borderId="0"/>
    <xf numFmtId="0" fontId="20" fillId="0" borderId="0"/>
    <xf numFmtId="0"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37" fillId="0" borderId="0"/>
    <xf numFmtId="184" fontId="20"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22" fillId="104" borderId="0"/>
    <xf numFmtId="183" fontId="22" fillId="104" borderId="0"/>
    <xf numFmtId="184" fontId="22" fillId="104" borderId="0"/>
    <xf numFmtId="184" fontId="22" fillId="104" borderId="0"/>
    <xf numFmtId="187"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37" fillId="0" borderId="0"/>
    <xf numFmtId="0"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4" fontId="4"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3"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185"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7" fontId="4" fillId="0" borderId="0"/>
    <xf numFmtId="184" fontId="4" fillId="0" borderId="0"/>
    <xf numFmtId="184" fontId="4"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96" fontId="20" fillId="0" borderId="0"/>
    <xf numFmtId="196"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3" fillId="105" borderId="0" applyBorder="0" applyAlignment="0">
      <alignment horizontal="left"/>
    </xf>
    <xf numFmtId="183" fontId="33" fillId="105" borderId="0" applyBorder="0" applyAlignment="0">
      <alignment horizontal="left"/>
    </xf>
    <xf numFmtId="184" fontId="33" fillId="105" borderId="0" applyBorder="0" applyAlignment="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33" fillId="105" borderId="0" applyBorder="0" applyAlignment="0">
      <alignment horizontal="left"/>
    </xf>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0" fontId="4" fillId="44" borderId="27" applyNumberFormat="0" applyFont="0" applyAlignment="0" applyProtection="0"/>
    <xf numFmtId="184" fontId="4" fillId="44" borderId="27"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4" fillId="44" borderId="27"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37"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0" fillId="20" borderId="46" applyNumberFormat="0" applyFont="0" applyAlignment="0" applyProtection="0"/>
    <xf numFmtId="187" fontId="20" fillId="20" borderId="46" applyNumberFormat="0" applyFont="0" applyAlignment="0" applyProtection="0"/>
    <xf numFmtId="187" fontId="20" fillId="20"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7" fontId="20" fillId="20"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7"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0" fillId="26" borderId="46"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2" fontId="22" fillId="20" borderId="32"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20" fillId="20" borderId="46" applyNumberFormat="0" applyFont="0" applyAlignment="0" applyProtection="0"/>
    <xf numFmtId="184" fontId="20" fillId="20" borderId="46"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37" fillId="26" borderId="46" applyNumberFormat="0" applyFont="0" applyAlignment="0" applyProtection="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2" fontId="4"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37" fillId="26" borderId="46"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5"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0" fontId="4" fillId="44" borderId="27" applyNumberFormat="0" applyFont="0" applyAlignment="0" applyProtection="0"/>
    <xf numFmtId="183" fontId="4" fillId="44" borderId="27" applyNumberFormat="0" applyFont="0" applyAlignment="0" applyProtection="0"/>
    <xf numFmtId="184" fontId="4" fillId="44" borderId="27" applyNumberFormat="0" applyFont="0" applyAlignment="0" applyProtection="0"/>
    <xf numFmtId="184" fontId="4"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3" fontId="37" fillId="44" borderId="27" applyNumberFormat="0" applyFont="0" applyAlignment="0" applyProtection="0"/>
    <xf numFmtId="183"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37" fillId="44" borderId="27" applyNumberFormat="0" applyFont="0" applyAlignment="0" applyProtection="0"/>
    <xf numFmtId="184" fontId="37" fillId="44" borderId="27" applyNumberFormat="0" applyFont="0" applyAlignment="0" applyProtection="0"/>
    <xf numFmtId="184" fontId="37" fillId="44" borderId="27"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7" fillId="44" borderId="27" applyNumberFormat="0" applyFont="0" applyAlignment="0" applyProtection="0"/>
    <xf numFmtId="184" fontId="37" fillId="44" borderId="27" applyNumberFormat="0" applyFont="0" applyAlignment="0" applyProtection="0"/>
    <xf numFmtId="0" fontId="37"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5"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183"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4" fontId="20" fillId="26" borderId="46" applyNumberFormat="0" applyFont="0" applyAlignment="0" applyProtection="0"/>
    <xf numFmtId="0" fontId="20" fillId="26" borderId="46" applyNumberFormat="0" applyFont="0" applyAlignment="0" applyProtection="0"/>
    <xf numFmtId="184" fontId="20" fillId="26"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5" fontId="20" fillId="20" borderId="46" applyNumberFormat="0" applyFont="0" applyAlignment="0" applyProtection="0"/>
    <xf numFmtId="184" fontId="20" fillId="20" borderId="46" applyNumberFormat="0" applyFont="0" applyAlignment="0" applyProtection="0"/>
    <xf numFmtId="184" fontId="20" fillId="20" borderId="46"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4" fillId="0" borderId="0"/>
    <xf numFmtId="183" fontId="4" fillId="0" borderId="0"/>
    <xf numFmtId="184" fontId="4" fillId="0" borderId="0"/>
    <xf numFmtId="184" fontId="4" fillId="0" borderId="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0"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183" fontId="22" fillId="20" borderId="32" applyNumberFormat="0" applyFont="0" applyAlignment="0" applyProtection="0"/>
    <xf numFmtId="184" fontId="22" fillId="20" borderId="32" applyNumberFormat="0" applyFont="0" applyAlignment="0" applyProtection="0"/>
    <xf numFmtId="184" fontId="22" fillId="20" borderId="32" applyNumberFormat="0" applyFont="0" applyAlignment="0" applyProtection="0"/>
    <xf numFmtId="203" fontId="137" fillId="0" borderId="47" applyFont="0" applyFill="0" applyBorder="0" applyAlignment="0" applyProtection="0">
      <alignment horizontal="center"/>
      <protection locked="0"/>
    </xf>
    <xf numFmtId="203" fontId="137" fillId="0" borderId="47" applyFon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2" fontId="83" fillId="42" borderId="24" applyNumberFormat="0" applyAlignment="0" applyProtection="0"/>
    <xf numFmtId="0"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38" fillId="97" borderId="48" applyNumberFormat="0" applyAlignment="0" applyProtection="0"/>
    <xf numFmtId="0"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7"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0" fontId="138" fillId="96" borderId="48" applyNumberFormat="0" applyAlignment="0" applyProtection="0"/>
    <xf numFmtId="184" fontId="138" fillId="96" borderId="48" applyNumberFormat="0" applyAlignment="0" applyProtection="0"/>
    <xf numFmtId="184" fontId="138" fillId="75" borderId="48" applyNumberFormat="0" applyAlignment="0" applyProtection="0"/>
    <xf numFmtId="182" fontId="138" fillId="96" borderId="48" applyNumberFormat="0" applyAlignment="0" applyProtection="0"/>
    <xf numFmtId="0"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138" fillId="96"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3" fontId="138" fillId="96" borderId="48" applyNumberFormat="0" applyAlignment="0" applyProtection="0"/>
    <xf numFmtId="183" fontId="138" fillId="96" borderId="48" applyNumberFormat="0" applyAlignment="0" applyProtection="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4" fillId="0" borderId="0"/>
    <xf numFmtId="183" fontId="4" fillId="0" borderId="0"/>
    <xf numFmtId="184" fontId="4" fillId="0" borderId="0"/>
    <xf numFmtId="184" fontId="4" fillId="0" borderId="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138" fillId="96" borderId="48" applyNumberFormat="0" applyAlignment="0" applyProtection="0"/>
    <xf numFmtId="183" fontId="138" fillId="96" borderId="48" applyNumberFormat="0" applyAlignment="0" applyProtection="0"/>
    <xf numFmtId="183"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96" borderId="48" applyNumberFormat="0" applyAlignment="0" applyProtection="0"/>
    <xf numFmtId="184" fontId="138" fillId="96" borderId="48" applyNumberFormat="0" applyAlignment="0" applyProtection="0"/>
    <xf numFmtId="184" fontId="138" fillId="96"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138" fillId="75" borderId="48"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184" fontId="83" fillId="42" borderId="24" applyNumberFormat="0" applyAlignment="0" applyProtection="0"/>
    <xf numFmtId="185"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83" fillId="42" borderId="24" applyNumberFormat="0" applyAlignment="0" applyProtection="0"/>
    <xf numFmtId="183" fontId="83" fillId="42" borderId="24" applyNumberFormat="0" applyAlignment="0" applyProtection="0"/>
    <xf numFmtId="184" fontId="83" fillId="42" borderId="24" applyNumberFormat="0" applyAlignment="0" applyProtection="0"/>
    <xf numFmtId="184" fontId="83" fillId="42" borderId="24"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3" fillId="42" borderId="24"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3" fontId="138" fillId="75" borderId="48" applyNumberFormat="0" applyAlignment="0" applyProtection="0"/>
    <xf numFmtId="183"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38" fillId="75" borderId="48" applyNumberFormat="0" applyAlignment="0" applyProtection="0"/>
    <xf numFmtId="184" fontId="138" fillId="75" borderId="48" applyNumberFormat="0" applyAlignment="0" applyProtection="0"/>
    <xf numFmtId="184" fontId="138" fillId="75"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3" fontId="138" fillId="97" borderId="48" applyNumberFormat="0" applyAlignment="0" applyProtection="0"/>
    <xf numFmtId="183"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38" fillId="97" borderId="48" applyNumberFormat="0" applyAlignment="0" applyProtection="0"/>
    <xf numFmtId="184" fontId="138" fillId="97" borderId="48" applyNumberFormat="0" applyAlignment="0" applyProtection="0"/>
    <xf numFmtId="184" fontId="138" fillId="97" borderId="48" applyNumberFormat="0" applyAlignment="0" applyProtection="0"/>
    <xf numFmtId="0" fontId="83" fillId="42" borderId="24" applyNumberFormat="0" applyAlignment="0" applyProtection="0"/>
    <xf numFmtId="184" fontId="83" fillId="42" borderId="24" applyNumberFormat="0" applyAlignment="0" applyProtection="0"/>
    <xf numFmtId="0" fontId="138" fillId="96" borderId="48" applyNumberFormat="0" applyAlignment="0" applyProtection="0"/>
    <xf numFmtId="184" fontId="138" fillId="96" borderId="48" applyNumberFormat="0" applyAlignment="0" applyProtection="0"/>
    <xf numFmtId="184" fontId="83" fillId="42" borderId="24" applyNumberFormat="0" applyAlignment="0" applyProtection="0"/>
    <xf numFmtId="10" fontId="139" fillId="0" borderId="49" applyFont="0" applyFill="0" applyBorder="0" applyAlignment="0" applyProtection="0">
      <alignment horizontal="center"/>
      <protection locked="0"/>
    </xf>
    <xf numFmtId="10" fontId="139" fillId="0" borderId="49" applyFon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90" fontId="140" fillId="0" borderId="0" applyFont="0" applyFill="0" applyBorder="0" applyProtection="0">
      <alignment horizontal="center"/>
    </xf>
    <xf numFmtId="190" fontId="140" fillId="0" borderId="0" applyFont="0" applyFill="0" applyBorder="0" applyProtection="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4" fontId="30" fillId="0" borderId="0">
      <alignment horizontal="center" wrapText="1"/>
      <protection locked="0"/>
    </xf>
    <xf numFmtId="14" fontId="30" fillId="0" borderId="0">
      <alignment horizontal="center" wrapText="1"/>
      <protection locked="0"/>
    </xf>
    <xf numFmtId="14" fontId="30" fillId="0" borderId="0">
      <alignment horizontal="center" wrapText="1"/>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4" fontId="30" fillId="0" borderId="0">
      <alignment horizontal="center" wrapText="1"/>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204" fontId="20" fillId="0" borderId="0" applyFont="0" applyFill="0" applyBorder="0" applyAlignment="0" applyProtection="0"/>
    <xf numFmtId="204"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0"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136"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136"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 fillId="0" borderId="0"/>
    <xf numFmtId="183" fontId="4" fillId="0" borderId="0"/>
    <xf numFmtId="184" fontId="4" fillId="0" borderId="0"/>
    <xf numFmtId="184" fontId="4" fillId="0" borderId="0"/>
    <xf numFmtId="9" fontId="4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 fillId="0" borderId="0"/>
    <xf numFmtId="183" fontId="4" fillId="0" borderId="0"/>
    <xf numFmtId="184" fontId="4" fillId="0" borderId="0"/>
    <xf numFmtId="184" fontId="4" fillId="0" borderId="0"/>
    <xf numFmtId="9" fontId="4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applyFont="0" applyFill="0" applyBorder="0" applyAlignment="0" applyProtection="0"/>
    <xf numFmtId="9" fontId="20"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20" fillId="0" borderId="0"/>
    <xf numFmtId="10" fontId="141" fillId="0" borderId="50" applyFont="0" applyFill="0" applyBorder="0" applyAlignment="0" applyProtection="0">
      <alignment horizontal="center"/>
      <protection locked="0"/>
    </xf>
    <xf numFmtId="10" fontId="141" fillId="0" borderId="50" applyFon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33" fillId="0" borderId="0" applyFont="0" applyAlignment="0">
      <alignment horizontal="center" wrapText="1"/>
    </xf>
    <xf numFmtId="9" fontId="33" fillId="0" borderId="0" applyFont="0" applyAlignment="0">
      <alignment horizontal="center"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9" fontId="142" fillId="0" borderId="0" applyNumberFormat="0" applyFill="0" applyBorder="0" applyProtection="0">
      <alignment horizontal="right"/>
    </xf>
    <xf numFmtId="9" fontId="142" fillId="0" borderId="0" applyNumberFormat="0" applyFill="0" applyBorder="0" applyProtection="0">
      <alignment horizontal="righ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5"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83"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43" fillId="0" borderId="0" applyNumberFormat="0" applyFont="0" applyFill="0" applyBorder="0" applyAlignment="0" applyProtection="0">
      <alignment horizontal="left"/>
    </xf>
    <xf numFmtId="184"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5"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 fontId="43" fillId="0" borderId="0" applyFon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43" fillId="106" borderId="0" applyNumberFormat="0" applyFont="0" applyBorder="0" applyAlignment="0">
      <alignment horizontal="center"/>
    </xf>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5"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183"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43" fillId="106" borderId="0" applyNumberFormat="0" applyFont="0" applyBorder="0" applyAlignment="0">
      <alignment horizontal="center"/>
    </xf>
    <xf numFmtId="0" fontId="143" fillId="106" borderId="0" applyNumberFormat="0" applyFont="0" applyBorder="0" applyAlignment="0">
      <alignment horizontal="center"/>
    </xf>
    <xf numFmtId="183" fontId="143" fillId="106" borderId="0" applyNumberFormat="0" applyFont="0" applyBorder="0" applyAlignment="0">
      <alignment horizontal="center"/>
    </xf>
    <xf numFmtId="184" fontId="143" fillId="106" borderId="0" applyNumberFormat="0" applyFont="0" applyBorder="0" applyAlignment="0">
      <alignment horizontal="center"/>
    </xf>
    <xf numFmtId="184" fontId="143" fillId="106" borderId="0" applyNumberFormat="0" applyFont="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43" fillId="106" borderId="0" applyNumberFormat="0" applyFont="0" applyBorder="0" applyAlignment="0">
      <alignment horizontal="center"/>
    </xf>
    <xf numFmtId="184" fontId="143" fillId="106" borderId="0" applyNumberFormat="0" applyFont="0" applyBorder="0" applyAlignment="0">
      <alignment horizontal="center"/>
    </xf>
    <xf numFmtId="205" fontId="144" fillId="0" borderId="0" applyNumberFormat="0" applyFill="0" applyBorder="0" applyAlignment="0" applyProtection="0">
      <alignment horizontal="left"/>
    </xf>
    <xf numFmtId="205" fontId="144" fillId="0" borderId="0" applyNumberFormat="0" applyFill="0" applyBorder="0" applyAlignment="0" applyProtection="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4" fontId="22" fillId="25" borderId="32" applyNumberFormat="0" applyProtection="0">
      <alignment vertical="center"/>
    </xf>
    <xf numFmtId="4" fontId="22" fillId="25" borderId="32" applyNumberFormat="0" applyProtection="0">
      <alignment vertical="center"/>
    </xf>
    <xf numFmtId="0" fontId="20" fillId="0" borderId="0"/>
    <xf numFmtId="184" fontId="20" fillId="0" borderId="0"/>
    <xf numFmtId="4" fontId="22" fillId="25" borderId="32" applyNumberFormat="0" applyProtection="0">
      <alignment vertical="center"/>
    </xf>
    <xf numFmtId="184" fontId="20" fillId="0" borderId="0"/>
    <xf numFmtId="4" fontId="42" fillId="25" borderId="1"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0" fontId="4" fillId="0" borderId="0"/>
    <xf numFmtId="183" fontId="4" fillId="0" borderId="0"/>
    <xf numFmtId="184" fontId="4" fillId="0" borderId="0"/>
    <xf numFmtId="184" fontId="4" fillId="0" borderId="0"/>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22" fillId="25" borderId="32" applyNumberFormat="0" applyProtection="0">
      <alignment vertical="center"/>
    </xf>
    <xf numFmtId="4" fontId="42" fillId="25" borderId="1" applyNumberFormat="0" applyProtection="0">
      <alignment vertical="center"/>
    </xf>
    <xf numFmtId="4" fontId="42" fillId="25"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2" fillId="25"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145" fillId="107" borderId="32" applyNumberFormat="0" applyProtection="0">
      <alignment vertical="center"/>
    </xf>
    <xf numFmtId="184" fontId="20" fillId="0" borderId="0"/>
    <xf numFmtId="4" fontId="44" fillId="25" borderId="1"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0" fontId="4" fillId="0" borderId="0"/>
    <xf numFmtId="183" fontId="4" fillId="0" borderId="0"/>
    <xf numFmtId="184" fontId="4" fillId="0" borderId="0"/>
    <xf numFmtId="184" fontId="4" fillId="0" borderId="0"/>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145" fillId="107" borderId="32" applyNumberFormat="0" applyProtection="0">
      <alignment vertical="center"/>
    </xf>
    <xf numFmtId="4" fontId="44" fillId="25" borderId="1" applyNumberFormat="0" applyProtection="0">
      <alignment vertical="center"/>
    </xf>
    <xf numFmtId="4" fontId="44" fillId="25"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4" fillId="25"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07" borderId="32" applyNumberFormat="0" applyProtection="0">
      <alignment horizontal="left" vertical="center" indent="1"/>
    </xf>
    <xf numFmtId="4" fontId="22" fillId="107" borderId="32" applyNumberFormat="0" applyProtection="0">
      <alignment horizontal="left" vertical="center" indent="1"/>
    </xf>
    <xf numFmtId="0" fontId="20" fillId="0" borderId="0"/>
    <xf numFmtId="184" fontId="20" fillId="0" borderId="0"/>
    <xf numFmtId="4" fontId="22" fillId="107" borderId="32" applyNumberFormat="0" applyProtection="0">
      <alignment horizontal="left" vertical="center" indent="1"/>
    </xf>
    <xf numFmtId="184" fontId="20" fillId="0" borderId="0"/>
    <xf numFmtId="4" fontId="42" fillId="25" borderId="1"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0" fontId="4" fillId="0" borderId="0"/>
    <xf numFmtId="183" fontId="4" fillId="0" borderId="0"/>
    <xf numFmtId="184" fontId="4" fillId="0" borderId="0"/>
    <xf numFmtId="184" fontId="4" fillId="0" borderId="0"/>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22" fillId="107" borderId="32" applyNumberFormat="0" applyProtection="0">
      <alignment horizontal="left" vertical="center" indent="1"/>
    </xf>
    <xf numFmtId="4" fontId="42" fillId="25" borderId="1" applyNumberFormat="0" applyProtection="0">
      <alignment horizontal="left" vertical="center" indent="1"/>
    </xf>
    <xf numFmtId="4" fontId="42" fillId="25"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2" fillId="25"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187" fontId="42" fillId="25" borderId="1" applyNumberFormat="0" applyProtection="0">
      <alignment horizontal="left" vertical="top" indent="1"/>
    </xf>
    <xf numFmtId="0" fontId="20" fillId="0" borderId="0"/>
    <xf numFmtId="184" fontId="20" fillId="0" borderId="0"/>
    <xf numFmtId="187"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20" fillId="0" borderId="0"/>
    <xf numFmtId="184" fontId="20" fillId="0" borderId="0"/>
    <xf numFmtId="0" fontId="20" fillId="0" borderId="0"/>
    <xf numFmtId="184" fontId="20" fillId="0" borderId="0"/>
    <xf numFmtId="0" fontId="146" fillId="25" borderId="1" applyNumberFormat="0" applyProtection="0">
      <alignment horizontal="left" vertical="top" indent="1"/>
    </xf>
    <xf numFmtId="184" fontId="146" fillId="25" borderId="1" applyNumberFormat="0" applyProtection="0">
      <alignment horizontal="left" vertical="top" indent="1"/>
    </xf>
    <xf numFmtId="184" fontId="20" fillId="0" borderId="0"/>
    <xf numFmtId="182" fontId="146"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 fillId="0" borderId="0"/>
    <xf numFmtId="183" fontId="4" fillId="0" borderId="0"/>
    <xf numFmtId="184" fontId="4" fillId="0" borderId="0"/>
    <xf numFmtId="184" fontId="4" fillId="0" borderId="0"/>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146" fillId="25" borderId="1" applyNumberFormat="0" applyProtection="0">
      <alignment horizontal="left" vertical="top" indent="1"/>
    </xf>
    <xf numFmtId="183" fontId="146" fillId="25" borderId="1" applyNumberFormat="0" applyProtection="0">
      <alignment horizontal="left" vertical="top" indent="1"/>
    </xf>
    <xf numFmtId="183"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146" fillId="25" borderId="1" applyNumberFormat="0" applyProtection="0">
      <alignment horizontal="left" vertical="top" indent="1"/>
    </xf>
    <xf numFmtId="184" fontId="146" fillId="25" borderId="1" applyNumberFormat="0" applyProtection="0">
      <alignment horizontal="left" vertical="top" indent="1"/>
    </xf>
    <xf numFmtId="184" fontId="146"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2" fillId="25" borderId="1" applyNumberFormat="0" applyProtection="0">
      <alignment horizontal="left" vertical="top" indent="1"/>
    </xf>
    <xf numFmtId="184" fontId="42" fillId="25" borderId="1" applyNumberFormat="0" applyProtection="0">
      <alignment horizontal="left" vertical="top" indent="1"/>
    </xf>
    <xf numFmtId="184" fontId="42" fillId="25"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42" fillId="27"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20" fillId="0" borderId="0"/>
    <xf numFmtId="184" fontId="20" fillId="0" borderId="0"/>
    <xf numFmtId="4" fontId="22" fillId="2" borderId="32" applyNumberFormat="0" applyProtection="0">
      <alignment horizontal="right" vertical="center"/>
    </xf>
    <xf numFmtId="4" fontId="22" fillId="2" borderId="32" applyNumberFormat="0" applyProtection="0">
      <alignment horizontal="right" vertical="center"/>
    </xf>
    <xf numFmtId="0" fontId="20" fillId="0" borderId="0"/>
    <xf numFmtId="184" fontId="20" fillId="0" borderId="0"/>
    <xf numFmtId="4" fontId="22" fillId="2" borderId="32" applyNumberFormat="0" applyProtection="0">
      <alignment horizontal="right" vertical="center"/>
    </xf>
    <xf numFmtId="184" fontId="20" fillId="0" borderId="0"/>
    <xf numFmtId="4" fontId="40" fillId="2" borderId="1"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22" fillId="2" borderId="32"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 borderId="1" applyNumberFormat="0" applyProtection="0">
      <alignment horizontal="right" vertical="center"/>
    </xf>
    <xf numFmtId="4" fontId="40" fillId="2" borderId="1" applyNumberFormat="0" applyProtection="0">
      <alignment horizontal="right" vertical="center"/>
    </xf>
    <xf numFmtId="4" fontId="40" fillId="2"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08" borderId="32" applyNumberFormat="0" applyProtection="0">
      <alignment horizontal="right" vertical="center"/>
    </xf>
    <xf numFmtId="4" fontId="22" fillId="108" borderId="32" applyNumberFormat="0" applyProtection="0">
      <alignment horizontal="right" vertical="center"/>
    </xf>
    <xf numFmtId="0" fontId="20" fillId="0" borderId="0"/>
    <xf numFmtId="184" fontId="20" fillId="0" borderId="0"/>
    <xf numFmtId="4" fontId="22" fillId="108" borderId="32" applyNumberFormat="0" applyProtection="0">
      <alignment horizontal="right" vertical="center"/>
    </xf>
    <xf numFmtId="184" fontId="20" fillId="0" borderId="0"/>
    <xf numFmtId="4" fontId="40" fillId="4" borderId="1"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22" fillId="108" borderId="32"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4" borderId="1" applyNumberFormat="0" applyProtection="0">
      <alignment horizontal="right" vertical="center"/>
    </xf>
    <xf numFmtId="4" fontId="40" fillId="4" borderId="1" applyNumberFormat="0" applyProtection="0">
      <alignment horizontal="right" vertical="center"/>
    </xf>
    <xf numFmtId="4" fontId="40" fillId="4"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1" borderId="51" applyNumberFormat="0" applyProtection="0">
      <alignment horizontal="right" vertical="center"/>
    </xf>
    <xf numFmtId="4" fontId="22" fillId="11" borderId="51" applyNumberFormat="0" applyProtection="0">
      <alignment horizontal="right" vertical="center"/>
    </xf>
    <xf numFmtId="0" fontId="20" fillId="0" borderId="0"/>
    <xf numFmtId="184" fontId="20" fillId="0" borderId="0"/>
    <xf numFmtId="184" fontId="20" fillId="0" borderId="0"/>
    <xf numFmtId="4" fontId="40" fillId="11" borderId="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0" fontId="4" fillId="0" borderId="0"/>
    <xf numFmtId="183" fontId="4" fillId="0" borderId="0"/>
    <xf numFmtId="184" fontId="4" fillId="0" borderId="0"/>
    <xf numFmtId="184" fontId="4" fillId="0" borderId="0"/>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22" fillId="11" borderId="5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11" borderId="1" applyNumberFormat="0" applyProtection="0">
      <alignment horizontal="right" vertical="center"/>
    </xf>
    <xf numFmtId="4" fontId="40" fillId="11" borderId="1" applyNumberFormat="0" applyProtection="0">
      <alignment horizontal="right" vertical="center"/>
    </xf>
    <xf numFmtId="4" fontId="40" fillId="11"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6" borderId="32" applyNumberFormat="0" applyProtection="0">
      <alignment horizontal="right" vertical="center"/>
    </xf>
    <xf numFmtId="4" fontId="22" fillId="6" borderId="32" applyNumberFormat="0" applyProtection="0">
      <alignment horizontal="right" vertical="center"/>
    </xf>
    <xf numFmtId="0" fontId="20" fillId="0" borderId="0"/>
    <xf numFmtId="184" fontId="20" fillId="0" borderId="0"/>
    <xf numFmtId="4" fontId="22" fillId="6" borderId="32" applyNumberFormat="0" applyProtection="0">
      <alignment horizontal="right" vertical="center"/>
    </xf>
    <xf numFmtId="184" fontId="20" fillId="0" borderId="0"/>
    <xf numFmtId="4" fontId="40" fillId="6" borderId="1"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22" fillId="6" borderId="32"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6" borderId="1" applyNumberFormat="0" applyProtection="0">
      <alignment horizontal="right" vertical="center"/>
    </xf>
    <xf numFmtId="4" fontId="40" fillId="6" borderId="1" applyNumberFormat="0" applyProtection="0">
      <alignment horizontal="right" vertical="center"/>
    </xf>
    <xf numFmtId="4" fontId="40" fillId="6"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7" borderId="32" applyNumberFormat="0" applyProtection="0">
      <alignment horizontal="right" vertical="center"/>
    </xf>
    <xf numFmtId="4" fontId="22" fillId="7" borderId="32" applyNumberFormat="0" applyProtection="0">
      <alignment horizontal="right" vertical="center"/>
    </xf>
    <xf numFmtId="0" fontId="20" fillId="0" borderId="0"/>
    <xf numFmtId="184" fontId="20" fillId="0" borderId="0"/>
    <xf numFmtId="4" fontId="22" fillId="7" borderId="32" applyNumberFormat="0" applyProtection="0">
      <alignment horizontal="right" vertical="center"/>
    </xf>
    <xf numFmtId="184" fontId="20" fillId="0" borderId="0"/>
    <xf numFmtId="4" fontId="40" fillId="7" borderId="1"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22" fillId="7" borderId="32"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7" borderId="1" applyNumberFormat="0" applyProtection="0">
      <alignment horizontal="right" vertical="center"/>
    </xf>
    <xf numFmtId="4" fontId="40" fillId="7" borderId="1" applyNumberFormat="0" applyProtection="0">
      <alignment horizontal="right" vertical="center"/>
    </xf>
    <xf numFmtId="4" fontId="40" fillId="7"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9" borderId="32" applyNumberFormat="0" applyProtection="0">
      <alignment horizontal="right" vertical="center"/>
    </xf>
    <xf numFmtId="4" fontId="22" fillId="19" borderId="32" applyNumberFormat="0" applyProtection="0">
      <alignment horizontal="right" vertical="center"/>
    </xf>
    <xf numFmtId="0" fontId="20" fillId="0" borderId="0"/>
    <xf numFmtId="184" fontId="20" fillId="0" borderId="0"/>
    <xf numFmtId="4" fontId="22" fillId="19" borderId="32" applyNumberFormat="0" applyProtection="0">
      <alignment horizontal="right" vertical="center"/>
    </xf>
    <xf numFmtId="184" fontId="20" fillId="0" borderId="0"/>
    <xf numFmtId="4" fontId="40" fillId="19" borderId="1"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22" fillId="19" borderId="32"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19" borderId="1" applyNumberFormat="0" applyProtection="0">
      <alignment horizontal="right" vertical="center"/>
    </xf>
    <xf numFmtId="4" fontId="40" fillId="19" borderId="1" applyNumberFormat="0" applyProtection="0">
      <alignment horizontal="right" vertical="center"/>
    </xf>
    <xf numFmtId="4" fontId="40" fillId="19"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15" borderId="32" applyNumberFormat="0" applyProtection="0">
      <alignment horizontal="right" vertical="center"/>
    </xf>
    <xf numFmtId="4" fontId="22" fillId="15" borderId="32" applyNumberFormat="0" applyProtection="0">
      <alignment horizontal="right" vertical="center"/>
    </xf>
    <xf numFmtId="0" fontId="20" fillId="0" borderId="0"/>
    <xf numFmtId="184" fontId="20" fillId="0" borderId="0"/>
    <xf numFmtId="4" fontId="22" fillId="15" borderId="32" applyNumberFormat="0" applyProtection="0">
      <alignment horizontal="right" vertical="center"/>
    </xf>
    <xf numFmtId="184" fontId="20" fillId="0" borderId="0"/>
    <xf numFmtId="4" fontId="40" fillId="15" borderId="1"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22" fillId="15" borderId="32"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15" borderId="1" applyNumberFormat="0" applyProtection="0">
      <alignment horizontal="right" vertical="center"/>
    </xf>
    <xf numFmtId="4" fontId="40" fillId="15" borderId="1" applyNumberFormat="0" applyProtection="0">
      <alignment horizontal="right" vertical="center"/>
    </xf>
    <xf numFmtId="4" fontId="40" fillId="15"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8" borderId="32" applyNumberFormat="0" applyProtection="0">
      <alignment horizontal="right" vertical="center"/>
    </xf>
    <xf numFmtId="4" fontId="22" fillId="28" borderId="32" applyNumberFormat="0" applyProtection="0">
      <alignment horizontal="right" vertical="center"/>
    </xf>
    <xf numFmtId="0" fontId="20" fillId="0" borderId="0"/>
    <xf numFmtId="184" fontId="20" fillId="0" borderId="0"/>
    <xf numFmtId="4" fontId="22" fillId="28" borderId="32" applyNumberFormat="0" applyProtection="0">
      <alignment horizontal="right" vertical="center"/>
    </xf>
    <xf numFmtId="184" fontId="20" fillId="0" borderId="0"/>
    <xf numFmtId="4" fontId="40" fillId="28" borderId="1"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22" fillId="28" borderId="32"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8" borderId="1" applyNumberFormat="0" applyProtection="0">
      <alignment horizontal="right" vertical="center"/>
    </xf>
    <xf numFmtId="4" fontId="40" fillId="28" borderId="1" applyNumberFormat="0" applyProtection="0">
      <alignment horizontal="right" vertical="center"/>
    </xf>
    <xf numFmtId="4" fontId="40" fillId="28"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5" borderId="32" applyNumberFormat="0" applyProtection="0">
      <alignment horizontal="right" vertical="center"/>
    </xf>
    <xf numFmtId="4" fontId="22" fillId="5" borderId="32" applyNumberFormat="0" applyProtection="0">
      <alignment horizontal="right" vertical="center"/>
    </xf>
    <xf numFmtId="0" fontId="20" fillId="0" borderId="0"/>
    <xf numFmtId="184" fontId="20" fillId="0" borderId="0"/>
    <xf numFmtId="4" fontId="22" fillId="5" borderId="32" applyNumberFormat="0" applyProtection="0">
      <alignment horizontal="right" vertical="center"/>
    </xf>
    <xf numFmtId="184" fontId="20" fillId="0" borderId="0"/>
    <xf numFmtId="4" fontId="40" fillId="5" borderId="1"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22" fillId="5" borderId="32"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5" borderId="1" applyNumberFormat="0" applyProtection="0">
      <alignment horizontal="right" vertical="center"/>
    </xf>
    <xf numFmtId="4" fontId="40" fillId="5" borderId="1" applyNumberFormat="0" applyProtection="0">
      <alignment horizontal="right" vertical="center"/>
    </xf>
    <xf numFmtId="4" fontId="40" fillId="5"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9" borderId="51" applyNumberFormat="0" applyProtection="0">
      <alignment horizontal="left" vertical="center" indent="1"/>
    </xf>
    <xf numFmtId="4" fontId="22" fillId="29" borderId="51" applyNumberFormat="0" applyProtection="0">
      <alignment horizontal="left" vertical="center" indent="1"/>
    </xf>
    <xf numFmtId="0" fontId="20" fillId="0" borderId="0"/>
    <xf numFmtId="184" fontId="20" fillId="0" borderId="0"/>
    <xf numFmtId="184" fontId="20" fillId="0" borderId="0"/>
    <xf numFmtId="4" fontId="42" fillId="29" borderId="2"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22" fillId="29" borderId="51" applyNumberFormat="0" applyProtection="0">
      <alignment horizontal="left" vertical="center" indent="1"/>
    </xf>
    <xf numFmtId="4" fontId="42" fillId="29" borderId="2"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184" fontId="20" fillId="0" borderId="0"/>
    <xf numFmtId="4" fontId="40" fillId="30" borderId="0"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0"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184" fontId="20" fillId="0" borderId="0"/>
    <xf numFmtId="4" fontId="45" fillId="31" borderId="0"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20" fillId="31" borderId="51" applyNumberFormat="0" applyProtection="0">
      <alignment horizontal="left" vertical="center" indent="1"/>
    </xf>
    <xf numFmtId="4" fontId="45" fillId="31"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7" borderId="32" applyNumberFormat="0" applyProtection="0">
      <alignment horizontal="right" vertical="center"/>
    </xf>
    <xf numFmtId="4" fontId="22" fillId="27" borderId="32" applyNumberFormat="0" applyProtection="0">
      <alignment horizontal="right" vertical="center"/>
    </xf>
    <xf numFmtId="0" fontId="20" fillId="0" borderId="0"/>
    <xf numFmtId="184" fontId="20" fillId="0" borderId="0"/>
    <xf numFmtId="4" fontId="22" fillId="27" borderId="32" applyNumberFormat="0" applyProtection="0">
      <alignment horizontal="right" vertical="center"/>
    </xf>
    <xf numFmtId="184" fontId="20" fillId="0" borderId="0"/>
    <xf numFmtId="4" fontId="40" fillId="27" borderId="1"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0" fontId="4" fillId="0" borderId="0"/>
    <xf numFmtId="183" fontId="4" fillId="0" borderId="0"/>
    <xf numFmtId="184" fontId="4" fillId="0" borderId="0"/>
    <xf numFmtId="184" fontId="4" fillId="0" borderId="0"/>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22" fillId="27" borderId="32"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1" applyNumberFormat="0" applyProtection="0">
      <alignment horizontal="right" vertical="center"/>
    </xf>
    <xf numFmtId="4" fontId="40" fillId="27" borderId="1" applyNumberFormat="0" applyProtection="0">
      <alignment horizontal="right" vertical="center"/>
    </xf>
    <xf numFmtId="4" fontId="40" fillId="27"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30" borderId="51" applyNumberFormat="0" applyProtection="0">
      <alignment horizontal="left" vertical="center" indent="1"/>
    </xf>
    <xf numFmtId="4" fontId="22" fillId="30" borderId="51" applyNumberFormat="0" applyProtection="0">
      <alignment horizontal="left" vertical="center" indent="1"/>
    </xf>
    <xf numFmtId="0" fontId="20" fillId="0" borderId="0"/>
    <xf numFmtId="184" fontId="20" fillId="0" borderId="0"/>
    <xf numFmtId="184" fontId="20" fillId="0" borderId="0"/>
    <xf numFmtId="4" fontId="40" fillId="30" borderId="0"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22" fillId="30" borderId="51"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4" fontId="40" fillId="30"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0"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22" fillId="27" borderId="51" applyNumberFormat="0" applyProtection="0">
      <alignment horizontal="left" vertical="center" indent="1"/>
    </xf>
    <xf numFmtId="4" fontId="22" fillId="27" borderId="51" applyNumberFormat="0" applyProtection="0">
      <alignment horizontal="left" vertical="center" indent="1"/>
    </xf>
    <xf numFmtId="0" fontId="20" fillId="0" borderId="0"/>
    <xf numFmtId="184" fontId="20" fillId="0" borderId="0"/>
    <xf numFmtId="184" fontId="20" fillId="0" borderId="0"/>
    <xf numFmtId="4" fontId="40" fillId="27" borderId="0"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22" fillId="27" borderId="51"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4" fontId="40" fillId="27"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0"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187" fontId="20" fillId="31" borderId="1" applyNumberFormat="0" applyProtection="0">
      <alignment horizontal="left" vertical="center" indent="1"/>
    </xf>
    <xf numFmtId="0" fontId="20" fillId="0" borderId="0"/>
    <xf numFmtId="184" fontId="20" fillId="0" borderId="0"/>
    <xf numFmtId="187"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0" borderId="0"/>
    <xf numFmtId="184" fontId="20" fillId="0" borderId="0"/>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0" fontId="20" fillId="0" borderId="0"/>
    <xf numFmtId="184" fontId="20" fillId="0" borderId="0"/>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0" fillId="0" borderId="0"/>
    <xf numFmtId="182" fontId="22" fillId="75" borderId="32" applyNumberFormat="0" applyProtection="0">
      <alignment horizontal="left" vertical="center" indent="1"/>
    </xf>
    <xf numFmtId="184"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3"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2" fillId="75" borderId="32" applyNumberFormat="0" applyProtection="0">
      <alignment horizontal="left" vertical="center" indent="1"/>
    </xf>
    <xf numFmtId="187" fontId="22" fillId="75" borderId="32" applyNumberFormat="0" applyProtection="0">
      <alignment horizontal="left" vertical="center" indent="1"/>
    </xf>
    <xf numFmtId="187"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7"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7"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0" fontId="22" fillId="75" borderId="32" applyNumberFormat="0" applyProtection="0">
      <alignment horizontal="left" vertical="center" indent="1"/>
    </xf>
    <xf numFmtId="184" fontId="22" fillId="75" borderId="32" applyNumberFormat="0" applyProtection="0">
      <alignment horizontal="left" vertical="center" indent="1"/>
    </xf>
    <xf numFmtId="184" fontId="22" fillId="75" borderId="32"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center" indent="1"/>
    </xf>
    <xf numFmtId="184" fontId="20" fillId="31" borderId="1" applyNumberFormat="0" applyProtection="0">
      <alignment horizontal="left" vertical="center" indent="1"/>
    </xf>
    <xf numFmtId="184" fontId="20" fillId="31"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7" fontId="20"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7"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2"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1" borderId="1" applyNumberFormat="0" applyProtection="0">
      <alignment horizontal="left" vertical="top" indent="1"/>
    </xf>
    <xf numFmtId="184" fontId="20" fillId="31" borderId="1" applyNumberFormat="0" applyProtection="0">
      <alignment horizontal="left" vertical="top" indent="1"/>
    </xf>
    <xf numFmtId="184" fontId="20"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5"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5"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5"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0"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1" borderId="1" applyNumberFormat="0" applyProtection="0">
      <alignment horizontal="left" vertical="top" indent="1"/>
    </xf>
    <xf numFmtId="183"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22" fillId="31" borderId="1" applyNumberFormat="0" applyProtection="0">
      <alignment horizontal="left" vertical="top" indent="1"/>
    </xf>
    <xf numFmtId="184" fontId="22" fillId="31" borderId="1" applyNumberFormat="0" applyProtection="0">
      <alignment horizontal="left" vertical="top" indent="1"/>
    </xf>
    <xf numFmtId="184" fontId="22" fillId="31" borderId="1" applyNumberFormat="0" applyProtection="0">
      <alignment horizontal="left" vertical="top" indent="1"/>
    </xf>
    <xf numFmtId="0" fontId="4" fillId="0" borderId="0"/>
    <xf numFmtId="183" fontId="4" fillId="0" borderId="0"/>
    <xf numFmtId="184" fontId="4" fillId="0" borderId="0"/>
    <xf numFmtId="184" fontId="4" fillId="0" borderId="0"/>
    <xf numFmtId="0" fontId="20" fillId="0" borderId="0"/>
    <xf numFmtId="184" fontId="20" fillId="0" borderId="0"/>
    <xf numFmtId="187" fontId="20" fillId="27" borderId="1" applyNumberFormat="0" applyProtection="0">
      <alignment horizontal="left" vertical="center" indent="1"/>
    </xf>
    <xf numFmtId="0" fontId="20" fillId="0" borderId="0"/>
    <xf numFmtId="184" fontId="20" fillId="0" borderId="0"/>
    <xf numFmtId="187"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0" borderId="0"/>
    <xf numFmtId="184" fontId="20" fillId="0" borderId="0"/>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0" fontId="20" fillId="0" borderId="0"/>
    <xf numFmtId="184" fontId="20" fillId="0" borderId="0"/>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0" fillId="0" borderId="0"/>
    <xf numFmtId="182" fontId="22" fillId="109" borderId="32" applyNumberFormat="0" applyProtection="0">
      <alignment horizontal="left" vertical="center" indent="1"/>
    </xf>
    <xf numFmtId="184"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3"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2" fillId="109" borderId="32" applyNumberFormat="0" applyProtection="0">
      <alignment horizontal="left" vertical="center" indent="1"/>
    </xf>
    <xf numFmtId="187" fontId="22" fillId="109" borderId="32" applyNumberFormat="0" applyProtection="0">
      <alignment horizontal="left" vertical="center" indent="1"/>
    </xf>
    <xf numFmtId="187"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7"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7"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0" fontId="22" fillId="109" borderId="32" applyNumberFormat="0" applyProtection="0">
      <alignment horizontal="left" vertical="center" indent="1"/>
    </xf>
    <xf numFmtId="184" fontId="22" fillId="109" borderId="32" applyNumberFormat="0" applyProtection="0">
      <alignment horizontal="left" vertical="center" indent="1"/>
    </xf>
    <xf numFmtId="184" fontId="22" fillId="109" borderId="32"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center" indent="1"/>
    </xf>
    <xf numFmtId="184" fontId="20" fillId="27" borderId="1" applyNumberFormat="0" applyProtection="0">
      <alignment horizontal="left" vertical="center" indent="1"/>
    </xf>
    <xf numFmtId="184" fontId="20" fillId="27"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0" fillId="0" borderId="0"/>
    <xf numFmtId="184" fontId="20" fillId="0" borderId="0"/>
    <xf numFmtId="187" fontId="20" fillId="27" borderId="1" applyNumberFormat="0" applyProtection="0">
      <alignment horizontal="left" vertical="top" indent="1"/>
    </xf>
    <xf numFmtId="0" fontId="20" fillId="0" borderId="0"/>
    <xf numFmtId="184" fontId="20" fillId="0" borderId="0"/>
    <xf numFmtId="187"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0" borderId="0"/>
    <xf numFmtId="184" fontId="20" fillId="0" borderId="0"/>
    <xf numFmtId="0"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0" fontId="20" fillId="0" borderId="0"/>
    <xf numFmtId="184" fontId="20" fillId="0" borderId="0"/>
    <xf numFmtId="0" fontId="22" fillId="27" borderId="1" applyNumberFormat="0" applyProtection="0">
      <alignment horizontal="left" vertical="top" indent="1"/>
    </xf>
    <xf numFmtId="184" fontId="22"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4" fontId="20" fillId="0" borderId="0"/>
    <xf numFmtId="182" fontId="22" fillId="27" borderId="1" applyNumberFormat="0" applyProtection="0">
      <alignment horizontal="left" vertical="top" indent="1"/>
    </xf>
    <xf numFmtId="0" fontId="22" fillId="27" borderId="1" applyNumberFormat="0" applyProtection="0">
      <alignment horizontal="left" vertical="top" indent="1"/>
    </xf>
    <xf numFmtId="0" fontId="22"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27" borderId="1" applyNumberFormat="0" applyProtection="0">
      <alignment horizontal="left" vertical="top" indent="1"/>
    </xf>
    <xf numFmtId="184" fontId="20" fillId="27" borderId="1" applyNumberFormat="0" applyProtection="0">
      <alignment horizontal="left" vertical="top" indent="1"/>
    </xf>
    <xf numFmtId="184" fontId="20" fillId="27"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0"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27" borderId="1" applyNumberFormat="0" applyProtection="0">
      <alignment horizontal="left" vertical="top" indent="1"/>
    </xf>
    <xf numFmtId="183"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22" fillId="27" borderId="1" applyNumberFormat="0" applyProtection="0">
      <alignment horizontal="left" vertical="top" indent="1"/>
    </xf>
    <xf numFmtId="184" fontId="22" fillId="27" borderId="1" applyNumberFormat="0" applyProtection="0">
      <alignment horizontal="left" vertical="top" indent="1"/>
    </xf>
    <xf numFmtId="184" fontId="22"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20" fillId="0" borderId="0"/>
    <xf numFmtId="184" fontId="20" fillId="0" borderId="0"/>
    <xf numFmtId="187" fontId="20" fillId="3" borderId="1" applyNumberFormat="0" applyProtection="0">
      <alignment horizontal="left" vertical="center" indent="1"/>
    </xf>
    <xf numFmtId="0" fontId="20" fillId="0" borderId="0"/>
    <xf numFmtId="184" fontId="20" fillId="0" borderId="0"/>
    <xf numFmtId="187"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0" borderId="0"/>
    <xf numFmtId="184" fontId="20" fillId="0" borderId="0"/>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0" fontId="20" fillId="0" borderId="0"/>
    <xf numFmtId="184" fontId="20" fillId="0" borderId="0"/>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0" fillId="0" borderId="0"/>
    <xf numFmtId="182" fontId="22" fillId="3" borderId="32"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183"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2" fillId="3" borderId="32" applyNumberFormat="0" applyProtection="0">
      <alignment horizontal="left" vertical="center" indent="1"/>
    </xf>
    <xf numFmtId="184" fontId="22" fillId="3" borderId="32" applyNumberFormat="0" applyProtection="0">
      <alignment horizontal="left" vertical="center" indent="1"/>
    </xf>
    <xf numFmtId="184" fontId="22" fillId="3" borderId="32" applyNumberFormat="0" applyProtection="0">
      <alignment horizontal="left" vertical="center" indent="1"/>
    </xf>
    <xf numFmtId="0"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center" indent="1"/>
    </xf>
    <xf numFmtId="184" fontId="20" fillId="3" borderId="1" applyNumberFormat="0" applyProtection="0">
      <alignment horizontal="left" vertical="center" indent="1"/>
    </xf>
    <xf numFmtId="184" fontId="20" fillId="3"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0" fillId="0" borderId="0"/>
    <xf numFmtId="184" fontId="20" fillId="0" borderId="0"/>
    <xf numFmtId="187" fontId="20" fillId="3" borderId="1" applyNumberFormat="0" applyProtection="0">
      <alignment horizontal="left" vertical="top" indent="1"/>
    </xf>
    <xf numFmtId="0" fontId="20" fillId="0" borderId="0"/>
    <xf numFmtId="184" fontId="20" fillId="0" borderId="0"/>
    <xf numFmtId="187"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0" borderId="0"/>
    <xf numFmtId="184" fontId="20" fillId="0" borderId="0"/>
    <xf numFmtId="0"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0" fontId="20" fillId="0" borderId="0"/>
    <xf numFmtId="184" fontId="20" fillId="0" borderId="0"/>
    <xf numFmtId="0" fontId="22" fillId="3" borderId="1" applyNumberFormat="0" applyProtection="0">
      <alignment horizontal="left" vertical="top" indent="1"/>
    </xf>
    <xf numFmtId="184" fontId="22"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4" fontId="20" fillId="0" borderId="0"/>
    <xf numFmtId="182" fontId="22" fillId="3" borderId="1" applyNumberFormat="0" applyProtection="0">
      <alignment horizontal="left" vertical="top" indent="1"/>
    </xf>
    <xf numFmtId="0" fontId="22" fillId="3" borderId="1" applyNumberFormat="0" applyProtection="0">
      <alignment horizontal="left" vertical="top" indent="1"/>
    </xf>
    <xf numFmtId="0" fontId="22"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 borderId="1" applyNumberFormat="0" applyProtection="0">
      <alignment horizontal="left" vertical="top" indent="1"/>
    </xf>
    <xf numFmtId="184" fontId="20" fillId="3" borderId="1" applyNumberFormat="0" applyProtection="0">
      <alignment horizontal="left" vertical="top" indent="1"/>
    </xf>
    <xf numFmtId="184" fontId="20" fillId="3"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0"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 borderId="1" applyNumberFormat="0" applyProtection="0">
      <alignment horizontal="left" vertical="top" indent="1"/>
    </xf>
    <xf numFmtId="183"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22" fillId="3" borderId="1" applyNumberFormat="0" applyProtection="0">
      <alignment horizontal="left" vertical="top" indent="1"/>
    </xf>
    <xf numFmtId="184" fontId="22" fillId="3" borderId="1" applyNumberFormat="0" applyProtection="0">
      <alignment horizontal="left" vertical="top" indent="1"/>
    </xf>
    <xf numFmtId="184" fontId="22" fillId="3" borderId="1" applyNumberFormat="0" applyProtection="0">
      <alignment horizontal="left" vertical="top" indent="1"/>
    </xf>
    <xf numFmtId="0" fontId="4" fillId="0" borderId="0"/>
    <xf numFmtId="183" fontId="4" fillId="0" borderId="0"/>
    <xf numFmtId="184" fontId="4" fillId="0" borderId="0"/>
    <xf numFmtId="184" fontId="4" fillId="0" borderId="0"/>
    <xf numFmtId="0" fontId="20" fillId="0" borderId="0"/>
    <xf numFmtId="184" fontId="20" fillId="0" borderId="0"/>
    <xf numFmtId="187" fontId="20" fillId="30" borderId="1" applyNumberFormat="0" applyProtection="0">
      <alignment horizontal="left" vertical="center" indent="1"/>
    </xf>
    <xf numFmtId="0" fontId="20" fillId="0" borderId="0"/>
    <xf numFmtId="184" fontId="20" fillId="0" borderId="0"/>
    <xf numFmtId="187"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0" borderId="0"/>
    <xf numFmtId="184" fontId="20" fillId="0" borderId="0"/>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0" fontId="20" fillId="0" borderId="0"/>
    <xf numFmtId="184" fontId="20" fillId="0" borderId="0"/>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0" fillId="0" borderId="0"/>
    <xf numFmtId="182" fontId="22" fillId="30" borderId="32"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4" fillId="0" borderId="0"/>
    <xf numFmtId="183" fontId="4" fillId="0" borderId="0"/>
    <xf numFmtId="184" fontId="4" fillId="0" borderId="0"/>
    <xf numFmtId="184" fontId="4" fillId="0" borderId="0"/>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183"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2" fillId="30" borderId="32" applyNumberFormat="0" applyProtection="0">
      <alignment horizontal="left" vertical="center" indent="1"/>
    </xf>
    <xf numFmtId="184" fontId="22" fillId="30" borderId="32" applyNumberFormat="0" applyProtection="0">
      <alignment horizontal="left" vertical="center" indent="1"/>
    </xf>
    <xf numFmtId="184" fontId="22" fillId="30" borderId="32" applyNumberFormat="0" applyProtection="0">
      <alignment horizontal="left" vertical="center" indent="1"/>
    </xf>
    <xf numFmtId="0"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center" indent="1"/>
    </xf>
    <xf numFmtId="184" fontId="20" fillId="30" borderId="1" applyNumberFormat="0" applyProtection="0">
      <alignment horizontal="left" vertical="center" indent="1"/>
    </xf>
    <xf numFmtId="184" fontId="20" fillId="30"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0" fillId="0" borderId="0"/>
    <xf numFmtId="184" fontId="20" fillId="0" borderId="0"/>
    <xf numFmtId="187" fontId="20" fillId="30" borderId="1" applyNumberFormat="0" applyProtection="0">
      <alignment horizontal="left" vertical="top" indent="1"/>
    </xf>
    <xf numFmtId="0" fontId="20" fillId="0" borderId="0"/>
    <xf numFmtId="184" fontId="20" fillId="0" borderId="0"/>
    <xf numFmtId="187"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0" borderId="0"/>
    <xf numFmtId="184" fontId="20" fillId="0" borderId="0"/>
    <xf numFmtId="0"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0" fontId="20" fillId="0" borderId="0"/>
    <xf numFmtId="184" fontId="20" fillId="0" borderId="0"/>
    <xf numFmtId="0" fontId="22" fillId="30" borderId="1" applyNumberFormat="0" applyProtection="0">
      <alignment horizontal="left" vertical="top" indent="1"/>
    </xf>
    <xf numFmtId="184" fontId="22"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4" fontId="20" fillId="0" borderId="0"/>
    <xf numFmtId="182" fontId="22" fillId="30" borderId="1" applyNumberFormat="0" applyProtection="0">
      <alignment horizontal="left" vertical="top" indent="1"/>
    </xf>
    <xf numFmtId="0" fontId="22" fillId="30" borderId="1" applyNumberFormat="0" applyProtection="0">
      <alignment horizontal="left" vertical="top" indent="1"/>
    </xf>
    <xf numFmtId="0" fontId="22"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30" borderId="1" applyNumberFormat="0" applyProtection="0">
      <alignment horizontal="left" vertical="top" indent="1"/>
    </xf>
    <xf numFmtId="184" fontId="20" fillId="30" borderId="1" applyNumberFormat="0" applyProtection="0">
      <alignment horizontal="left" vertical="top" indent="1"/>
    </xf>
    <xf numFmtId="184" fontId="20" fillId="30"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0"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4" fillId="0" borderId="0"/>
    <xf numFmtId="183" fontId="4" fillId="0" borderId="0"/>
    <xf numFmtId="184" fontId="4" fillId="0" borderId="0"/>
    <xf numFmtId="184" fontId="4" fillId="0" borderId="0"/>
    <xf numFmtId="183" fontId="22" fillId="30" borderId="1" applyNumberFormat="0" applyProtection="0">
      <alignment horizontal="left" vertical="top" indent="1"/>
    </xf>
    <xf numFmtId="183"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2" fillId="30" borderId="1" applyNumberFormat="0" applyProtection="0">
      <alignment horizontal="left" vertical="top" indent="1"/>
    </xf>
    <xf numFmtId="184" fontId="22" fillId="30" borderId="1" applyNumberFormat="0" applyProtection="0">
      <alignment horizontal="left" vertical="top" indent="1"/>
    </xf>
    <xf numFmtId="184" fontId="22" fillId="30" borderId="1" applyNumberFormat="0" applyProtection="0">
      <alignment horizontal="left" vertical="top" indent="1"/>
    </xf>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2" fillId="32" borderId="52" applyNumberFormat="0">
      <protection locked="0"/>
    </xf>
    <xf numFmtId="184" fontId="22" fillId="32" borderId="52" applyNumberFormat="0">
      <protection locked="0"/>
    </xf>
    <xf numFmtId="0" fontId="20" fillId="0" borderId="0"/>
    <xf numFmtId="184" fontId="20" fillId="0" borderId="0"/>
    <xf numFmtId="187" fontId="20" fillId="32" borderId="3" applyNumberFormat="0">
      <protection locked="0"/>
    </xf>
    <xf numFmtId="0" fontId="20" fillId="0" borderId="0"/>
    <xf numFmtId="184" fontId="20" fillId="0" borderId="0"/>
    <xf numFmtId="184" fontId="20" fillId="32" borderId="3" applyNumberFormat="0">
      <protection locked="0"/>
    </xf>
    <xf numFmtId="0" fontId="20" fillId="0" borderId="0"/>
    <xf numFmtId="184" fontId="20" fillId="0" borderId="0"/>
    <xf numFmtId="0" fontId="22" fillId="32" borderId="52" applyNumberFormat="0">
      <protection locked="0"/>
    </xf>
    <xf numFmtId="184" fontId="22" fillId="32" borderId="52" applyNumberFormat="0">
      <protection locked="0"/>
    </xf>
    <xf numFmtId="0" fontId="20" fillId="0" borderId="0"/>
    <xf numFmtId="184" fontId="20" fillId="0" borderId="0"/>
    <xf numFmtId="184" fontId="20" fillId="0" borderId="0"/>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0" fontId="22" fillId="32" borderId="52" applyNumberFormat="0">
      <protection locked="0"/>
    </xf>
    <xf numFmtId="183" fontId="22" fillId="32" borderId="52" applyNumberFormat="0">
      <protection locked="0"/>
    </xf>
    <xf numFmtId="183"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4" fontId="22" fillId="32" borderId="52" applyNumberFormat="0">
      <protection locked="0"/>
    </xf>
    <xf numFmtId="0"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4" fontId="22" fillId="32" borderId="52" applyNumberFormat="0">
      <protection locked="0"/>
    </xf>
    <xf numFmtId="0"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2" fontId="22" fillId="32" borderId="52" applyNumberFormat="0">
      <protection locked="0"/>
    </xf>
    <xf numFmtId="0" fontId="22" fillId="32" borderId="52" applyNumberFormat="0">
      <protection locked="0"/>
    </xf>
    <xf numFmtId="0" fontId="22" fillId="32" borderId="52" applyNumberFormat="0">
      <protection locked="0"/>
    </xf>
    <xf numFmtId="185"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0"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184" fontId="20" fillId="32" borderId="3" applyNumberFormat="0">
      <protection locked="0"/>
    </xf>
    <xf numFmtId="185"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0" fontId="20" fillId="32" borderId="3" applyNumberFormat="0">
      <protection locked="0"/>
    </xf>
    <xf numFmtId="183" fontId="20" fillId="32" borderId="3" applyNumberFormat="0">
      <protection locked="0"/>
    </xf>
    <xf numFmtId="184"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3" fontId="20" fillId="32" borderId="3" applyNumberFormat="0">
      <protection locked="0"/>
    </xf>
    <xf numFmtId="183" fontId="20" fillId="32" borderId="3" applyNumberFormat="0">
      <protection locked="0"/>
    </xf>
    <xf numFmtId="184" fontId="20" fillId="32" borderId="3" applyNumberFormat="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32" borderId="3" applyNumberFormat="0">
      <protection locked="0"/>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3" fontId="22" fillId="32" borderId="52" applyNumberFormat="0">
      <protection locked="0"/>
    </xf>
    <xf numFmtId="183"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4" fontId="22" fillId="32" borderId="52" applyNumberFormat="0">
      <protection locked="0"/>
    </xf>
    <xf numFmtId="0" fontId="22" fillId="32" borderId="52" applyNumberFormat="0">
      <protection locked="0"/>
    </xf>
    <xf numFmtId="0"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0" fontId="22" fillId="32" borderId="52" applyNumberFormat="0">
      <protection locked="0"/>
    </xf>
    <xf numFmtId="0"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183" fontId="22" fillId="32" borderId="52" applyNumberFormat="0">
      <protection locked="0"/>
    </xf>
    <xf numFmtId="184" fontId="22" fillId="32" borderId="52" applyNumberFormat="0">
      <protection locked="0"/>
    </xf>
    <xf numFmtId="184" fontId="22" fillId="32" borderId="52" applyNumberFormat="0">
      <protection locked="0"/>
    </xf>
    <xf numFmtId="0" fontId="4" fillId="0" borderId="0"/>
    <xf numFmtId="183" fontId="4" fillId="0" borderId="0"/>
    <xf numFmtId="184" fontId="4" fillId="0" borderId="0"/>
    <xf numFmtId="184" fontId="4" fillId="0" borderId="0"/>
    <xf numFmtId="183" fontId="22" fillId="32" borderId="52" applyNumberFormat="0">
      <protection locked="0"/>
    </xf>
    <xf numFmtId="184" fontId="22" fillId="32" borderId="52" applyNumberFormat="0">
      <protection locked="0"/>
    </xf>
    <xf numFmtId="184" fontId="22" fillId="32" borderId="52" applyNumberFormat="0">
      <protection locked="0"/>
    </xf>
    <xf numFmtId="182" fontId="147" fillId="31" borderId="53" applyBorder="0"/>
    <xf numFmtId="184" fontId="147" fillId="31" borderId="53" applyBorder="0"/>
    <xf numFmtId="182" fontId="147" fillId="31" borderId="53" applyBorder="0"/>
    <xf numFmtId="0"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185"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7" fillId="31" borderId="53" applyBorder="0"/>
    <xf numFmtId="184" fontId="147" fillId="31" borderId="53" applyBorder="0"/>
    <xf numFmtId="184" fontId="147" fillId="31" borderId="53" applyBorder="0"/>
    <xf numFmtId="0"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185"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185"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7" fillId="31" borderId="53" applyBorder="0"/>
    <xf numFmtId="184" fontId="147" fillId="31" borderId="53" applyBorder="0"/>
    <xf numFmtId="184" fontId="147" fillId="31" borderId="53" applyBorder="0"/>
    <xf numFmtId="183"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7" fillId="31" borderId="53" applyBorder="0"/>
    <xf numFmtId="184" fontId="147" fillId="31" borderId="53" applyBorder="0"/>
    <xf numFmtId="184" fontId="147" fillId="31" borderId="53" applyBorder="0"/>
    <xf numFmtId="0" fontId="147" fillId="31" borderId="53" applyBorder="0"/>
    <xf numFmtId="183" fontId="147" fillId="31" borderId="53" applyBorder="0"/>
    <xf numFmtId="183"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184" fontId="147" fillId="31" borderId="53" applyBorder="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47" fillId="31" borderId="53" applyBorder="0"/>
    <xf numFmtId="187" fontId="147" fillId="31" borderId="53" applyBorder="0"/>
    <xf numFmtId="184" fontId="147" fillId="31" borderId="53" applyBorder="0"/>
    <xf numFmtId="184" fontId="147" fillId="31" borderId="53" applyBorder="0"/>
    <xf numFmtId="0" fontId="147" fillId="31" borderId="53" applyBorder="0"/>
    <xf numFmtId="184" fontId="147" fillId="31" borderId="53" applyBorder="0"/>
    <xf numFmtId="0" fontId="20" fillId="0" borderId="0"/>
    <xf numFmtId="184" fontId="20" fillId="0" borderId="0"/>
    <xf numFmtId="0" fontId="20" fillId="0" borderId="0"/>
    <xf numFmtId="184" fontId="20" fillId="0" borderId="0"/>
    <xf numFmtId="4" fontId="139" fillId="26" borderId="1" applyNumberFormat="0" applyProtection="0">
      <alignment vertical="center"/>
    </xf>
    <xf numFmtId="184" fontId="20" fillId="0" borderId="0"/>
    <xf numFmtId="4" fontId="40" fillId="26" borderId="1" applyNumberFormat="0" applyProtection="0">
      <alignment vertical="center"/>
    </xf>
    <xf numFmtId="4" fontId="139" fillId="26" borderId="1" applyNumberFormat="0" applyProtection="0">
      <alignment vertical="center"/>
    </xf>
    <xf numFmtId="4" fontId="139" fillId="26" borderId="1" applyNumberFormat="0" applyProtection="0">
      <alignment vertical="center"/>
    </xf>
    <xf numFmtId="4" fontId="139" fillId="26" borderId="1" applyNumberFormat="0" applyProtection="0">
      <alignment vertical="center"/>
    </xf>
    <xf numFmtId="0" fontId="4" fillId="0" borderId="0"/>
    <xf numFmtId="183" fontId="4" fillId="0" borderId="0"/>
    <xf numFmtId="184" fontId="4" fillId="0" borderId="0"/>
    <xf numFmtId="184" fontId="4" fillId="0" borderId="0"/>
    <xf numFmtId="4" fontId="139"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6" borderId="1" applyNumberFormat="0" applyProtection="0">
      <alignment vertical="center"/>
    </xf>
    <xf numFmtId="4" fontId="40" fillId="26" borderId="1" applyNumberFormat="0" applyProtection="0">
      <alignment vertical="center"/>
    </xf>
    <xf numFmtId="4" fontId="40" fillId="26"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184" fontId="20" fillId="0" borderId="0"/>
    <xf numFmtId="4" fontId="46" fillId="26" borderId="1" applyNumberFormat="0" applyProtection="0">
      <alignment vertical="center"/>
    </xf>
    <xf numFmtId="4" fontId="145" fillId="102" borderId="3" applyNumberFormat="0" applyProtection="0">
      <alignment vertical="center"/>
    </xf>
    <xf numFmtId="4" fontId="145" fillId="102" borderId="3" applyNumberFormat="0" applyProtection="0">
      <alignment vertical="center"/>
    </xf>
    <xf numFmtId="0" fontId="4" fillId="0" borderId="0"/>
    <xf numFmtId="183" fontId="4" fillId="0" borderId="0"/>
    <xf numFmtId="184" fontId="4" fillId="0" borderId="0"/>
    <xf numFmtId="184" fontId="4" fillId="0" borderId="0"/>
    <xf numFmtId="4" fontId="46" fillId="26" borderId="1" applyNumberFormat="0" applyProtection="0">
      <alignment vertical="center"/>
    </xf>
    <xf numFmtId="4" fontId="46" fillId="26" borderId="1" applyNumberFormat="0" applyProtection="0">
      <alignmen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6" fillId="26" borderId="1" applyNumberFormat="0" applyProtection="0">
      <alignmen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4" fontId="139" fillId="75" borderId="1" applyNumberFormat="0" applyProtection="0">
      <alignment horizontal="left" vertical="center" indent="1"/>
    </xf>
    <xf numFmtId="184" fontId="20" fillId="0" borderId="0"/>
    <xf numFmtId="4" fontId="40" fillId="26" borderId="1" applyNumberFormat="0" applyProtection="0">
      <alignment horizontal="left" vertical="center" indent="1"/>
    </xf>
    <xf numFmtId="4" fontId="139" fillId="75" borderId="1" applyNumberFormat="0" applyProtection="0">
      <alignment horizontal="left" vertical="center" indent="1"/>
    </xf>
    <xf numFmtId="4" fontId="139" fillId="75" borderId="1" applyNumberFormat="0" applyProtection="0">
      <alignment horizontal="left" vertical="center" indent="1"/>
    </xf>
    <xf numFmtId="4" fontId="139" fillId="75" borderId="1" applyNumberFormat="0" applyProtection="0">
      <alignment horizontal="left" vertical="center" indent="1"/>
    </xf>
    <xf numFmtId="0" fontId="4" fillId="0" borderId="0"/>
    <xf numFmtId="183" fontId="4" fillId="0" borderId="0"/>
    <xf numFmtId="184" fontId="4" fillId="0" borderId="0"/>
    <xf numFmtId="184" fontId="4" fillId="0" borderId="0"/>
    <xf numFmtId="4" fontId="139" fillId="75"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6" borderId="1" applyNumberFormat="0" applyProtection="0">
      <alignment horizontal="left" vertical="center" indent="1"/>
    </xf>
    <xf numFmtId="4" fontId="40" fillId="26" borderId="1" applyNumberFormat="0" applyProtection="0">
      <alignment horizontal="left" vertical="center" indent="1"/>
    </xf>
    <xf numFmtId="4" fontId="40" fillId="26" borderId="1" applyNumberFormat="0" applyProtection="0">
      <alignment horizontal="left" vertical="center"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187" fontId="40" fillId="26" borderId="1" applyNumberFormat="0" applyProtection="0">
      <alignment horizontal="left" vertical="top" indent="1"/>
    </xf>
    <xf numFmtId="0" fontId="20" fillId="0" borderId="0"/>
    <xf numFmtId="184" fontId="20" fillId="0" borderId="0"/>
    <xf numFmtId="187"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20" fillId="0" borderId="0"/>
    <xf numFmtId="184" fontId="20" fillId="0" borderId="0"/>
    <xf numFmtId="0" fontId="20" fillId="0" borderId="0"/>
    <xf numFmtId="184" fontId="20" fillId="0" borderId="0"/>
    <xf numFmtId="0" fontId="139" fillId="26" borderId="1" applyNumberFormat="0" applyProtection="0">
      <alignment horizontal="left" vertical="top" indent="1"/>
    </xf>
    <xf numFmtId="184" fontId="139" fillId="26" borderId="1" applyNumberFormat="0" applyProtection="0">
      <alignment horizontal="left" vertical="top" indent="1"/>
    </xf>
    <xf numFmtId="184" fontId="20" fillId="0" borderId="0"/>
    <xf numFmtId="182" fontId="139"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 fillId="0" borderId="0"/>
    <xf numFmtId="183" fontId="4" fillId="0" borderId="0"/>
    <xf numFmtId="184" fontId="4" fillId="0" borderId="0"/>
    <xf numFmtId="184" fontId="4" fillId="0" borderId="0"/>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139" fillId="26" borderId="1" applyNumberFormat="0" applyProtection="0">
      <alignment horizontal="left" vertical="top" indent="1"/>
    </xf>
    <xf numFmtId="183" fontId="139" fillId="26" borderId="1" applyNumberFormat="0" applyProtection="0">
      <alignment horizontal="left" vertical="top" indent="1"/>
    </xf>
    <xf numFmtId="183"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139" fillId="26" borderId="1" applyNumberFormat="0" applyProtection="0">
      <alignment horizontal="left" vertical="top" indent="1"/>
    </xf>
    <xf numFmtId="184" fontId="139" fillId="26" borderId="1" applyNumberFormat="0" applyProtection="0">
      <alignment horizontal="left" vertical="top" indent="1"/>
    </xf>
    <xf numFmtId="184" fontId="139" fillId="26" borderId="1" applyNumberFormat="0" applyProtection="0">
      <alignment horizontal="left" vertical="top" indent="1"/>
    </xf>
    <xf numFmtId="0"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5"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40" fillId="26" borderId="1" applyNumberFormat="0" applyProtection="0">
      <alignment horizontal="left" vertical="top" indent="1"/>
    </xf>
    <xf numFmtId="184" fontId="40" fillId="26" borderId="1" applyNumberFormat="0" applyProtection="0">
      <alignment horizontal="left" vertical="top" indent="1"/>
    </xf>
    <xf numFmtId="184" fontId="40" fillId="26"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4" fontId="40" fillId="30"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30" borderId="1" applyNumberFormat="0" applyProtection="0">
      <alignment horizontal="right" vertical="center"/>
    </xf>
    <xf numFmtId="4" fontId="40" fillId="30" borderId="1"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40" fillId="30" borderId="1"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22" fillId="0" borderId="32"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4" fontId="46" fillId="30"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6" fillId="30" borderId="1"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145" fillId="110" borderId="32" applyNumberFormat="0" applyProtection="0">
      <alignment horizontal="right" vertical="center"/>
    </xf>
    <xf numFmtId="4" fontId="22" fillId="78" borderId="32"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4" fontId="40" fillId="27" borderId="1"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0" fillId="27" borderId="1" applyNumberFormat="0" applyProtection="0">
      <alignment horizontal="left" vertical="center" indent="1"/>
    </xf>
    <xf numFmtId="4" fontId="40" fillId="27" borderId="1"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40" fillId="27" borderId="1"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4" fontId="22" fillId="78" borderId="32" applyNumberFormat="0" applyProtection="0">
      <alignment horizontal="left" vertical="center" indent="1"/>
    </xf>
    <xf numFmtId="0" fontId="4" fillId="0" borderId="0"/>
    <xf numFmtId="183" fontId="4" fillId="0" borderId="0"/>
    <xf numFmtId="184" fontId="4" fillId="0" borderId="0"/>
    <xf numFmtId="184" fontId="4" fillId="0" borderId="0"/>
    <xf numFmtId="0" fontId="20" fillId="0" borderId="0"/>
    <xf numFmtId="184" fontId="20" fillId="0" borderId="0"/>
    <xf numFmtId="187" fontId="40" fillId="27" borderId="1" applyNumberFormat="0" applyProtection="0">
      <alignment horizontal="left" vertical="top" indent="1"/>
    </xf>
    <xf numFmtId="0" fontId="20" fillId="0" borderId="0"/>
    <xf numFmtId="184" fontId="20" fillId="0" borderId="0"/>
    <xf numFmtId="187"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20" fillId="0" borderId="0"/>
    <xf numFmtId="184" fontId="20" fillId="0" borderId="0"/>
    <xf numFmtId="0" fontId="20" fillId="0" borderId="0"/>
    <xf numFmtId="184" fontId="20" fillId="0" borderId="0"/>
    <xf numFmtId="0" fontId="139" fillId="27" borderId="1" applyNumberFormat="0" applyProtection="0">
      <alignment horizontal="left" vertical="top" indent="1"/>
    </xf>
    <xf numFmtId="184" fontId="139" fillId="27" borderId="1" applyNumberFormat="0" applyProtection="0">
      <alignment horizontal="left" vertical="top" indent="1"/>
    </xf>
    <xf numFmtId="184" fontId="20" fillId="0" borderId="0"/>
    <xf numFmtId="182" fontId="139"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139" fillId="27" borderId="1" applyNumberFormat="0" applyProtection="0">
      <alignment horizontal="left" vertical="top" indent="1"/>
    </xf>
    <xf numFmtId="183" fontId="139" fillId="27" borderId="1" applyNumberFormat="0" applyProtection="0">
      <alignment horizontal="left" vertical="top" indent="1"/>
    </xf>
    <xf numFmtId="183"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139" fillId="27" borderId="1" applyNumberFormat="0" applyProtection="0">
      <alignment horizontal="left" vertical="top" indent="1"/>
    </xf>
    <xf numFmtId="184" fontId="139" fillId="27" borderId="1" applyNumberFormat="0" applyProtection="0">
      <alignment horizontal="left" vertical="top" indent="1"/>
    </xf>
    <xf numFmtId="184" fontId="139" fillId="27" borderId="1" applyNumberFormat="0" applyProtection="0">
      <alignment horizontal="left" vertical="top" indent="1"/>
    </xf>
    <xf numFmtId="0"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5"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40" fillId="27" borderId="1" applyNumberFormat="0" applyProtection="0">
      <alignment horizontal="left" vertical="top" indent="1"/>
    </xf>
    <xf numFmtId="184" fontId="40" fillId="27" borderId="1" applyNumberFormat="0" applyProtection="0">
      <alignment horizontal="left" vertical="top" indent="1"/>
    </xf>
    <xf numFmtId="184" fontId="40" fillId="27" borderId="1" applyNumberFormat="0" applyProtection="0">
      <alignment horizontal="left" vertical="top" indent="1"/>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184" fontId="20" fillId="0" borderId="0"/>
    <xf numFmtId="4" fontId="47" fillId="33" borderId="0"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0" fontId="4" fillId="0" borderId="0"/>
    <xf numFmtId="183" fontId="4" fillId="0" borderId="0"/>
    <xf numFmtId="184" fontId="4" fillId="0" borderId="0"/>
    <xf numFmtId="184" fontId="4" fillId="0" borderId="0"/>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148" fillId="33" borderId="51" applyNumberFormat="0" applyProtection="0">
      <alignment horizontal="left" vertical="center" indent="1"/>
    </xf>
    <xf numFmtId="4" fontId="47" fillId="33" borderId="0" applyNumberFormat="0" applyProtection="0">
      <alignment horizontal="left" vertical="center" inden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182" fontId="22" fillId="111" borderId="3"/>
    <xf numFmtId="184" fontId="22" fillId="111" borderId="3"/>
    <xf numFmtId="182" fontId="22" fillId="111" borderId="3"/>
    <xf numFmtId="0"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0"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5"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183" fontId="22" fillId="111" borderId="3"/>
    <xf numFmtId="183"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2" fillId="111" borderId="3"/>
    <xf numFmtId="0" fontId="22" fillId="111" borderId="3"/>
    <xf numFmtId="183" fontId="22" fillId="111" borderId="3"/>
    <xf numFmtId="184" fontId="22" fillId="111" borderId="3"/>
    <xf numFmtId="184" fontId="22" fillId="111" borderId="3"/>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22" fillId="111" borderId="3"/>
    <xf numFmtId="184" fontId="22" fillId="111" borderId="3"/>
    <xf numFmtId="0" fontId="22" fillId="111" borderId="3"/>
    <xf numFmtId="184" fontId="22" fillId="111" borderId="3"/>
    <xf numFmtId="0" fontId="20" fillId="0" borderId="0"/>
    <xf numFmtId="184" fontId="20" fillId="0" borderId="0"/>
    <xf numFmtId="0" fontId="20" fillId="0" borderId="0"/>
    <xf numFmtId="184" fontId="20" fillId="0" borderId="0"/>
    <xf numFmtId="4" fontId="149" fillId="32" borderId="32" applyNumberFormat="0" applyProtection="0">
      <alignment horizontal="right" vertical="center"/>
    </xf>
    <xf numFmtId="184" fontId="20" fillId="0" borderId="0"/>
    <xf numFmtId="4" fontId="41" fillId="30" borderId="1"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0" fontId="4" fillId="0" borderId="0"/>
    <xf numFmtId="183" fontId="4" fillId="0" borderId="0"/>
    <xf numFmtId="184" fontId="4" fillId="0" borderId="0"/>
    <xf numFmtId="184" fontId="4" fillId="0" borderId="0"/>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149" fillId="32" borderId="32"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 fontId="41" fillId="30" borderId="1" applyNumberFormat="0" applyProtection="0">
      <alignment horizontal="right" vertical="center"/>
    </xf>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3" fontId="20" fillId="0" borderId="0"/>
    <xf numFmtId="184" fontId="20" fillId="0" borderId="0"/>
    <xf numFmtId="0" fontId="4" fillId="0" borderId="0"/>
    <xf numFmtId="183" fontId="4" fillId="0" borderId="0"/>
    <xf numFmtId="184" fontId="4" fillId="0" borderId="0"/>
    <xf numFmtId="184" fontId="4" fillId="0" borderId="0"/>
    <xf numFmtId="184" fontId="20" fillId="0" borderId="0"/>
    <xf numFmtId="185"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20" fillId="0" borderId="0"/>
    <xf numFmtId="0" fontId="20" fillId="0" borderId="0"/>
    <xf numFmtId="183" fontId="20" fillId="0" borderId="0"/>
    <xf numFmtId="184" fontId="20" fillId="0" borderId="0"/>
    <xf numFmtId="184" fontId="20"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20" fillId="0" borderId="0"/>
    <xf numFmtId="184" fontId="20" fillId="0" borderId="0"/>
    <xf numFmtId="0" fontId="20" fillId="0" borderId="0"/>
    <xf numFmtId="184" fontId="20" fillId="0" borderId="0"/>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5"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3"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0"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7" fontId="143" fillId="1" borderId="9" applyNumberFormat="0" applyFont="0" applyAlignment="0">
      <alignment horizontal="center"/>
    </xf>
    <xf numFmtId="184" fontId="143" fillId="1" borderId="9" applyNumberFormat="0" applyFont="0" applyAlignment="0">
      <alignment horizontal="center"/>
    </xf>
    <xf numFmtId="184" fontId="143" fillId="1" borderId="9" applyNumberFormat="0" applyFont="0" applyAlignment="0">
      <alignment horizontal="center"/>
    </xf>
    <xf numFmtId="182"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150" fillId="0" borderId="0" applyNumberFormat="0" applyFill="0" applyBorder="0" applyAlignment="0">
      <alignment horizontal="center"/>
    </xf>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5"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183"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0" fillId="0" borderId="0" applyNumberFormat="0" applyFill="0" applyBorder="0" applyAlignment="0">
      <alignment horizontal="center"/>
    </xf>
    <xf numFmtId="0" fontId="150" fillId="0" borderId="0" applyNumberFormat="0" applyFill="0" applyBorder="0" applyAlignment="0">
      <alignment horizontal="center"/>
    </xf>
    <xf numFmtId="183" fontId="150" fillId="0" borderId="0" applyNumberFormat="0" applyFill="0" applyBorder="0" applyAlignment="0">
      <alignment horizontal="center"/>
    </xf>
    <xf numFmtId="184" fontId="150" fillId="0" borderId="0" applyNumberFormat="0" applyFill="0" applyBorder="0" applyAlignment="0">
      <alignment horizontal="center"/>
    </xf>
    <xf numFmtId="184" fontId="150" fillId="0" borderId="0" applyNumberFormat="0" applyFill="0" applyBorder="0" applyAlignment="0">
      <alignment horizontal="center"/>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50" fillId="0" borderId="0" applyNumberFormat="0" applyFill="0" applyBorder="0" applyAlignment="0">
      <alignment horizontal="center"/>
    </xf>
    <xf numFmtId="184" fontId="150" fillId="0" borderId="0" applyNumberFormat="0" applyFill="0" applyBorder="0" applyAlignment="0">
      <alignment horizontal="center"/>
    </xf>
    <xf numFmtId="183" fontId="151" fillId="0" borderId="0">
      <alignment horizontal="right"/>
    </xf>
    <xf numFmtId="183" fontId="151" fillId="0" borderId="0">
      <alignment horizontal="right"/>
    </xf>
    <xf numFmtId="184" fontId="151" fillId="0" borderId="0">
      <alignment horizontal="righ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1" fillId="0" borderId="0">
      <alignment horizontal="right"/>
    </xf>
    <xf numFmtId="186" fontId="20" fillId="0" borderId="0">
      <alignment horizontal="left" wrapText="1"/>
    </xf>
    <xf numFmtId="186" fontId="20" fillId="0" borderId="0">
      <alignment horizontal="left" wrapText="1"/>
    </xf>
    <xf numFmtId="186" fontId="20" fillId="0" borderId="0">
      <alignment horizontal="left"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6" fontId="20" fillId="0" borderId="0">
      <alignment horizontal="left"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0" fontId="152" fillId="0" borderId="0" applyBorder="0">
      <alignment horizontal="right"/>
    </xf>
    <xf numFmtId="40" fontId="152" fillId="0" borderId="0" applyBorder="0">
      <alignment horizontal="righ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49" fontId="153" fillId="0" borderId="0">
      <alignment horizontal="left"/>
    </xf>
    <xf numFmtId="49" fontId="153" fillId="0" borderId="0">
      <alignment horizontal="left"/>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154" fillId="112" borderId="0" applyNumberFormat="0" applyBorder="0" applyAlignment="0" applyProtection="0">
      <protection locked="0"/>
    </xf>
    <xf numFmtId="183" fontId="154" fillId="112" borderId="0" applyNumberFormat="0" applyBorder="0" applyAlignment="0" applyProtection="0">
      <protection locked="0"/>
    </xf>
    <xf numFmtId="184" fontId="154" fillId="112" borderId="0" applyNumberFormat="0" applyBorder="0" applyAlignment="0" applyProtection="0">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4" fillId="112" borderId="0" applyNumberFormat="0" applyBorder="0" applyAlignment="0" applyProtection="0">
      <protection locked="0"/>
    </xf>
    <xf numFmtId="0"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48" fillId="0" borderId="0" applyNumberFormat="0" applyFill="0" applyBorder="0" applyAlignment="0" applyProtection="0"/>
    <xf numFmtId="0" fontId="155" fillId="0" borderId="0" applyNumberFormat="0" applyFill="0" applyBorder="0" applyAlignment="0" applyProtection="0"/>
    <xf numFmtId="184" fontId="155" fillId="0" borderId="0" applyNumberFormat="0" applyFill="0" applyBorder="0" applyAlignment="0" applyProtection="0"/>
    <xf numFmtId="184" fontId="48" fillId="0" borderId="0" applyNumberFormat="0" applyFill="0" applyBorder="0" applyAlignment="0" applyProtection="0"/>
    <xf numFmtId="184" fontId="15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0"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155"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15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185"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75" fillId="0" borderId="0" applyNumberFormat="0" applyFill="0" applyBorder="0" applyAlignment="0" applyProtection="0"/>
    <xf numFmtId="183" fontId="75" fillId="0" borderId="0" applyNumberFormat="0" applyFill="0" applyBorder="0" applyAlignment="0" applyProtection="0"/>
    <xf numFmtId="184" fontId="75" fillId="0" borderId="0" applyNumberFormat="0" applyFill="0" applyBorder="0" applyAlignment="0" applyProtection="0"/>
    <xf numFmtId="184" fontId="7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7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0" fontId="155" fillId="0" borderId="0" applyNumberFormat="0" applyFill="0" applyBorder="0" applyAlignment="0" applyProtection="0"/>
    <xf numFmtId="183" fontId="155" fillId="0" borderId="0" applyNumberFormat="0" applyFill="0" applyBorder="0" applyAlignment="0" applyProtection="0"/>
    <xf numFmtId="184" fontId="155" fillId="0" borderId="0" applyNumberFormat="0" applyFill="0" applyBorder="0" applyAlignment="0" applyProtection="0"/>
    <xf numFmtId="184" fontId="155"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5"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5" fontId="48" fillId="0" borderId="0" applyNumberFormat="0" applyFill="0" applyBorder="0" applyAlignment="0" applyProtection="0"/>
    <xf numFmtId="183" fontId="48" fillId="0" borderId="0" applyNumberFormat="0" applyFill="0" applyBorder="0" applyAlignment="0" applyProtection="0"/>
    <xf numFmtId="184" fontId="48" fillId="0" borderId="0" applyNumberFormat="0" applyFill="0" applyBorder="0" applyAlignment="0" applyProtection="0"/>
    <xf numFmtId="184" fontId="4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48" fillId="0" borderId="0" applyNumberFormat="0" applyFill="0" applyBorder="0" applyAlignment="0" applyProtection="0"/>
    <xf numFmtId="184" fontId="75" fillId="0" borderId="0" applyNumberFormat="0" applyFill="0" applyBorder="0" applyAlignment="0" applyProtection="0"/>
    <xf numFmtId="182" fontId="75" fillId="0" borderId="0" applyNumberFormat="0" applyFill="0" applyBorder="0" applyAlignment="0" applyProtection="0"/>
    <xf numFmtId="182" fontId="51" fillId="0" borderId="28" applyNumberFormat="0" applyFill="0" applyAlignment="0" applyProtection="0"/>
    <xf numFmtId="0"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39" fillId="0" borderId="55"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7"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39" fillId="0" borderId="54" applyNumberFormat="0" applyFill="0" applyAlignment="0" applyProtection="0"/>
    <xf numFmtId="182" fontId="39" fillId="0" borderId="55"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39" fillId="0" borderId="54"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185"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51" fillId="0" borderId="28" applyNumberFormat="0" applyFill="0" applyAlignment="0" applyProtection="0"/>
    <xf numFmtId="183" fontId="51" fillId="0" borderId="28" applyNumberFormat="0" applyFill="0" applyAlignment="0" applyProtection="0"/>
    <xf numFmtId="184" fontId="51" fillId="0" borderId="28" applyNumberFormat="0" applyFill="0" applyAlignment="0" applyProtection="0"/>
    <xf numFmtId="184" fontId="51" fillId="0" borderId="28"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51" fillId="0" borderId="28" applyNumberFormat="0" applyFill="0" applyAlignment="0" applyProtection="0"/>
    <xf numFmtId="0"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3" fontId="39" fillId="0" borderId="54" applyNumberFormat="0" applyFill="0" applyAlignment="0" applyProtection="0"/>
    <xf numFmtId="183"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39" fillId="0" borderId="54" applyNumberFormat="0" applyFill="0" applyAlignment="0" applyProtection="0"/>
    <xf numFmtId="184" fontId="39" fillId="0" borderId="54" applyNumberFormat="0" applyFill="0" applyAlignment="0" applyProtection="0"/>
    <xf numFmtId="184" fontId="39" fillId="0" borderId="54" applyNumberFormat="0" applyFill="0" applyAlignment="0" applyProtection="0"/>
    <xf numFmtId="197" fontId="20" fillId="0" borderId="16">
      <protection locked="0"/>
    </xf>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3" fontId="39" fillId="0" borderId="55" applyNumberFormat="0" applyFill="0" applyAlignment="0" applyProtection="0"/>
    <xf numFmtId="183"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5" fontId="39" fillId="0" borderId="55" applyNumberFormat="0" applyFill="0" applyAlignment="0" applyProtection="0"/>
    <xf numFmtId="184" fontId="39" fillId="0" borderId="55" applyNumberFormat="0" applyFill="0" applyAlignment="0" applyProtection="0"/>
    <xf numFmtId="184" fontId="39" fillId="0" borderId="55" applyNumberFormat="0" applyFill="0" applyAlignment="0" applyProtection="0"/>
    <xf numFmtId="197" fontId="20" fillId="0" borderId="16">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51" fillId="0" borderId="28" applyNumberFormat="0" applyFill="0" applyAlignment="0" applyProtection="0"/>
    <xf numFmtId="184" fontId="51" fillId="0" borderId="28" applyNumberFormat="0" applyFill="0" applyAlignment="0" applyProtection="0"/>
    <xf numFmtId="0" fontId="39" fillId="0" borderId="55" applyNumberFormat="0" applyFill="0" applyAlignment="0" applyProtection="0"/>
    <xf numFmtId="184" fontId="39" fillId="0" borderId="55" applyNumberFormat="0" applyFill="0" applyAlignment="0" applyProtection="0"/>
    <xf numFmtId="184" fontId="51" fillId="0" borderId="28" applyNumberFormat="0" applyFill="0" applyAlignment="0" applyProtection="0"/>
    <xf numFmtId="37" fontId="22" fillId="107" borderId="0" applyNumberFormat="0" applyBorder="0" applyAlignment="0" applyProtection="0"/>
    <xf numFmtId="37" fontId="22" fillId="107" borderId="0" applyNumberFormat="0" applyBorder="0" applyAlignment="0" applyProtection="0"/>
    <xf numFmtId="37" fontId="22" fillId="107" borderId="0" applyNumberFormat="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107" borderId="0" applyNumberFormat="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0" borderId="0"/>
    <xf numFmtId="37" fontId="22" fillId="0" borderId="0"/>
    <xf numFmtId="37" fontId="22"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0" borderId="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37" fontId="22" fillId="0" borderId="0"/>
    <xf numFmtId="37" fontId="22" fillId="69" borderId="0" applyNumberFormat="0" applyBorder="0" applyAlignment="0" applyProtection="0"/>
    <xf numFmtId="3" fontId="156" fillId="0" borderId="42" applyProtection="0"/>
    <xf numFmtId="3" fontId="156" fillId="0" borderId="42"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157" fillId="0" borderId="0" applyNumberFormat="0" applyFill="0" applyBorder="0" applyAlignment="0" applyProtection="0"/>
    <xf numFmtId="0"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182" fontId="158"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158"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3" fontId="158" fillId="0" borderId="0" applyNumberFormat="0" applyFill="0" applyBorder="0" applyAlignment="0" applyProtection="0"/>
    <xf numFmtId="183" fontId="158" fillId="0" borderId="0" applyNumberFormat="0" applyFill="0" applyBorder="0" applyAlignment="0" applyProtection="0"/>
    <xf numFmtId="184" fontId="158"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8" fillId="0" borderId="0" applyNumberFormat="0" applyFill="0" applyBorder="0" applyAlignment="0" applyProtection="0"/>
    <xf numFmtId="0" fontId="158" fillId="0" borderId="0" applyNumberFormat="0" applyFill="0" applyBorder="0" applyAlignment="0" applyProtection="0"/>
    <xf numFmtId="183" fontId="158" fillId="0" borderId="0" applyNumberFormat="0" applyFill="0" applyBorder="0" applyAlignment="0" applyProtection="0"/>
    <xf numFmtId="184" fontId="158" fillId="0" borderId="0" applyNumberFormat="0" applyFill="0" applyBorder="0" applyAlignment="0" applyProtection="0"/>
    <xf numFmtId="184" fontId="158"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8"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7" fontId="157" fillId="0" borderId="0" applyNumberFormat="0" applyFill="0" applyBorder="0" applyAlignment="0" applyProtection="0"/>
    <xf numFmtId="0"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15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185"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87" fillId="0" borderId="0" applyNumberFormat="0" applyFill="0" applyBorder="0" applyAlignment="0" applyProtection="0"/>
    <xf numFmtId="183"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8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185" fontId="157" fillId="0" borderId="0" applyNumberFormat="0" applyFill="0" applyBorder="0" applyAlignment="0" applyProtection="0"/>
    <xf numFmtId="183" fontId="157" fillId="0" borderId="0" applyNumberFormat="0" applyFill="0" applyBorder="0" applyAlignment="0" applyProtection="0"/>
    <xf numFmtId="184" fontId="157" fillId="0" borderId="0" applyNumberFormat="0" applyFill="0" applyBorder="0" applyAlignment="0" applyProtection="0"/>
    <xf numFmtId="184" fontId="157" fillId="0" borderId="0" applyNumberFormat="0" applyFill="0" applyBorder="0" applyAlignment="0" applyProtection="0"/>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84" fontId="157" fillId="0" borderId="0" applyNumberFormat="0" applyFill="0" applyBorder="0" applyAlignment="0" applyProtection="0"/>
    <xf numFmtId="0" fontId="87" fillId="0" borderId="0" applyNumberFormat="0" applyFill="0" applyBorder="0" applyAlignment="0" applyProtection="0"/>
    <xf numFmtId="184" fontId="87" fillId="0" borderId="0" applyNumberFormat="0" applyFill="0" applyBorder="0" applyAlignment="0" applyProtection="0"/>
    <xf numFmtId="184" fontId="87" fillId="0" borderId="0" applyNumberFormat="0" applyFill="0" applyBorder="0" applyAlignment="0" applyProtection="0"/>
    <xf numFmtId="182" fontId="87" fillId="0" borderId="0" applyNumberFormat="0" applyFill="0" applyBorder="0" applyAlignment="0" applyProtection="0"/>
    <xf numFmtId="9" fontId="159" fillId="110" borderId="56" applyNumberFormat="0" applyFill="0" applyBorder="0" applyAlignment="0" applyProtection="0">
      <alignment horizontal="center"/>
      <protection locked="0"/>
    </xf>
    <xf numFmtId="9" fontId="159" fillId="110" borderId="56" applyNumberFormat="0" applyFill="0" applyBorder="0" applyAlignment="0" applyProtection="0">
      <alignment horizontal="center"/>
      <protection locked="0"/>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190" fontId="100" fillId="0" borderId="0" applyNumberFormat="0" applyFont="0" applyFill="0" applyBorder="0" applyProtection="0">
      <alignment wrapText="1"/>
    </xf>
    <xf numFmtId="190" fontId="100" fillId="0" borderId="0" applyNumberFormat="0" applyFont="0" applyFill="0" applyBorder="0" applyProtection="0">
      <alignment wrapText="1"/>
    </xf>
    <xf numFmtId="0" fontId="4" fillId="0" borderId="0"/>
    <xf numFmtId="183" fontId="4" fillId="0" borderId="0"/>
    <xf numFmtId="184" fontId="4" fillId="0" borderId="0"/>
    <xf numFmtId="184" fontId="4" fillId="0" borderId="0"/>
    <xf numFmtId="0" fontId="4" fillId="0" borderId="0"/>
    <xf numFmtId="183" fontId="4" fillId="0" borderId="0"/>
    <xf numFmtId="184" fontId="4" fillId="0" borderId="0"/>
    <xf numFmtId="184" fontId="4" fillId="0" borderId="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44" borderId="27" applyNumberFormat="0" applyFont="0" applyAlignment="0" applyProtection="0"/>
    <xf numFmtId="0" fontId="1" fillId="0" borderId="0"/>
    <xf numFmtId="43" fontId="1" fillId="0" borderId="0" applyFont="0" applyFill="0" applyBorder="0" applyAlignment="0" applyProtection="0"/>
    <xf numFmtId="196" fontId="165" fillId="0" borderId="0"/>
    <xf numFmtId="39" fontId="144" fillId="0" borderId="0"/>
  </cellStyleXfs>
  <cellXfs count="1425">
    <xf numFmtId="0" fontId="0" fillId="0" borderId="0" xfId="0"/>
    <xf numFmtId="0" fontId="21" fillId="0" borderId="0" xfId="0" applyFont="1"/>
    <xf numFmtId="0" fontId="21" fillId="0" borderId="0" xfId="0" applyFont="1" applyAlignment="1">
      <alignment horizontal="center"/>
    </xf>
    <xf numFmtId="0" fontId="24" fillId="0" borderId="0" xfId="0" applyFont="1" applyAlignment="1">
      <alignment horizontal="center"/>
    </xf>
    <xf numFmtId="0" fontId="21" fillId="0" borderId="0" xfId="0" quotePrefix="1" applyFont="1" applyAlignment="1">
      <alignment horizontal="center"/>
    </xf>
    <xf numFmtId="0" fontId="23"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25" fillId="35" borderId="0" xfId="0" applyFont="1" applyFill="1"/>
    <xf numFmtId="0" fontId="26" fillId="35" borderId="0" xfId="0" applyFont="1" applyFill="1"/>
    <xf numFmtId="0" fontId="23" fillId="0" borderId="0" xfId="0" applyFont="1"/>
    <xf numFmtId="0" fontId="23" fillId="0" borderId="0" xfId="0" applyFont="1" applyAlignment="1">
      <alignment horizontal="left" indent="1"/>
    </xf>
    <xf numFmtId="0" fontId="0" fillId="0" borderId="0" xfId="0" applyFill="1"/>
    <xf numFmtId="0" fontId="23" fillId="0" borderId="0" xfId="0" applyFont="1" applyFill="1"/>
    <xf numFmtId="0" fontId="0" fillId="0" borderId="0" xfId="0" applyAlignment="1">
      <alignment horizontal="left" indent="1"/>
    </xf>
    <xf numFmtId="0" fontId="23" fillId="0" borderId="0" xfId="28" applyFont="1"/>
    <xf numFmtId="0" fontId="23" fillId="0" borderId="0" xfId="28" applyFont="1" applyBorder="1" applyAlignment="1"/>
    <xf numFmtId="0" fontId="23" fillId="0" borderId="0" xfId="28" applyFont="1" applyBorder="1"/>
    <xf numFmtId="0" fontId="23" fillId="0" borderId="0" xfId="28" applyFont="1" applyBorder="1" applyAlignment="1">
      <alignment horizontal="left"/>
    </xf>
    <xf numFmtId="0" fontId="23" fillId="0" borderId="0" xfId="28" applyNumberFormat="1" applyFont="1" applyFill="1" applyBorder="1" applyAlignment="1">
      <alignment horizontal="left"/>
    </xf>
    <xf numFmtId="0" fontId="21" fillId="0" borderId="0" xfId="28" applyNumberFormat="1" applyFont="1" applyFill="1" applyBorder="1" applyAlignment="1">
      <alignment horizontal="left"/>
    </xf>
    <xf numFmtId="3" fontId="23" fillId="0" borderId="0" xfId="28" applyNumberFormat="1" applyFont="1" applyFill="1" applyBorder="1" applyAlignment="1"/>
    <xf numFmtId="1" fontId="23" fillId="0" borderId="0" xfId="28" applyNumberFormat="1" applyFont="1" applyFill="1" applyBorder="1" applyAlignment="1">
      <alignment horizontal="center"/>
    </xf>
    <xf numFmtId="0" fontId="24" fillId="0" borderId="0" xfId="28" applyFont="1" applyBorder="1" applyAlignment="1">
      <alignment horizontal="center"/>
    </xf>
    <xf numFmtId="0" fontId="21" fillId="0" borderId="0" xfId="28" applyFont="1" applyAlignment="1">
      <alignment horizontal="center"/>
    </xf>
    <xf numFmtId="167" fontId="23" fillId="0" borderId="0" xfId="28" applyNumberFormat="1" applyFont="1" applyFill="1" applyBorder="1" applyAlignment="1">
      <alignment horizontal="right"/>
    </xf>
    <xf numFmtId="167" fontId="23" fillId="0" borderId="0" xfId="20" applyNumberFormat="1" applyFont="1" applyFill="1" applyBorder="1" applyAlignment="1">
      <alignment horizontal="right"/>
    </xf>
    <xf numFmtId="0" fontId="24" fillId="0" borderId="0" xfId="28" applyFont="1" applyFill="1" applyBorder="1" applyAlignment="1">
      <alignment horizontal="center"/>
    </xf>
    <xf numFmtId="3" fontId="23" fillId="0" borderId="0" xfId="28" applyNumberFormat="1" applyFont="1" applyFill="1" applyBorder="1" applyAlignment="1">
      <alignment horizontal="left" indent="1"/>
    </xf>
    <xf numFmtId="0" fontId="24" fillId="0" borderId="0" xfId="28" applyFont="1" applyAlignment="1">
      <alignment horizontal="center"/>
    </xf>
    <xf numFmtId="0" fontId="23" fillId="0" borderId="0" xfId="28" applyFont="1" applyBorder="1" applyAlignment="1">
      <alignment horizontal="right"/>
    </xf>
    <xf numFmtId="164" fontId="23" fillId="0" borderId="0" xfId="20" applyNumberFormat="1" applyFont="1" applyFill="1" applyBorder="1" applyAlignment="1">
      <alignment horizontal="right"/>
    </xf>
    <xf numFmtId="0" fontId="23" fillId="0" borderId="0" xfId="28" applyNumberFormat="1" applyFont="1" applyFill="1" applyBorder="1" applyAlignment="1">
      <alignment horizontal="right"/>
    </xf>
    <xf numFmtId="167" fontId="23" fillId="0" borderId="0" xfId="28" quotePrefix="1" applyNumberFormat="1" applyFont="1" applyFill="1" applyBorder="1" applyAlignment="1">
      <alignment horizontal="left" indent="1"/>
    </xf>
    <xf numFmtId="165" fontId="27" fillId="0" borderId="0" xfId="20" applyNumberFormat="1" applyFont="1" applyFill="1" applyBorder="1" applyAlignment="1">
      <alignment horizontal="right"/>
    </xf>
    <xf numFmtId="0" fontId="0" fillId="0" borderId="0" xfId="0" applyAlignment="1">
      <alignment horizontal="right"/>
    </xf>
    <xf numFmtId="0" fontId="25" fillId="35" borderId="0" xfId="0" applyFont="1" applyFill="1" applyBorder="1"/>
    <xf numFmtId="0" fontId="26" fillId="35" borderId="0" xfId="0" applyFont="1" applyFill="1" applyBorder="1"/>
    <xf numFmtId="0" fontId="21" fillId="0" borderId="0" xfId="0" applyFont="1" applyFill="1" applyBorder="1"/>
    <xf numFmtId="0" fontId="23" fillId="0" borderId="0" xfId="0" applyFont="1" applyFill="1" applyBorder="1"/>
    <xf numFmtId="10" fontId="0" fillId="0" borderId="0" xfId="0" applyNumberFormat="1"/>
    <xf numFmtId="0" fontId="0" fillId="34" borderId="0" xfId="0" applyFill="1"/>
    <xf numFmtId="0" fontId="21" fillId="0" borderId="0" xfId="0" applyFont="1" applyFill="1"/>
    <xf numFmtId="0" fontId="27" fillId="0" borderId="0" xfId="0" applyFont="1" applyFill="1"/>
    <xf numFmtId="0" fontId="23" fillId="0" borderId="0" xfId="0" applyFont="1" applyFill="1" applyAlignment="1">
      <alignment horizontal="left" indent="1"/>
    </xf>
    <xf numFmtId="164" fontId="23" fillId="0" borderId="0" xfId="0" applyNumberFormat="1" applyFont="1" applyFill="1"/>
    <xf numFmtId="165" fontId="23" fillId="0" borderId="0" xfId="0" applyNumberFormat="1" applyFont="1" applyFill="1"/>
    <xf numFmtId="165" fontId="27" fillId="0" borderId="0" xfId="0" applyNumberFormat="1" applyFont="1" applyFill="1"/>
    <xf numFmtId="0" fontId="23" fillId="0" borderId="0" xfId="0" applyFont="1" applyAlignment="1">
      <alignment horizontal="left"/>
    </xf>
    <xf numFmtId="0" fontId="24" fillId="0" borderId="0" xfId="0" applyFont="1"/>
    <xf numFmtId="0" fontId="0" fillId="0" borderId="0" xfId="0" quotePrefix="1"/>
    <xf numFmtId="0" fontId="24" fillId="0" borderId="0" xfId="0" applyFont="1" applyAlignment="1">
      <alignment horizontal="left"/>
    </xf>
    <xf numFmtId="0" fontId="0" fillId="0" borderId="0" xfId="0" quotePrefix="1" applyAlignment="1">
      <alignment horizontal="center"/>
    </xf>
    <xf numFmtId="0" fontId="21" fillId="0" borderId="0" xfId="0" applyFont="1" applyAlignment="1">
      <alignment horizontal="left" indent="2"/>
    </xf>
    <xf numFmtId="0" fontId="0" fillId="0" borderId="0" xfId="0" applyAlignment="1">
      <alignment horizontal="right" indent="1"/>
    </xf>
    <xf numFmtId="164" fontId="28" fillId="0" borderId="0" xfId="0" applyNumberFormat="1" applyFont="1"/>
    <xf numFmtId="164" fontId="27" fillId="0" borderId="0" xfId="0" applyNumberFormat="1" applyFont="1" applyAlignment="1">
      <alignment horizontal="right"/>
    </xf>
    <xf numFmtId="164" fontId="23" fillId="0" borderId="0" xfId="0" applyNumberFormat="1" applyFont="1" applyAlignment="1">
      <alignment horizontal="right"/>
    </xf>
    <xf numFmtId="0" fontId="0" fillId="0" borderId="0" xfId="0" applyBorder="1"/>
    <xf numFmtId="0" fontId="0" fillId="0" borderId="0" xfId="0" applyAlignment="1">
      <alignment horizontal="center"/>
    </xf>
    <xf numFmtId="0" fontId="24" fillId="0" borderId="0" xfId="0" applyFont="1" applyBorder="1" applyAlignment="1">
      <alignment horizontal="center"/>
    </xf>
    <xf numFmtId="164" fontId="0" fillId="0" borderId="0" xfId="0" applyNumberFormat="1" applyFill="1"/>
    <xf numFmtId="3" fontId="23" fillId="0" borderId="0" xfId="0" applyNumberFormat="1" applyFont="1" applyFill="1"/>
    <xf numFmtId="0" fontId="0" fillId="0" borderId="0" xfId="0" applyAlignment="1">
      <alignment horizontal="left"/>
    </xf>
    <xf numFmtId="0" fontId="23" fillId="0" borderId="0" xfId="0" applyFont="1" applyFill="1" applyBorder="1" applyAlignment="1">
      <alignment horizontal="left"/>
    </xf>
    <xf numFmtId="165" fontId="0" fillId="0" borderId="0" xfId="0" applyNumberFormat="1" applyFill="1"/>
    <xf numFmtId="0" fontId="21" fillId="0" borderId="0" xfId="0" applyFont="1" applyAlignment="1">
      <alignment horizontal="right"/>
    </xf>
    <xf numFmtId="0" fontId="23" fillId="0" borderId="0" xfId="0" quotePrefix="1" applyFont="1" applyFill="1" applyAlignment="1">
      <alignment horizontal="left" indent="1"/>
    </xf>
    <xf numFmtId="0" fontId="21" fillId="0" borderId="0" xfId="0" applyFont="1" applyAlignment="1">
      <alignment horizontal="left" indent="1"/>
    </xf>
    <xf numFmtId="166" fontId="0" fillId="0" borderId="0" xfId="0" applyNumberFormat="1"/>
    <xf numFmtId="0" fontId="23" fillId="0" borderId="0" xfId="0" applyFont="1" applyFill="1" applyBorder="1" applyAlignment="1">
      <alignment vertical="top"/>
    </xf>
    <xf numFmtId="164" fontId="21" fillId="0" borderId="0" xfId="0" applyNumberFormat="1" applyFont="1"/>
    <xf numFmtId="167" fontId="21" fillId="0" borderId="0" xfId="20" applyNumberFormat="1" applyFont="1" applyFill="1" applyBorder="1" applyAlignment="1">
      <alignment horizontal="center"/>
    </xf>
    <xf numFmtId="0" fontId="27" fillId="0" borderId="0" xfId="0" applyFont="1"/>
    <xf numFmtId="0" fontId="27" fillId="0" borderId="0" xfId="0" applyFont="1" applyAlignment="1">
      <alignment horizontal="left"/>
    </xf>
    <xf numFmtId="0" fontId="23"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5" fontId="28" fillId="0" borderId="0" xfId="0" applyNumberFormat="1" applyFont="1"/>
    <xf numFmtId="3" fontId="0" fillId="0" borderId="0" xfId="0" applyNumberFormat="1" applyAlignment="1">
      <alignment horizontal="center"/>
    </xf>
    <xf numFmtId="0" fontId="21" fillId="0" borderId="0" xfId="0" applyFont="1" applyAlignment="1">
      <alignment horizontal="left"/>
    </xf>
    <xf numFmtId="0" fontId="24" fillId="0" borderId="0" xfId="0" quotePrefix="1" applyFont="1" applyAlignment="1">
      <alignment horizontal="center"/>
    </xf>
    <xf numFmtId="1" fontId="23" fillId="0" borderId="0" xfId="28" applyNumberFormat="1" applyFont="1" applyFill="1" applyBorder="1" applyAlignment="1">
      <alignment horizontal="right"/>
    </xf>
    <xf numFmtId="0" fontId="23" fillId="0" borderId="0" xfId="0" applyFont="1" applyBorder="1" applyAlignment="1">
      <alignment vertical="top"/>
    </xf>
    <xf numFmtId="0" fontId="23" fillId="0" borderId="0" xfId="0" applyFont="1" applyAlignment="1">
      <alignment horizontal="center"/>
    </xf>
    <xf numFmtId="172" fontId="0" fillId="34" borderId="0" xfId="0" applyNumberFormat="1" applyFill="1"/>
    <xf numFmtId="164" fontId="23" fillId="0" borderId="0" xfId="0" applyNumberFormat="1" applyFont="1" applyAlignment="1">
      <alignment horizontal="center"/>
    </xf>
    <xf numFmtId="0" fontId="21" fillId="0" borderId="0" xfId="0" applyFont="1" applyAlignment="1">
      <alignment wrapText="1"/>
    </xf>
    <xf numFmtId="164" fontId="27" fillId="0" borderId="0" xfId="0" applyNumberFormat="1" applyFont="1"/>
    <xf numFmtId="173" fontId="0" fillId="0" borderId="0" xfId="0" applyNumberFormat="1"/>
    <xf numFmtId="169" fontId="0" fillId="0" borderId="0" xfId="0" applyNumberFormat="1"/>
    <xf numFmtId="0" fontId="23" fillId="0" borderId="0" xfId="0" applyFont="1" applyAlignment="1">
      <alignment horizontal="right"/>
    </xf>
    <xf numFmtId="0" fontId="23" fillId="36" borderId="0" xfId="0" applyFont="1" applyFill="1" applyAlignment="1">
      <alignment horizontal="left" indent="1"/>
    </xf>
    <xf numFmtId="0" fontId="23" fillId="0" borderId="0" xfId="0" quotePrefix="1" applyFont="1" applyAlignment="1">
      <alignment horizontal="center"/>
    </xf>
    <xf numFmtId="0" fontId="0" fillId="36" borderId="0" xfId="0" applyFill="1"/>
    <xf numFmtId="2" fontId="0" fillId="0" borderId="0" xfId="0" applyNumberFormat="1"/>
    <xf numFmtId="3" fontId="0" fillId="0" borderId="0" xfId="0" applyNumberFormat="1"/>
    <xf numFmtId="3" fontId="27" fillId="36" borderId="0" xfId="0" applyNumberFormat="1" applyFont="1" applyFill="1"/>
    <xf numFmtId="164" fontId="23" fillId="0" borderId="0" xfId="0" applyNumberFormat="1" applyFont="1"/>
    <xf numFmtId="164" fontId="28" fillId="0" borderId="0" xfId="0" applyNumberFormat="1" applyFont="1" applyFill="1"/>
    <xf numFmtId="0" fontId="21" fillId="0" borderId="0" xfId="0" applyFont="1" applyAlignment="1">
      <alignment horizontal="left" indent="3"/>
    </xf>
    <xf numFmtId="164" fontId="23" fillId="0" borderId="0" xfId="0" quotePrefix="1" applyNumberFormat="1" applyFont="1" applyFill="1" applyAlignment="1">
      <alignment horizontal="right"/>
    </xf>
    <xf numFmtId="164" fontId="23" fillId="0" borderId="0" xfId="0" applyNumberFormat="1" applyFont="1" applyFill="1" applyAlignment="1">
      <alignment horizontal="right"/>
    </xf>
    <xf numFmtId="0" fontId="23" fillId="0" borderId="0" xfId="0" applyFont="1" applyFill="1" applyAlignment="1">
      <alignment horizontal="center"/>
    </xf>
    <xf numFmtId="164" fontId="0" fillId="36" borderId="0" xfId="0" applyNumberFormat="1" applyFill="1"/>
    <xf numFmtId="164" fontId="27" fillId="34" borderId="0" xfId="0" applyNumberFormat="1" applyFont="1" applyFill="1"/>
    <xf numFmtId="168" fontId="23" fillId="0" borderId="0" xfId="20" applyNumberFormat="1" applyFont="1" applyFill="1" applyBorder="1" applyAlignment="1">
      <alignment horizontal="right"/>
    </xf>
    <xf numFmtId="0" fontId="23" fillId="0" borderId="0" xfId="0" applyFont="1" applyFill="1" applyAlignment="1">
      <alignment horizontal="left"/>
    </xf>
    <xf numFmtId="0" fontId="21" fillId="0" borderId="0" xfId="0" applyFont="1" applyFill="1" applyAlignment="1">
      <alignment horizontal="center"/>
    </xf>
    <xf numFmtId="164" fontId="27" fillId="0" borderId="0" xfId="0" applyNumberFormat="1" applyFont="1" applyFill="1"/>
    <xf numFmtId="3" fontId="0" fillId="0" borderId="0" xfId="0" applyNumberFormat="1" applyFill="1"/>
    <xf numFmtId="0" fontId="0" fillId="0" borderId="0" xfId="0" applyFill="1" applyAlignment="1">
      <alignment horizontal="left" indent="1"/>
    </xf>
    <xf numFmtId="0" fontId="23" fillId="0" borderId="0" xfId="0" quotePrefix="1" applyFont="1" applyAlignment="1">
      <alignment horizontal="left" indent="1"/>
    </xf>
    <xf numFmtId="0" fontId="23" fillId="36" borderId="0" xfId="0" applyFont="1" applyFill="1"/>
    <xf numFmtId="164" fontId="27" fillId="36" borderId="0" xfId="0" applyNumberFormat="1" applyFont="1" applyFill="1"/>
    <xf numFmtId="166" fontId="23" fillId="0" borderId="0" xfId="0" applyNumberFormat="1" applyFont="1" applyAlignment="1">
      <alignment horizontal="left" indent="1"/>
    </xf>
    <xf numFmtId="0" fontId="27" fillId="0" borderId="0" xfId="0" applyFont="1" applyAlignment="1">
      <alignment horizontal="center"/>
    </xf>
    <xf numFmtId="164" fontId="28" fillId="36" borderId="0" xfId="0" applyNumberFormat="1" applyFont="1" applyFill="1"/>
    <xf numFmtId="0" fontId="0" fillId="37" borderId="0" xfId="0" applyFill="1"/>
    <xf numFmtId="0" fontId="24" fillId="0" borderId="0" xfId="0" applyFont="1" applyFill="1" applyBorder="1" applyAlignment="1">
      <alignment horizontal="center"/>
    </xf>
    <xf numFmtId="0" fontId="25" fillId="0" borderId="0" xfId="0" applyFont="1" applyFill="1" applyBorder="1"/>
    <xf numFmtId="0" fontId="26" fillId="0" borderId="0" xfId="0" applyFont="1" applyFill="1" applyBorder="1"/>
    <xf numFmtId="0" fontId="24" fillId="0" borderId="0" xfId="0" applyFont="1" applyFill="1" applyAlignment="1">
      <alignment horizontal="center"/>
    </xf>
    <xf numFmtId="168" fontId="23" fillId="0" borderId="0" xfId="0" applyNumberFormat="1" applyFont="1"/>
    <xf numFmtId="0" fontId="31" fillId="0" borderId="0" xfId="34" applyFont="1"/>
    <xf numFmtId="167" fontId="31" fillId="0" borderId="0" xfId="19" applyNumberFormat="1" applyFont="1" applyBorder="1"/>
    <xf numFmtId="0" fontId="31" fillId="0" borderId="0" xfId="34" applyFont="1" applyBorder="1" applyAlignment="1">
      <alignment horizontal="left"/>
    </xf>
    <xf numFmtId="0" fontId="31" fillId="0" borderId="0" xfId="34" applyFont="1" applyBorder="1"/>
    <xf numFmtId="10" fontId="31" fillId="0" borderId="0" xfId="37" applyNumberFormat="1" applyFont="1" applyBorder="1" applyAlignment="1">
      <alignment horizontal="left" indent="3"/>
    </xf>
    <xf numFmtId="0" fontId="31" fillId="0" borderId="0" xfId="34" applyFont="1" applyBorder="1" applyAlignment="1">
      <alignment horizontal="right" wrapText="1"/>
    </xf>
    <xf numFmtId="42" fontId="31" fillId="0" borderId="0" xfId="34" applyNumberFormat="1" applyFont="1"/>
    <xf numFmtId="175" fontId="31" fillId="0" borderId="0" xfId="34" applyNumberFormat="1" applyFont="1"/>
    <xf numFmtId="0" fontId="32" fillId="0" borderId="0" xfId="34" applyFont="1"/>
    <xf numFmtId="0" fontId="32" fillId="0" borderId="0" xfId="34" applyFont="1" applyBorder="1" applyAlignment="1">
      <alignment vertical="center" wrapText="1"/>
    </xf>
    <xf numFmtId="42" fontId="32" fillId="0" borderId="0" xfId="19" applyNumberFormat="1" applyFont="1" applyBorder="1" applyAlignment="1">
      <alignment vertical="center"/>
    </xf>
    <xf numFmtId="171" fontId="32" fillId="0" borderId="0" xfId="37" applyNumberFormat="1" applyFont="1" applyBorder="1" applyAlignment="1">
      <alignment horizontal="center" vertical="center"/>
    </xf>
    <xf numFmtId="164" fontId="31" fillId="0" borderId="0" xfId="19" applyNumberFormat="1" applyFont="1" applyBorder="1"/>
    <xf numFmtId="3" fontId="23" fillId="0" borderId="0" xfId="0" applyNumberFormat="1" applyFont="1"/>
    <xf numFmtId="0" fontId="31" fillId="0" borderId="0" xfId="28" applyFont="1"/>
    <xf numFmtId="164" fontId="0" fillId="0" borderId="0" xfId="0" applyNumberFormat="1" applyAlignment="1">
      <alignment horizontal="right" indent="1"/>
    </xf>
    <xf numFmtId="164" fontId="0" fillId="0" borderId="0" xfId="0" applyNumberFormat="1" applyAlignment="1"/>
    <xf numFmtId="165" fontId="33" fillId="0" borderId="0" xfId="0" applyNumberFormat="1" applyFont="1"/>
    <xf numFmtId="165" fontId="34" fillId="0" borderId="0" xfId="0" applyNumberFormat="1" applyFont="1"/>
    <xf numFmtId="166" fontId="0" fillId="0" borderId="0" xfId="0" applyNumberFormat="1" applyFill="1"/>
    <xf numFmtId="166" fontId="23" fillId="0" borderId="0" xfId="0" applyNumberFormat="1" applyFont="1" applyFill="1" applyAlignment="1">
      <alignment horizontal="left" indent="1"/>
    </xf>
    <xf numFmtId="1" fontId="23" fillId="36" borderId="0" xfId="28" applyNumberFormat="1" applyFont="1" applyFill="1" applyBorder="1" applyAlignment="1">
      <alignment horizontal="center"/>
    </xf>
    <xf numFmtId="165" fontId="23"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21" fillId="0" borderId="0" xfId="0" quotePrefix="1" applyFont="1" applyAlignment="1">
      <alignment horizontal="right"/>
    </xf>
    <xf numFmtId="165" fontId="27" fillId="0" borderId="0" xfId="0" applyNumberFormat="1" applyFont="1"/>
    <xf numFmtId="164" fontId="23" fillId="36" borderId="0" xfId="19" applyNumberFormat="1" applyFont="1" applyFill="1" applyBorder="1"/>
    <xf numFmtId="164" fontId="23" fillId="0" borderId="0" xfId="19" applyNumberFormat="1" applyFont="1" applyBorder="1"/>
    <xf numFmtId="164" fontId="27" fillId="36" borderId="0" xfId="19" applyNumberFormat="1" applyFont="1" applyFill="1" applyBorder="1"/>
    <xf numFmtId="164" fontId="23" fillId="0" borderId="0" xfId="0" applyNumberFormat="1" applyFont="1" applyAlignment="1">
      <alignment horizontal="left" indent="1"/>
    </xf>
    <xf numFmtId="164" fontId="23" fillId="0" borderId="0" xfId="19" applyNumberFormat="1" applyFont="1" applyBorder="1" applyAlignment="1">
      <alignment horizontal="left" indent="1"/>
    </xf>
    <xf numFmtId="10" fontId="23" fillId="0" borderId="0" xfId="37" applyNumberFormat="1" applyFont="1" applyBorder="1" applyAlignment="1">
      <alignment horizontal="center"/>
    </xf>
    <xf numFmtId="10" fontId="27" fillId="0" borderId="0" xfId="37" applyNumberFormat="1" applyFont="1" applyBorder="1" applyAlignment="1">
      <alignment horizontal="center"/>
    </xf>
    <xf numFmtId="164" fontId="21" fillId="0" borderId="0" xfId="19" applyNumberFormat="1" applyFont="1" applyBorder="1" applyAlignment="1">
      <alignment vertical="center"/>
    </xf>
    <xf numFmtId="10" fontId="21" fillId="0" borderId="0" xfId="37" applyNumberFormat="1" applyFont="1" applyBorder="1" applyAlignment="1">
      <alignment horizontal="center" vertical="center"/>
    </xf>
    <xf numFmtId="0" fontId="24" fillId="0" borderId="0" xfId="34" applyFont="1" applyAlignment="1">
      <alignment horizontal="center"/>
    </xf>
    <xf numFmtId="0" fontId="21" fillId="0" borderId="0" xfId="34" applyFont="1" applyBorder="1"/>
    <xf numFmtId="0" fontId="23" fillId="0" borderId="0" xfId="34" applyFont="1" applyBorder="1" applyAlignment="1">
      <alignment horizontal="left" indent="2"/>
    </xf>
    <xf numFmtId="0" fontId="21" fillId="0" borderId="0" xfId="34" applyFont="1" applyBorder="1" applyAlignment="1">
      <alignment horizontal="left"/>
    </xf>
    <xf numFmtId="0" fontId="21" fillId="0" borderId="0" xfId="34" applyFont="1" applyBorder="1" applyAlignment="1">
      <alignment horizontal="left" wrapText="1"/>
    </xf>
    <xf numFmtId="0" fontId="23" fillId="0" borderId="0" xfId="34" applyFont="1" applyBorder="1" applyAlignment="1">
      <alignment horizontal="left" wrapText="1"/>
    </xf>
    <xf numFmtId="0" fontId="21" fillId="0" borderId="0" xfId="34" applyFont="1" applyBorder="1" applyAlignment="1">
      <alignment vertical="center" wrapText="1"/>
    </xf>
    <xf numFmtId="0" fontId="21" fillId="0" borderId="0" xfId="34" applyFont="1"/>
    <xf numFmtId="0" fontId="21" fillId="0" borderId="0" xfId="34" applyFont="1" applyAlignment="1">
      <alignment horizontal="center"/>
    </xf>
    <xf numFmtId="0" fontId="23" fillId="0" borderId="0" xfId="34" applyFont="1"/>
    <xf numFmtId="0" fontId="23" fillId="36" borderId="0" xfId="34" applyFont="1" applyFill="1"/>
    <xf numFmtId="0" fontId="24" fillId="0" borderId="0" xfId="34" applyFont="1" applyFill="1" applyAlignment="1">
      <alignment horizontal="center"/>
    </xf>
    <xf numFmtId="167" fontId="23" fillId="0" borderId="0" xfId="19" applyNumberFormat="1" applyFont="1" applyBorder="1"/>
    <xf numFmtId="171" fontId="23" fillId="0" borderId="0" xfId="37" applyNumberFormat="1" applyFont="1" applyBorder="1" applyAlignment="1">
      <alignment horizontal="left" indent="3"/>
    </xf>
    <xf numFmtId="0" fontId="23" fillId="0" borderId="0" xfId="34" applyFont="1" applyBorder="1" applyAlignment="1">
      <alignment horizontal="left"/>
    </xf>
    <xf numFmtId="41" fontId="23" fillId="0" borderId="0" xfId="19" applyNumberFormat="1" applyFont="1" applyBorder="1"/>
    <xf numFmtId="41" fontId="23" fillId="0" borderId="0" xfId="34" applyNumberFormat="1" applyFont="1" applyBorder="1"/>
    <xf numFmtId="10" fontId="23" fillId="0" borderId="0" xfId="34" applyNumberFormat="1" applyFont="1" applyBorder="1" applyAlignment="1">
      <alignment horizontal="center"/>
    </xf>
    <xf numFmtId="10" fontId="23" fillId="0" borderId="0" xfId="37" applyNumberFormat="1" applyFont="1" applyFill="1" applyBorder="1" applyAlignment="1">
      <alignment horizontal="center"/>
    </xf>
    <xf numFmtId="5" fontId="27" fillId="36" borderId="0" xfId="19" applyNumberFormat="1" applyFont="1" applyFill="1" applyBorder="1"/>
    <xf numFmtId="10" fontId="27" fillId="0" borderId="0" xfId="37" applyNumberFormat="1" applyFont="1" applyFill="1" applyBorder="1" applyAlignment="1">
      <alignment horizontal="center"/>
    </xf>
    <xf numFmtId="0" fontId="23" fillId="0" borderId="0" xfId="34" applyFont="1" applyBorder="1" applyAlignment="1">
      <alignment horizontal="right" wrapText="1"/>
    </xf>
    <xf numFmtId="0" fontId="21" fillId="0" borderId="0" xfId="34" applyFont="1" applyBorder="1" applyAlignment="1">
      <alignment horizontal="left" vertical="center" wrapText="1"/>
    </xf>
    <xf numFmtId="0" fontId="52" fillId="36" borderId="0" xfId="34" applyFont="1" applyFill="1"/>
    <xf numFmtId="0" fontId="23" fillId="36" borderId="0" xfId="0" applyFont="1" applyFill="1" applyAlignment="1"/>
    <xf numFmtId="0" fontId="23" fillId="0" borderId="0" xfId="0" quotePrefix="1" applyFont="1" applyAlignment="1">
      <alignment horizontal="center" vertical="justify"/>
    </xf>
    <xf numFmtId="0" fontId="21" fillId="36" borderId="0" xfId="0" applyFont="1" applyFill="1" applyAlignment="1">
      <alignment horizontal="center"/>
    </xf>
    <xf numFmtId="0" fontId="24" fillId="36" borderId="0" xfId="0" applyFont="1" applyFill="1" applyAlignment="1">
      <alignment horizontal="center"/>
    </xf>
    <xf numFmtId="0" fontId="21" fillId="0" borderId="0" xfId="28" applyFont="1" applyFill="1" applyBorder="1" applyAlignment="1">
      <alignment horizontal="left"/>
    </xf>
    <xf numFmtId="164" fontId="23" fillId="0" borderId="0" xfId="0" quotePrefix="1" applyNumberFormat="1" applyFont="1" applyAlignment="1">
      <alignment horizontal="center"/>
    </xf>
    <xf numFmtId="0" fontId="21" fillId="0" borderId="0" xfId="0" applyFont="1" applyBorder="1" applyAlignment="1">
      <alignment horizontal="center"/>
    </xf>
    <xf numFmtId="0" fontId="21" fillId="0" borderId="3" xfId="0" applyFont="1" applyBorder="1" applyAlignment="1">
      <alignment horizontal="center"/>
    </xf>
    <xf numFmtId="0" fontId="21" fillId="0" borderId="3" xfId="0" applyFont="1" applyFill="1" applyBorder="1" applyAlignment="1">
      <alignment horizontal="center"/>
    </xf>
    <xf numFmtId="0" fontId="21" fillId="0" borderId="3" xfId="0" applyNumberFormat="1" applyFont="1" applyBorder="1" applyAlignment="1">
      <alignment horizontal="center" wrapText="1"/>
    </xf>
    <xf numFmtId="0" fontId="21" fillId="0" borderId="3" xfId="0" applyNumberFormat="1" applyFont="1" applyFill="1" applyBorder="1" applyAlignment="1">
      <alignment wrapText="1"/>
    </xf>
    <xf numFmtId="0" fontId="21" fillId="0" borderId="3" xfId="0" applyNumberFormat="1" applyFont="1" applyBorder="1" applyAlignment="1">
      <alignment wrapText="1"/>
    </xf>
    <xf numFmtId="0" fontId="21" fillId="0" borderId="3" xfId="0" applyFont="1" applyFill="1" applyBorder="1" applyAlignment="1">
      <alignment horizontal="center" wrapText="1"/>
    </xf>
    <xf numFmtId="0" fontId="21" fillId="0" borderId="3" xfId="0" applyFont="1" applyBorder="1" applyAlignment="1">
      <alignment horizontal="center" wrapText="1"/>
    </xf>
    <xf numFmtId="0" fontId="23" fillId="0" borderId="3" xfId="0" quotePrefix="1" applyNumberFormat="1" applyFont="1" applyFill="1" applyBorder="1" applyAlignment="1">
      <alignment horizontal="center"/>
    </xf>
    <xf numFmtId="0" fontId="23" fillId="0" borderId="3" xfId="0" quotePrefix="1" applyNumberFormat="1" applyFont="1" applyFill="1" applyBorder="1" applyAlignment="1">
      <alignment horizontal="left"/>
    </xf>
    <xf numFmtId="0" fontId="23" fillId="0" borderId="3" xfId="0" quotePrefix="1" applyNumberFormat="1" applyFont="1" applyFill="1" applyBorder="1"/>
    <xf numFmtId="0" fontId="23" fillId="0" borderId="3" xfId="0" applyFont="1" applyFill="1" applyBorder="1" applyAlignment="1">
      <alignment horizontal="center"/>
    </xf>
    <xf numFmtId="37" fontId="23" fillId="0" borderId="3" xfId="0" applyNumberFormat="1" applyFont="1" applyFill="1" applyBorder="1" applyAlignment="1">
      <alignment horizontal="center"/>
    </xf>
    <xf numFmtId="0" fontId="23" fillId="0" borderId="3" xfId="0" quotePrefix="1" applyNumberFormat="1" applyFont="1" applyBorder="1" applyAlignment="1">
      <alignment horizontal="center"/>
    </xf>
    <xf numFmtId="0" fontId="23" fillId="0" borderId="3" xfId="0" quotePrefix="1" applyNumberFormat="1" applyFont="1" applyBorder="1"/>
    <xf numFmtId="0" fontId="23" fillId="0" borderId="3" xfId="0" applyFont="1" applyBorder="1" applyAlignment="1">
      <alignment horizontal="center"/>
    </xf>
    <xf numFmtId="0" fontId="21" fillId="0" borderId="0" xfId="0" quotePrefix="1" applyNumberFormat="1" applyFont="1" applyBorder="1" applyAlignment="1">
      <alignment horizontal="center"/>
    </xf>
    <xf numFmtId="0" fontId="21" fillId="0" borderId="0" xfId="0" applyNumberFormat="1" applyFont="1" applyFill="1" applyBorder="1"/>
    <xf numFmtId="0" fontId="21" fillId="0" borderId="0" xfId="0" quotePrefix="1" applyNumberFormat="1" applyFont="1" applyBorder="1"/>
    <xf numFmtId="0" fontId="21" fillId="0" borderId="0" xfId="0" quotePrefix="1" applyNumberFormat="1" applyFont="1" applyFill="1" applyBorder="1"/>
    <xf numFmtId="37" fontId="23" fillId="0" borderId="0" xfId="0" applyNumberFormat="1" applyFont="1" applyFill="1" applyBorder="1" applyAlignment="1">
      <alignment horizontal="center"/>
    </xf>
    <xf numFmtId="0" fontId="23" fillId="0" borderId="0" xfId="0" applyFont="1" applyBorder="1" applyAlignment="1">
      <alignment horizontal="center"/>
    </xf>
    <xf numFmtId="0" fontId="23" fillId="0" borderId="0" xfId="0" quotePrefix="1" applyNumberFormat="1" applyFont="1" applyBorder="1" applyAlignment="1">
      <alignment horizontal="center"/>
    </xf>
    <xf numFmtId="0" fontId="23" fillId="0" borderId="3" xfId="0" applyFont="1" applyFill="1" applyBorder="1"/>
    <xf numFmtId="37" fontId="21" fillId="0" borderId="0" xfId="0" applyNumberFormat="1" applyFont="1" applyFill="1" applyBorder="1" applyAlignment="1">
      <alignment horizontal="center"/>
    </xf>
    <xf numFmtId="0" fontId="23" fillId="0" borderId="3" xfId="0" quotePrefix="1" applyNumberFormat="1" applyFont="1" applyBorder="1" applyAlignment="1">
      <alignment horizontal="left"/>
    </xf>
    <xf numFmtId="0" fontId="23" fillId="0" borderId="3" xfId="0" applyNumberFormat="1" applyFont="1" applyFill="1" applyBorder="1"/>
    <xf numFmtId="0" fontId="23" fillId="0" borderId="3" xfId="0" applyNumberFormat="1" applyFont="1" applyFill="1" applyBorder="1" applyAlignment="1">
      <alignment horizontal="left"/>
    </xf>
    <xf numFmtId="39" fontId="23" fillId="0" borderId="0" xfId="19" applyNumberFormat="1" applyFont="1" applyBorder="1" applyAlignment="1">
      <alignment horizontal="center"/>
    </xf>
    <xf numFmtId="0" fontId="23" fillId="0" borderId="0" xfId="0" applyFont="1" applyFill="1" applyBorder="1" applyAlignment="1">
      <alignment horizontal="center"/>
    </xf>
    <xf numFmtId="39" fontId="23" fillId="0" borderId="0" xfId="19" applyNumberFormat="1" applyFont="1" applyFill="1" applyBorder="1" applyAlignment="1">
      <alignment horizontal="center"/>
    </xf>
    <xf numFmtId="0" fontId="23" fillId="0" borderId="0" xfId="0" applyFont="1" applyBorder="1"/>
    <xf numFmtId="0" fontId="21" fillId="0" borderId="3" xfId="0" applyNumberFormat="1" applyFont="1" applyFill="1" applyBorder="1" applyAlignment="1">
      <alignment horizontal="right"/>
    </xf>
    <xf numFmtId="0" fontId="23" fillId="0" borderId="0" xfId="0" quotePrefix="1" applyNumberFormat="1" applyFont="1" applyBorder="1"/>
    <xf numFmtId="0" fontId="23" fillId="0" borderId="0" xfId="0" quotePrefix="1" applyNumberFormat="1" applyFont="1" applyFill="1" applyBorder="1"/>
    <xf numFmtId="164" fontId="23" fillId="0" borderId="0" xfId="19" applyNumberFormat="1" applyFont="1" applyBorder="1" applyAlignment="1">
      <alignment horizontal="right"/>
    </xf>
    <xf numFmtId="0" fontId="27" fillId="0" borderId="0" xfId="0" applyFont="1" applyBorder="1" applyAlignment="1">
      <alignment horizontal="center"/>
    </xf>
    <xf numFmtId="49" fontId="23" fillId="0" borderId="0" xfId="19" applyNumberFormat="1" applyFont="1" applyBorder="1" applyAlignment="1">
      <alignment horizontal="left" indent="1"/>
    </xf>
    <xf numFmtId="0" fontId="53" fillId="0" borderId="0" xfId="0" applyFont="1"/>
    <xf numFmtId="0" fontId="53" fillId="0" borderId="0" xfId="0" applyFont="1" applyAlignment="1">
      <alignment horizontal="right"/>
    </xf>
    <xf numFmtId="164" fontId="53" fillId="0" borderId="0" xfId="0" applyNumberFormat="1" applyFont="1"/>
    <xf numFmtId="0" fontId="54" fillId="0" borderId="0" xfId="0" applyFont="1" applyAlignment="1">
      <alignment horizontal="center"/>
    </xf>
    <xf numFmtId="164" fontId="53" fillId="0" borderId="0" xfId="0" applyNumberFormat="1" applyFont="1" applyFill="1"/>
    <xf numFmtId="164" fontId="53" fillId="36" borderId="0" xfId="0" applyNumberFormat="1" applyFont="1" applyFill="1"/>
    <xf numFmtId="10" fontId="53" fillId="34" borderId="0" xfId="0" applyNumberFormat="1" applyFont="1" applyFill="1"/>
    <xf numFmtId="164" fontId="53" fillId="0" borderId="0" xfId="0" applyNumberFormat="1" applyFont="1" applyAlignment="1">
      <alignment horizontal="right"/>
    </xf>
    <xf numFmtId="164" fontId="53" fillId="0" borderId="0" xfId="0" quotePrefix="1" applyNumberFormat="1" applyFont="1" applyAlignment="1">
      <alignment horizontal="center"/>
    </xf>
    <xf numFmtId="0" fontId="53" fillId="0" borderId="0" xfId="0" applyFont="1" applyFill="1"/>
    <xf numFmtId="10" fontId="53" fillId="0" borderId="0" xfId="0" applyNumberFormat="1" applyFont="1" applyFill="1"/>
    <xf numFmtId="0" fontId="51" fillId="0" borderId="0" xfId="0" applyFont="1" applyAlignment="1">
      <alignment horizontal="center"/>
    </xf>
    <xf numFmtId="0" fontId="56" fillId="0" borderId="0" xfId="0" applyFont="1" applyAlignment="1">
      <alignment horizontal="center"/>
    </xf>
    <xf numFmtId="166" fontId="53" fillId="0" borderId="0" xfId="0" applyNumberFormat="1" applyFont="1"/>
    <xf numFmtId="164" fontId="53" fillId="34" borderId="0" xfId="0" applyNumberFormat="1" applyFont="1" applyFill="1"/>
    <xf numFmtId="0" fontId="53" fillId="0" borderId="0" xfId="0" applyFont="1" applyAlignment="1">
      <alignment horizontal="left" indent="1"/>
    </xf>
    <xf numFmtId="165" fontId="53" fillId="0" borderId="0" xfId="0" applyNumberFormat="1" applyFont="1"/>
    <xf numFmtId="0" fontId="53" fillId="0" borderId="0" xfId="0" applyFont="1" applyAlignment="1">
      <alignment horizontal="center"/>
    </xf>
    <xf numFmtId="0" fontId="21" fillId="36" borderId="0" xfId="0" quotePrefix="1" applyFont="1" applyFill="1" applyAlignment="1">
      <alignment horizontal="center"/>
    </xf>
    <xf numFmtId="0" fontId="21" fillId="0" borderId="0" xfId="28" applyFont="1"/>
    <xf numFmtId="0" fontId="23" fillId="36" borderId="0" xfId="28" applyFont="1" applyFill="1"/>
    <xf numFmtId="0" fontId="21" fillId="0" borderId="0" xfId="28" applyFont="1" applyFill="1" applyBorder="1" applyAlignment="1">
      <alignment horizontal="left" vertical="center"/>
    </xf>
    <xf numFmtId="0" fontId="21" fillId="0" borderId="0" xfId="28" applyFont="1" applyFill="1" applyBorder="1" applyAlignment="1">
      <alignment horizontal="center" vertical="center" wrapText="1"/>
    </xf>
    <xf numFmtId="0" fontId="21" fillId="0" borderId="0" xfId="28" applyFont="1" applyFill="1" applyBorder="1" applyAlignment="1">
      <alignment horizontal="center" vertical="center"/>
    </xf>
    <xf numFmtId="0" fontId="21" fillId="0" borderId="0" xfId="28" applyFont="1" applyFill="1" applyBorder="1" applyAlignment="1">
      <alignment horizontal="center"/>
    </xf>
    <xf numFmtId="0" fontId="21" fillId="0" borderId="0" xfId="28" applyFont="1" applyBorder="1" applyAlignment="1">
      <alignment horizontal="center" vertical="center" wrapText="1"/>
    </xf>
    <xf numFmtId="0" fontId="23" fillId="0" borderId="0" xfId="28" applyFont="1" applyFill="1" applyBorder="1" applyAlignment="1">
      <alignment horizontal="left" vertical="center" indent="1"/>
    </xf>
    <xf numFmtId="164" fontId="23" fillId="0" borderId="0" xfId="28" applyNumberFormat="1" applyFont="1" applyFill="1" applyBorder="1" applyAlignment="1">
      <alignment horizontal="right" vertical="center" wrapText="1"/>
    </xf>
    <xf numFmtId="164" fontId="23" fillId="0" borderId="0" xfId="20" applyNumberFormat="1" applyFont="1" applyFill="1"/>
    <xf numFmtId="164" fontId="23" fillId="0" borderId="0" xfId="28" applyNumberFormat="1" applyFont="1" applyFill="1" applyBorder="1" applyAlignment="1">
      <alignment horizontal="right"/>
    </xf>
    <xf numFmtId="164" fontId="27" fillId="0" borderId="0" xfId="28" applyNumberFormat="1" applyFont="1" applyFill="1" applyBorder="1" applyAlignment="1">
      <alignment horizontal="right" vertical="center" wrapText="1"/>
    </xf>
    <xf numFmtId="164" fontId="27" fillId="0" borderId="0" xfId="20" applyNumberFormat="1" applyFont="1" applyFill="1"/>
    <xf numFmtId="164" fontId="27" fillId="0" borderId="0" xfId="28" applyNumberFormat="1" applyFont="1" applyFill="1" applyBorder="1" applyAlignment="1">
      <alignment horizontal="right"/>
    </xf>
    <xf numFmtId="164" fontId="23" fillId="0" borderId="0" xfId="28" applyNumberFormat="1" applyFont="1" applyFill="1" applyAlignment="1">
      <alignment vertical="center"/>
    </xf>
    <xf numFmtId="0" fontId="23" fillId="0" borderId="0" xfId="28" applyFont="1" applyFill="1"/>
    <xf numFmtId="41" fontId="23" fillId="0" borderId="0" xfId="20" applyNumberFormat="1" applyFont="1" applyFill="1"/>
    <xf numFmtId="41" fontId="23" fillId="0" borderId="0" xfId="28" applyNumberFormat="1" applyFont="1" applyFill="1"/>
    <xf numFmtId="41" fontId="23" fillId="0" borderId="0" xfId="20" applyNumberFormat="1" applyFont="1"/>
    <xf numFmtId="41" fontId="23" fillId="0" borderId="0" xfId="20" applyNumberFormat="1" applyFont="1" applyAlignment="1" applyProtection="1">
      <alignment horizontal="right" indent="2"/>
    </xf>
    <xf numFmtId="0" fontId="21" fillId="0" borderId="0" xfId="28" applyFont="1" applyFill="1"/>
    <xf numFmtId="0" fontId="23" fillId="0" borderId="0" xfId="28" applyFont="1" applyFill="1" applyAlignment="1">
      <alignment horizontal="left" wrapText="1" indent="1"/>
    </xf>
    <xf numFmtId="164" fontId="23" fillId="0" borderId="0" xfId="28" applyNumberFormat="1" applyFont="1" applyFill="1"/>
    <xf numFmtId="41" fontId="35" fillId="0" borderId="0" xfId="20" applyNumberFormat="1" applyFont="1" applyFill="1"/>
    <xf numFmtId="164" fontId="35" fillId="0" borderId="0" xfId="20" applyNumberFormat="1" applyFont="1" applyFill="1"/>
    <xf numFmtId="42" fontId="35" fillId="0" borderId="0" xfId="28" applyNumberFormat="1" applyFont="1"/>
    <xf numFmtId="42" fontId="23" fillId="0" borderId="0" xfId="28" applyNumberFormat="1" applyFont="1"/>
    <xf numFmtId="42" fontId="23" fillId="0" borderId="0" xfId="20" applyNumberFormat="1" applyFont="1" applyBorder="1"/>
    <xf numFmtId="42" fontId="23" fillId="0" borderId="0" xfId="28" applyNumberFormat="1" applyFont="1" applyBorder="1"/>
    <xf numFmtId="164" fontId="23" fillId="0" borderId="0" xfId="20" applyNumberFormat="1" applyFont="1" applyBorder="1"/>
    <xf numFmtId="43" fontId="23" fillId="0" borderId="0" xfId="28" applyNumberFormat="1" applyFont="1"/>
    <xf numFmtId="41" fontId="23" fillId="0" borderId="0" xfId="28" applyNumberFormat="1" applyFont="1"/>
    <xf numFmtId="0" fontId="21" fillId="0" borderId="0" xfId="28" applyFont="1" applyAlignment="1">
      <alignment horizontal="center" wrapText="1"/>
    </xf>
    <xf numFmtId="0" fontId="24" fillId="0" borderId="0" xfId="28" applyFont="1"/>
    <xf numFmtId="164" fontId="23" fillId="0" borderId="0" xfId="28" applyNumberFormat="1" applyFont="1" applyBorder="1"/>
    <xf numFmtId="0" fontId="23" fillId="0" borderId="0" xfId="28" applyFont="1" applyFill="1" applyBorder="1" applyAlignment="1">
      <alignment horizontal="right" vertical="center"/>
    </xf>
    <xf numFmtId="168" fontId="23" fillId="0" borderId="0" xfId="39" applyNumberFormat="1" applyFont="1" applyFill="1" applyBorder="1" applyAlignment="1">
      <alignment vertical="center"/>
    </xf>
    <xf numFmtId="10" fontId="23" fillId="0" borderId="0" xfId="39" applyNumberFormat="1" applyFont="1" applyFill="1" applyBorder="1" applyAlignment="1">
      <alignment vertical="center"/>
    </xf>
    <xf numFmtId="0" fontId="23" fillId="0" borderId="0" xfId="28" applyFont="1" applyFill="1" applyBorder="1"/>
    <xf numFmtId="10" fontId="23" fillId="0" borderId="0" xfId="39" applyNumberFormat="1" applyFont="1" applyFill="1" applyBorder="1"/>
    <xf numFmtId="42" fontId="23" fillId="0" borderId="0" xfId="20" applyNumberFormat="1" applyFont="1" applyFill="1"/>
    <xf numFmtId="39" fontId="21" fillId="0" borderId="3" xfId="22" quotePrefix="1" applyNumberFormat="1" applyFont="1" applyBorder="1" applyAlignment="1">
      <alignment horizontal="center" wrapText="1"/>
    </xf>
    <xf numFmtId="39" fontId="21" fillId="0" borderId="3" xfId="22" applyNumberFormat="1" applyFont="1" applyBorder="1" applyAlignment="1">
      <alignment horizontal="center" wrapText="1"/>
    </xf>
    <xf numFmtId="39" fontId="23" fillId="0" borderId="3" xfId="22" quotePrefix="1" applyNumberFormat="1" applyFont="1" applyFill="1" applyBorder="1" applyAlignment="1">
      <alignment horizontal="center"/>
    </xf>
    <xf numFmtId="176" fontId="21" fillId="0" borderId="3" xfId="22" applyNumberFormat="1" applyFont="1" applyBorder="1" applyAlignment="1">
      <alignment horizontal="center" wrapText="1"/>
    </xf>
    <xf numFmtId="39" fontId="21" fillId="0" borderId="0" xfId="22" quotePrefix="1" applyNumberFormat="1" applyFont="1" applyBorder="1" applyAlignment="1">
      <alignment horizontal="center"/>
    </xf>
    <xf numFmtId="37" fontId="21" fillId="0" borderId="3" xfId="22" quotePrefix="1" applyNumberFormat="1" applyFont="1" applyBorder="1" applyAlignment="1">
      <alignment horizontal="center"/>
    </xf>
    <xf numFmtId="37" fontId="21" fillId="0" borderId="0" xfId="22" quotePrefix="1" applyNumberFormat="1" applyFont="1" applyBorder="1" applyAlignment="1">
      <alignment horizontal="center"/>
    </xf>
    <xf numFmtId="37" fontId="23" fillId="0" borderId="3" xfId="22" quotePrefix="1" applyNumberFormat="1" applyFont="1" applyFill="1" applyBorder="1" applyAlignment="1">
      <alignment horizontal="center"/>
    </xf>
    <xf numFmtId="39" fontId="23" fillId="0" borderId="0" xfId="22" quotePrefix="1" applyNumberFormat="1" applyFont="1" applyBorder="1" applyAlignment="1">
      <alignment horizontal="center"/>
    </xf>
    <xf numFmtId="176" fontId="23" fillId="0" borderId="0" xfId="22" applyNumberFormat="1" applyFont="1" applyBorder="1" applyAlignment="1">
      <alignment horizontal="center"/>
    </xf>
    <xf numFmtId="0" fontId="23" fillId="0" borderId="3" xfId="22" applyNumberFormat="1" applyFont="1" applyFill="1" applyBorder="1" applyAlignment="1">
      <alignment horizontal="left"/>
    </xf>
    <xf numFmtId="37" fontId="23" fillId="36" borderId="3" xfId="22" quotePrefix="1" applyNumberFormat="1" applyFont="1" applyFill="1" applyBorder="1" applyAlignment="1">
      <alignment horizontal="center"/>
    </xf>
    <xf numFmtId="0" fontId="23" fillId="36" borderId="3" xfId="0" applyFont="1" applyFill="1" applyBorder="1" applyAlignment="1">
      <alignment horizontal="center"/>
    </xf>
    <xf numFmtId="37" fontId="23" fillId="36" borderId="3" xfId="0" applyNumberFormat="1" applyFont="1" applyFill="1" applyBorder="1" applyAlignment="1">
      <alignment horizontal="center"/>
    </xf>
    <xf numFmtId="37" fontId="23" fillId="36" borderId="3" xfId="22" applyNumberFormat="1" applyFont="1" applyFill="1" applyBorder="1" applyAlignment="1">
      <alignment horizontal="center"/>
    </xf>
    <xf numFmtId="39" fontId="23" fillId="36" borderId="3" xfId="22" quotePrefix="1" applyNumberFormat="1" applyFont="1" applyFill="1" applyBorder="1" applyAlignment="1">
      <alignment horizontal="center"/>
    </xf>
    <xf numFmtId="39" fontId="23" fillId="36" borderId="4" xfId="22" quotePrefix="1" applyNumberFormat="1" applyFont="1" applyFill="1" applyBorder="1" applyAlignment="1">
      <alignment horizontal="center"/>
    </xf>
    <xf numFmtId="37" fontId="21" fillId="36" borderId="3" xfId="22" quotePrefix="1" applyNumberFormat="1" applyFont="1" applyFill="1" applyBorder="1" applyAlignment="1">
      <alignment horizontal="center"/>
    </xf>
    <xf numFmtId="177" fontId="23" fillId="36" borderId="3" xfId="22" applyNumberFormat="1" applyFont="1" applyFill="1" applyBorder="1"/>
    <xf numFmtId="37" fontId="21" fillId="0" borderId="0" xfId="22" quotePrefix="1" applyNumberFormat="1" applyFont="1" applyFill="1" applyBorder="1" applyAlignment="1">
      <alignment horizontal="center"/>
    </xf>
    <xf numFmtId="37" fontId="21" fillId="0" borderId="3" xfId="22" quotePrefix="1" applyNumberFormat="1" applyFont="1" applyFill="1" applyBorder="1" applyAlignment="1">
      <alignment horizontal="center"/>
    </xf>
    <xf numFmtId="39" fontId="21" fillId="0" borderId="0" xfId="22" quotePrefix="1" applyNumberFormat="1" applyFont="1" applyFill="1" applyBorder="1" applyAlignment="1">
      <alignment horizontal="center"/>
    </xf>
    <xf numFmtId="39" fontId="21" fillId="0" borderId="3" xfId="22" applyNumberFormat="1" applyFont="1" applyFill="1" applyBorder="1" applyAlignment="1">
      <alignment horizontal="center" wrapText="1"/>
    </xf>
    <xf numFmtId="39" fontId="23" fillId="0" borderId="0" xfId="22" applyNumberFormat="1" applyFont="1" applyFill="1" applyBorder="1" applyAlignment="1">
      <alignment horizontal="center"/>
    </xf>
    <xf numFmtId="39" fontId="23" fillId="0" borderId="0" xfId="22" quotePrefix="1" applyNumberFormat="1" applyFont="1" applyFill="1" applyBorder="1" applyAlignment="1">
      <alignment horizontal="center"/>
    </xf>
    <xf numFmtId="39" fontId="52" fillId="0" borderId="0" xfId="22" quotePrefix="1" applyNumberFormat="1" applyFont="1" applyBorder="1" applyAlignment="1">
      <alignment horizontal="center"/>
    </xf>
    <xf numFmtId="39" fontId="23" fillId="0" borderId="3" xfId="22" applyNumberFormat="1" applyFont="1" applyBorder="1" applyAlignment="1">
      <alignment horizontal="center" wrapText="1"/>
    </xf>
    <xf numFmtId="177" fontId="52" fillId="0" borderId="0" xfId="22" applyNumberFormat="1" applyFont="1" applyBorder="1" applyAlignment="1">
      <alignment horizontal="center"/>
    </xf>
    <xf numFmtId="39" fontId="52" fillId="0" borderId="0" xfId="22" applyNumberFormat="1" applyFont="1" applyBorder="1" applyAlignment="1">
      <alignment horizontal="left"/>
    </xf>
    <xf numFmtId="37" fontId="21" fillId="37" borderId="3" xfId="22" quotePrefix="1" applyNumberFormat="1" applyFont="1" applyFill="1" applyBorder="1" applyAlignment="1">
      <alignment horizontal="center"/>
    </xf>
    <xf numFmtId="39" fontId="21" fillId="37" borderId="3" xfId="22" applyNumberFormat="1" applyFont="1" applyFill="1" applyBorder="1" applyAlignment="1">
      <alignment horizontal="center"/>
    </xf>
    <xf numFmtId="39" fontId="57" fillId="0" borderId="0" xfId="22" quotePrefix="1" applyNumberFormat="1" applyFont="1" applyBorder="1" applyAlignment="1">
      <alignment horizontal="center"/>
    </xf>
    <xf numFmtId="37" fontId="21" fillId="36" borderId="5" xfId="22" quotePrefix="1" applyNumberFormat="1" applyFont="1" applyFill="1" applyBorder="1" applyAlignment="1">
      <alignment horizontal="center"/>
    </xf>
    <xf numFmtId="0" fontId="21" fillId="37" borderId="0" xfId="0" quotePrefix="1" applyNumberFormat="1" applyFont="1" applyFill="1" applyBorder="1"/>
    <xf numFmtId="0" fontId="21" fillId="37" borderId="0" xfId="0" applyFont="1" applyFill="1" applyBorder="1"/>
    <xf numFmtId="37" fontId="57" fillId="0" borderId="0" xfId="22" quotePrefix="1" applyNumberFormat="1" applyFont="1" applyBorder="1" applyAlignment="1">
      <alignment horizontal="center"/>
    </xf>
    <xf numFmtId="0" fontId="23" fillId="36" borderId="3" xfId="0" quotePrefix="1" applyNumberFormat="1" applyFont="1" applyFill="1" applyBorder="1"/>
    <xf numFmtId="0" fontId="23" fillId="36" borderId="3" xfId="0" quotePrefix="1" applyNumberFormat="1" applyFont="1" applyFill="1" applyBorder="1" applyAlignment="1">
      <alignment horizontal="left"/>
    </xf>
    <xf numFmtId="0" fontId="23" fillId="36" borderId="3" xfId="0" applyNumberFormat="1" applyFont="1" applyFill="1" applyBorder="1"/>
    <xf numFmtId="0" fontId="23" fillId="36" borderId="3" xfId="0" applyNumberFormat="1" applyFont="1" applyFill="1" applyBorder="1" applyAlignment="1">
      <alignment horizontal="left"/>
    </xf>
    <xf numFmtId="0" fontId="23" fillId="36" borderId="3" xfId="22" applyNumberFormat="1" applyFont="1" applyFill="1" applyBorder="1" applyAlignment="1">
      <alignment horizontal="left"/>
    </xf>
    <xf numFmtId="0" fontId="23" fillId="36" borderId="3" xfId="0" quotePrefix="1" applyNumberFormat="1" applyFont="1" applyFill="1" applyBorder="1" applyAlignment="1">
      <alignment horizontal="center"/>
    </xf>
    <xf numFmtId="0" fontId="23" fillId="37" borderId="3" xfId="0" applyFont="1" applyFill="1" applyBorder="1" applyAlignment="1">
      <alignment horizontal="center"/>
    </xf>
    <xf numFmtId="0" fontId="23" fillId="37" borderId="3" xfId="0" applyFont="1" applyFill="1" applyBorder="1"/>
    <xf numFmtId="39" fontId="23" fillId="37" borderId="3" xfId="22" applyNumberFormat="1" applyFont="1" applyFill="1" applyBorder="1" applyAlignment="1">
      <alignment horizontal="center"/>
    </xf>
    <xf numFmtId="0" fontId="21" fillId="37" borderId="3" xfId="0" applyFont="1" applyFill="1" applyBorder="1" applyAlignment="1">
      <alignment horizontal="center"/>
    </xf>
    <xf numFmtId="37" fontId="23" fillId="0" borderId="3" xfId="22" applyNumberFormat="1" applyFont="1" applyFill="1" applyBorder="1" applyAlignment="1">
      <alignment horizontal="center"/>
    </xf>
    <xf numFmtId="39" fontId="23" fillId="0" borderId="3" xfId="22" applyNumberFormat="1" applyFont="1" applyFill="1" applyBorder="1" applyAlignment="1">
      <alignment horizontal="center"/>
    </xf>
    <xf numFmtId="49" fontId="23" fillId="0" borderId="0" xfId="22" applyNumberFormat="1" applyFont="1" applyBorder="1" applyAlignment="1">
      <alignment horizontal="left"/>
    </xf>
    <xf numFmtId="39" fontId="23" fillId="0" borderId="3" xfId="22" applyNumberFormat="1" applyFont="1" applyBorder="1" applyAlignment="1">
      <alignment horizontal="right"/>
    </xf>
    <xf numFmtId="10" fontId="23" fillId="0" borderId="3" xfId="38" applyNumberFormat="1" applyFont="1" applyFill="1" applyBorder="1" applyAlignment="1">
      <alignment horizontal="center"/>
    </xf>
    <xf numFmtId="39" fontId="23" fillId="0" borderId="3" xfId="22" quotePrefix="1" applyNumberFormat="1" applyFont="1" applyBorder="1" applyAlignment="1">
      <alignment horizontal="center"/>
    </xf>
    <xf numFmtId="39" fontId="21" fillId="0" borderId="3" xfId="22" applyNumberFormat="1" applyFont="1" applyFill="1" applyBorder="1" applyAlignment="1">
      <alignment horizontal="right" wrapText="1"/>
    </xf>
    <xf numFmtId="0" fontId="23" fillId="37" borderId="3" xfId="0" quotePrefix="1" applyNumberFormat="1" applyFont="1" applyFill="1" applyBorder="1"/>
    <xf numFmtId="0" fontId="23" fillId="36" borderId="6" xfId="0" applyFont="1" applyFill="1" applyBorder="1" applyAlignment="1"/>
    <xf numFmtId="0" fontId="23" fillId="36" borderId="4" xfId="0" applyFont="1" applyFill="1" applyBorder="1" applyAlignment="1"/>
    <xf numFmtId="0" fontId="23" fillId="36" borderId="3" xfId="0" applyFont="1" applyFill="1" applyBorder="1"/>
    <xf numFmtId="39" fontId="23" fillId="36" borderId="3" xfId="22" applyNumberFormat="1" applyFont="1" applyFill="1" applyBorder="1" applyAlignment="1">
      <alignment horizontal="center"/>
    </xf>
    <xf numFmtId="39" fontId="23" fillId="36" borderId="3" xfId="0" applyNumberFormat="1" applyFont="1" applyFill="1" applyBorder="1" applyAlignment="1">
      <alignment horizontal="center"/>
    </xf>
    <xf numFmtId="0" fontId="21" fillId="36" borderId="3" xfId="0" quotePrefix="1" applyNumberFormat="1" applyFont="1" applyFill="1" applyBorder="1"/>
    <xf numFmtId="39" fontId="21" fillId="36" borderId="3" xfId="22" quotePrefix="1" applyNumberFormat="1" applyFont="1" applyFill="1" applyBorder="1" applyAlignment="1">
      <alignment horizontal="center"/>
    </xf>
    <xf numFmtId="0" fontId="21" fillId="36" borderId="3" xfId="0" applyNumberFormat="1" applyFont="1" applyFill="1" applyBorder="1"/>
    <xf numFmtId="37" fontId="21" fillId="0" borderId="0" xfId="22" applyNumberFormat="1" applyFont="1" applyFill="1" applyBorder="1" applyAlignment="1">
      <alignment horizontal="center"/>
    </xf>
    <xf numFmtId="39" fontId="21" fillId="0" borderId="0" xfId="22" applyNumberFormat="1" applyFont="1" applyBorder="1" applyAlignment="1">
      <alignment horizontal="center"/>
    </xf>
    <xf numFmtId="39" fontId="21" fillId="0" borderId="0" xfId="22" applyNumberFormat="1" applyFont="1" applyFill="1" applyBorder="1" applyAlignment="1">
      <alignment horizontal="center"/>
    </xf>
    <xf numFmtId="39" fontId="21" fillId="37" borderId="7" xfId="22" applyNumberFormat="1" applyFont="1" applyFill="1" applyBorder="1" applyAlignment="1">
      <alignment horizontal="center"/>
    </xf>
    <xf numFmtId="39" fontId="21" fillId="37" borderId="0" xfId="22" quotePrefix="1" applyNumberFormat="1" applyFont="1" applyFill="1" applyBorder="1" applyAlignment="1">
      <alignment horizontal="center"/>
    </xf>
    <xf numFmtId="39" fontId="23" fillId="0" borderId="0" xfId="22" applyNumberFormat="1" applyFont="1" applyBorder="1" applyAlignment="1">
      <alignment horizontal="center"/>
    </xf>
    <xf numFmtId="0" fontId="24" fillId="0" borderId="0" xfId="0" quotePrefix="1" applyFont="1" applyFill="1" applyAlignment="1">
      <alignment horizontal="center"/>
    </xf>
    <xf numFmtId="164" fontId="21" fillId="0" borderId="0" xfId="0" applyNumberFormat="1" applyFont="1" applyFill="1" applyAlignment="1">
      <alignment horizontal="center"/>
    </xf>
    <xf numFmtId="164" fontId="24" fillId="0" borderId="0" xfId="0" applyNumberFormat="1" applyFont="1" applyFill="1" applyAlignment="1">
      <alignment horizontal="center"/>
    </xf>
    <xf numFmtId="164" fontId="24" fillId="36" borderId="0" xfId="0" applyNumberFormat="1" applyFont="1" applyFill="1" applyAlignment="1">
      <alignment horizontal="center"/>
    </xf>
    <xf numFmtId="0" fontId="23" fillId="0" borderId="0" xfId="0" quotePrefix="1" applyFont="1" applyFill="1" applyAlignment="1">
      <alignment horizontal="center"/>
    </xf>
    <xf numFmtId="0" fontId="23" fillId="0" borderId="0" xfId="0" applyFont="1" applyFill="1" applyAlignment="1">
      <alignment horizontal="right"/>
    </xf>
    <xf numFmtId="164" fontId="27" fillId="0" borderId="0" xfId="0" applyNumberFormat="1" applyFont="1" applyFill="1" applyAlignment="1">
      <alignment horizontal="right"/>
    </xf>
    <xf numFmtId="164" fontId="23" fillId="36" borderId="0" xfId="0" applyNumberFormat="1" applyFont="1" applyFill="1" applyAlignment="1">
      <alignment horizontal="right"/>
    </xf>
    <xf numFmtId="10" fontId="53" fillId="0" borderId="0" xfId="0" applyNumberFormat="1" applyFont="1"/>
    <xf numFmtId="164" fontId="58" fillId="0" borderId="0" xfId="0" applyNumberFormat="1" applyFont="1"/>
    <xf numFmtId="0" fontId="55" fillId="0" borderId="0" xfId="0" applyFont="1" applyAlignment="1">
      <alignment horizontal="center"/>
    </xf>
    <xf numFmtId="3" fontId="53" fillId="36" borderId="0" xfId="0" applyNumberFormat="1" applyFont="1" applyFill="1"/>
    <xf numFmtId="0" fontId="51" fillId="0" borderId="0" xfId="0" applyFont="1"/>
    <xf numFmtId="10" fontId="59" fillId="0" borderId="0" xfId="0" applyNumberFormat="1" applyFont="1"/>
    <xf numFmtId="0" fontId="29" fillId="0" borderId="0" xfId="27" applyAlignment="1" applyProtection="1"/>
    <xf numFmtId="0" fontId="27" fillId="0" borderId="0" xfId="0" applyFont="1" applyFill="1" applyAlignment="1">
      <alignment horizontal="center"/>
    </xf>
    <xf numFmtId="168" fontId="23" fillId="0" borderId="0" xfId="0" applyNumberFormat="1" applyFont="1" applyFill="1" applyAlignment="1">
      <alignment horizontal="right"/>
    </xf>
    <xf numFmtId="0" fontId="23" fillId="0" borderId="0" xfId="0" applyFont="1" applyFill="1" applyAlignment="1">
      <alignment horizontal="left" indent="2"/>
    </xf>
    <xf numFmtId="0" fontId="0" fillId="0" borderId="0" xfId="0" applyFill="1" applyAlignment="1">
      <alignment horizontal="left" indent="2"/>
    </xf>
    <xf numFmtId="0" fontId="23" fillId="0" borderId="0" xfId="0" applyFont="1" applyFill="1" applyAlignment="1">
      <alignment horizontal="left" indent="3"/>
    </xf>
    <xf numFmtId="166" fontId="53" fillId="0" borderId="0" xfId="0" quotePrefix="1" applyNumberFormat="1" applyFont="1" applyAlignment="1">
      <alignment horizontal="right"/>
    </xf>
    <xf numFmtId="168" fontId="27" fillId="0" borderId="0" xfId="0" applyNumberFormat="1" applyFont="1"/>
    <xf numFmtId="0" fontId="60" fillId="0" borderId="0" xfId="0" applyFont="1" applyAlignment="1">
      <alignment horizontal="center"/>
    </xf>
    <xf numFmtId="164" fontId="41" fillId="0" borderId="0" xfId="0" applyNumberFormat="1" applyFont="1" applyBorder="1"/>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0" fillId="0" borderId="0" xfId="0" quotePrefix="1" applyFont="1" applyFill="1" applyAlignment="1">
      <alignment horizontal="left" indent="1"/>
    </xf>
    <xf numFmtId="0" fontId="21" fillId="0" borderId="0" xfId="0" applyFont="1" applyFill="1" applyAlignment="1">
      <alignment horizontal="left"/>
    </xf>
    <xf numFmtId="0" fontId="24" fillId="0" borderId="0" xfId="0" applyFont="1" applyAlignment="1">
      <alignment horizontal="left" indent="1"/>
    </xf>
    <xf numFmtId="0" fontId="21"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53"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54" fillId="0" borderId="0" xfId="0" applyFont="1"/>
    <xf numFmtId="0" fontId="53" fillId="36" borderId="0" xfId="0" applyFont="1" applyFill="1"/>
    <xf numFmtId="164" fontId="58" fillId="36" borderId="0" xfId="0" applyNumberFormat="1" applyFont="1" applyFill="1"/>
    <xf numFmtId="0" fontId="55" fillId="0" borderId="0" xfId="0" applyFont="1"/>
    <xf numFmtId="0" fontId="21" fillId="36" borderId="0" xfId="0" quotePrefix="1" applyFont="1" applyFill="1" applyAlignment="1">
      <alignment vertical="center"/>
    </xf>
    <xf numFmtId="164" fontId="23" fillId="36" borderId="8" xfId="0" applyNumberFormat="1" applyFont="1" applyFill="1" applyBorder="1"/>
    <xf numFmtId="164" fontId="56" fillId="0" borderId="0" xfId="0" applyNumberFormat="1" applyFont="1" applyAlignment="1">
      <alignment horizontal="center"/>
    </xf>
    <xf numFmtId="165" fontId="20" fillId="0" borderId="0" xfId="0" applyNumberFormat="1" applyFont="1" applyFill="1"/>
    <xf numFmtId="37" fontId="21" fillId="0" borderId="3" xfId="22" applyNumberFormat="1" applyFont="1" applyFill="1" applyBorder="1" applyAlignment="1">
      <alignment horizontal="center"/>
    </xf>
    <xf numFmtId="37" fontId="21" fillId="0" borderId="3" xfId="0" applyNumberFormat="1" applyFont="1" applyBorder="1" applyAlignment="1">
      <alignment horizontal="center"/>
    </xf>
    <xf numFmtId="37" fontId="21" fillId="37" borderId="3" xfId="0" applyNumberFormat="1" applyFont="1" applyFill="1" applyBorder="1" applyAlignment="1">
      <alignment horizontal="center"/>
    </xf>
    <xf numFmtId="164" fontId="23" fillId="0" borderId="0" xfId="19" applyNumberFormat="1" applyFont="1" applyBorder="1" applyAlignment="1">
      <alignment horizontal="center"/>
    </xf>
    <xf numFmtId="37" fontId="21" fillId="0" borderId="0" xfId="0" applyNumberFormat="1" applyFont="1" applyBorder="1" applyAlignment="1">
      <alignment horizontal="center"/>
    </xf>
    <xf numFmtId="164" fontId="27" fillId="36" borderId="0" xfId="0" applyNumberFormat="1" applyFont="1" applyFill="1" applyAlignment="1">
      <alignment horizontal="right"/>
    </xf>
    <xf numFmtId="0" fontId="23" fillId="36" borderId="0" xfId="0" applyFont="1" applyFill="1" applyAlignment="1">
      <alignment horizontal="right"/>
    </xf>
    <xf numFmtId="0" fontId="21" fillId="0" borderId="0" xfId="28" applyFont="1" applyAlignment="1">
      <alignment horizontal="left" vertical="center"/>
    </xf>
    <xf numFmtId="0" fontId="50" fillId="0" borderId="0" xfId="28" applyFont="1" applyFill="1" applyAlignment="1">
      <alignment horizontal="left"/>
    </xf>
    <xf numFmtId="0" fontId="50" fillId="0" borderId="0" xfId="28" applyFont="1" applyFill="1" applyAlignment="1">
      <alignment horizontal="center"/>
    </xf>
    <xf numFmtId="0" fontId="50" fillId="0" borderId="0" xfId="28" applyNumberFormat="1" applyFont="1" applyFill="1" applyAlignment="1">
      <alignment horizontal="center"/>
    </xf>
    <xf numFmtId="0" fontId="50" fillId="0" borderId="0" xfId="28" applyFont="1" applyAlignment="1">
      <alignment horizontal="center"/>
    </xf>
    <xf numFmtId="0" fontId="21" fillId="0" borderId="0" xfId="28" applyFont="1" applyAlignment="1">
      <alignment horizontal="left"/>
    </xf>
    <xf numFmtId="0" fontId="50" fillId="36" borderId="0" xfId="28" applyNumberFormat="1" applyFont="1" applyFill="1" applyAlignment="1">
      <alignment horizontal="center"/>
    </xf>
    <xf numFmtId="0" fontId="21" fillId="0" borderId="0" xfId="28" applyFont="1" applyAlignment="1">
      <alignment vertical="top"/>
    </xf>
    <xf numFmtId="0" fontId="21" fillId="0" borderId="0" xfId="28" applyFont="1" applyAlignment="1">
      <alignment horizontal="left" vertical="top"/>
    </xf>
    <xf numFmtId="0" fontId="21" fillId="0" borderId="0" xfId="28" applyFont="1" applyAlignment="1">
      <alignment horizontal="center" vertical="top"/>
    </xf>
    <xf numFmtId="0" fontId="21" fillId="0" borderId="0" xfId="28" applyFont="1" applyFill="1" applyAlignment="1">
      <alignment horizontal="center" vertical="top"/>
    </xf>
    <xf numFmtId="0" fontId="21" fillId="0" borderId="0" xfId="28" applyNumberFormat="1" applyFont="1" applyFill="1" applyAlignment="1">
      <alignment horizontal="center" vertical="top"/>
    </xf>
    <xf numFmtId="0" fontId="50" fillId="0" borderId="0" xfId="28" applyFont="1" applyAlignment="1">
      <alignment horizontal="center" vertical="top"/>
    </xf>
    <xf numFmtId="0" fontId="21" fillId="0" borderId="0" xfId="28" applyFont="1" applyAlignment="1"/>
    <xf numFmtId="0" fontId="21" fillId="0" borderId="0" xfId="28" applyFont="1" applyFill="1" applyAlignment="1">
      <alignment horizontal="center"/>
    </xf>
    <xf numFmtId="0" fontId="21" fillId="0" borderId="0" xfId="28" applyNumberFormat="1" applyFont="1" applyFill="1" applyAlignment="1">
      <alignment horizontal="center"/>
    </xf>
    <xf numFmtId="0" fontId="24" fillId="0" borderId="0" xfId="0" quotePrefix="1" applyFont="1" applyAlignment="1">
      <alignment horizontal="center" vertical="top"/>
    </xf>
    <xf numFmtId="0" fontId="24" fillId="0" borderId="0" xfId="0" quotePrefix="1" applyNumberFormat="1" applyFont="1" applyAlignment="1">
      <alignment horizontal="center" vertical="top"/>
    </xf>
    <xf numFmtId="0" fontId="21" fillId="0" borderId="0" xfId="28" applyFont="1" applyAlignment="1">
      <alignment horizontal="center" vertical="center"/>
    </xf>
    <xf numFmtId="0" fontId="21" fillId="0" borderId="0" xfId="28" applyFont="1" applyBorder="1" applyAlignment="1"/>
    <xf numFmtId="0" fontId="21" fillId="0" borderId="6" xfId="28" applyNumberFormat="1" applyFont="1" applyFill="1" applyBorder="1" applyAlignment="1">
      <alignment horizontal="center"/>
    </xf>
    <xf numFmtId="0" fontId="21" fillId="0" borderId="3" xfId="28" applyFont="1" applyBorder="1" applyAlignment="1">
      <alignment horizontal="center"/>
    </xf>
    <xf numFmtId="0" fontId="21" fillId="0" borderId="3" xfId="28" applyNumberFormat="1" applyFont="1" applyBorder="1" applyAlignment="1">
      <alignment horizontal="center"/>
    </xf>
    <xf numFmtId="0" fontId="24" fillId="0" borderId="0" xfId="28" applyFont="1" applyBorder="1" applyAlignment="1"/>
    <xf numFmtId="0" fontId="21" fillId="0" borderId="0" xfId="28" applyFont="1" applyBorder="1" applyAlignment="1">
      <alignment horizontal="center"/>
    </xf>
    <xf numFmtId="0" fontId="21" fillId="0" borderId="0" xfId="28" applyNumberFormat="1" applyFont="1" applyBorder="1" applyAlignment="1">
      <alignment horizontal="center"/>
    </xf>
    <xf numFmtId="167" fontId="35" fillId="0" borderId="0" xfId="28" applyNumberFormat="1" applyFont="1" applyFill="1" applyBorder="1"/>
    <xf numFmtId="0" fontId="21" fillId="0" borderId="0" xfId="28" applyFont="1" applyFill="1" applyBorder="1"/>
    <xf numFmtId="0" fontId="24" fillId="0" borderId="0" xfId="28" applyFont="1" applyBorder="1"/>
    <xf numFmtId="167" fontId="21" fillId="0" borderId="0" xfId="28" applyNumberFormat="1" applyFont="1" applyBorder="1" applyAlignment="1">
      <alignment horizontal="center"/>
    </xf>
    <xf numFmtId="167" fontId="21" fillId="0" borderId="0" xfId="28" applyNumberFormat="1" applyFont="1" applyBorder="1"/>
    <xf numFmtId="0" fontId="21" fillId="0" borderId="0" xfId="28" applyFont="1" applyBorder="1" applyAlignment="1">
      <alignment horizontal="right"/>
    </xf>
    <xf numFmtId="0" fontId="21" fillId="0" borderId="0" xfId="28" applyFont="1" applyFill="1" applyBorder="1" applyAlignment="1">
      <alignment horizontal="right"/>
    </xf>
    <xf numFmtId="167" fontId="21" fillId="0" borderId="3" xfId="22" applyNumberFormat="1" applyFont="1" applyFill="1" applyBorder="1" applyAlignment="1">
      <alignment horizontal="center" wrapText="1"/>
    </xf>
    <xf numFmtId="171" fontId="21" fillId="0" borderId="0" xfId="37" applyNumberFormat="1" applyFont="1" applyFill="1" applyBorder="1" applyAlignment="1">
      <alignment horizontal="center" wrapText="1"/>
    </xf>
    <xf numFmtId="167" fontId="21" fillId="0" borderId="0" xfId="22" applyNumberFormat="1" applyFont="1" applyFill="1" applyBorder="1"/>
    <xf numFmtId="0" fontId="21" fillId="0" borderId="0" xfId="39" applyNumberFormat="1" applyFont="1" applyFill="1" applyBorder="1" applyAlignment="1">
      <alignment horizontal="center" wrapText="1"/>
    </xf>
    <xf numFmtId="171" fontId="21" fillId="0" borderId="0" xfId="39" applyNumberFormat="1" applyFont="1" applyFill="1" applyBorder="1" applyAlignment="1">
      <alignment horizontal="center" wrapText="1"/>
    </xf>
    <xf numFmtId="167" fontId="21" fillId="0" borderId="0" xfId="22" applyNumberFormat="1" applyFont="1" applyBorder="1"/>
    <xf numFmtId="0" fontId="24" fillId="0" borderId="0" xfId="28" applyFont="1" applyBorder="1" applyAlignment="1">
      <alignment vertical="top" wrapText="1"/>
    </xf>
    <xf numFmtId="0" fontId="53" fillId="34" borderId="0" xfId="0" applyFont="1" applyFill="1"/>
    <xf numFmtId="0" fontId="54" fillId="0" borderId="0" xfId="0" applyFont="1" applyFill="1" applyAlignment="1">
      <alignment horizontal="center"/>
    </xf>
    <xf numFmtId="0" fontId="55" fillId="0" borderId="0" xfId="0" applyFont="1" applyFill="1" applyAlignment="1">
      <alignment horizontal="center"/>
    </xf>
    <xf numFmtId="0" fontId="53" fillId="0" borderId="0" xfId="0" applyFont="1" applyFill="1" applyAlignment="1">
      <alignment horizontal="center"/>
    </xf>
    <xf numFmtId="0" fontId="53" fillId="0" borderId="0" xfId="0" applyFont="1" applyFill="1" applyAlignment="1">
      <alignment horizontal="left" indent="2"/>
    </xf>
    <xf numFmtId="0" fontId="54" fillId="0" borderId="0" xfId="0" applyFont="1" applyAlignment="1">
      <alignment horizontal="left" indent="1"/>
    </xf>
    <xf numFmtId="0" fontId="54" fillId="0" borderId="0" xfId="0" quotePrefix="1" applyFont="1" applyAlignment="1">
      <alignment horizontal="center"/>
    </xf>
    <xf numFmtId="0" fontId="55" fillId="0" borderId="0" xfId="0" quotePrefix="1" applyFont="1" applyAlignment="1">
      <alignment horizontal="center"/>
    </xf>
    <xf numFmtId="164" fontId="58" fillId="0" borderId="0" xfId="0" applyNumberFormat="1" applyFont="1" applyFill="1"/>
    <xf numFmtId="0" fontId="53" fillId="0" borderId="0" xfId="0" quotePrefix="1" applyFont="1"/>
    <xf numFmtId="0" fontId="55" fillId="0" borderId="0" xfId="0" applyFont="1" applyAlignment="1">
      <alignment horizontal="left"/>
    </xf>
    <xf numFmtId="1" fontId="53" fillId="36" borderId="0" xfId="0" applyNumberFormat="1" applyFont="1" applyFill="1"/>
    <xf numFmtId="174" fontId="53" fillId="0" borderId="0" xfId="0" applyNumberFormat="1" applyFont="1"/>
    <xf numFmtId="0" fontId="53" fillId="0" borderId="0" xfId="0" applyFont="1" applyFill="1" applyAlignment="1">
      <alignment horizontal="left" indent="1"/>
    </xf>
    <xf numFmtId="164" fontId="0" fillId="0" borderId="0" xfId="0" quotePrefix="1" applyNumberFormat="1" applyAlignment="1">
      <alignment horizontal="center"/>
    </xf>
    <xf numFmtId="164" fontId="51" fillId="0" borderId="0" xfId="0" applyNumberFormat="1" applyFont="1" applyAlignment="1">
      <alignment horizontal="center"/>
    </xf>
    <xf numFmtId="0" fontId="21" fillId="0" borderId="0" xfId="0" applyFont="1" applyAlignment="1">
      <alignment horizontal="center"/>
    </xf>
    <xf numFmtId="0" fontId="0" fillId="0" borderId="0" xfId="0" applyAlignment="1">
      <alignment horizontal="center"/>
    </xf>
    <xf numFmtId="0" fontId="24" fillId="0" borderId="0" xfId="28" applyFont="1" applyFill="1" applyAlignment="1">
      <alignment horizontal="center"/>
    </xf>
    <xf numFmtId="0" fontId="21" fillId="0" borderId="0" xfId="0" applyFont="1" applyAlignment="1">
      <alignment horizontal="center"/>
    </xf>
    <xf numFmtId="0" fontId="21" fillId="0" borderId="0" xfId="0" applyFont="1" applyAlignment="1">
      <alignment horizontal="center"/>
    </xf>
    <xf numFmtId="164" fontId="0" fillId="0" borderId="0" xfId="0" applyNumberFormat="1" applyFill="1" applyAlignment="1"/>
    <xf numFmtId="0" fontId="21" fillId="0" borderId="0" xfId="0" applyFont="1" applyAlignment="1">
      <alignment horizontal="center"/>
    </xf>
    <xf numFmtId="0" fontId="21" fillId="0" borderId="0" xfId="0" applyFont="1" applyAlignment="1">
      <alignment horizontal="center"/>
    </xf>
    <xf numFmtId="0" fontId="20" fillId="0" borderId="0" xfId="0" applyFont="1" applyAlignment="1">
      <alignment horizontal="right"/>
    </xf>
    <xf numFmtId="0" fontId="20" fillId="0" borderId="0" xfId="0" applyFont="1" applyFill="1" applyAlignment="1">
      <alignment horizontal="left" indent="1"/>
    </xf>
    <xf numFmtId="0" fontId="20" fillId="0" borderId="0" xfId="0" applyFont="1"/>
    <xf numFmtId="0" fontId="20" fillId="0" borderId="0" xfId="0" applyFont="1" applyAlignment="1">
      <alignment horizontal="center"/>
    </xf>
    <xf numFmtId="0" fontId="20" fillId="0" borderId="0" xfId="0" applyFont="1" applyFill="1"/>
    <xf numFmtId="164" fontId="20" fillId="0" borderId="0" xfId="0" applyNumberFormat="1" applyFont="1" applyFill="1" applyBorder="1"/>
    <xf numFmtId="0" fontId="20" fillId="0" borderId="0" xfId="0" applyFont="1" applyAlignment="1">
      <alignment horizontal="left" indent="1"/>
    </xf>
    <xf numFmtId="179" fontId="20" fillId="34" borderId="0" xfId="35" applyNumberFormat="1" applyFont="1" applyFill="1" applyAlignment="1">
      <alignment horizontal="left"/>
    </xf>
    <xf numFmtId="179" fontId="20" fillId="0" borderId="0" xfId="35" applyNumberFormat="1" applyFont="1" applyFill="1" applyAlignment="1">
      <alignment horizontal="left"/>
    </xf>
    <xf numFmtId="164" fontId="20" fillId="0" borderId="0" xfId="0" applyNumberFormat="1" applyFont="1"/>
    <xf numFmtId="179" fontId="20" fillId="0" borderId="0" xfId="35" applyNumberFormat="1" applyFont="1" applyFill="1" applyAlignment="1">
      <alignment horizontal="right"/>
    </xf>
    <xf numFmtId="0" fontId="20" fillId="0" borderId="0" xfId="0" quotePrefix="1" applyFont="1" applyAlignment="1">
      <alignment horizontal="center"/>
    </xf>
    <xf numFmtId="0" fontId="20" fillId="36" borderId="0" xfId="0" applyFont="1" applyFill="1"/>
    <xf numFmtId="0" fontId="20" fillId="0" borderId="0" xfId="28" applyFont="1" applyFill="1"/>
    <xf numFmtId="10" fontId="0" fillId="0" borderId="0" xfId="37" applyNumberFormat="1" applyFont="1"/>
    <xf numFmtId="0" fontId="20" fillId="0" borderId="0" xfId="28" applyFont="1"/>
    <xf numFmtId="164" fontId="20" fillId="0" borderId="0" xfId="0" applyNumberFormat="1" applyFont="1" applyFill="1"/>
    <xf numFmtId="164" fontId="20" fillId="0" borderId="14" xfId="0" applyNumberFormat="1" applyFont="1" applyFill="1" applyBorder="1"/>
    <xf numFmtId="164" fontId="20" fillId="0" borderId="8" xfId="0" applyNumberFormat="1" applyFont="1" applyFill="1" applyBorder="1"/>
    <xf numFmtId="3" fontId="20" fillId="0" borderId="0" xfId="0" applyNumberFormat="1" applyFont="1" applyFill="1"/>
    <xf numFmtId="0" fontId="20" fillId="0" borderId="0" xfId="0" quotePrefix="1" applyFont="1"/>
    <xf numFmtId="17" fontId="20" fillId="0" borderId="0" xfId="0" quotePrefix="1" applyNumberFormat="1" applyFont="1" applyAlignment="1">
      <alignment horizontal="center"/>
    </xf>
    <xf numFmtId="0" fontId="20" fillId="0" borderId="0" xfId="0" applyFont="1" applyAlignment="1">
      <alignment wrapText="1"/>
    </xf>
    <xf numFmtId="0" fontId="0" fillId="0" borderId="0" xfId="0" applyAlignment="1">
      <alignment horizontal="center"/>
    </xf>
    <xf numFmtId="0" fontId="21"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xf>
    <xf numFmtId="0" fontId="20" fillId="0" borderId="0" xfId="0" applyFont="1" applyAlignment="1">
      <alignment horizontal="right" indent="1"/>
    </xf>
    <xf numFmtId="0" fontId="20" fillId="0" borderId="0" xfId="0" applyFont="1" applyAlignment="1">
      <alignment horizontal="left" indent="2"/>
    </xf>
    <xf numFmtId="0" fontId="21" fillId="0" borderId="0" xfId="0" applyFont="1" applyAlignment="1">
      <alignment horizontal="center"/>
    </xf>
    <xf numFmtId="0" fontId="20" fillId="0" borderId="0" xfId="0" quotePrefix="1" applyFont="1" applyAlignment="1">
      <alignment horizontal="center" vertical="justify"/>
    </xf>
    <xf numFmtId="10" fontId="27" fillId="0" borderId="0" xfId="0" applyNumberFormat="1" applyFont="1"/>
    <xf numFmtId="0" fontId="21" fillId="0" borderId="0" xfId="0" applyFont="1" applyAlignment="1">
      <alignment horizontal="center"/>
    </xf>
    <xf numFmtId="166" fontId="20" fillId="0" borderId="0" xfId="0" applyNumberFormat="1" applyFont="1" applyAlignment="1">
      <alignment horizontal="left" indent="1"/>
    </xf>
    <xf numFmtId="166" fontId="24" fillId="0" borderId="0" xfId="0" applyNumberFormat="1" applyFont="1" applyAlignment="1">
      <alignment horizontal="center"/>
    </xf>
    <xf numFmtId="0" fontId="20" fillId="0" borderId="0" xfId="28" applyNumberFormat="1" applyFont="1" applyFill="1" applyBorder="1" applyAlignment="1">
      <alignment horizontal="left"/>
    </xf>
    <xf numFmtId="164" fontId="20" fillId="36" borderId="0" xfId="0" applyNumberFormat="1" applyFont="1" applyFill="1"/>
    <xf numFmtId="0" fontId="20" fillId="0" borderId="0" xfId="28" applyFont="1" applyBorder="1" applyAlignment="1">
      <alignment horizontal="left"/>
    </xf>
    <xf numFmtId="0" fontId="20" fillId="0" borderId="0" xfId="28" applyNumberFormat="1" applyFont="1" applyFill="1" applyBorder="1" applyAlignment="1">
      <alignment horizontal="right"/>
    </xf>
    <xf numFmtId="0" fontId="20" fillId="0" borderId="0" xfId="28" applyFont="1" applyBorder="1"/>
    <xf numFmtId="3" fontId="20" fillId="0" borderId="0" xfId="28" applyNumberFormat="1" applyFont="1" applyFill="1" applyBorder="1" applyAlignment="1">
      <alignment horizontal="left" indent="1"/>
    </xf>
    <xf numFmtId="1" fontId="20" fillId="0" borderId="0" xfId="28" applyNumberFormat="1" applyFont="1" applyFill="1" applyBorder="1" applyAlignment="1">
      <alignment horizontal="center"/>
    </xf>
    <xf numFmtId="37" fontId="20" fillId="0" borderId="0" xfId="36" applyNumberFormat="1" applyFont="1" applyFill="1" applyAlignment="1">
      <alignment horizontal="left" indent="1"/>
    </xf>
    <xf numFmtId="10" fontId="20" fillId="0" borderId="0" xfId="0" applyNumberFormat="1" applyFont="1" applyFill="1"/>
    <xf numFmtId="0" fontId="20" fillId="36" borderId="0" xfId="34" applyFont="1" applyFill="1"/>
    <xf numFmtId="0" fontId="20" fillId="0" borderId="0" xfId="0" quotePrefix="1" applyFont="1" applyAlignment="1"/>
    <xf numFmtId="0" fontId="55" fillId="0" borderId="0" xfId="0" applyFont="1" applyFill="1"/>
    <xf numFmtId="0" fontId="23" fillId="0" borderId="0" xfId="28" applyFont="1" applyFill="1" applyBorder="1" applyAlignment="1"/>
    <xf numFmtId="0" fontId="21" fillId="0" borderId="0" xfId="0" applyFont="1" applyAlignment="1">
      <alignment horizontal="center"/>
    </xf>
    <xf numFmtId="0" fontId="21" fillId="0" borderId="0" xfId="28" applyFont="1" applyBorder="1" applyAlignment="1">
      <alignment horizontal="left"/>
    </xf>
    <xf numFmtId="1" fontId="20" fillId="0" borderId="0" xfId="28" quotePrefix="1" applyNumberFormat="1" applyFont="1" applyFill="1" applyBorder="1" applyAlignment="1">
      <alignment horizontal="right"/>
    </xf>
    <xf numFmtId="164" fontId="20" fillId="0" borderId="0" xfId="0" applyNumberFormat="1" applyFont="1" applyFill="1" applyAlignment="1">
      <alignment horizontal="right"/>
    </xf>
    <xf numFmtId="164" fontId="21" fillId="0" borderId="0" xfId="0" applyNumberFormat="1" applyFont="1" applyFill="1" applyAlignment="1">
      <alignment horizontal="right"/>
    </xf>
    <xf numFmtId="164" fontId="20" fillId="36" borderId="0" xfId="0" applyNumberFormat="1" applyFont="1" applyFill="1" applyAlignment="1">
      <alignment horizontal="right"/>
    </xf>
    <xf numFmtId="0" fontId="20" fillId="36" borderId="0" xfId="0" applyFont="1" applyFill="1" applyAlignment="1">
      <alignment horizontal="left" indent="1"/>
    </xf>
    <xf numFmtId="0" fontId="20" fillId="36" borderId="0" xfId="0" applyFont="1" applyFill="1" applyAlignment="1">
      <alignment horizontal="left"/>
    </xf>
    <xf numFmtId="0" fontId="20" fillId="36" borderId="0" xfId="0" applyFont="1" applyFill="1" applyAlignment="1">
      <alignment horizontal="left" vertical="center"/>
    </xf>
    <xf numFmtId="0" fontId="20" fillId="36" borderId="0" xfId="0" quotePrefix="1" applyFont="1" applyFill="1"/>
    <xf numFmtId="164" fontId="20" fillId="0" borderId="0" xfId="0" applyNumberFormat="1" applyFont="1" applyFill="1" applyAlignment="1">
      <alignment horizontal="left" indent="1"/>
    </xf>
    <xf numFmtId="0" fontId="0" fillId="0" borderId="0" xfId="0" applyFill="1" applyBorder="1"/>
    <xf numFmtId="0" fontId="61" fillId="0" borderId="0" xfId="0" applyFont="1"/>
    <xf numFmtId="37" fontId="53" fillId="0" borderId="0" xfId="0" applyNumberFormat="1" applyFont="1" applyFill="1"/>
    <xf numFmtId="165" fontId="53" fillId="0" borderId="0" xfId="0" applyNumberFormat="1" applyFont="1" applyFill="1"/>
    <xf numFmtId="165" fontId="53" fillId="0" borderId="0" xfId="0" applyNumberFormat="1" applyFont="1" applyFill="1" applyAlignment="1">
      <alignment horizontal="left" indent="1"/>
    </xf>
    <xf numFmtId="164" fontId="55" fillId="0" borderId="0" xfId="0" applyNumberFormat="1" applyFont="1" applyFill="1"/>
    <xf numFmtId="39" fontId="53" fillId="0" borderId="0" xfId="0" applyNumberFormat="1" applyFont="1" applyAlignment="1">
      <alignment horizontal="left" indent="1"/>
    </xf>
    <xf numFmtId="39" fontId="53" fillId="0" borderId="0" xfId="0" applyNumberFormat="1" applyFont="1"/>
    <xf numFmtId="0" fontId="20" fillId="36" borderId="0" xfId="0" quotePrefix="1" applyFont="1" applyFill="1" applyAlignment="1">
      <alignment horizontal="center"/>
    </xf>
    <xf numFmtId="0" fontId="20" fillId="0" borderId="0" xfId="0" quotePrefix="1" applyFont="1" applyFill="1" applyAlignment="1">
      <alignment horizontal="center"/>
    </xf>
    <xf numFmtId="0" fontId="20" fillId="36" borderId="0" xfId="0" applyFont="1" applyFill="1" applyBorder="1" applyProtection="1"/>
    <xf numFmtId="164" fontId="20" fillId="36" borderId="0" xfId="0" applyNumberFormat="1" applyFont="1" applyFill="1" applyBorder="1" applyProtection="1"/>
    <xf numFmtId="170" fontId="20" fillId="0" borderId="0" xfId="0" applyNumberFormat="1" applyFont="1" applyFill="1" applyBorder="1" applyAlignment="1" applyProtection="1">
      <alignment horizontal="center"/>
    </xf>
    <xf numFmtId="0" fontId="20" fillId="0" borderId="0" xfId="0" applyFont="1" applyFill="1" applyBorder="1" applyProtection="1"/>
    <xf numFmtId="164" fontId="20" fillId="0" borderId="0" xfId="0" applyNumberFormat="1" applyFont="1" applyFill="1" applyBorder="1" applyProtection="1"/>
    <xf numFmtId="0" fontId="20" fillId="0" borderId="0" xfId="0" quotePrefix="1" applyFont="1" applyFill="1" applyBorder="1"/>
    <xf numFmtId="0" fontId="20" fillId="0" borderId="0" xfId="0" applyFont="1" applyFill="1" applyBorder="1"/>
    <xf numFmtId="0" fontId="20" fillId="0" borderId="0" xfId="0" applyFont="1" applyAlignment="1">
      <alignment horizontal="left"/>
    </xf>
    <xf numFmtId="164" fontId="27" fillId="0" borderId="0" xfId="28" applyNumberFormat="1" applyFont="1" applyFill="1"/>
    <xf numFmtId="0" fontId="21" fillId="0" borderId="0" xfId="0" applyFont="1" applyFill="1" applyBorder="1" applyAlignment="1">
      <alignment horizontal="center"/>
    </xf>
    <xf numFmtId="37" fontId="20" fillId="0" borderId="0" xfId="0" applyNumberFormat="1" applyFont="1" applyFill="1" applyAlignment="1">
      <alignment horizontal="left" indent="1"/>
    </xf>
    <xf numFmtId="0" fontId="63" fillId="0" borderId="0" xfId="0" applyFont="1"/>
    <xf numFmtId="0" fontId="21" fillId="0" borderId="0" xfId="0" applyFont="1" applyAlignment="1">
      <alignment horizontal="center"/>
    </xf>
    <xf numFmtId="0" fontId="21" fillId="0" borderId="0" xfId="0" applyFont="1" applyAlignment="1">
      <alignment horizontal="center"/>
    </xf>
    <xf numFmtId="0" fontId="25" fillId="0" borderId="0" xfId="0" applyFont="1" applyFill="1"/>
    <xf numFmtId="0" fontId="26" fillId="0" borderId="0" xfId="0" applyFont="1" applyFill="1"/>
    <xf numFmtId="0" fontId="24" fillId="0" borderId="0" xfId="0" applyFont="1" applyFill="1" applyAlignment="1">
      <alignment horizontal="left"/>
    </xf>
    <xf numFmtId="17" fontId="20" fillId="0" borderId="0" xfId="0" quotePrefix="1" applyNumberFormat="1" applyFont="1" applyFill="1" applyAlignment="1">
      <alignment horizontal="center"/>
    </xf>
    <xf numFmtId="0" fontId="20" fillId="0" borderId="0" xfId="0" quotePrefix="1" applyFont="1" applyAlignment="1">
      <alignment horizontal="left" indent="1"/>
    </xf>
    <xf numFmtId="0" fontId="20" fillId="0" borderId="3" xfId="0" applyFont="1" applyBorder="1" applyAlignment="1">
      <alignment horizontal="center"/>
    </xf>
    <xf numFmtId="0" fontId="20" fillId="0" borderId="3" xfId="0" applyFont="1" applyFill="1" applyBorder="1" applyAlignment="1">
      <alignment horizontal="center"/>
    </xf>
    <xf numFmtId="0" fontId="20" fillId="0" borderId="3" xfId="0" applyFont="1" applyFill="1" applyBorder="1"/>
    <xf numFmtId="39" fontId="20" fillId="0" borderId="3" xfId="22" applyNumberFormat="1" applyFont="1" applyFill="1" applyBorder="1" applyAlignment="1">
      <alignment horizontal="center"/>
    </xf>
    <xf numFmtId="0" fontId="20" fillId="0" borderId="0" xfId="0" applyFont="1" applyFill="1" applyBorder="1" applyAlignment="1">
      <alignment vertical="top"/>
    </xf>
    <xf numFmtId="37" fontId="53" fillId="36" borderId="0" xfId="81" applyNumberFormat="1" applyFont="1" applyFill="1" applyAlignment="1">
      <alignment horizontal="right"/>
    </xf>
    <xf numFmtId="0" fontId="21" fillId="0" borderId="0" xfId="0" applyFont="1" applyAlignment="1">
      <alignment horizontal="center"/>
    </xf>
    <xf numFmtId="6" fontId="0" fillId="0" borderId="0" xfId="0" applyNumberFormat="1"/>
    <xf numFmtId="0" fontId="21" fillId="0" borderId="0" xfId="0" applyFont="1" applyAlignment="1">
      <alignment horizontal="center"/>
    </xf>
    <xf numFmtId="180" fontId="0" fillId="0" borderId="0" xfId="0" applyNumberFormat="1"/>
    <xf numFmtId="0" fontId="21" fillId="0" borderId="0" xfId="0" quotePrefix="1" applyFont="1" applyFill="1" applyAlignment="1">
      <alignment horizontal="right"/>
    </xf>
    <xf numFmtId="0" fontId="20" fillId="0" borderId="0" xfId="0" quotePrefix="1" applyFont="1" applyAlignment="1">
      <alignment horizontal="center" vertical="center"/>
    </xf>
    <xf numFmtId="0" fontId="21" fillId="0" borderId="0" xfId="108" applyFont="1"/>
    <xf numFmtId="0" fontId="20" fillId="0" borderId="0" xfId="108"/>
    <xf numFmtId="0" fontId="24" fillId="0" borderId="0" xfId="108" applyFont="1"/>
    <xf numFmtId="0" fontId="21" fillId="0" borderId="0" xfId="108" applyFont="1" applyAlignment="1">
      <alignment horizontal="center"/>
    </xf>
    <xf numFmtId="0" fontId="20" fillId="0" borderId="0" xfId="108" applyFont="1"/>
    <xf numFmtId="0" fontId="24" fillId="0" borderId="0" xfId="108" applyFont="1" applyAlignment="1">
      <alignment horizontal="center"/>
    </xf>
    <xf numFmtId="0" fontId="24" fillId="0" borderId="0" xfId="108" applyFont="1" applyAlignment="1">
      <alignment horizontal="left"/>
    </xf>
    <xf numFmtId="164" fontId="20" fillId="0" borderId="0" xfId="108" applyNumberFormat="1" applyFill="1"/>
    <xf numFmtId="0" fontId="20" fillId="36" borderId="0" xfId="108" applyFont="1" applyFill="1"/>
    <xf numFmtId="164" fontId="20" fillId="36" borderId="0" xfId="108" applyNumberFormat="1" applyFill="1"/>
    <xf numFmtId="164" fontId="27" fillId="36" borderId="0" xfId="108" applyNumberFormat="1" applyFont="1" applyFill="1"/>
    <xf numFmtId="164" fontId="20" fillId="0" borderId="0" xfId="108" applyNumberFormat="1"/>
    <xf numFmtId="0" fontId="20" fillId="0" borderId="0" xfId="108" applyFont="1" applyFill="1"/>
    <xf numFmtId="3" fontId="31" fillId="0" borderId="0" xfId="34" applyNumberFormat="1" applyFont="1" applyBorder="1"/>
    <xf numFmtId="39" fontId="23" fillId="36" borderId="0" xfId="22" applyNumberFormat="1" applyFont="1" applyFill="1" applyBorder="1" applyAlignment="1">
      <alignment horizontal="center"/>
    </xf>
    <xf numFmtId="0" fontId="29" fillId="0" borderId="0" xfId="27" applyAlignment="1" applyProtection="1"/>
    <xf numFmtId="164" fontId="0" fillId="36" borderId="0" xfId="0" applyNumberFormat="1" applyFill="1" applyAlignment="1">
      <alignment horizontal="right"/>
    </xf>
    <xf numFmtId="0" fontId="20" fillId="0" borderId="0" xfId="0" quotePrefix="1" applyFont="1" applyFill="1"/>
    <xf numFmtId="171" fontId="0" fillId="36" borderId="0" xfId="0" applyNumberFormat="1" applyFill="1"/>
    <xf numFmtId="167" fontId="20" fillId="0" borderId="0" xfId="28" applyNumberFormat="1" applyFont="1" applyBorder="1"/>
    <xf numFmtId="15" fontId="20" fillId="36" borderId="0" xfId="0" quotePrefix="1" applyNumberFormat="1" applyFont="1" applyFill="1" applyAlignment="1">
      <alignment horizontal="center"/>
    </xf>
    <xf numFmtId="0" fontId="68" fillId="0" borderId="0" xfId="0" applyFont="1"/>
    <xf numFmtId="0" fontId="20" fillId="0" borderId="0" xfId="28" applyFont="1" applyFill="1" applyBorder="1" applyAlignment="1" applyProtection="1">
      <alignment horizontal="left" indent="1"/>
      <protection locked="0"/>
    </xf>
    <xf numFmtId="0" fontId="20" fillId="0" borderId="0" xfId="100" applyFill="1"/>
    <xf numFmtId="0" fontId="20" fillId="36" borderId="0" xfId="108" applyFill="1"/>
    <xf numFmtId="0" fontId="20" fillId="0" borderId="0" xfId="100" applyFont="1" applyAlignment="1">
      <alignment horizontal="left" indent="1"/>
    </xf>
    <xf numFmtId="164" fontId="20" fillId="0" borderId="0" xfId="100" applyNumberFormat="1"/>
    <xf numFmtId="164" fontId="52" fillId="0" borderId="0" xfId="100" applyNumberFormat="1" applyFont="1" applyFill="1"/>
    <xf numFmtId="0" fontId="21" fillId="0" borderId="0" xfId="100" applyFont="1"/>
    <xf numFmtId="0" fontId="20" fillId="0" borderId="0" xfId="100" applyFont="1"/>
    <xf numFmtId="0" fontId="21" fillId="0" borderId="0" xfId="100" applyFont="1" applyAlignment="1">
      <alignment horizontal="left" indent="1"/>
    </xf>
    <xf numFmtId="0" fontId="62" fillId="0" borderId="0" xfId="100" applyFont="1" applyBorder="1" applyAlignment="1">
      <alignment horizontal="left"/>
    </xf>
    <xf numFmtId="0" fontId="21" fillId="0" borderId="0" xfId="100" applyFont="1" applyBorder="1" applyAlignment="1">
      <alignment horizontal="center"/>
    </xf>
    <xf numFmtId="0" fontId="20" fillId="0" borderId="0" xfId="100" applyFont="1" applyBorder="1" applyAlignment="1">
      <alignment horizontal="right"/>
    </xf>
    <xf numFmtId="0" fontId="21" fillId="0" borderId="0" xfId="100" applyFont="1" applyBorder="1" applyAlignment="1">
      <alignment horizontal="right"/>
    </xf>
    <xf numFmtId="0" fontId="21" fillId="0" borderId="8" xfId="100" applyFont="1" applyBorder="1" applyAlignment="1">
      <alignment horizontal="center"/>
    </xf>
    <xf numFmtId="0" fontId="20" fillId="36" borderId="0" xfId="100" applyFont="1" applyFill="1"/>
    <xf numFmtId="164" fontId="20" fillId="36" borderId="0" xfId="100" applyNumberFormat="1" applyFont="1" applyFill="1"/>
    <xf numFmtId="170" fontId="20" fillId="0" borderId="0" xfId="100" applyNumberFormat="1" applyFont="1" applyFill="1" applyAlignment="1">
      <alignment horizontal="center"/>
    </xf>
    <xf numFmtId="0" fontId="20" fillId="0" borderId="0" xfId="100" applyFont="1" applyFill="1"/>
    <xf numFmtId="164" fontId="20" fillId="0" borderId="0" xfId="100" applyNumberFormat="1" applyFont="1" applyFill="1"/>
    <xf numFmtId="170" fontId="20" fillId="0" borderId="0" xfId="100" quotePrefix="1" applyNumberFormat="1" applyFont="1" applyFill="1" applyAlignment="1">
      <alignment horizontal="center"/>
    </xf>
    <xf numFmtId="164" fontId="20" fillId="0" borderId="0" xfId="100" applyNumberFormat="1" applyFont="1"/>
    <xf numFmtId="164" fontId="20" fillId="0" borderId="0" xfId="96" applyNumberFormat="1" applyFont="1" applyBorder="1"/>
    <xf numFmtId="164" fontId="20" fillId="0" borderId="0" xfId="96" applyNumberFormat="1" applyFont="1"/>
    <xf numFmtId="168" fontId="20" fillId="0" borderId="0" xfId="96" applyNumberFormat="1" applyFont="1" applyBorder="1"/>
    <xf numFmtId="164" fontId="20" fillId="0" borderId="14" xfId="96" applyNumberFormat="1" applyFont="1" applyBorder="1"/>
    <xf numFmtId="0" fontId="20" fillId="0" borderId="0" xfId="100" quotePrefix="1" applyFont="1" applyAlignment="1">
      <alignment horizontal="left" indent="1"/>
    </xf>
    <xf numFmtId="164" fontId="20" fillId="0" borderId="0" xfId="96" applyNumberFormat="1" applyFont="1" applyBorder="1" applyAlignment="1">
      <alignment horizontal="left" indent="1"/>
    </xf>
    <xf numFmtId="39" fontId="20" fillId="0" borderId="0" xfId="96" applyNumberFormat="1" applyFont="1" applyBorder="1"/>
    <xf numFmtId="37" fontId="20" fillId="0" borderId="0" xfId="96" applyNumberFormat="1" applyFont="1" applyBorder="1" applyAlignment="1">
      <alignment horizontal="center"/>
    </xf>
    <xf numFmtId="164" fontId="20" fillId="0" borderId="0" xfId="96" applyNumberFormat="1" applyFont="1" applyFill="1" applyBorder="1"/>
    <xf numFmtId="0" fontId="20" fillId="0" borderId="0" xfId="100" applyFont="1" applyBorder="1"/>
    <xf numFmtId="164" fontId="21" fillId="0" borderId="0" xfId="100" applyNumberFormat="1" applyFont="1" applyBorder="1" applyAlignment="1">
      <alignment horizontal="center"/>
    </xf>
    <xf numFmtId="164" fontId="21" fillId="0" borderId="8" xfId="100" applyNumberFormat="1" applyFont="1" applyBorder="1" applyAlignment="1">
      <alignment horizontal="center"/>
    </xf>
    <xf numFmtId="0" fontId="24" fillId="0" borderId="0" xfId="100" applyFont="1" applyBorder="1" applyAlignment="1">
      <alignment horizontal="center"/>
    </xf>
    <xf numFmtId="0" fontId="20" fillId="0" borderId="0" xfId="100" applyFont="1" applyBorder="1" applyAlignment="1">
      <alignment horizontal="left"/>
    </xf>
    <xf numFmtId="1" fontId="20" fillId="36" borderId="0" xfId="100" applyNumberFormat="1" applyFont="1" applyFill="1" applyBorder="1" applyAlignment="1">
      <alignment horizontal="center"/>
    </xf>
    <xf numFmtId="164" fontId="20" fillId="0" borderId="0" xfId="0" applyNumberFormat="1" applyFont="1" applyFill="1" applyAlignment="1">
      <alignment horizontal="center"/>
    </xf>
    <xf numFmtId="0" fontId="20" fillId="0" borderId="0" xfId="100" applyNumberFormat="1" applyFont="1" applyFill="1" applyBorder="1" applyAlignment="1">
      <alignment horizontal="left"/>
    </xf>
    <xf numFmtId="1" fontId="20" fillId="0" borderId="0" xfId="100" quotePrefix="1" applyNumberFormat="1" applyFont="1" applyFill="1" applyBorder="1" applyAlignment="1">
      <alignment horizontal="right"/>
    </xf>
    <xf numFmtId="164" fontId="20" fillId="36" borderId="0" xfId="0" quotePrefix="1" applyNumberFormat="1" applyFont="1" applyFill="1" applyAlignment="1">
      <alignment horizontal="center"/>
    </xf>
    <xf numFmtId="164" fontId="20" fillId="0" borderId="0" xfId="0" quotePrefix="1" applyNumberFormat="1" applyFont="1" applyFill="1" applyAlignment="1">
      <alignment horizontal="center"/>
    </xf>
    <xf numFmtId="0" fontId="21" fillId="0" borderId="0" xfId="100" applyFont="1" applyFill="1" applyBorder="1" applyAlignment="1">
      <alignment horizontal="left"/>
    </xf>
    <xf numFmtId="0" fontId="21" fillId="0" borderId="0" xfId="100" applyNumberFormat="1" applyFont="1" applyFill="1" applyBorder="1" applyAlignment="1">
      <alignment horizontal="left"/>
    </xf>
    <xf numFmtId="0" fontId="20" fillId="0" borderId="0" xfId="100"/>
    <xf numFmtId="0" fontId="20" fillId="36" borderId="0" xfId="100" applyFill="1"/>
    <xf numFmtId="0" fontId="24" fillId="0" borderId="0" xfId="100" quotePrefix="1" applyFont="1" applyAlignment="1">
      <alignment horizontal="center"/>
    </xf>
    <xf numFmtId="0" fontId="24" fillId="0" borderId="0" xfId="100" applyFont="1" applyAlignment="1">
      <alignment horizontal="center"/>
    </xf>
    <xf numFmtId="0" fontId="20" fillId="0" borderId="0" xfId="100" quotePrefix="1" applyFont="1" applyAlignment="1">
      <alignment horizontal="center"/>
    </xf>
    <xf numFmtId="0" fontId="20" fillId="0" borderId="0" xfId="100" applyAlignment="1">
      <alignment horizontal="center"/>
    </xf>
    <xf numFmtId="0" fontId="21" fillId="0" borderId="0" xfId="100" applyFont="1" applyAlignment="1">
      <alignment horizontal="center"/>
    </xf>
    <xf numFmtId="0" fontId="21" fillId="0" borderId="0" xfId="100" applyFont="1" applyFill="1" applyAlignment="1">
      <alignment horizontal="center"/>
    </xf>
    <xf numFmtId="0" fontId="24" fillId="0" borderId="0" xfId="100" applyFont="1"/>
    <xf numFmtId="0" fontId="24" fillId="0" borderId="0" xfId="100" applyFont="1" applyFill="1" applyAlignment="1">
      <alignment horizontal="center"/>
    </xf>
    <xf numFmtId="164" fontId="20" fillId="0" borderId="0" xfId="100" applyNumberFormat="1" applyFont="1" applyFill="1" applyAlignment="1"/>
    <xf numFmtId="10" fontId="20" fillId="0" borderId="0" xfId="37" applyNumberFormat="1" applyFont="1" applyFill="1" applyAlignment="1"/>
    <xf numFmtId="167" fontId="20" fillId="0" borderId="0" xfId="100" applyNumberFormat="1"/>
    <xf numFmtId="164" fontId="27" fillId="0" borderId="0" xfId="100" applyNumberFormat="1" applyFont="1"/>
    <xf numFmtId="0" fontId="20" fillId="0" borderId="0" xfId="100" applyFont="1" applyAlignment="1">
      <alignment horizontal="right" indent="1"/>
    </xf>
    <xf numFmtId="167" fontId="0" fillId="0" borderId="0" xfId="19" applyNumberFormat="1" applyFont="1"/>
    <xf numFmtId="164" fontId="20" fillId="0" borderId="0" xfId="100" applyNumberFormat="1" applyFont="1" applyFill="1" applyAlignment="1">
      <alignment horizontal="right"/>
    </xf>
    <xf numFmtId="164" fontId="20" fillId="36" borderId="0" xfId="100" applyNumberFormat="1" applyFont="1" applyFill="1" applyAlignment="1">
      <alignment horizontal="right"/>
    </xf>
    <xf numFmtId="0" fontId="20" fillId="0" borderId="0" xfId="100" applyAlignment="1">
      <alignment horizontal="left" indent="1"/>
    </xf>
    <xf numFmtId="10" fontId="0" fillId="0" borderId="0" xfId="37" applyNumberFormat="1" applyFont="1" applyAlignment="1">
      <alignment horizontal="center"/>
    </xf>
    <xf numFmtId="10" fontId="24" fillId="0" borderId="0" xfId="100" applyNumberFormat="1" applyFont="1" applyAlignment="1">
      <alignment horizontal="center"/>
    </xf>
    <xf numFmtId="0" fontId="20" fillId="0" borderId="0" xfId="100" applyNumberFormat="1"/>
    <xf numFmtId="10" fontId="20" fillId="0" borderId="0" xfId="37" applyNumberFormat="1" applyAlignment="1">
      <alignment horizontal="center"/>
    </xf>
    <xf numFmtId="0" fontId="21" fillId="0" borderId="0" xfId="100" applyFont="1" applyFill="1"/>
    <xf numFmtId="0" fontId="24" fillId="0" borderId="0" xfId="0" applyNumberFormat="1" applyFont="1" applyFill="1" applyAlignment="1">
      <alignment horizontal="center"/>
    </xf>
    <xf numFmtId="0" fontId="22" fillId="0" borderId="0" xfId="0" applyFont="1" applyAlignment="1">
      <alignment horizontal="center"/>
    </xf>
    <xf numFmtId="0" fontId="21" fillId="0" borderId="0" xfId="0" applyNumberFormat="1" applyFont="1" applyFill="1" applyAlignment="1">
      <alignment horizontal="center"/>
    </xf>
    <xf numFmtId="0" fontId="21" fillId="0" borderId="0" xfId="0" applyNumberFormat="1" applyFont="1" applyFill="1" applyAlignment="1">
      <alignment horizontal="center" wrapText="1"/>
    </xf>
    <xf numFmtId="164" fontId="21" fillId="0" borderId="0" xfId="0" applyNumberFormat="1" applyFont="1" applyFill="1" applyAlignment="1">
      <alignment horizontal="right" indent="1"/>
    </xf>
    <xf numFmtId="0" fontId="0" fillId="0" borderId="0" xfId="0" applyNumberFormat="1" applyFill="1"/>
    <xf numFmtId="0" fontId="21" fillId="0" borderId="0" xfId="0" applyNumberFormat="1" applyFont="1" applyFill="1" applyAlignment="1">
      <alignment horizontal="left" indent="2"/>
    </xf>
    <xf numFmtId="0" fontId="24" fillId="0" borderId="0" xfId="0" quotePrefix="1" applyNumberFormat="1" applyFont="1" applyFill="1" applyAlignment="1">
      <alignment horizontal="center"/>
    </xf>
    <xf numFmtId="0" fontId="20" fillId="0" borderId="0" xfId="0" quotePrefix="1" applyNumberFormat="1" applyFont="1" applyFill="1" applyAlignment="1">
      <alignment horizontal="center" wrapText="1"/>
    </xf>
    <xf numFmtId="0" fontId="20" fillId="0" borderId="0" xfId="0" quotePrefix="1" applyNumberFormat="1" applyFont="1" applyFill="1" applyAlignment="1">
      <alignment horizontal="center"/>
    </xf>
    <xf numFmtId="0" fontId="22" fillId="0" borderId="0" xfId="0" quotePrefix="1" applyNumberFormat="1" applyFont="1" applyFill="1" applyAlignment="1">
      <alignment horizontal="center"/>
    </xf>
    <xf numFmtId="0" fontId="20" fillId="0" borderId="0" xfId="100" quotePrefix="1" applyNumberFormat="1" applyFont="1" applyFill="1" applyBorder="1" applyAlignment="1">
      <alignment horizontal="right"/>
    </xf>
    <xf numFmtId="0" fontId="20" fillId="0" borderId="0" xfId="0" applyNumberFormat="1" applyFont="1" applyFill="1" applyAlignment="1">
      <alignment horizontal="left" indent="1"/>
    </xf>
    <xf numFmtId="0" fontId="21" fillId="0" borderId="0" xfId="100" applyFont="1" applyAlignment="1">
      <alignment horizontal="right"/>
    </xf>
    <xf numFmtId="164" fontId="21" fillId="0" borderId="0" xfId="100" applyNumberFormat="1" applyFont="1"/>
    <xf numFmtId="166" fontId="21" fillId="0" borderId="0" xfId="100" applyNumberFormat="1" applyFont="1"/>
    <xf numFmtId="10" fontId="24" fillId="0" borderId="0" xfId="37" applyNumberFormat="1" applyFont="1" applyAlignment="1">
      <alignment horizontal="center"/>
    </xf>
    <xf numFmtId="5" fontId="20" fillId="0" borderId="0" xfId="19" applyNumberFormat="1" applyFont="1" applyFill="1" applyAlignment="1"/>
    <xf numFmtId="5" fontId="0" fillId="0" borderId="0" xfId="19" applyNumberFormat="1" applyFont="1" applyFill="1"/>
    <xf numFmtId="5" fontId="0" fillId="36" borderId="0" xfId="19" applyNumberFormat="1" applyFont="1" applyFill="1"/>
    <xf numFmtId="178" fontId="20" fillId="0" borderId="0" xfId="23" applyNumberFormat="1" applyFont="1"/>
    <xf numFmtId="10" fontId="20" fillId="0" borderId="0" xfId="100" applyNumberFormat="1"/>
    <xf numFmtId="0" fontId="27" fillId="0" borderId="0" xfId="100" applyFont="1" applyAlignment="1">
      <alignment horizontal="center"/>
    </xf>
    <xf numFmtId="5" fontId="20" fillId="0" borderId="0" xfId="19" applyNumberFormat="1"/>
    <xf numFmtId="5" fontId="20" fillId="0" borderId="0" xfId="100" applyNumberFormat="1"/>
    <xf numFmtId="5" fontId="20" fillId="0" borderId="0" xfId="100" applyNumberFormat="1" applyFont="1"/>
    <xf numFmtId="172" fontId="0" fillId="0" borderId="0" xfId="0" applyNumberFormat="1"/>
    <xf numFmtId="0" fontId="20" fillId="36" borderId="0" xfId="0" applyFont="1" applyFill="1" applyAlignment="1">
      <alignment horizontal="center"/>
    </xf>
    <xf numFmtId="0" fontId="21" fillId="0" borderId="0" xfId="108" applyFont="1" applyFill="1"/>
    <xf numFmtId="0" fontId="20" fillId="0" borderId="0" xfId="108" applyFill="1"/>
    <xf numFmtId="0" fontId="24" fillId="0" borderId="0" xfId="108" applyFont="1" applyFill="1"/>
    <xf numFmtId="0" fontId="21" fillId="0" borderId="0" xfId="108" applyFont="1" applyFill="1" applyAlignment="1">
      <alignment horizontal="center"/>
    </xf>
    <xf numFmtId="0" fontId="21" fillId="0" borderId="8" xfId="108" applyFont="1" applyFill="1" applyBorder="1" applyAlignment="1">
      <alignment horizontal="center"/>
    </xf>
    <xf numFmtId="0" fontId="21" fillId="0" borderId="0" xfId="108" applyFont="1" applyFill="1" applyBorder="1" applyAlignment="1">
      <alignment horizontal="center"/>
    </xf>
    <xf numFmtId="0" fontId="21" fillId="0" borderId="8" xfId="108" applyFont="1" applyBorder="1" applyAlignment="1">
      <alignment horizontal="center"/>
    </xf>
    <xf numFmtId="0" fontId="41" fillId="0" borderId="0" xfId="0" applyFont="1"/>
    <xf numFmtId="164" fontId="20" fillId="0" borderId="15" xfId="108" applyNumberFormat="1" applyFill="1" applyBorder="1"/>
    <xf numFmtId="0" fontId="21" fillId="0" borderId="0" xfId="108" quotePrefix="1" applyFont="1" applyFill="1" applyAlignment="1">
      <alignment horizontal="center"/>
    </xf>
    <xf numFmtId="0" fontId="39" fillId="0" borderId="0" xfId="0" applyFont="1" applyFill="1" applyAlignment="1">
      <alignment horizontal="center"/>
    </xf>
    <xf numFmtId="164" fontId="20" fillId="0" borderId="0" xfId="108" applyNumberFormat="1" applyFill="1" applyBorder="1"/>
    <xf numFmtId="164" fontId="20" fillId="0" borderId="8" xfId="108" applyNumberFormat="1" applyFont="1" applyFill="1" applyBorder="1" applyAlignment="1">
      <alignment horizontal="right"/>
    </xf>
    <xf numFmtId="164" fontId="20" fillId="0" borderId="0" xfId="108" applyNumberFormat="1" applyFont="1" applyFill="1" applyBorder="1" applyAlignment="1">
      <alignment horizontal="right"/>
    </xf>
    <xf numFmtId="164" fontId="20" fillId="0" borderId="16" xfId="108" applyNumberFormat="1" applyBorder="1"/>
    <xf numFmtId="0" fontId="20" fillId="0" borderId="0" xfId="108" applyFill="1" applyBorder="1"/>
    <xf numFmtId="0" fontId="0" fillId="0" borderId="0" xfId="0" applyFill="1" applyBorder="1" applyAlignment="1">
      <alignment horizontal="center"/>
    </xf>
    <xf numFmtId="0" fontId="20" fillId="0" borderId="8" xfId="0" applyFont="1" applyBorder="1" applyAlignment="1">
      <alignment horizontal="center"/>
    </xf>
    <xf numFmtId="164" fontId="20" fillId="34" borderId="0" xfId="19" applyNumberFormat="1" applyFont="1" applyFill="1"/>
    <xf numFmtId="164" fontId="20" fillId="0" borderId="0" xfId="19" applyNumberFormat="1" applyFont="1" applyFill="1" applyBorder="1"/>
    <xf numFmtId="37" fontId="20" fillId="0" borderId="0" xfId="19" applyNumberFormat="1" applyFont="1" applyFill="1" applyBorder="1"/>
    <xf numFmtId="165" fontId="0" fillId="0" borderId="0" xfId="37" quotePrefix="1" applyNumberFormat="1" applyFont="1" applyFill="1" applyBorder="1"/>
    <xf numFmtId="165" fontId="0" fillId="0" borderId="8" xfId="37" applyNumberFormat="1" applyFont="1" applyFill="1" applyBorder="1"/>
    <xf numFmtId="165" fontId="0" fillId="0" borderId="0" xfId="37" applyNumberFormat="1" applyFont="1" applyFill="1" applyBorder="1"/>
    <xf numFmtId="164" fontId="0" fillId="0" borderId="15" xfId="19" applyNumberFormat="1" applyFont="1" applyBorder="1"/>
    <xf numFmtId="164" fontId="0" fillId="0" borderId="0" xfId="19" applyNumberFormat="1" applyFont="1" applyFill="1" applyBorder="1"/>
    <xf numFmtId="164" fontId="0" fillId="0" borderId="15" xfId="0" applyNumberFormat="1" applyBorder="1"/>
    <xf numFmtId="0" fontId="41" fillId="0" borderId="0" xfId="0" applyFont="1" applyAlignment="1">
      <alignment wrapText="1"/>
    </xf>
    <xf numFmtId="164" fontId="20" fillId="36" borderId="0" xfId="19" applyNumberFormat="1" applyFont="1" applyFill="1" applyBorder="1"/>
    <xf numFmtId="9" fontId="0" fillId="0" borderId="8" xfId="0" applyNumberFormat="1" applyBorder="1"/>
    <xf numFmtId="164" fontId="0" fillId="0" borderId="0" xfId="0" applyNumberFormat="1" applyFill="1" applyBorder="1"/>
    <xf numFmtId="0" fontId="20" fillId="36" borderId="0" xfId="100" quotePrefix="1" applyNumberFormat="1" applyFont="1" applyFill="1" applyBorder="1" applyAlignment="1">
      <alignment horizontal="left"/>
    </xf>
    <xf numFmtId="0" fontId="20" fillId="36" borderId="0" xfId="100" quotePrefix="1" applyFont="1" applyFill="1" applyBorder="1" applyAlignment="1">
      <alignment horizontal="left"/>
    </xf>
    <xf numFmtId="10" fontId="53" fillId="36" borderId="0" xfId="0" applyNumberFormat="1" applyFont="1" applyFill="1"/>
    <xf numFmtId="0" fontId="20" fillId="0" borderId="0" xfId="0" quotePrefix="1" applyFont="1" applyAlignment="1">
      <alignment horizontal="right"/>
    </xf>
    <xf numFmtId="49" fontId="20" fillId="0" borderId="0" xfId="19" applyNumberFormat="1" applyFont="1" applyBorder="1" applyAlignment="1">
      <alignment horizontal="left" indent="1"/>
    </xf>
    <xf numFmtId="5" fontId="20" fillId="36" borderId="0" xfId="19" applyNumberFormat="1" applyFont="1" applyFill="1" applyBorder="1"/>
    <xf numFmtId="0" fontId="23" fillId="36" borderId="4" xfId="0" applyNumberFormat="1" applyFont="1" applyFill="1" applyBorder="1"/>
    <xf numFmtId="37" fontId="20" fillId="36" borderId="3" xfId="0" applyNumberFormat="1" applyFont="1" applyFill="1" applyBorder="1" applyAlignment="1">
      <alignment horizontal="center"/>
    </xf>
    <xf numFmtId="164" fontId="27" fillId="36" borderId="0" xfId="100" applyNumberFormat="1" applyFont="1" applyFill="1"/>
    <xf numFmtId="0" fontId="52" fillId="36" borderId="0" xfId="0" applyFont="1" applyFill="1"/>
    <xf numFmtId="164" fontId="53" fillId="36" borderId="0" xfId="125" applyNumberFormat="1" applyFont="1" applyFill="1" applyBorder="1" applyProtection="1"/>
    <xf numFmtId="164" fontId="20" fillId="36" borderId="0" xfId="125" applyNumberFormat="1" applyFont="1" applyFill="1" applyBorder="1" applyProtection="1"/>
    <xf numFmtId="39" fontId="20" fillId="0" borderId="0" xfId="0" applyNumberFormat="1" applyFont="1" applyFill="1" applyAlignment="1">
      <alignment horizontal="left" indent="1"/>
    </xf>
    <xf numFmtId="164" fontId="20" fillId="36" borderId="0" xfId="23" applyNumberFormat="1" applyFont="1" applyFill="1" applyAlignment="1">
      <alignment horizontal="right"/>
    </xf>
    <xf numFmtId="0" fontId="20" fillId="36" borderId="0" xfId="0" applyFont="1" applyFill="1" applyAlignment="1">
      <alignment wrapText="1"/>
    </xf>
    <xf numFmtId="0" fontId="70" fillId="0" borderId="0" xfId="126" applyFont="1"/>
    <xf numFmtId="0" fontId="20" fillId="0" borderId="0" xfId="126" applyFont="1"/>
    <xf numFmtId="0" fontId="20" fillId="0" borderId="0" xfId="126" applyFont="1" applyBorder="1"/>
    <xf numFmtId="0" fontId="20" fillId="0" borderId="0" xfId="126" applyFill="1" applyAlignment="1">
      <alignment horizontal="center"/>
    </xf>
    <xf numFmtId="0" fontId="20" fillId="0" borderId="0" xfId="126"/>
    <xf numFmtId="0" fontId="24" fillId="0" borderId="0" xfId="126" applyFont="1" applyAlignment="1">
      <alignment horizontal="center"/>
    </xf>
    <xf numFmtId="0" fontId="20" fillId="0" borderId="0" xfId="126" applyBorder="1"/>
    <xf numFmtId="0" fontId="21" fillId="0" borderId="0" xfId="126" applyFont="1" applyAlignment="1">
      <alignment horizontal="right"/>
    </xf>
    <xf numFmtId="167" fontId="20" fillId="0" borderId="0" xfId="19" applyNumberFormat="1" applyFont="1"/>
    <xf numFmtId="0" fontId="20" fillId="0" borderId="0" xfId="126" applyFont="1" applyAlignment="1">
      <alignment horizontal="left" indent="1"/>
    </xf>
    <xf numFmtId="0" fontId="21" fillId="34" borderId="0" xfId="127" applyFont="1" applyFill="1"/>
    <xf numFmtId="0" fontId="20" fillId="36" borderId="0" xfId="127" applyFont="1" applyFill="1"/>
    <xf numFmtId="0" fontId="20" fillId="0" borderId="0" xfId="126" applyFill="1"/>
    <xf numFmtId="164" fontId="20" fillId="0" borderId="0" xfId="126" applyNumberFormat="1"/>
    <xf numFmtId="0" fontId="24" fillId="0" borderId="0" xfId="126" quotePrefix="1" applyFont="1" applyAlignment="1">
      <alignment horizontal="center"/>
    </xf>
    <xf numFmtId="0" fontId="20" fillId="0" borderId="0" xfId="126" applyFont="1" applyAlignment="1">
      <alignment horizontal="center"/>
    </xf>
    <xf numFmtId="0" fontId="20" fillId="0" borderId="0" xfId="126" applyAlignment="1"/>
    <xf numFmtId="0" fontId="20" fillId="0" borderId="0" xfId="126" quotePrefix="1" applyFont="1" applyBorder="1" applyAlignment="1">
      <alignment horizontal="center" wrapText="1"/>
    </xf>
    <xf numFmtId="0" fontId="20" fillId="0" borderId="0" xfId="126" applyFill="1" applyAlignment="1"/>
    <xf numFmtId="0" fontId="24" fillId="0" borderId="0" xfId="126" quotePrefix="1" applyFont="1" applyAlignment="1">
      <alignment horizontal="center" vertical="center" wrapText="1"/>
    </xf>
    <xf numFmtId="0" fontId="21" fillId="0" borderId="3" xfId="126" applyFont="1" applyFill="1" applyBorder="1" applyAlignment="1">
      <alignment horizontal="center" wrapText="1"/>
    </xf>
    <xf numFmtId="0" fontId="21" fillId="0" borderId="3" xfId="126" quotePrefix="1" applyFont="1" applyBorder="1" applyAlignment="1">
      <alignment horizontal="center" wrapText="1"/>
    </xf>
    <xf numFmtId="0" fontId="21" fillId="0" borderId="6" xfId="126" applyFont="1" applyBorder="1" applyAlignment="1">
      <alignment horizontal="center" wrapText="1"/>
    </xf>
    <xf numFmtId="0" fontId="21" fillId="0" borderId="3" xfId="126" applyFont="1" applyFill="1" applyBorder="1" applyAlignment="1">
      <alignment horizontal="center"/>
    </xf>
    <xf numFmtId="0" fontId="21" fillId="0" borderId="4" xfId="126" applyFont="1" applyBorder="1" applyAlignment="1">
      <alignment horizontal="center" wrapText="1"/>
    </xf>
    <xf numFmtId="0" fontId="21" fillId="0" borderId="3" xfId="126" applyFont="1" applyBorder="1" applyAlignment="1">
      <alignment horizontal="center" wrapText="1"/>
    </xf>
    <xf numFmtId="0" fontId="21" fillId="0" borderId="0" xfId="126" applyFont="1" applyAlignment="1">
      <alignment horizontal="center"/>
    </xf>
    <xf numFmtId="0" fontId="20" fillId="0" borderId="0" xfId="126" quotePrefix="1" applyNumberFormat="1" applyFont="1" applyAlignment="1">
      <alignment horizontal="center"/>
    </xf>
    <xf numFmtId="0" fontId="20" fillId="0" borderId="0" xfId="126" quotePrefix="1" applyNumberFormat="1" applyFont="1" applyBorder="1" applyAlignment="1">
      <alignment horizontal="center"/>
    </xf>
    <xf numFmtId="164" fontId="20" fillId="0" borderId="0" xfId="126" applyNumberFormat="1" applyFont="1"/>
    <xf numFmtId="179" fontId="20" fillId="34" borderId="0" xfId="35" quotePrefix="1" applyNumberFormat="1" applyFont="1" applyFill="1" applyAlignment="1">
      <alignment horizontal="left"/>
    </xf>
    <xf numFmtId="3" fontId="20" fillId="0" borderId="0" xfId="126" applyNumberFormat="1" applyFill="1"/>
    <xf numFmtId="3" fontId="43" fillId="0" borderId="0" xfId="129" applyNumberFormat="1" applyFill="1"/>
    <xf numFmtId="0" fontId="24" fillId="0" borderId="0" xfId="126" quotePrefix="1" applyFont="1" applyBorder="1" applyAlignment="1">
      <alignment horizontal="center"/>
    </xf>
    <xf numFmtId="2" fontId="21" fillId="0" borderId="3" xfId="126" applyNumberFormat="1" applyFont="1" applyFill="1" applyBorder="1" applyAlignment="1">
      <alignment horizontal="center" wrapText="1"/>
    </xf>
    <xf numFmtId="2" fontId="21" fillId="0" borderId="3" xfId="126" applyNumberFormat="1" applyFont="1" applyBorder="1" applyAlignment="1">
      <alignment horizontal="center" wrapText="1"/>
    </xf>
    <xf numFmtId="2" fontId="20" fillId="0" borderId="0" xfId="126" applyNumberFormat="1" applyFont="1" applyAlignment="1">
      <alignment horizontal="center" wrapText="1"/>
    </xf>
    <xf numFmtId="2" fontId="21" fillId="0" borderId="0" xfId="126" applyNumberFormat="1" applyFont="1" applyAlignment="1">
      <alignment horizontal="center"/>
    </xf>
    <xf numFmtId="2" fontId="20" fillId="34" borderId="0" xfId="35" applyNumberFormat="1" applyFont="1" applyFill="1" applyAlignment="1">
      <alignment horizontal="left"/>
    </xf>
    <xf numFmtId="2" fontId="20" fillId="0" borderId="0" xfId="126" applyNumberFormat="1" applyFont="1"/>
    <xf numFmtId="2" fontId="20" fillId="0" borderId="0" xfId="126" applyNumberFormat="1" applyFont="1" applyFill="1" applyAlignment="1">
      <alignment horizontal="center"/>
    </xf>
    <xf numFmtId="0" fontId="21" fillId="0" borderId="0" xfId="126" applyFont="1" applyAlignment="1">
      <alignment horizontal="center" vertical="center" wrapText="1"/>
    </xf>
    <xf numFmtId="0" fontId="20" fillId="0" borderId="0" xfId="126" applyFont="1" applyFill="1" applyAlignment="1">
      <alignment horizontal="center"/>
    </xf>
    <xf numFmtId="179" fontId="21" fillId="0" borderId="3" xfId="35" applyNumberFormat="1" applyFont="1" applyFill="1" applyBorder="1" applyAlignment="1">
      <alignment horizontal="center"/>
    </xf>
    <xf numFmtId="0" fontId="24" fillId="0" borderId="0" xfId="126" applyFont="1"/>
    <xf numFmtId="0" fontId="20" fillId="0" borderId="0" xfId="126" applyFont="1" applyFill="1"/>
    <xf numFmtId="0" fontId="20" fillId="0" borderId="0" xfId="126" applyAlignment="1">
      <alignment horizontal="left"/>
    </xf>
    <xf numFmtId="0" fontId="21" fillId="0" borderId="6" xfId="126" applyFont="1" applyFill="1" applyBorder="1"/>
    <xf numFmtId="0" fontId="20" fillId="0" borderId="9" xfId="126" applyFont="1" applyFill="1" applyBorder="1"/>
    <xf numFmtId="179" fontId="20" fillId="36" borderId="0" xfId="35" applyNumberFormat="1" applyFont="1" applyFill="1" applyAlignment="1">
      <alignment horizontal="left"/>
    </xf>
    <xf numFmtId="0" fontId="20" fillId="36" borderId="0" xfId="35" applyFont="1" applyFill="1" applyAlignment="1">
      <alignment horizontal="left" vertical="top" indent="1"/>
    </xf>
    <xf numFmtId="0" fontId="20" fillId="36" borderId="0" xfId="126" applyFont="1" applyFill="1"/>
    <xf numFmtId="179" fontId="20" fillId="36" borderId="0" xfId="35" quotePrefix="1" applyNumberFormat="1" applyFont="1" applyFill="1" applyAlignment="1">
      <alignment horizontal="left"/>
    </xf>
    <xf numFmtId="0" fontId="24" fillId="0" borderId="0" xfId="126" quotePrefix="1" applyFont="1" applyFill="1" applyAlignment="1">
      <alignment horizontal="center"/>
    </xf>
    <xf numFmtId="0" fontId="21" fillId="0" borderId="0" xfId="126" applyFont="1" applyAlignment="1">
      <alignment horizontal="center" vertical="center"/>
    </xf>
    <xf numFmtId="0" fontId="24" fillId="0" borderId="0" xfId="126" quotePrefix="1" applyFont="1" applyFill="1" applyAlignment="1">
      <alignment horizontal="center" vertical="center" wrapText="1"/>
    </xf>
    <xf numFmtId="0" fontId="24" fillId="0" borderId="0" xfId="126" quotePrefix="1" applyFont="1" applyAlignment="1">
      <alignment horizontal="center" wrapText="1"/>
    </xf>
    <xf numFmtId="0" fontId="24" fillId="0" borderId="0" xfId="126" quotePrefix="1" applyFont="1" applyFill="1" applyAlignment="1">
      <alignment horizontal="center" wrapText="1"/>
    </xf>
    <xf numFmtId="0" fontId="21" fillId="34" borderId="7" xfId="126" applyFont="1" applyFill="1" applyBorder="1" applyAlignment="1">
      <alignment horizontal="center" wrapText="1"/>
    </xf>
    <xf numFmtId="0" fontId="24" fillId="0" borderId="7" xfId="126" quotePrefix="1" applyFont="1" applyBorder="1" applyAlignment="1">
      <alignment horizontal="center"/>
    </xf>
    <xf numFmtId="0" fontId="21" fillId="0" borderId="5" xfId="126" applyFont="1" applyFill="1" applyBorder="1" applyAlignment="1">
      <alignment horizontal="center" wrapText="1"/>
    </xf>
    <xf numFmtId="0" fontId="21" fillId="34" borderId="11" xfId="126" applyFont="1" applyFill="1" applyBorder="1" applyAlignment="1">
      <alignment horizontal="center" wrapText="1"/>
    </xf>
    <xf numFmtId="0" fontId="21" fillId="34" borderId="10" xfId="126" applyFont="1" applyFill="1" applyBorder="1" applyAlignment="1">
      <alignment horizontal="center" wrapText="1"/>
    </xf>
    <xf numFmtId="0" fontId="21" fillId="34" borderId="5" xfId="126" applyFont="1" applyFill="1" applyBorder="1" applyAlignment="1">
      <alignment horizontal="center" wrapText="1"/>
    </xf>
    <xf numFmtId="2" fontId="20" fillId="0" borderId="0" xfId="126" applyNumberFormat="1" applyFont="1" applyBorder="1"/>
    <xf numFmtId="164" fontId="52" fillId="0" borderId="0" xfId="135" applyNumberFormat="1" applyFont="1" applyFill="1"/>
    <xf numFmtId="164" fontId="72" fillId="0" borderId="0" xfId="135" applyNumberFormat="1" applyFont="1" applyFill="1"/>
    <xf numFmtId="164" fontId="27" fillId="0" borderId="0" xfId="0" applyNumberFormat="1" applyFont="1" applyFill="1" applyBorder="1"/>
    <xf numFmtId="0" fontId="22" fillId="0" borderId="0" xfId="0" applyFont="1" applyFill="1" applyAlignment="1">
      <alignment horizontal="center"/>
    </xf>
    <xf numFmtId="164" fontId="57" fillId="0" borderId="0" xfId="135" applyNumberFormat="1" applyFont="1" applyFill="1"/>
    <xf numFmtId="0" fontId="21" fillId="0" borderId="3" xfId="28" applyFont="1" applyFill="1" applyBorder="1" applyAlignment="1">
      <alignment horizontal="center"/>
    </xf>
    <xf numFmtId="0" fontId="20" fillId="0" borderId="0" xfId="28" applyNumberFormat="1" applyFont="1" applyFill="1" applyAlignment="1">
      <alignment horizontal="center" vertical="center"/>
    </xf>
    <xf numFmtId="167" fontId="20" fillId="0" borderId="0" xfId="28" applyNumberFormat="1" applyFont="1" applyFill="1"/>
    <xf numFmtId="43" fontId="20" fillId="0" borderId="0" xfId="0" applyNumberFormat="1" applyFont="1"/>
    <xf numFmtId="0" fontId="20" fillId="0" borderId="0" xfId="0" applyNumberFormat="1" applyFont="1"/>
    <xf numFmtId="0" fontId="20" fillId="0" borderId="0" xfId="28" applyFont="1" applyAlignment="1">
      <alignment horizontal="center"/>
    </xf>
    <xf numFmtId="167" fontId="20" fillId="0" borderId="0" xfId="22" applyNumberFormat="1" applyFont="1"/>
    <xf numFmtId="167" fontId="20" fillId="0" borderId="0" xfId="28" applyNumberFormat="1" applyFont="1"/>
    <xf numFmtId="164" fontId="20" fillId="0" borderId="0" xfId="28" applyNumberFormat="1" applyFont="1" applyFill="1" applyBorder="1"/>
    <xf numFmtId="164" fontId="20" fillId="0" borderId="0" xfId="28" applyNumberFormat="1" applyFont="1" applyBorder="1" applyAlignment="1">
      <alignment horizontal="center"/>
    </xf>
    <xf numFmtId="164" fontId="20" fillId="0" borderId="0" xfId="28" applyNumberFormat="1" applyFont="1" applyFill="1" applyBorder="1" applyAlignment="1">
      <alignment horizontal="center"/>
    </xf>
    <xf numFmtId="0" fontId="20" fillId="36" borderId="0" xfId="28" applyFont="1" applyFill="1"/>
    <xf numFmtId="0" fontId="20" fillId="36" borderId="0" xfId="28" applyNumberFormat="1" applyFont="1" applyFill="1"/>
    <xf numFmtId="167" fontId="20" fillId="36" borderId="0" xfId="28" quotePrefix="1" applyNumberFormat="1" applyFont="1" applyFill="1" applyBorder="1" applyAlignment="1">
      <alignment horizontal="center"/>
    </xf>
    <xf numFmtId="167" fontId="20" fillId="0" borderId="8" xfId="28" applyNumberFormat="1" applyFont="1" applyBorder="1" applyAlignment="1">
      <alignment horizontal="center"/>
    </xf>
    <xf numFmtId="164" fontId="20" fillId="0" borderId="8" xfId="28" applyNumberFormat="1" applyFont="1" applyFill="1" applyBorder="1" applyAlignment="1">
      <alignment horizontal="center"/>
    </xf>
    <xf numFmtId="5" fontId="20" fillId="0" borderId="8" xfId="28" quotePrefix="1" applyNumberFormat="1" applyFont="1" applyFill="1" applyBorder="1" applyAlignment="1">
      <alignment horizontal="right"/>
    </xf>
    <xf numFmtId="5" fontId="20" fillId="0" borderId="8" xfId="28" applyNumberFormat="1" applyFont="1" applyBorder="1"/>
    <xf numFmtId="164" fontId="20" fillId="0" borderId="0" xfId="22" applyNumberFormat="1" applyFont="1" applyFill="1" applyBorder="1"/>
    <xf numFmtId="164" fontId="20" fillId="0" borderId="0" xfId="22" applyNumberFormat="1" applyFont="1" applyFill="1" applyBorder="1" applyAlignment="1">
      <alignment horizontal="center"/>
    </xf>
    <xf numFmtId="164" fontId="20" fillId="0" borderId="0" xfId="22" applyNumberFormat="1" applyFont="1" applyBorder="1"/>
    <xf numFmtId="0" fontId="20" fillId="0" borderId="0" xfId="28" applyFont="1" applyFill="1" applyBorder="1"/>
    <xf numFmtId="167" fontId="20" fillId="0" borderId="0" xfId="22" applyNumberFormat="1" applyFont="1" applyFill="1" applyBorder="1"/>
    <xf numFmtId="0" fontId="20" fillId="0" borderId="0" xfId="22" applyNumberFormat="1" applyFont="1" applyFill="1" applyBorder="1" applyAlignment="1">
      <alignment horizontal="center"/>
    </xf>
    <xf numFmtId="167" fontId="20" fillId="0" borderId="0" xfId="28" applyNumberFormat="1" applyFont="1" applyBorder="1" applyAlignment="1">
      <alignment horizontal="center"/>
    </xf>
    <xf numFmtId="167" fontId="20" fillId="0" borderId="0" xfId="22" applyNumberFormat="1" applyFont="1" applyBorder="1"/>
    <xf numFmtId="167" fontId="20" fillId="0" borderId="0" xfId="22" applyNumberFormat="1" applyFont="1" applyFill="1" applyBorder="1" applyAlignment="1">
      <alignment horizontal="center"/>
    </xf>
    <xf numFmtId="167" fontId="20" fillId="0" borderId="0" xfId="28" applyNumberFormat="1" applyFont="1" applyFill="1" applyBorder="1"/>
    <xf numFmtId="167" fontId="20" fillId="0" borderId="8" xfId="28" applyNumberFormat="1" applyFont="1" applyFill="1" applyBorder="1" applyAlignment="1">
      <alignment horizontal="center"/>
    </xf>
    <xf numFmtId="167" fontId="20" fillId="0" borderId="8" xfId="28" quotePrefix="1" applyNumberFormat="1" applyFont="1" applyFill="1" applyBorder="1" applyAlignment="1">
      <alignment horizontal="center"/>
    </xf>
    <xf numFmtId="167" fontId="20" fillId="0" borderId="8" xfId="28" applyNumberFormat="1" applyFont="1" applyBorder="1"/>
    <xf numFmtId="0" fontId="20" fillId="0" borderId="0" xfId="22" applyNumberFormat="1" applyFont="1" applyFill="1" applyBorder="1"/>
    <xf numFmtId="0" fontId="20" fillId="0" borderId="0" xfId="28" applyNumberFormat="1" applyFont="1" applyFill="1" applyBorder="1"/>
    <xf numFmtId="0" fontId="20" fillId="0" borderId="0" xfId="28" applyFont="1" applyBorder="1" applyAlignment="1">
      <alignment horizontal="center"/>
    </xf>
    <xf numFmtId="167" fontId="20" fillId="0" borderId="0" xfId="28" applyNumberFormat="1" applyFont="1" applyFill="1" applyBorder="1" applyAlignment="1"/>
    <xf numFmtId="164" fontId="20" fillId="0" borderId="0" xfId="28" applyNumberFormat="1" applyFont="1" applyFill="1" applyBorder="1" applyAlignment="1">
      <alignment vertical="top" wrapText="1"/>
    </xf>
    <xf numFmtId="167" fontId="20" fillId="0" borderId="0" xfId="22" applyNumberFormat="1" applyFont="1" applyFill="1" applyBorder="1" applyAlignment="1">
      <alignment horizontal="center" wrapText="1"/>
    </xf>
    <xf numFmtId="0" fontId="20" fillId="0" borderId="0" xfId="0" quotePrefix="1" applyFont="1" applyFill="1" applyAlignment="1"/>
    <xf numFmtId="167" fontId="20" fillId="0" borderId="0" xfId="22" applyNumberFormat="1" applyFont="1" applyFill="1" applyBorder="1" applyAlignment="1"/>
    <xf numFmtId="167" fontId="20" fillId="0" borderId="8" xfId="28" applyNumberFormat="1" applyFont="1" applyFill="1" applyBorder="1"/>
    <xf numFmtId="171" fontId="20" fillId="0" borderId="8" xfId="37" applyNumberFormat="1" applyFont="1" applyFill="1" applyBorder="1" applyAlignment="1">
      <alignment horizontal="center" wrapText="1"/>
    </xf>
    <xf numFmtId="167" fontId="20" fillId="0" borderId="8" xfId="22" applyNumberFormat="1" applyFont="1" applyFill="1" applyBorder="1" applyAlignment="1">
      <alignment horizontal="center" wrapText="1"/>
    </xf>
    <xf numFmtId="0" fontId="20" fillId="0" borderId="0" xfId="39" applyNumberFormat="1" applyFont="1" applyFill="1" applyBorder="1" applyAlignment="1">
      <alignment horizontal="center" wrapText="1"/>
    </xf>
    <xf numFmtId="171" fontId="20" fillId="0" borderId="0" xfId="39" applyNumberFormat="1" applyFont="1" applyFill="1" applyBorder="1" applyAlignment="1">
      <alignment horizontal="center" wrapText="1"/>
    </xf>
    <xf numFmtId="0" fontId="20" fillId="0" borderId="0" xfId="28" applyFont="1" applyAlignment="1">
      <alignment vertical="justify"/>
    </xf>
    <xf numFmtId="167" fontId="20" fillId="0" borderId="0" xfId="28" applyNumberFormat="1" applyFont="1" applyBorder="1" applyAlignment="1">
      <alignment vertical="justify"/>
    </xf>
    <xf numFmtId="0" fontId="20" fillId="0" borderId="0" xfId="28" applyNumberFormat="1" applyFont="1" applyFill="1"/>
    <xf numFmtId="0" fontId="20" fillId="0" borderId="0" xfId="28" applyFont="1" applyFill="1" applyBorder="1" applyAlignment="1">
      <alignment vertical="top"/>
    </xf>
    <xf numFmtId="0" fontId="20" fillId="0" borderId="0" xfId="28" applyFont="1" applyFill="1" applyAlignment="1">
      <alignment horizontal="center"/>
    </xf>
    <xf numFmtId="167" fontId="20" fillId="0" borderId="0" xfId="22" applyNumberFormat="1" applyFont="1" applyFill="1"/>
    <xf numFmtId="0" fontId="20" fillId="0" borderId="0" xfId="28" applyFont="1" applyFill="1" applyBorder="1" applyAlignment="1">
      <alignment vertical="top" wrapText="1"/>
    </xf>
    <xf numFmtId="0" fontId="20" fillId="0" borderId="0" xfId="28" applyFont="1" applyFill="1" applyBorder="1" applyAlignment="1" applyProtection="1">
      <alignment horizontal="left" vertical="top" indent="1"/>
      <protection locked="0"/>
    </xf>
    <xf numFmtId="0" fontId="20" fillId="36" borderId="0" xfId="28" applyFont="1" applyFill="1" applyBorder="1" applyAlignment="1" applyProtection="1">
      <alignment horizontal="left" indent="1"/>
      <protection locked="0"/>
    </xf>
    <xf numFmtId="0" fontId="20" fillId="36" borderId="0" xfId="28" applyFont="1" applyFill="1" applyAlignment="1">
      <alignment horizontal="center"/>
    </xf>
    <xf numFmtId="167" fontId="20" fillId="36" borderId="0" xfId="22" applyNumberFormat="1" applyFont="1" applyFill="1"/>
    <xf numFmtId="0" fontId="20" fillId="0" borderId="0" xfId="28" applyFont="1" applyFill="1" applyAlignment="1">
      <alignment horizontal="left" indent="1"/>
    </xf>
    <xf numFmtId="165" fontId="20" fillId="0" borderId="0" xfId="28" applyNumberFormat="1" applyFont="1" applyFill="1"/>
    <xf numFmtId="0" fontId="24" fillId="0" borderId="0" xfId="0" applyFont="1" applyFill="1"/>
    <xf numFmtId="10" fontId="20" fillId="0" borderId="0" xfId="0" applyNumberFormat="1" applyFont="1"/>
    <xf numFmtId="0" fontId="21" fillId="0" borderId="3" xfId="28" applyFont="1" applyFill="1" applyBorder="1" applyAlignment="1">
      <alignment horizontal="center"/>
    </xf>
    <xf numFmtId="0" fontId="23" fillId="0" borderId="6" xfId="0" applyFont="1" applyFill="1" applyBorder="1" applyAlignment="1">
      <alignment horizontal="left"/>
    </xf>
    <xf numFmtId="0" fontId="20" fillId="36" borderId="0" xfId="100" applyFill="1" applyAlignment="1">
      <alignment horizontal="center"/>
    </xf>
    <xf numFmtId="0" fontId="0" fillId="0" borderId="0" xfId="0" applyFill="1" applyAlignment="1">
      <alignment horizontal="center"/>
    </xf>
    <xf numFmtId="0" fontId="0" fillId="0" borderId="0" xfId="0" applyFill="1" applyAlignment="1">
      <alignment horizontal="left"/>
    </xf>
    <xf numFmtId="168" fontId="23" fillId="0" borderId="0" xfId="0" applyNumberFormat="1" applyFont="1" applyFill="1"/>
    <xf numFmtId="0" fontId="20" fillId="0" borderId="0" xfId="0" applyFont="1" applyFill="1" applyAlignment="1">
      <alignment horizontal="left"/>
    </xf>
    <xf numFmtId="0" fontId="20" fillId="0" borderId="0" xfId="0" applyFont="1" applyFill="1" applyAlignment="1">
      <alignment horizontal="right"/>
    </xf>
    <xf numFmtId="0" fontId="20" fillId="0" borderId="0" xfId="0" quotePrefix="1" applyFont="1" applyFill="1" applyAlignment="1">
      <alignment horizontal="right"/>
    </xf>
    <xf numFmtId="168" fontId="0" fillId="0" borderId="0" xfId="0" applyNumberFormat="1" applyFill="1"/>
    <xf numFmtId="0" fontId="20" fillId="0" borderId="0" xfId="0" applyFont="1" applyFill="1" applyAlignment="1">
      <alignment horizontal="left" indent="2"/>
    </xf>
    <xf numFmtId="0" fontId="20" fillId="0" borderId="0" xfId="0" quotePrefix="1" applyFont="1" applyFill="1" applyAlignment="1">
      <alignment horizontal="left" indent="2"/>
    </xf>
    <xf numFmtId="0" fontId="20" fillId="0" borderId="0" xfId="0" applyFont="1" applyFill="1" applyAlignment="1">
      <alignment horizontal="left" indent="3"/>
    </xf>
    <xf numFmtId="0" fontId="53" fillId="0" borderId="0" xfId="0" applyFont="1" applyFill="1" applyAlignment="1">
      <alignment horizontal="left"/>
    </xf>
    <xf numFmtId="0" fontId="20" fillId="0" borderId="0" xfId="0" quotePrefix="1" applyFont="1" applyFill="1" applyAlignment="1">
      <alignment horizontal="left" indent="1"/>
    </xf>
    <xf numFmtId="0" fontId="27" fillId="0" borderId="0" xfId="0" applyFont="1" applyFill="1" applyAlignment="1">
      <alignment horizontal="left"/>
    </xf>
    <xf numFmtId="0" fontId="23" fillId="0" borderId="0" xfId="28" applyFont="1" applyFill="1" applyBorder="1" applyAlignment="1">
      <alignment horizontal="left" indent="1"/>
    </xf>
    <xf numFmtId="0" fontId="21" fillId="0" borderId="0" xfId="0" applyNumberFormat="1" applyFont="1" applyFill="1" applyAlignment="1">
      <alignment horizontal="left"/>
    </xf>
    <xf numFmtId="0" fontId="20" fillId="0" borderId="0" xfId="0" applyFont="1" applyFill="1" applyAlignment="1"/>
    <xf numFmtId="0" fontId="21" fillId="0" borderId="0" xfId="0" quotePrefix="1" applyFont="1" applyFill="1" applyAlignment="1">
      <alignment horizontal="center"/>
    </xf>
    <xf numFmtId="10" fontId="20" fillId="0" borderId="0" xfId="0" quotePrefix="1" applyNumberFormat="1" applyFont="1" applyFill="1" applyAlignment="1">
      <alignment horizontal="right"/>
    </xf>
    <xf numFmtId="3" fontId="0" fillId="0" borderId="0" xfId="0" applyNumberFormat="1" applyFill="1" applyAlignment="1">
      <alignment horizontal="center"/>
    </xf>
    <xf numFmtId="0" fontId="52" fillId="0" borderId="0" xfId="0" applyFont="1" applyFill="1"/>
    <xf numFmtId="0" fontId="54" fillId="36" borderId="0" xfId="0" quotePrefix="1" applyFont="1" applyFill="1" applyAlignment="1">
      <alignment horizontal="center"/>
    </xf>
    <xf numFmtId="0" fontId="53" fillId="0" borderId="0" xfId="0" applyFont="1" applyFill="1" applyAlignment="1">
      <alignment horizontal="right"/>
    </xf>
    <xf numFmtId="0" fontId="66" fillId="0" borderId="0" xfId="0" applyFont="1" applyFill="1" applyAlignment="1">
      <alignment horizontal="left" vertical="center"/>
    </xf>
    <xf numFmtId="0" fontId="21" fillId="0" borderId="0" xfId="34" applyFont="1" applyFill="1"/>
    <xf numFmtId="0" fontId="23" fillId="0" borderId="0" xfId="34" applyFont="1" applyFill="1"/>
    <xf numFmtId="0" fontId="20" fillId="0" borderId="0" xfId="34" applyFont="1" applyFill="1" applyAlignment="1">
      <alignment horizontal="right"/>
    </xf>
    <xf numFmtId="0" fontId="55" fillId="0" borderId="0" xfId="0" applyFont="1" applyFill="1" applyAlignment="1">
      <alignment horizontal="left" indent="1"/>
    </xf>
    <xf numFmtId="0" fontId="20" fillId="0" borderId="0" xfId="100" applyFont="1" applyFill="1" applyAlignment="1">
      <alignment horizontal="left" indent="1"/>
    </xf>
    <xf numFmtId="0" fontId="54" fillId="0" borderId="0" xfId="0" applyFont="1" applyFill="1"/>
    <xf numFmtId="0" fontId="53" fillId="0" borderId="0" xfId="0" quotePrefix="1" applyFont="1" applyFill="1" applyAlignment="1">
      <alignment horizontal="center"/>
    </xf>
    <xf numFmtId="0" fontId="20" fillId="0" borderId="0" xfId="0" applyFont="1" applyFill="1" applyBorder="1" applyAlignment="1">
      <alignment horizontal="left" indent="1"/>
    </xf>
    <xf numFmtId="0" fontId="0" fillId="0" borderId="0" xfId="0" quotePrefix="1" applyFill="1"/>
    <xf numFmtId="0" fontId="20" fillId="0" borderId="0" xfId="100" applyFont="1" applyFill="1" applyBorder="1" applyAlignment="1"/>
    <xf numFmtId="0" fontId="23"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21" fillId="0" borderId="0" xfId="100" applyNumberFormat="1" applyFont="1" applyFill="1"/>
    <xf numFmtId="10" fontId="20" fillId="0" borderId="0" xfId="37" applyNumberFormat="1" applyFont="1" applyFill="1" applyAlignment="1">
      <alignment horizontal="center"/>
    </xf>
    <xf numFmtId="5" fontId="20" fillId="0" borderId="0" xfId="100" applyNumberFormat="1" applyFill="1"/>
    <xf numFmtId="166" fontId="53" fillId="0" borderId="0" xfId="0" applyNumberFormat="1" applyFont="1" applyFill="1"/>
    <xf numFmtId="167" fontId="20" fillId="0" borderId="0" xfId="28" applyNumberFormat="1" applyFont="1" applyFill="1" applyBorder="1" applyAlignment="1">
      <alignment horizontal="center"/>
    </xf>
    <xf numFmtId="0" fontId="24" fillId="0" borderId="0" xfId="0" quotePrefix="1" applyFont="1" applyFill="1" applyAlignment="1">
      <alignment horizontal="center" vertical="top"/>
    </xf>
    <xf numFmtId="0" fontId="21" fillId="0" borderId="7" xfId="28" applyFont="1" applyFill="1" applyBorder="1" applyAlignment="1">
      <alignment horizontal="center"/>
    </xf>
    <xf numFmtId="0" fontId="20" fillId="0" borderId="0" xfId="28" quotePrefix="1" applyFont="1" applyFill="1"/>
    <xf numFmtId="0" fontId="20" fillId="0" borderId="0" xfId="28" applyFont="1" applyFill="1" applyBorder="1" applyAlignment="1" applyProtection="1">
      <alignment horizontal="left" indent="2"/>
      <protection locked="0"/>
    </xf>
    <xf numFmtId="0" fontId="20" fillId="0" borderId="0" xfId="28" applyFont="1" applyFill="1" applyAlignment="1">
      <alignment horizontal="right"/>
    </xf>
    <xf numFmtId="10" fontId="20" fillId="0" borderId="0" xfId="28" applyNumberFormat="1" applyFont="1" applyFill="1"/>
    <xf numFmtId="165" fontId="28" fillId="0" borderId="0" xfId="0" applyNumberFormat="1" applyFont="1" applyFill="1"/>
    <xf numFmtId="0" fontId="65" fillId="0" borderId="0" xfId="0" applyFont="1" applyFill="1"/>
    <xf numFmtId="0" fontId="20" fillId="0" borderId="0" xfId="100" applyFont="1" applyFill="1" applyAlignment="1">
      <alignment horizontal="left"/>
    </xf>
    <xf numFmtId="37" fontId="20" fillId="0" borderId="3" xfId="0" applyNumberFormat="1" applyFont="1" applyFill="1" applyBorder="1" applyAlignment="1">
      <alignment horizontal="center"/>
    </xf>
    <xf numFmtId="37" fontId="20" fillId="0" borderId="3" xfId="97" quotePrefix="1" applyNumberFormat="1" applyFont="1" applyFill="1" applyBorder="1" applyAlignment="1">
      <alignment horizontal="center"/>
    </xf>
    <xf numFmtId="0" fontId="20" fillId="0" borderId="3" xfId="0" quotePrefix="1" applyNumberFormat="1" applyFont="1" applyFill="1" applyBorder="1"/>
    <xf numFmtId="0" fontId="20" fillId="0" borderId="3" xfId="0" quotePrefix="1" applyNumberFormat="1" applyFont="1" applyFill="1" applyBorder="1" applyAlignment="1">
      <alignment horizontal="center"/>
    </xf>
    <xf numFmtId="0" fontId="23" fillId="0" borderId="4" xfId="0" applyFont="1" applyFill="1" applyBorder="1" applyAlignment="1">
      <alignment horizontal="left"/>
    </xf>
    <xf numFmtId="49" fontId="20" fillId="0" borderId="0" xfId="22" applyNumberFormat="1" applyFont="1" applyFill="1" applyBorder="1" applyAlignment="1">
      <alignment horizontal="left"/>
    </xf>
    <xf numFmtId="49" fontId="23" fillId="0" borderId="0" xfId="22" quotePrefix="1" applyNumberFormat="1" applyFont="1" applyFill="1" applyBorder="1" applyAlignment="1">
      <alignment horizontal="left"/>
    </xf>
    <xf numFmtId="49" fontId="23" fillId="0" borderId="0" xfId="22" applyNumberFormat="1" applyFont="1" applyFill="1" applyBorder="1" applyAlignment="1">
      <alignment horizontal="left"/>
    </xf>
    <xf numFmtId="49" fontId="23" fillId="0" borderId="0" xfId="0" applyNumberFormat="1" applyFont="1" applyFill="1" applyBorder="1" applyAlignment="1">
      <alignment horizontal="left"/>
    </xf>
    <xf numFmtId="176" fontId="23" fillId="0" borderId="0" xfId="22" applyNumberFormat="1" applyFont="1" applyFill="1" applyBorder="1" applyAlignment="1">
      <alignment horizontal="center"/>
    </xf>
    <xf numFmtId="39" fontId="20" fillId="0" borderId="0" xfId="22" applyNumberFormat="1" applyFont="1" applyFill="1" applyBorder="1" applyAlignment="1">
      <alignment horizontal="right"/>
    </xf>
    <xf numFmtId="0" fontId="24" fillId="0" borderId="0" xfId="108" applyFont="1" applyFill="1" applyAlignment="1">
      <alignment horizontal="center"/>
    </xf>
    <xf numFmtId="0" fontId="24" fillId="0" borderId="0" xfId="108" applyFont="1" applyFill="1" applyAlignment="1">
      <alignment horizontal="left"/>
    </xf>
    <xf numFmtId="0" fontId="51" fillId="0" borderId="0" xfId="0" applyFont="1" applyFill="1"/>
    <xf numFmtId="0" fontId="21" fillId="0" borderId="0" xfId="108" applyFont="1" applyFill="1" applyAlignment="1"/>
    <xf numFmtId="0" fontId="24" fillId="0" borderId="0" xfId="108" applyFont="1" applyFill="1" applyAlignment="1"/>
    <xf numFmtId="0" fontId="20" fillId="0" borderId="0" xfId="108" applyFont="1" applyFill="1" applyAlignment="1">
      <alignment horizontal="left" indent="1"/>
    </xf>
    <xf numFmtId="0" fontId="21" fillId="0" borderId="0" xfId="0" applyFont="1" applyFill="1" applyAlignment="1">
      <alignment horizontal="left" indent="2"/>
    </xf>
    <xf numFmtId="0" fontId="51" fillId="0" borderId="0" xfId="0" applyFont="1" applyFill="1" applyAlignment="1">
      <alignment horizontal="center"/>
    </xf>
    <xf numFmtId="0" fontId="54" fillId="0" borderId="0" xfId="0" applyFont="1" applyFill="1" applyAlignment="1">
      <alignment horizontal="left" indent="1"/>
    </xf>
    <xf numFmtId="0" fontId="53" fillId="0" borderId="0" xfId="0" quotePrefix="1" applyFont="1" applyFill="1"/>
    <xf numFmtId="0" fontId="21" fillId="0" borderId="0" xfId="0" applyFont="1" applyFill="1" applyAlignment="1">
      <alignment horizontal="left" indent="1"/>
    </xf>
    <xf numFmtId="164" fontId="20" fillId="0" borderId="0" xfId="0" applyNumberFormat="1" applyFont="1" applyFill="1" applyAlignment="1"/>
    <xf numFmtId="0" fontId="54" fillId="0" borderId="0" xfId="0" applyFont="1" applyFill="1" applyAlignment="1">
      <alignment horizontal="left"/>
    </xf>
    <xf numFmtId="0" fontId="20" fillId="0" borderId="0" xfId="0" applyNumberFormat="1" applyFont="1" applyFill="1" applyAlignment="1">
      <alignment horizontal="left"/>
    </xf>
    <xf numFmtId="0" fontId="20" fillId="0" borderId="0" xfId="0" applyFont="1" applyFill="1" applyBorder="1" applyAlignment="1">
      <alignment horizontal="left"/>
    </xf>
    <xf numFmtId="171" fontId="0" fillId="0" borderId="0" xfId="0" applyNumberFormat="1" applyFill="1"/>
    <xf numFmtId="0" fontId="24" fillId="0" borderId="0" xfId="0" applyFont="1" applyFill="1" applyAlignment="1"/>
    <xf numFmtId="172" fontId="0" fillId="0" borderId="0" xfId="0" applyNumberFormat="1" applyFill="1"/>
    <xf numFmtId="0" fontId="21" fillId="0" borderId="0" xfId="28" applyFont="1" applyFill="1" applyAlignment="1">
      <alignment horizontal="right"/>
    </xf>
    <xf numFmtId="42" fontId="23" fillId="0" borderId="0" xfId="20" applyNumberFormat="1" applyFont="1" applyFill="1" applyBorder="1"/>
    <xf numFmtId="164" fontId="23" fillId="0" borderId="0" xfId="20" applyNumberFormat="1" applyFont="1" applyFill="1" applyBorder="1"/>
    <xf numFmtId="0" fontId="36" fillId="0" borderId="0" xfId="28" applyFont="1" applyFill="1" applyAlignment="1">
      <alignment vertical="center"/>
    </xf>
    <xf numFmtId="164" fontId="23" fillId="0" borderId="0" xfId="39" applyNumberFormat="1" applyFont="1" applyFill="1"/>
    <xf numFmtId="164" fontId="20" fillId="0" borderId="0" xfId="106" applyNumberFormat="1" applyFont="1" applyFill="1"/>
    <xf numFmtId="0" fontId="31" fillId="0" borderId="0" xfId="100" applyFont="1" applyFill="1"/>
    <xf numFmtId="42" fontId="23" fillId="0" borderId="0" xfId="39" applyNumberFormat="1" applyFont="1" applyFill="1"/>
    <xf numFmtId="42" fontId="23" fillId="0" borderId="0" xfId="28" applyNumberFormat="1" applyFont="1" applyFill="1"/>
    <xf numFmtId="0" fontId="21" fillId="0" borderId="0" xfId="28" applyFont="1" applyFill="1" applyAlignment="1">
      <alignment horizontal="center" wrapText="1"/>
    </xf>
    <xf numFmtId="0" fontId="24" fillId="0" borderId="0" xfId="28" applyFont="1" applyFill="1"/>
    <xf numFmtId="164" fontId="20" fillId="0" borderId="0" xfId="28" applyNumberFormat="1" applyFont="1" applyFill="1"/>
    <xf numFmtId="168" fontId="23" fillId="0" borderId="0" xfId="28" applyNumberFormat="1" applyFont="1" applyFill="1"/>
    <xf numFmtId="0" fontId="20" fillId="0" borderId="0" xfId="28" applyFont="1" applyFill="1" applyAlignment="1">
      <alignment vertical="center"/>
    </xf>
    <xf numFmtId="0" fontId="31" fillId="0" borderId="0" xfId="28" applyFont="1" applyFill="1"/>
    <xf numFmtId="10" fontId="23" fillId="0" borderId="0" xfId="0" applyNumberFormat="1" applyFont="1" applyFill="1"/>
    <xf numFmtId="164" fontId="20" fillId="0" borderId="8" xfId="96" applyNumberFormat="1" applyFont="1" applyBorder="1"/>
    <xf numFmtId="17" fontId="20" fillId="36" borderId="0" xfId="100" quotePrefix="1" applyNumberFormat="1" applyFont="1" applyFill="1" applyBorder="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20" fillId="36" borderId="0" xfId="0" quotePrefix="1" applyFont="1" applyFill="1"/>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42" fontId="20" fillId="0" borderId="0" xfId="0" applyNumberFormat="1" applyFont="1"/>
    <xf numFmtId="164" fontId="20" fillId="36" borderId="0" xfId="0" applyNumberFormat="1" applyFont="1" applyFill="1" applyAlignment="1">
      <alignment wrapText="1"/>
    </xf>
    <xf numFmtId="164" fontId="20" fillId="36" borderId="0" xfId="19" applyNumberFormat="1" applyFont="1" applyFill="1" applyBorder="1" applyAlignment="1">
      <alignment wrapText="1"/>
    </xf>
    <xf numFmtId="167" fontId="53" fillId="36" borderId="0" xfId="133" applyNumberFormat="1" applyFont="1" applyFill="1"/>
    <xf numFmtId="167" fontId="53" fillId="36" borderId="0" xfId="133" applyNumberFormat="1" applyFont="1" applyFill="1" applyBorder="1"/>
    <xf numFmtId="3" fontId="20" fillId="36" borderId="0" xfId="128" applyNumberFormat="1" applyFont="1" applyFill="1"/>
    <xf numFmtId="3" fontId="20" fillId="36" borderId="0" xfId="129" applyNumberFormat="1" applyFont="1" applyFill="1"/>
    <xf numFmtId="3" fontId="20" fillId="36" borderId="0" xfId="130" applyNumberFormat="1" applyFont="1" applyFill="1"/>
    <xf numFmtId="3" fontId="20" fillId="36" borderId="0" xfId="126" applyNumberFormat="1" applyFont="1" applyFill="1" applyBorder="1"/>
    <xf numFmtId="3" fontId="20" fillId="36" borderId="0" xfId="128" applyNumberFormat="1" applyFont="1" applyFill="1" applyBorder="1"/>
    <xf numFmtId="3" fontId="20" fillId="36" borderId="0" xfId="129" applyNumberFormat="1" applyFont="1" applyFill="1" applyBorder="1"/>
    <xf numFmtId="3" fontId="20" fillId="36" borderId="0" xfId="130" applyNumberFormat="1" applyFont="1" applyFill="1" applyBorder="1"/>
    <xf numFmtId="3" fontId="20" fillId="36" borderId="0" xfId="128" applyNumberFormat="1" applyFont="1" applyFill="1" applyAlignment="1">
      <alignment horizontal="center"/>
    </xf>
    <xf numFmtId="3" fontId="20" fillId="36" borderId="0" xfId="129" applyNumberFormat="1" applyFont="1" applyFill="1" applyAlignment="1">
      <alignment horizontal="center"/>
    </xf>
    <xf numFmtId="3" fontId="20" fillId="36" borderId="0" xfId="130" applyNumberFormat="1" applyFont="1" applyFill="1" applyAlignment="1">
      <alignment horizontal="center"/>
    </xf>
    <xf numFmtId="164" fontId="20" fillId="36" borderId="0" xfId="255" applyNumberFormat="1" applyFont="1" applyFill="1" applyAlignment="1">
      <alignment horizontal="right"/>
    </xf>
    <xf numFmtId="5" fontId="20" fillId="36" borderId="0" xfId="22" applyNumberFormat="1" applyFont="1" applyFill="1" applyBorder="1"/>
    <xf numFmtId="3" fontId="0" fillId="36" borderId="0" xfId="0" applyNumberFormat="1" applyFill="1"/>
    <xf numFmtId="170" fontId="20" fillId="36" borderId="0" xfId="100" applyNumberFormat="1" applyFont="1" applyFill="1" applyAlignment="1">
      <alignment horizontal="center"/>
    </xf>
    <xf numFmtId="0" fontId="20" fillId="36" borderId="0" xfId="100" applyFont="1" applyFill="1"/>
    <xf numFmtId="164" fontId="20" fillId="36" borderId="0" xfId="100" applyNumberFormat="1" applyFont="1" applyFill="1"/>
    <xf numFmtId="0" fontId="0" fillId="0" borderId="0" xfId="0"/>
    <xf numFmtId="0" fontId="20" fillId="36" borderId="0" xfId="0" applyFont="1" applyFill="1"/>
    <xf numFmtId="164" fontId="53" fillId="36" borderId="0" xfId="0" applyNumberFormat="1" applyFont="1" applyFill="1"/>
    <xf numFmtId="0" fontId="53" fillId="36" borderId="0" xfId="0" applyFont="1" applyFill="1"/>
    <xf numFmtId="170" fontId="20" fillId="36" borderId="0" xfId="100" applyNumberFormat="1" applyFont="1" applyFill="1" applyAlignment="1">
      <alignment horizontal="center"/>
    </xf>
    <xf numFmtId="164" fontId="20" fillId="36" borderId="0" xfId="96" applyNumberFormat="1" applyFont="1" applyFill="1" applyBorder="1"/>
    <xf numFmtId="0" fontId="20" fillId="36" borderId="0" xfId="0" applyFont="1" applyFill="1"/>
    <xf numFmtId="0" fontId="21" fillId="36" borderId="0" xfId="0" applyFont="1" applyFill="1" applyAlignment="1">
      <alignment horizontal="center"/>
    </xf>
    <xf numFmtId="164" fontId="53" fillId="36" borderId="0" xfId="0" applyNumberFormat="1" applyFont="1" applyFill="1"/>
    <xf numFmtId="170" fontId="20" fillId="36" borderId="0" xfId="100" applyNumberFormat="1" applyFont="1" applyFill="1" applyAlignment="1">
      <alignment horizontal="center"/>
    </xf>
    <xf numFmtId="164" fontId="20" fillId="36" borderId="0" xfId="96" applyNumberFormat="1" applyFont="1" applyFill="1" applyBorder="1"/>
    <xf numFmtId="164" fontId="53" fillId="36" borderId="0" xfId="125" applyNumberFormat="1" applyFont="1" applyFill="1"/>
    <xf numFmtId="0" fontId="53" fillId="36" borderId="0" xfId="125" applyFont="1" applyFill="1"/>
    <xf numFmtId="170" fontId="20" fillId="36" borderId="0" xfId="125" quotePrefix="1" applyNumberFormat="1" applyFont="1" applyFill="1" applyAlignment="1">
      <alignment horizontal="center"/>
    </xf>
    <xf numFmtId="0" fontId="20" fillId="36" borderId="0" xfId="125" applyFont="1" applyFill="1"/>
    <xf numFmtId="164" fontId="53" fillId="36" borderId="0" xfId="96" applyNumberFormat="1" applyFont="1" applyFill="1" applyBorder="1"/>
    <xf numFmtId="0" fontId="20" fillId="36" borderId="0" xfId="125" applyFont="1" applyFill="1" applyBorder="1" applyProtection="1"/>
    <xf numFmtId="164" fontId="66" fillId="36" borderId="0" xfId="0" applyNumberFormat="1" applyFont="1" applyFill="1"/>
    <xf numFmtId="172" fontId="20" fillId="34" borderId="0" xfId="0" applyNumberFormat="1" applyFont="1" applyFill="1" applyAlignment="1">
      <alignment wrapText="1"/>
    </xf>
    <xf numFmtId="0" fontId="23" fillId="0" borderId="4" xfId="0" applyNumberFormat="1" applyFont="1" applyFill="1" applyBorder="1"/>
    <xf numFmtId="0" fontId="20" fillId="36" borderId="0" xfId="0" applyFont="1" applyFill="1" applyAlignment="1"/>
    <xf numFmtId="37" fontId="20" fillId="36" borderId="3" xfId="97" quotePrefix="1" applyNumberFormat="1" applyFont="1" applyFill="1" applyBorder="1" applyAlignment="1">
      <alignment horizontal="center"/>
    </xf>
    <xf numFmtId="37" fontId="20" fillId="36" borderId="3" xfId="97" applyNumberFormat="1" applyFont="1" applyFill="1" applyBorder="1" applyAlignment="1">
      <alignment horizontal="center"/>
    </xf>
    <xf numFmtId="0" fontId="0" fillId="36" borderId="0" xfId="0" applyFill="1" applyAlignment="1">
      <alignment horizontal="left" vertical="top" wrapText="1"/>
    </xf>
    <xf numFmtId="164" fontId="0" fillId="36" borderId="0" xfId="0" applyNumberFormat="1" applyFill="1"/>
    <xf numFmtId="164" fontId="20" fillId="34" borderId="0" xfId="0" applyNumberFormat="1" applyFont="1" applyFill="1"/>
    <xf numFmtId="164" fontId="20" fillId="0" borderId="0" xfId="100" applyNumberFormat="1" applyFont="1" applyFill="1" applyBorder="1" applyAlignment="1">
      <alignment horizontal="right"/>
    </xf>
    <xf numFmtId="164" fontId="20" fillId="0" borderId="14" xfId="96" applyNumberFormat="1" applyFont="1" applyFill="1" applyBorder="1"/>
    <xf numFmtId="164" fontId="20" fillId="36" borderId="0" xfId="0" applyNumberFormat="1" applyFont="1" applyFill="1" applyBorder="1"/>
    <xf numFmtId="0" fontId="24" fillId="0" borderId="0" xfId="0" applyFont="1" applyFill="1" applyBorder="1"/>
    <xf numFmtId="0" fontId="23" fillId="0" borderId="0" xfId="0" applyFont="1" applyBorder="1" applyAlignment="1">
      <alignment horizontal="right"/>
    </xf>
    <xf numFmtId="164" fontId="27" fillId="36" borderId="0" xfId="0" applyNumberFormat="1" applyFont="1" applyFill="1" applyBorder="1" applyAlignment="1"/>
    <xf numFmtId="0" fontId="21" fillId="0" borderId="0" xfId="0" applyFont="1" applyBorder="1"/>
    <xf numFmtId="164" fontId="0" fillId="0" borderId="0" xfId="0" applyNumberFormat="1" applyBorder="1" applyAlignment="1"/>
    <xf numFmtId="0" fontId="20" fillId="0" borderId="0" xfId="0" applyFont="1" applyBorder="1" applyAlignment="1">
      <alignment horizontal="left" indent="1"/>
    </xf>
    <xf numFmtId="0" fontId="20" fillId="36" borderId="0" xfId="0" applyFont="1" applyFill="1" applyBorder="1"/>
    <xf numFmtId="0" fontId="20" fillId="0" borderId="0" xfId="0" applyFont="1" applyBorder="1" applyAlignment="1">
      <alignment horizontal="right"/>
    </xf>
    <xf numFmtId="0" fontId="0" fillId="36" borderId="0" xfId="0" applyFill="1" applyBorder="1"/>
    <xf numFmtId="164" fontId="20" fillId="36" borderId="0" xfId="0" applyNumberFormat="1" applyFont="1" applyFill="1" applyBorder="1" applyAlignment="1">
      <alignment horizontal="right"/>
    </xf>
    <xf numFmtId="181" fontId="21" fillId="36" borderId="0" xfId="19" applyNumberFormat="1" applyFont="1" applyFill="1" applyAlignment="1">
      <alignment horizontal="center"/>
    </xf>
    <xf numFmtId="164" fontId="53" fillId="36" borderId="0" xfId="125" applyNumberFormat="1" applyFont="1" applyFill="1" applyBorder="1"/>
    <xf numFmtId="164" fontId="53" fillId="36" borderId="0" xfId="0" applyNumberFormat="1" applyFont="1" applyFill="1" applyBorder="1"/>
    <xf numFmtId="0" fontId="21" fillId="36" borderId="0" xfId="0" applyFont="1" applyFill="1" applyBorder="1" applyAlignment="1">
      <alignment horizontal="center"/>
    </xf>
    <xf numFmtId="170" fontId="20" fillId="36" borderId="0" xfId="0" quotePrefix="1" applyNumberFormat="1" applyFont="1" applyFill="1" applyBorder="1" applyAlignment="1" applyProtection="1">
      <alignment horizontal="center"/>
    </xf>
    <xf numFmtId="0" fontId="53" fillId="36" borderId="0" xfId="125" applyFont="1" applyFill="1" applyBorder="1"/>
    <xf numFmtId="0" fontId="20" fillId="36" borderId="0" xfId="28" applyFont="1" applyFill="1" applyBorder="1"/>
    <xf numFmtId="164" fontId="23" fillId="0" borderId="0" xfId="0" applyNumberFormat="1" applyFont="1" applyFill="1" applyBorder="1" applyAlignment="1">
      <alignment horizontal="right"/>
    </xf>
    <xf numFmtId="164" fontId="0" fillId="34" borderId="0" xfId="0" applyNumberFormat="1" applyFill="1" applyBorder="1"/>
    <xf numFmtId="10" fontId="20" fillId="0" borderId="0" xfId="0" applyNumberFormat="1" applyFont="1" applyAlignment="1">
      <alignment horizontal="right" wrapText="1"/>
    </xf>
    <xf numFmtId="0" fontId="52" fillId="0" borderId="0" xfId="126" applyFont="1" applyFill="1" applyAlignment="1">
      <alignment horizontal="center"/>
    </xf>
    <xf numFmtId="0" fontId="20" fillId="0" borderId="5" xfId="126" applyFont="1" applyFill="1" applyBorder="1" applyAlignment="1">
      <alignment horizontal="center" wrapText="1"/>
    </xf>
    <xf numFmtId="0" fontId="20" fillId="0" borderId="0" xfId="126" applyFont="1" applyFill="1" applyAlignment="1">
      <alignment horizontal="center" wrapText="1"/>
    </xf>
    <xf numFmtId="0" fontId="20" fillId="0" borderId="19" xfId="126" applyFont="1" applyFill="1" applyBorder="1" applyAlignment="1">
      <alignment horizontal="center"/>
    </xf>
    <xf numFmtId="9" fontId="20" fillId="0" borderId="0" xfId="37" applyFont="1" applyFill="1"/>
    <xf numFmtId="0" fontId="160" fillId="0" borderId="0" xfId="126" applyFont="1" applyFill="1" applyAlignment="1">
      <alignment horizontal="center"/>
    </xf>
    <xf numFmtId="0" fontId="20" fillId="0" borderId="0" xfId="126" applyFont="1" applyFill="1" applyAlignment="1">
      <alignment horizontal="left"/>
    </xf>
    <xf numFmtId="179" fontId="20" fillId="36" borderId="0" xfId="35" applyNumberFormat="1" applyFont="1" applyFill="1" applyBorder="1" applyAlignment="1">
      <alignment horizontal="left"/>
    </xf>
    <xf numFmtId="0" fontId="20" fillId="36" borderId="0" xfId="35" applyFont="1" applyFill="1" applyBorder="1" applyAlignment="1">
      <alignment horizontal="left" vertical="top" indent="1"/>
    </xf>
    <xf numFmtId="0" fontId="20" fillId="36" borderId="0" xfId="126" applyFont="1" applyFill="1" applyBorder="1"/>
    <xf numFmtId="3" fontId="20" fillId="0" borderId="0" xfId="126" applyNumberFormat="1" applyFont="1"/>
    <xf numFmtId="0" fontId="20" fillId="0" borderId="6" xfId="126" applyFont="1" applyFill="1" applyBorder="1" applyAlignment="1">
      <alignment horizontal="center" wrapText="1"/>
    </xf>
    <xf numFmtId="0" fontId="21" fillId="0" borderId="4" xfId="126" applyFont="1" applyFill="1" applyBorder="1" applyAlignment="1">
      <alignment horizontal="center"/>
    </xf>
    <xf numFmtId="0" fontId="70" fillId="0" borderId="0" xfId="126" applyFont="1" applyFill="1"/>
    <xf numFmtId="0" fontId="160" fillId="0" borderId="0" xfId="126" quotePrefix="1" applyFont="1" applyAlignment="1">
      <alignment horizontal="center" wrapText="1"/>
    </xf>
    <xf numFmtId="0" fontId="162" fillId="0" borderId="0" xfId="126" quotePrefix="1" applyFont="1" applyAlignment="1">
      <alignment horizontal="center"/>
    </xf>
    <xf numFmtId="0" fontId="162" fillId="0" borderId="0" xfId="126" quotePrefix="1" applyFont="1" applyBorder="1" applyAlignment="1">
      <alignment horizontal="center"/>
    </xf>
    <xf numFmtId="2" fontId="163" fillId="0" borderId="29" xfId="126" applyNumberFormat="1" applyFont="1" applyBorder="1" applyAlignment="1">
      <alignment horizontal="center" wrapText="1"/>
    </xf>
    <xf numFmtId="2" fontId="163" fillId="0" borderId="0" xfId="126" applyNumberFormat="1" applyFont="1" applyBorder="1" applyAlignment="1">
      <alignment horizontal="center" wrapText="1"/>
    </xf>
    <xf numFmtId="164" fontId="20" fillId="0" borderId="0" xfId="126" applyNumberFormat="1" applyFont="1" applyFill="1"/>
    <xf numFmtId="2" fontId="160" fillId="0" borderId="0" xfId="126" applyNumberFormat="1" applyFont="1"/>
    <xf numFmtId="164" fontId="160" fillId="0" borderId="0" xfId="126" applyNumberFormat="1" applyFont="1" applyFill="1"/>
    <xf numFmtId="1" fontId="160" fillId="0" borderId="0" xfId="126" applyNumberFormat="1" applyFont="1"/>
    <xf numFmtId="166" fontId="20" fillId="0" borderId="0" xfId="126" quotePrefix="1" applyNumberFormat="1" applyFont="1" applyFill="1" applyAlignment="1">
      <alignment horizontal="center"/>
    </xf>
    <xf numFmtId="166" fontId="20" fillId="0" borderId="0" xfId="126" applyNumberFormat="1" applyFont="1" applyFill="1" applyAlignment="1">
      <alignment horizontal="center"/>
    </xf>
    <xf numFmtId="0" fontId="20" fillId="0" borderId="0" xfId="126" applyFont="1" applyFill="1" applyAlignment="1">
      <alignment readingOrder="1"/>
    </xf>
    <xf numFmtId="0" fontId="20" fillId="0" borderId="0" xfId="126" applyFont="1" applyAlignment="1">
      <alignment wrapText="1"/>
    </xf>
    <xf numFmtId="0" fontId="21" fillId="0" borderId="5" xfId="126" applyFont="1" applyBorder="1" applyAlignment="1">
      <alignment horizontal="center" wrapText="1"/>
    </xf>
    <xf numFmtId="3" fontId="20" fillId="36" borderId="0" xfId="126" applyNumberFormat="1" applyFont="1" applyFill="1"/>
    <xf numFmtId="10" fontId="20" fillId="0" borderId="0" xfId="126" applyNumberFormat="1" applyFont="1"/>
    <xf numFmtId="3" fontId="20" fillId="0" borderId="0" xfId="126" applyNumberFormat="1" applyFont="1" applyFill="1"/>
    <xf numFmtId="164" fontId="20" fillId="0" borderId="0" xfId="0" applyNumberFormat="1" applyFont="1" applyAlignment="1"/>
    <xf numFmtId="42" fontId="20" fillId="34" borderId="0" xfId="0" applyNumberFormat="1" applyFont="1" applyFill="1"/>
    <xf numFmtId="166" fontId="20" fillId="0" borderId="0" xfId="0" applyNumberFormat="1" applyFont="1" applyFill="1" applyAlignment="1">
      <alignment horizontal="left" indent="1"/>
    </xf>
    <xf numFmtId="164" fontId="20" fillId="0" borderId="0" xfId="0" quotePrefix="1" applyNumberFormat="1" applyFont="1" applyAlignment="1">
      <alignment horizontal="center"/>
    </xf>
    <xf numFmtId="0" fontId="20" fillId="0" borderId="0" xfId="100" applyNumberFormat="1" applyFont="1" applyFill="1" applyBorder="1" applyAlignment="1">
      <alignment horizontal="left" indent="2"/>
    </xf>
    <xf numFmtId="0" fontId="20" fillId="0" borderId="0" xfId="0" applyFont="1" applyFill="1" applyAlignment="1">
      <alignment horizontal="left" indent="4"/>
    </xf>
    <xf numFmtId="0" fontId="20" fillId="0" borderId="0" xfId="100" applyNumberFormat="1" applyFont="1" applyFill="1" applyBorder="1" applyAlignment="1">
      <alignment horizontal="left" indent="1"/>
    </xf>
    <xf numFmtId="49" fontId="20" fillId="0" borderId="0" xfId="0" applyNumberFormat="1" applyFont="1" applyAlignment="1">
      <alignment horizontal="left" indent="1"/>
    </xf>
    <xf numFmtId="37" fontId="20" fillId="36" borderId="3" xfId="22" quotePrefix="1" applyNumberFormat="1" applyFont="1" applyFill="1" applyBorder="1" applyAlignment="1">
      <alignment horizontal="center"/>
    </xf>
    <xf numFmtId="0" fontId="20" fillId="0" borderId="0" xfId="0" quotePrefix="1" applyFont="1" applyAlignment="1">
      <alignment horizontal="left" indent="2"/>
    </xf>
    <xf numFmtId="37" fontId="0" fillId="36" borderId="0" xfId="19" applyNumberFormat="1" applyFont="1" applyFill="1"/>
    <xf numFmtId="3" fontId="20" fillId="0" borderId="0" xfId="100" applyNumberFormat="1" applyFont="1" applyFill="1" applyBorder="1" applyAlignment="1">
      <alignment horizontal="left" indent="1"/>
    </xf>
    <xf numFmtId="167" fontId="21" fillId="0" borderId="0" xfId="96" applyNumberFormat="1" applyFont="1" applyFill="1" applyBorder="1" applyAlignment="1">
      <alignment horizontal="center"/>
    </xf>
    <xf numFmtId="0" fontId="20" fillId="0" borderId="0" xfId="100" applyFont="1" applyFill="1" applyBorder="1"/>
    <xf numFmtId="0" fontId="21" fillId="36" borderId="0" xfId="28" applyFont="1" applyFill="1" applyBorder="1" applyAlignment="1">
      <alignment horizontal="left"/>
    </xf>
    <xf numFmtId="0" fontId="20" fillId="36" borderId="0" xfId="0" applyNumberFormat="1" applyFont="1" applyFill="1" applyAlignment="1"/>
    <xf numFmtId="165" fontId="0" fillId="36" borderId="0" xfId="0" applyNumberFormat="1" applyFill="1"/>
    <xf numFmtId="164" fontId="20" fillId="36" borderId="0" xfId="100" applyNumberFormat="1" applyFont="1" applyFill="1" applyBorder="1" applyAlignment="1">
      <alignment vertical="top" wrapText="1"/>
    </xf>
    <xf numFmtId="5" fontId="20" fillId="36" borderId="0" xfId="22" applyNumberFormat="1" applyFont="1" applyFill="1" applyBorder="1" applyAlignment="1">
      <alignment horizontal="center"/>
    </xf>
    <xf numFmtId="0" fontId="0" fillId="0" borderId="0" xfId="0" applyFill="1" applyAlignment="1"/>
    <xf numFmtId="1" fontId="20" fillId="36" borderId="0" xfId="0" applyNumberFormat="1" applyFont="1" applyFill="1" applyAlignment="1">
      <alignment horizontal="center"/>
    </xf>
    <xf numFmtId="164" fontId="20" fillId="34" borderId="0" xfId="96" applyNumberFormat="1" applyFont="1" applyFill="1" applyBorder="1" applyAlignment="1">
      <alignment horizontal="right"/>
    </xf>
    <xf numFmtId="0" fontId="20" fillId="36" borderId="0" xfId="100" applyFont="1" applyFill="1" applyBorder="1" applyAlignment="1">
      <alignment horizontal="center"/>
    </xf>
    <xf numFmtId="164" fontId="27" fillId="34" borderId="0" xfId="0" applyNumberFormat="1" applyFont="1" applyFill="1" applyAlignment="1"/>
    <xf numFmtId="0" fontId="20" fillId="0" borderId="0" xfId="100" quotePrefix="1" applyNumberFormat="1" applyFont="1" applyFill="1" applyBorder="1" applyAlignment="1">
      <alignment horizontal="left"/>
    </xf>
    <xf numFmtId="0" fontId="20" fillId="0" borderId="0" xfId="100" applyNumberFormat="1" applyFont="1" applyFill="1" applyBorder="1" applyAlignment="1">
      <alignment horizontal="right"/>
    </xf>
    <xf numFmtId="164" fontId="20" fillId="0" borderId="0" xfId="96" applyNumberFormat="1" applyFont="1" applyFill="1" applyBorder="1" applyAlignment="1">
      <alignment horizontal="right"/>
    </xf>
    <xf numFmtId="167" fontId="20" fillId="0" borderId="0" xfId="100" quotePrefix="1" applyNumberFormat="1" applyFont="1" applyFill="1" applyBorder="1" applyAlignment="1">
      <alignment horizontal="left" indent="1"/>
    </xf>
    <xf numFmtId="0" fontId="24" fillId="0" borderId="0" xfId="100" applyNumberFormat="1" applyFont="1" applyFill="1" applyBorder="1" applyAlignment="1">
      <alignment horizontal="left"/>
    </xf>
    <xf numFmtId="0" fontId="24" fillId="0" borderId="0" xfId="100" applyNumberFormat="1" applyFont="1" applyFill="1" applyBorder="1" applyAlignment="1">
      <alignment horizontal="center"/>
    </xf>
    <xf numFmtId="167" fontId="20" fillId="0" borderId="0" xfId="100" applyNumberFormat="1" applyFont="1" applyFill="1" applyBorder="1" applyAlignment="1">
      <alignment horizontal="left" indent="1"/>
    </xf>
    <xf numFmtId="0" fontId="20" fillId="0" borderId="0" xfId="100" applyFont="1" applyBorder="1" applyAlignment="1"/>
    <xf numFmtId="167" fontId="20" fillId="0" borderId="0" xfId="96" applyNumberFormat="1" applyFont="1" applyFill="1" applyBorder="1" applyAlignment="1">
      <alignment horizontal="right"/>
    </xf>
    <xf numFmtId="167" fontId="20" fillId="0" borderId="0" xfId="100" applyNumberFormat="1" applyFont="1" applyFill="1" applyBorder="1" applyAlignment="1">
      <alignment horizontal="right"/>
    </xf>
    <xf numFmtId="0" fontId="24" fillId="0" borderId="0" xfId="100" applyFont="1" applyFill="1" applyBorder="1" applyAlignment="1">
      <alignment horizontal="center"/>
    </xf>
    <xf numFmtId="1" fontId="20" fillId="0" borderId="0" xfId="100" applyNumberFormat="1" applyFont="1" applyFill="1" applyBorder="1" applyAlignment="1">
      <alignment horizontal="center"/>
    </xf>
    <xf numFmtId="3" fontId="20" fillId="0" borderId="0" xfId="100" applyNumberFormat="1" applyFont="1" applyFill="1" applyBorder="1" applyAlignment="1"/>
    <xf numFmtId="3" fontId="24" fillId="0" borderId="0" xfId="100" applyNumberFormat="1" applyFont="1" applyFill="1" applyBorder="1" applyAlignment="1">
      <alignment horizontal="center"/>
    </xf>
    <xf numFmtId="165" fontId="27" fillId="0" borderId="0" xfId="96" applyNumberFormat="1" applyFont="1" applyFill="1" applyBorder="1" applyAlignment="1">
      <alignment horizontal="right"/>
    </xf>
    <xf numFmtId="42" fontId="20" fillId="0" borderId="0" xfId="0" quotePrefix="1" applyNumberFormat="1" applyFont="1" applyAlignment="1">
      <alignment horizontal="center"/>
    </xf>
    <xf numFmtId="5" fontId="20" fillId="0" borderId="0" xfId="0" quotePrefix="1" applyNumberFormat="1" applyFont="1" applyAlignment="1">
      <alignment horizontal="center"/>
    </xf>
    <xf numFmtId="5" fontId="27" fillId="0" borderId="0" xfId="0" quotePrefix="1" applyNumberFormat="1" applyFont="1" applyAlignment="1">
      <alignment horizontal="center"/>
    </xf>
    <xf numFmtId="0" fontId="21" fillId="0" borderId="0" xfId="0" quotePrefix="1" applyFont="1" applyFill="1"/>
    <xf numFmtId="164" fontId="27" fillId="0" borderId="0" xfId="0" quotePrefix="1" applyNumberFormat="1" applyFont="1" applyAlignment="1">
      <alignment horizontal="center"/>
    </xf>
    <xf numFmtId="0" fontId="20" fillId="0" borderId="0" xfId="0" quotePrefix="1" applyFont="1" applyFill="1" applyAlignment="1">
      <alignment horizontal="left"/>
    </xf>
    <xf numFmtId="164" fontId="20" fillId="36" borderId="0" xfId="0" quotePrefix="1" applyNumberFormat="1" applyFont="1" applyFill="1" applyAlignment="1">
      <alignment horizontal="right"/>
    </xf>
    <xf numFmtId="171" fontId="20" fillId="0" borderId="0" xfId="0" quotePrefix="1" applyNumberFormat="1" applyFont="1" applyAlignment="1">
      <alignment horizontal="right"/>
    </xf>
    <xf numFmtId="165" fontId="20" fillId="0" borderId="0" xfId="96" applyNumberFormat="1" applyFont="1" applyFill="1" applyBorder="1" applyAlignment="1">
      <alignment horizontal="right"/>
    </xf>
    <xf numFmtId="3" fontId="20" fillId="0" borderId="0" xfId="100" applyNumberFormat="1" applyFont="1" applyFill="1" applyBorder="1" applyAlignment="1">
      <alignment horizontal="left"/>
    </xf>
    <xf numFmtId="0" fontId="66" fillId="0" borderId="0" xfId="0" applyFont="1" applyFill="1" applyAlignment="1">
      <alignment horizontal="left" vertical="center" indent="1"/>
    </xf>
    <xf numFmtId="171" fontId="20" fillId="0" borderId="0" xfId="0" applyNumberFormat="1" applyFont="1" applyFill="1"/>
    <xf numFmtId="37" fontId="21" fillId="36" borderId="3" xfId="97" quotePrefix="1" applyNumberFormat="1" applyFont="1" applyFill="1" applyBorder="1" applyAlignment="1">
      <alignment horizontal="center"/>
    </xf>
    <xf numFmtId="0" fontId="20" fillId="36" borderId="3" xfId="0" quotePrefix="1" applyNumberFormat="1" applyFont="1" applyFill="1" applyBorder="1" applyAlignment="1">
      <alignment horizontal="center"/>
    </xf>
    <xf numFmtId="0" fontId="20" fillId="36" borderId="3" xfId="0" quotePrefix="1" applyNumberFormat="1" applyFont="1" applyFill="1" applyBorder="1" applyAlignment="1">
      <alignment horizontal="left"/>
    </xf>
    <xf numFmtId="0" fontId="20" fillId="36" borderId="3" xfId="0" applyNumberFormat="1" applyFont="1" applyFill="1" applyBorder="1"/>
    <xf numFmtId="0" fontId="20" fillId="36" borderId="3" xfId="0" applyFont="1" applyFill="1" applyBorder="1" applyAlignment="1">
      <alignment horizontal="center"/>
    </xf>
    <xf numFmtId="0" fontId="20" fillId="36" borderId="3" xfId="0" quotePrefix="1" applyNumberFormat="1" applyFont="1" applyFill="1" applyBorder="1"/>
    <xf numFmtId="177" fontId="20" fillId="36" borderId="3" xfId="97" applyNumberFormat="1" applyFont="1" applyFill="1" applyBorder="1" applyAlignment="1">
      <alignment horizontal="center"/>
    </xf>
    <xf numFmtId="37" fontId="21" fillId="36" borderId="3" xfId="97" applyNumberFormat="1" applyFont="1" applyFill="1" applyBorder="1" applyAlignment="1">
      <alignment horizontal="center"/>
    </xf>
    <xf numFmtId="164" fontId="20" fillId="36" borderId="0" xfId="100" applyNumberFormat="1" applyFont="1" applyFill="1" applyBorder="1" applyAlignment="1">
      <alignment horizontal="right" vertical="center" wrapText="1"/>
    </xf>
    <xf numFmtId="164" fontId="27" fillId="36" borderId="0" xfId="100" applyNumberFormat="1" applyFont="1" applyFill="1" applyBorder="1" applyAlignment="1">
      <alignment horizontal="right" vertical="center" wrapText="1"/>
    </xf>
    <xf numFmtId="164" fontId="20" fillId="36" borderId="0" xfId="96" applyNumberFormat="1" applyFont="1" applyFill="1"/>
    <xf numFmtId="164" fontId="35" fillId="36" borderId="0" xfId="96" applyNumberFormat="1" applyFont="1" applyFill="1"/>
    <xf numFmtId="164" fontId="35" fillId="36" borderId="0" xfId="100" applyNumberFormat="1" applyFont="1" applyFill="1"/>
    <xf numFmtId="1" fontId="20" fillId="36" borderId="0" xfId="126" applyNumberFormat="1" applyFont="1" applyFill="1"/>
    <xf numFmtId="164" fontId="35" fillId="0" borderId="0" xfId="0" quotePrefix="1" applyNumberFormat="1" applyFont="1" applyAlignment="1">
      <alignment horizontal="right"/>
    </xf>
    <xf numFmtId="164" fontId="20" fillId="0" borderId="0" xfId="0" quotePrefix="1" applyNumberFormat="1" applyFont="1" applyAlignment="1">
      <alignment horizontal="right"/>
    </xf>
    <xf numFmtId="10" fontId="0" fillId="36" borderId="0" xfId="0" applyNumberFormat="1" applyFill="1"/>
    <xf numFmtId="164" fontId="23" fillId="36" borderId="0" xfId="0" applyNumberFormat="1" applyFont="1" applyFill="1" applyBorder="1" applyAlignment="1">
      <alignment horizontal="right"/>
    </xf>
    <xf numFmtId="206" fontId="23" fillId="0" borderId="0" xfId="0" applyNumberFormat="1" applyFont="1" applyFill="1"/>
    <xf numFmtId="0" fontId="0" fillId="0" borderId="0" xfId="0" applyFill="1" applyAlignment="1">
      <alignment wrapText="1"/>
    </xf>
    <xf numFmtId="164" fontId="21" fillId="0" borderId="0" xfId="96" applyNumberFormat="1" applyFont="1" applyBorder="1" applyAlignment="1">
      <alignment horizontal="center"/>
    </xf>
    <xf numFmtId="0" fontId="21" fillId="0" borderId="0" xfId="0" quotePrefix="1" applyFont="1" applyAlignment="1">
      <alignment horizontal="left" indent="1"/>
    </xf>
    <xf numFmtId="164" fontId="24" fillId="0" borderId="0" xfId="96" applyNumberFormat="1" applyFont="1" applyBorder="1" applyAlignment="1">
      <alignment horizontal="center"/>
    </xf>
    <xf numFmtId="0" fontId="20" fillId="0" borderId="0" xfId="0" applyFont="1" applyFill="1" applyAlignment="1">
      <alignment wrapText="1"/>
    </xf>
    <xf numFmtId="3" fontId="20" fillId="0" borderId="0" xfId="96" applyNumberFormat="1" applyFont="1" applyFill="1" applyBorder="1"/>
    <xf numFmtId="10" fontId="20" fillId="0" borderId="0" xfId="96" applyNumberFormat="1" applyFont="1" applyBorder="1"/>
    <xf numFmtId="0" fontId="0" fillId="36" borderId="0" xfId="0" applyFill="1" applyAlignment="1">
      <alignment wrapText="1"/>
    </xf>
    <xf numFmtId="166" fontId="20" fillId="0" borderId="0" xfId="96" applyNumberFormat="1" applyFont="1" applyBorder="1" applyAlignment="1">
      <alignment horizontal="left" indent="1"/>
    </xf>
    <xf numFmtId="166" fontId="20" fillId="0" borderId="0" xfId="0" quotePrefix="1" applyNumberFormat="1" applyFont="1" applyAlignment="1">
      <alignment horizontal="center"/>
    </xf>
    <xf numFmtId="14" fontId="0" fillId="0" borderId="0" xfId="0" applyNumberFormat="1"/>
    <xf numFmtId="0" fontId="52" fillId="0" borderId="0" xfId="0" applyFont="1" applyAlignment="1">
      <alignment horizontal="right"/>
    </xf>
    <xf numFmtId="0" fontId="164" fillId="0" borderId="0" xfId="0" applyFont="1"/>
    <xf numFmtId="1" fontId="21" fillId="0" borderId="0" xfId="53892" applyNumberFormat="1" applyFont="1" applyFill="1" applyAlignment="1" applyProtection="1">
      <alignment horizontal="center"/>
    </xf>
    <xf numFmtId="168" fontId="0" fillId="0" borderId="0" xfId="0" applyNumberFormat="1"/>
    <xf numFmtId="0" fontId="21" fillId="0" borderId="57" xfId="0" applyFont="1" applyBorder="1" applyAlignment="1">
      <alignment horizontal="center"/>
    </xf>
    <xf numFmtId="207" fontId="21" fillId="0" borderId="17" xfId="53892" applyNumberFormat="1" applyFont="1" applyBorder="1" applyAlignment="1" applyProtection="1">
      <alignment horizontal="center" wrapText="1"/>
    </xf>
    <xf numFmtId="196" fontId="21" fillId="0" borderId="57" xfId="53892" applyFont="1" applyBorder="1" applyAlignment="1" applyProtection="1">
      <alignment horizontal="center" wrapText="1"/>
    </xf>
    <xf numFmtId="196" fontId="21" fillId="0" borderId="19" xfId="53892" applyFont="1" applyBorder="1" applyAlignment="1" applyProtection="1">
      <alignment horizontal="center" wrapText="1"/>
    </xf>
    <xf numFmtId="3" fontId="21" fillId="0" borderId="57" xfId="53892" applyNumberFormat="1" applyFont="1" applyFill="1" applyBorder="1" applyAlignment="1" applyProtection="1">
      <alignment horizontal="center" wrapText="1"/>
    </xf>
    <xf numFmtId="196" fontId="21" fillId="0" borderId="17" xfId="53892" applyFont="1" applyBorder="1" applyAlignment="1" applyProtection="1">
      <alignment horizontal="center" wrapText="1"/>
    </xf>
    <xf numFmtId="196" fontId="21" fillId="0" borderId="57" xfId="53892" applyFont="1" applyFill="1" applyBorder="1" applyAlignment="1" applyProtection="1">
      <alignment horizontal="center" wrapText="1"/>
    </xf>
    <xf numFmtId="196" fontId="21" fillId="0" borderId="57" xfId="53892" applyFont="1" applyBorder="1" applyAlignment="1">
      <alignment horizontal="center" wrapText="1"/>
    </xf>
    <xf numFmtId="196" fontId="21" fillId="0" borderId="19" xfId="53892" applyFont="1" applyFill="1" applyBorder="1" applyAlignment="1" applyProtection="1">
      <alignment horizontal="center" wrapText="1"/>
    </xf>
    <xf numFmtId="14" fontId="0" fillId="36" borderId="0" xfId="0" applyNumberFormat="1" applyFill="1"/>
    <xf numFmtId="1" fontId="0" fillId="36" borderId="0" xfId="0" applyNumberFormat="1" applyFill="1" applyAlignment="1">
      <alignment horizontal="center"/>
    </xf>
    <xf numFmtId="203" fontId="0" fillId="0" borderId="0" xfId="0" applyNumberFormat="1"/>
    <xf numFmtId="0" fontId="33" fillId="36" borderId="0" xfId="0" applyFont="1" applyFill="1" applyBorder="1" applyAlignment="1">
      <alignment horizontal="left" indent="1"/>
    </xf>
    <xf numFmtId="14" fontId="20" fillId="36" borderId="0" xfId="0" applyNumberFormat="1" applyFont="1" applyFill="1"/>
    <xf numFmtId="168" fontId="20" fillId="36" borderId="0" xfId="0" applyNumberFormat="1" applyFont="1" applyFill="1"/>
    <xf numFmtId="168" fontId="20" fillId="0" borderId="0" xfId="0" applyNumberFormat="1" applyFont="1"/>
    <xf numFmtId="164" fontId="166" fillId="0" borderId="0" xfId="0" applyNumberFormat="1" applyFont="1" applyFill="1"/>
    <xf numFmtId="164" fontId="166" fillId="36" borderId="0" xfId="0" applyNumberFormat="1" applyFont="1" applyFill="1"/>
    <xf numFmtId="0" fontId="52" fillId="0" borderId="0" xfId="0" applyFont="1"/>
    <xf numFmtId="0" fontId="21" fillId="0" borderId="57" xfId="0" applyFont="1" applyBorder="1" applyAlignment="1">
      <alignment horizontal="center" wrapText="1"/>
    </xf>
    <xf numFmtId="203" fontId="20" fillId="0" borderId="0" xfId="0" applyNumberFormat="1" applyFont="1" applyFill="1"/>
    <xf numFmtId="0" fontId="21" fillId="0" borderId="17" xfId="0" applyFont="1" applyBorder="1" applyAlignment="1">
      <alignment horizontal="center"/>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8" xfId="0" applyFont="1" applyFill="1" applyBorder="1" applyAlignment="1">
      <alignment horizontal="center" wrapText="1"/>
    </xf>
    <xf numFmtId="0" fontId="21" fillId="0" borderId="19" xfId="0" applyFont="1" applyBorder="1" applyAlignment="1">
      <alignment horizontal="center" wrapText="1"/>
    </xf>
    <xf numFmtId="14" fontId="20" fillId="36" borderId="0" xfId="0" quotePrefix="1" applyNumberFormat="1" applyFont="1" applyFill="1" applyAlignment="1" applyProtection="1">
      <alignment horizontal="center" vertical="center"/>
    </xf>
    <xf numFmtId="168" fontId="20" fillId="36" borderId="0" xfId="37" applyNumberFormat="1" applyFont="1" applyFill="1" applyAlignment="1">
      <alignment horizontal="center"/>
    </xf>
    <xf numFmtId="5" fontId="20" fillId="36" borderId="0" xfId="0" applyNumberFormat="1" applyFont="1" applyFill="1" applyAlignment="1" applyProtection="1">
      <alignment horizontal="center"/>
    </xf>
    <xf numFmtId="5" fontId="0" fillId="0" borderId="0" xfId="0" applyNumberFormat="1"/>
    <xf numFmtId="171" fontId="0" fillId="0" borderId="0" xfId="0" applyNumberFormat="1"/>
    <xf numFmtId="208" fontId="0" fillId="0" borderId="0" xfId="0" applyNumberFormat="1"/>
    <xf numFmtId="14" fontId="20" fillId="36" borderId="0" xfId="0" applyNumberFormat="1" applyFont="1" applyFill="1" applyAlignment="1" applyProtection="1">
      <alignment horizontal="center" vertical="center"/>
    </xf>
    <xf numFmtId="5" fontId="20" fillId="36" borderId="0" xfId="0" applyNumberFormat="1" applyFont="1" applyFill="1" applyBorder="1" applyAlignment="1" applyProtection="1">
      <alignment horizontal="center"/>
    </xf>
    <xf numFmtId="0" fontId="20" fillId="36" borderId="0" xfId="0" applyFont="1" applyFill="1" applyBorder="1" applyAlignment="1">
      <alignment horizontal="left" indent="1"/>
    </xf>
    <xf numFmtId="14" fontId="20" fillId="36" borderId="0" xfId="0" applyNumberFormat="1" applyFont="1" applyFill="1" applyBorder="1" applyAlignment="1" applyProtection="1">
      <alignment horizontal="center" vertical="center"/>
    </xf>
    <xf numFmtId="168" fontId="20" fillId="36" borderId="0" xfId="37" applyNumberFormat="1" applyFont="1" applyFill="1" applyBorder="1" applyAlignment="1">
      <alignment horizontal="center"/>
    </xf>
    <xf numFmtId="164" fontId="21" fillId="0" borderId="17" xfId="0" applyNumberFormat="1" applyFont="1" applyBorder="1" applyAlignment="1">
      <alignment horizontal="center" wrapText="1"/>
    </xf>
    <xf numFmtId="164" fontId="21" fillId="0" borderId="57" xfId="0" applyNumberFormat="1" applyFont="1" applyBorder="1" applyAlignment="1">
      <alignment horizontal="center" wrapText="1"/>
    </xf>
    <xf numFmtId="164" fontId="0" fillId="36" borderId="0" xfId="0" applyNumberFormat="1" applyFill="1" applyAlignment="1">
      <alignment horizontal="center"/>
    </xf>
    <xf numFmtId="10" fontId="20" fillId="36" borderId="0" xfId="37" applyNumberFormat="1" applyFont="1" applyFill="1" applyAlignment="1">
      <alignment horizontal="left" indent="1"/>
    </xf>
    <xf numFmtId="10" fontId="20" fillId="0" borderId="0" xfId="37" applyNumberFormat="1" applyFont="1" applyFill="1"/>
    <xf numFmtId="0" fontId="20" fillId="113" borderId="0" xfId="0" applyFont="1" applyFill="1"/>
    <xf numFmtId="0" fontId="20" fillId="0" borderId="11" xfId="0" applyNumberFormat="1" applyFont="1" applyFill="1" applyBorder="1" applyAlignment="1">
      <alignment horizontal="center"/>
    </xf>
    <xf numFmtId="0" fontId="20" fillId="0" borderId="4" xfId="0" applyNumberFormat="1" applyFont="1" applyFill="1" applyBorder="1" applyAlignment="1">
      <alignment horizontal="center"/>
    </xf>
    <xf numFmtId="0" fontId="20" fillId="0" borderId="58" xfId="0" applyNumberFormat="1" applyFont="1" applyFill="1" applyBorder="1" applyAlignment="1">
      <alignment horizontal="center"/>
    </xf>
    <xf numFmtId="0" fontId="20" fillId="0" borderId="3" xfId="0" applyNumberFormat="1" applyFont="1" applyFill="1" applyBorder="1" applyAlignment="1">
      <alignment horizontal="center"/>
    </xf>
    <xf numFmtId="0" fontId="20" fillId="0" borderId="3" xfId="0" quotePrefix="1" applyNumberFormat="1" applyFont="1" applyBorder="1" applyAlignment="1">
      <alignment horizontal="center"/>
    </xf>
    <xf numFmtId="39" fontId="20" fillId="36" borderId="0" xfId="53893" applyFont="1" applyFill="1" applyAlignment="1" applyProtection="1">
      <alignment horizontal="left" indent="1"/>
    </xf>
    <xf numFmtId="196" fontId="20" fillId="36" borderId="0" xfId="53892" applyFont="1" applyFill="1" applyBorder="1" applyAlignment="1">
      <alignment horizontal="left" indent="1"/>
    </xf>
    <xf numFmtId="39" fontId="20" fillId="36" borderId="0" xfId="53893" applyFont="1" applyFill="1" applyBorder="1" applyAlignment="1">
      <alignment horizontal="left" indent="1"/>
    </xf>
    <xf numFmtId="168" fontId="20" fillId="36" borderId="0" xfId="0" applyNumberFormat="1" applyFont="1" applyFill="1" applyAlignment="1">
      <alignment horizontal="right"/>
    </xf>
    <xf numFmtId="0" fontId="167" fillId="0" borderId="0" xfId="0" applyFont="1" applyAlignment="1">
      <alignment horizontal="center"/>
    </xf>
    <xf numFmtId="164" fontId="21" fillId="36" borderId="0" xfId="0" applyNumberFormat="1" applyFont="1" applyFill="1" applyAlignment="1">
      <alignment horizontal="center"/>
    </xf>
    <xf numFmtId="164" fontId="20" fillId="36" borderId="0" xfId="0" applyNumberFormat="1" applyFont="1" applyFill="1" applyAlignment="1">
      <alignment horizontal="center"/>
    </xf>
    <xf numFmtId="164" fontId="27" fillId="36" borderId="0" xfId="0" quotePrefix="1" applyNumberFormat="1" applyFont="1" applyFill="1" applyAlignment="1">
      <alignment horizontal="right"/>
    </xf>
    <xf numFmtId="0" fontId="20" fillId="36" borderId="0" xfId="0" applyFont="1" applyFill="1" applyAlignment="1">
      <alignment horizontal="right"/>
    </xf>
    <xf numFmtId="0" fontId="21" fillId="36" borderId="0" xfId="0" applyFont="1" applyFill="1" applyAlignment="1">
      <alignment horizontal="left"/>
    </xf>
    <xf numFmtId="164" fontId="23" fillId="0" borderId="0" xfId="0" applyNumberFormat="1" applyFont="1" applyFill="1" applyAlignment="1"/>
    <xf numFmtId="164" fontId="23" fillId="0" borderId="0" xfId="0" applyNumberFormat="1" applyFont="1" applyFill="1" applyAlignment="1">
      <alignment horizontal="right" indent="1"/>
    </xf>
    <xf numFmtId="3" fontId="53" fillId="0" borderId="0" xfId="0" applyNumberFormat="1" applyFont="1"/>
    <xf numFmtId="0" fontId="20" fillId="0" borderId="0" xfId="28" applyFont="1" applyFill="1" applyBorder="1" applyAlignment="1">
      <alignment horizontal="left"/>
    </xf>
    <xf numFmtId="164" fontId="20" fillId="0" borderId="0" xfId="23" applyNumberFormat="1" applyFont="1" applyFill="1" applyAlignment="1">
      <alignment horizontal="right"/>
    </xf>
    <xf numFmtId="164" fontId="20" fillId="0" borderId="0" xfId="0" applyNumberFormat="1" applyFont="1" applyAlignment="1">
      <alignment horizontal="right"/>
    </xf>
    <xf numFmtId="49" fontId="20" fillId="0" borderId="0" xfId="0" applyNumberFormat="1" applyFont="1" applyAlignment="1">
      <alignment horizontal="center"/>
    </xf>
    <xf numFmtId="0" fontId="20" fillId="0" borderId="0" xfId="0" applyFont="1" applyAlignment="1">
      <alignment horizontal="left" wrapText="1"/>
    </xf>
    <xf numFmtId="0" fontId="74" fillId="0" borderId="0" xfId="0" applyFont="1" applyAlignment="1">
      <alignment horizontal="left" wrapText="1"/>
    </xf>
    <xf numFmtId="49" fontId="74" fillId="0" borderId="0" xfId="0" quotePrefix="1" applyNumberFormat="1" applyFont="1" applyAlignment="1">
      <alignment horizontal="left" indent="1"/>
    </xf>
    <xf numFmtId="0" fontId="74" fillId="0" borderId="0" xfId="0" applyFont="1"/>
    <xf numFmtId="49" fontId="74" fillId="0" borderId="0" xfId="0" applyNumberFormat="1" applyFont="1" applyAlignment="1">
      <alignment horizontal="left" indent="1"/>
    </xf>
    <xf numFmtId="0" fontId="20" fillId="0" borderId="0" xfId="0" applyFont="1" applyBorder="1"/>
    <xf numFmtId="3" fontId="20" fillId="0" borderId="0" xfId="23" applyNumberFormat="1" applyFont="1" applyBorder="1" applyAlignment="1">
      <alignment horizontal="right"/>
    </xf>
    <xf numFmtId="3" fontId="20" fillId="0" borderId="0" xfId="0" applyNumberFormat="1" applyFont="1"/>
    <xf numFmtId="164" fontId="53" fillId="36" borderId="0" xfId="23" applyNumberFormat="1" applyFont="1" applyFill="1" applyAlignment="1">
      <alignment horizontal="right"/>
    </xf>
    <xf numFmtId="49" fontId="55" fillId="0" borderId="0" xfId="0" applyNumberFormat="1" applyFont="1" applyAlignment="1">
      <alignment horizontal="center"/>
    </xf>
    <xf numFmtId="0" fontId="21" fillId="0" borderId="0" xfId="0" applyFont="1" applyAlignment="1">
      <alignment horizontal="center" vertical="top"/>
    </xf>
    <xf numFmtId="0" fontId="20" fillId="36" borderId="4" xfId="0" applyNumberFormat="1" applyFont="1" applyFill="1" applyBorder="1"/>
    <xf numFmtId="3" fontId="20" fillId="36" borderId="0" xfId="0" applyNumberFormat="1" applyFont="1" applyFill="1"/>
    <xf numFmtId="3" fontId="53" fillId="36" borderId="0" xfId="247" applyNumberFormat="1" applyFont="1" applyFill="1"/>
    <xf numFmtId="0" fontId="57" fillId="0" borderId="0" xfId="0" applyFont="1" applyFill="1" applyAlignment="1">
      <alignment horizontal="center"/>
    </xf>
    <xf numFmtId="168" fontId="0" fillId="0" borderId="0" xfId="0" applyNumberFormat="1" applyAlignment="1">
      <alignment horizontal="right"/>
    </xf>
    <xf numFmtId="168" fontId="20" fillId="0" borderId="0" xfId="0" applyNumberFormat="1" applyFont="1" applyAlignment="1">
      <alignment horizontal="right"/>
    </xf>
    <xf numFmtId="0" fontId="20" fillId="36" borderId="0" xfId="0" quotePrefix="1" applyFont="1" applyFill="1" applyBorder="1" applyAlignment="1">
      <alignment horizontal="left" indent="1"/>
    </xf>
    <xf numFmtId="4" fontId="53" fillId="36" borderId="0" xfId="19" applyNumberFormat="1" applyFont="1" applyFill="1"/>
    <xf numFmtId="37" fontId="52" fillId="0" borderId="0" xfId="0" applyNumberFormat="1" applyFont="1" applyFill="1"/>
    <xf numFmtId="0" fontId="20" fillId="36" borderId="0" xfId="100" applyFont="1" applyFill="1" applyBorder="1" applyAlignment="1" applyProtection="1">
      <alignment horizontal="left" indent="1"/>
      <protection locked="0"/>
    </xf>
    <xf numFmtId="0" fontId="0" fillId="36" borderId="0" xfId="0" quotePrefix="1" applyFont="1" applyFill="1" applyAlignment="1">
      <alignment horizontal="left" indent="1"/>
    </xf>
    <xf numFmtId="0" fontId="20" fillId="0" borderId="3" xfId="0" applyNumberFormat="1" applyFont="1" applyFill="1" applyBorder="1" applyAlignment="1">
      <alignment horizontal="left"/>
    </xf>
    <xf numFmtId="0" fontId="20" fillId="0" borderId="3" xfId="97" applyNumberFormat="1" applyFont="1" applyFill="1" applyBorder="1" applyAlignment="1">
      <alignment horizontal="left"/>
    </xf>
    <xf numFmtId="0" fontId="20" fillId="0" borderId="3" xfId="0" applyNumberFormat="1" applyFont="1" applyFill="1" applyBorder="1"/>
    <xf numFmtId="0" fontId="20" fillId="0" borderId="3" xfId="0" quotePrefix="1" applyNumberFormat="1" applyFont="1" applyFill="1" applyBorder="1" applyAlignment="1">
      <alignment horizontal="left"/>
    </xf>
    <xf numFmtId="0" fontId="23" fillId="36" borderId="6" xfId="0" quotePrefix="1" applyNumberFormat="1" applyFont="1" applyFill="1" applyBorder="1" applyAlignment="1">
      <alignment horizontal="left"/>
    </xf>
    <xf numFmtId="0" fontId="23" fillId="36" borderId="9" xfId="0" quotePrefix="1" applyNumberFormat="1" applyFont="1" applyFill="1" applyBorder="1"/>
    <xf numFmtId="209" fontId="20" fillId="36" borderId="0" xfId="0" quotePrefix="1" applyNumberFormat="1" applyFont="1" applyFill="1" applyAlignment="1">
      <alignment horizontal="center"/>
    </xf>
    <xf numFmtId="37" fontId="20" fillId="0" borderId="3" xfId="22" quotePrefix="1" applyNumberFormat="1" applyFont="1" applyFill="1" applyBorder="1" applyAlignment="1">
      <alignment horizontal="center"/>
    </xf>
    <xf numFmtId="37" fontId="21" fillId="0" borderId="3" xfId="0" applyNumberFormat="1" applyFont="1" applyFill="1" applyBorder="1" applyAlignment="1">
      <alignment horizontal="center"/>
    </xf>
    <xf numFmtId="37" fontId="20" fillId="0" borderId="3" xfId="97" applyNumberFormat="1" applyFont="1" applyFill="1" applyBorder="1" applyAlignment="1">
      <alignment horizontal="center"/>
    </xf>
    <xf numFmtId="10" fontId="20" fillId="36" borderId="0" xfId="0" applyNumberFormat="1" applyFont="1" applyFill="1" applyAlignment="1">
      <alignment horizontal="right"/>
    </xf>
    <xf numFmtId="0" fontId="33" fillId="0" borderId="0" xfId="0" applyFont="1"/>
    <xf numFmtId="0" fontId="20" fillId="0" borderId="0" xfId="0" applyFont="1" applyAlignment="1"/>
    <xf numFmtId="0" fontId="52" fillId="0" borderId="0" xfId="126" applyFont="1" applyAlignment="1">
      <alignment horizontal="center"/>
    </xf>
    <xf numFmtId="210" fontId="52" fillId="0" borderId="0" xfId="126" applyNumberFormat="1" applyFont="1" applyAlignment="1">
      <alignment horizontal="center"/>
    </xf>
    <xf numFmtId="2" fontId="20" fillId="0" borderId="3" xfId="126" applyNumberFormat="1" applyFont="1" applyBorder="1" applyAlignment="1">
      <alignment horizontal="center" wrapText="1"/>
    </xf>
    <xf numFmtId="210" fontId="20" fillId="0" borderId="0" xfId="126" applyNumberFormat="1" applyFont="1" applyAlignment="1">
      <alignment horizontal="center"/>
    </xf>
    <xf numFmtId="210" fontId="20" fillId="0" borderId="62" xfId="126" applyNumberFormat="1" applyFont="1" applyBorder="1" applyAlignment="1">
      <alignment horizontal="center"/>
    </xf>
    <xf numFmtId="210" fontId="20" fillId="0" borderId="64" xfId="126" applyNumberFormat="1" applyFont="1" applyBorder="1" applyAlignment="1">
      <alignment horizontal="center"/>
    </xf>
    <xf numFmtId="165" fontId="20" fillId="0" borderId="0" xfId="0" applyNumberFormat="1" applyFont="1"/>
    <xf numFmtId="0" fontId="72" fillId="0" borderId="0" xfId="0" applyFont="1"/>
    <xf numFmtId="164" fontId="20" fillId="0" borderId="0" xfId="100" applyNumberFormat="1" applyFill="1"/>
    <xf numFmtId="0" fontId="20" fillId="36" borderId="0" xfId="35" applyFont="1" applyFill="1" applyBorder="1" applyAlignment="1">
      <alignment horizontal="left" vertical="top" indent="2"/>
    </xf>
    <xf numFmtId="167" fontId="20" fillId="0" borderId="0" xfId="28" applyNumberFormat="1" applyFont="1" applyBorder="1" applyAlignment="1">
      <alignment vertical="center"/>
    </xf>
    <xf numFmtId="0" fontId="21" fillId="0" borderId="0" xfId="0" applyFont="1" applyFill="1" applyAlignment="1">
      <alignment horizontal="center" vertical="center"/>
    </xf>
    <xf numFmtId="171" fontId="20" fillId="0" borderId="0" xfId="39" applyNumberFormat="1" applyFont="1" applyFill="1" applyBorder="1" applyAlignment="1">
      <alignment horizontal="center" vertical="justify" wrapText="1"/>
    </xf>
    <xf numFmtId="171" fontId="20" fillId="0" borderId="8" xfId="39" applyNumberFormat="1" applyFont="1" applyFill="1" applyBorder="1" applyAlignment="1">
      <alignment horizontal="center" wrapText="1"/>
    </xf>
    <xf numFmtId="0" fontId="20" fillId="0" borderId="0" xfId="100" quotePrefix="1" applyFill="1"/>
    <xf numFmtId="0" fontId="20" fillId="0" borderId="0" xfId="100" applyNumberFormat="1" applyFont="1" applyFill="1" applyAlignment="1">
      <alignment horizontal="center"/>
    </xf>
    <xf numFmtId="0" fontId="20" fillId="0" borderId="0" xfId="100" quotePrefix="1" applyFont="1" applyFill="1" applyAlignment="1">
      <alignment horizontal="center"/>
    </xf>
    <xf numFmtId="0" fontId="20" fillId="0" borderId="0" xfId="100" quotePrefix="1" applyFill="1" applyAlignment="1">
      <alignment horizontal="center" wrapText="1"/>
    </xf>
    <xf numFmtId="0" fontId="20" fillId="0" borderId="0" xfId="100" quotePrefix="1" applyFont="1" applyFill="1" applyAlignment="1">
      <alignment horizontal="center" wrapText="1"/>
    </xf>
    <xf numFmtId="10" fontId="20" fillId="0" borderId="0" xfId="37" quotePrefix="1" applyNumberFormat="1" applyFont="1" applyFill="1" applyAlignment="1">
      <alignment horizontal="center" wrapText="1"/>
    </xf>
    <xf numFmtId="0" fontId="20" fillId="0" borderId="0" xfId="100" applyFill="1" applyAlignment="1">
      <alignment horizontal="center" wrapText="1"/>
    </xf>
    <xf numFmtId="164" fontId="20" fillId="0" borderId="0" xfId="100" quotePrefix="1" applyNumberFormat="1" applyFill="1" applyAlignment="1">
      <alignment horizontal="center"/>
    </xf>
    <xf numFmtId="0" fontId="20" fillId="0" borderId="0" xfId="100" applyFill="1" applyAlignment="1">
      <alignment horizontal="center"/>
    </xf>
    <xf numFmtId="10" fontId="0" fillId="0" borderId="0" xfId="37" applyNumberFormat="1" applyFont="1" applyFill="1" applyAlignment="1">
      <alignment horizontal="center"/>
    </xf>
    <xf numFmtId="1" fontId="23" fillId="0" borderId="0" xfId="28" quotePrefix="1" applyNumberFormat="1" applyFont="1" applyFill="1" applyBorder="1" applyAlignment="1">
      <alignment horizontal="right"/>
    </xf>
    <xf numFmtId="0" fontId="20" fillId="0" borderId="0" xfId="0" applyFont="1" applyFill="1" applyAlignment="1">
      <alignment horizontal="center"/>
    </xf>
    <xf numFmtId="0" fontId="20" fillId="0" borderId="0" xfId="100" applyFont="1" applyFill="1" applyBorder="1" applyAlignment="1">
      <alignment horizontal="left"/>
    </xf>
    <xf numFmtId="0" fontId="61" fillId="0" borderId="0" xfId="0" applyFont="1" applyFill="1"/>
    <xf numFmtId="39" fontId="53" fillId="0" borderId="0" xfId="0" applyNumberFormat="1" applyFont="1" applyFill="1" applyAlignment="1">
      <alignment horizontal="left" indent="1"/>
    </xf>
    <xf numFmtId="0" fontId="20" fillId="0" borderId="0" xfId="100" quotePrefix="1" applyFont="1" applyFill="1" applyAlignment="1">
      <alignment horizontal="left" indent="1"/>
    </xf>
    <xf numFmtId="164" fontId="20" fillId="0" borderId="0" xfId="96" applyNumberFormat="1" applyFont="1" applyFill="1" applyBorder="1" applyAlignment="1">
      <alignment horizontal="left" indent="1"/>
    </xf>
    <xf numFmtId="42" fontId="20" fillId="0" borderId="0" xfId="0" quotePrefix="1" applyNumberFormat="1" applyFont="1" applyFill="1" applyAlignment="1">
      <alignment horizontal="center"/>
    </xf>
    <xf numFmtId="164" fontId="0" fillId="0" borderId="0" xfId="0" quotePrefix="1" applyNumberFormat="1" applyFill="1" applyAlignment="1">
      <alignment horizontal="center"/>
    </xf>
    <xf numFmtId="164" fontId="51" fillId="0" borderId="0" xfId="0" applyNumberFormat="1" applyFont="1" applyFill="1" applyAlignment="1">
      <alignment horizontal="center"/>
    </xf>
    <xf numFmtId="164" fontId="56" fillId="0" borderId="0" xfId="0" applyNumberFormat="1" applyFont="1" applyFill="1" applyAlignment="1">
      <alignment horizontal="center"/>
    </xf>
    <xf numFmtId="164" fontId="23" fillId="0" borderId="0" xfId="0" quotePrefix="1" applyNumberFormat="1" applyFont="1" applyFill="1" applyAlignment="1">
      <alignment horizontal="center"/>
    </xf>
    <xf numFmtId="168" fontId="0" fillId="0" borderId="0" xfId="37" applyNumberFormat="1" applyFont="1"/>
    <xf numFmtId="1" fontId="0" fillId="0" borderId="0" xfId="0" applyNumberFormat="1"/>
    <xf numFmtId="0" fontId="20" fillId="0" borderId="0" xfId="28" quotePrefix="1" applyFont="1" applyFill="1" applyAlignment="1">
      <alignment horizontal="center" vertical="center"/>
    </xf>
    <xf numFmtId="0" fontId="20" fillId="0" borderId="0" xfId="28" quotePrefix="1" applyFont="1" applyFill="1" applyAlignment="1">
      <alignment horizontal="center"/>
    </xf>
    <xf numFmtId="0" fontId="20" fillId="0" borderId="0" xfId="28" applyFont="1" applyFill="1" applyBorder="1" applyAlignment="1">
      <alignment horizontal="center"/>
    </xf>
    <xf numFmtId="0" fontId="20" fillId="0" borderId="0" xfId="28" quotePrefix="1" applyFont="1" applyFill="1" applyBorder="1" applyAlignment="1">
      <alignment horizontal="center"/>
    </xf>
    <xf numFmtId="0" fontId="20" fillId="0" borderId="0" xfId="100" quotePrefix="1" applyFont="1" applyFill="1"/>
    <xf numFmtId="167" fontId="20" fillId="0" borderId="0" xfId="28" quotePrefix="1" applyNumberFormat="1" applyFont="1" applyFill="1" applyBorder="1" applyAlignment="1">
      <alignment horizontal="center"/>
    </xf>
    <xf numFmtId="0" fontId="20" fillId="0" borderId="0" xfId="28" quotePrefix="1" applyFont="1" applyFill="1" applyAlignment="1">
      <alignment vertical="center"/>
    </xf>
    <xf numFmtId="0" fontId="21" fillId="0" borderId="0" xfId="28" applyFont="1" applyFill="1" applyAlignment="1">
      <alignment horizontal="center" vertical="center"/>
    </xf>
    <xf numFmtId="0" fontId="23" fillId="0" borderId="0" xfId="28" applyFont="1" applyFill="1" applyAlignment="1">
      <alignment vertical="center"/>
    </xf>
    <xf numFmtId="0" fontId="21" fillId="0" borderId="0" xfId="28" applyFont="1" applyFill="1" applyAlignment="1">
      <alignment horizontal="right" vertical="center"/>
    </xf>
    <xf numFmtId="0" fontId="20" fillId="0" borderId="0" xfId="126" applyFont="1" applyAlignment="1">
      <alignment vertical="center" wrapText="1"/>
    </xf>
    <xf numFmtId="0" fontId="20" fillId="0" borderId="0" xfId="126" applyFont="1" applyFill="1" applyAlignment="1">
      <alignment horizontal="center" vertical="center" wrapText="1"/>
    </xf>
    <xf numFmtId="0" fontId="20" fillId="0" borderId="0" xfId="126" applyFont="1" applyFill="1" applyAlignment="1">
      <alignment vertical="center" wrapText="1"/>
    </xf>
    <xf numFmtId="0" fontId="20" fillId="0" borderId="0" xfId="126" applyFont="1" applyFill="1" applyAlignment="1"/>
    <xf numFmtId="173" fontId="20" fillId="0" borderId="0" xfId="126" applyNumberFormat="1" applyFont="1" applyAlignment="1">
      <alignment horizontal="center"/>
    </xf>
    <xf numFmtId="10" fontId="20" fillId="0" borderId="0" xfId="126" applyNumberFormat="1" applyFont="1" applyBorder="1"/>
    <xf numFmtId="166" fontId="20" fillId="0" borderId="17" xfId="126" applyNumberFormat="1" applyFont="1" applyBorder="1" applyAlignment="1">
      <alignment horizontal="center"/>
    </xf>
    <xf numFmtId="164" fontId="20" fillId="0" borderId="18" xfId="126" applyNumberFormat="1" applyFont="1" applyBorder="1"/>
    <xf numFmtId="166" fontId="20" fillId="0" borderId="18" xfId="126" applyNumberFormat="1" applyFont="1" applyBorder="1" applyAlignment="1">
      <alignment horizontal="center"/>
    </xf>
    <xf numFmtId="0" fontId="20" fillId="0" borderId="18" xfId="0" applyFont="1" applyBorder="1" applyAlignment="1">
      <alignment horizontal="center"/>
    </xf>
    <xf numFmtId="166" fontId="20" fillId="0" borderId="0" xfId="126" applyNumberFormat="1" applyFont="1" applyAlignment="1">
      <alignment horizontal="center"/>
    </xf>
    <xf numFmtId="166" fontId="20" fillId="0" borderId="0" xfId="126" applyNumberFormat="1" applyFont="1"/>
    <xf numFmtId="3" fontId="20" fillId="0" borderId="0" xfId="131" applyNumberFormat="1" applyFont="1" applyFill="1" applyBorder="1"/>
    <xf numFmtId="3" fontId="20" fillId="0" borderId="0" xfId="132" applyNumberFormat="1" applyFont="1" applyFill="1"/>
    <xf numFmtId="0" fontId="20" fillId="0" borderId="0" xfId="126" applyFont="1" applyFill="1" applyBorder="1"/>
    <xf numFmtId="166" fontId="20" fillId="0" borderId="0" xfId="126" applyNumberFormat="1" applyFont="1" applyFill="1"/>
    <xf numFmtId="3" fontId="20" fillId="0" borderId="0" xfId="130" applyNumberFormat="1" applyFont="1" applyFill="1" applyBorder="1" applyAlignment="1">
      <alignment horizontal="center"/>
    </xf>
    <xf numFmtId="0" fontId="20" fillId="0" borderId="0" xfId="126" applyFont="1" applyFill="1" applyBorder="1" applyAlignment="1">
      <alignment horizontal="center"/>
    </xf>
    <xf numFmtId="3" fontId="20" fillId="0" borderId="0" xfId="0" applyNumberFormat="1" applyFont="1" applyFill="1" applyAlignment="1">
      <alignment horizontal="right"/>
    </xf>
    <xf numFmtId="166" fontId="20" fillId="0" borderId="0" xfId="0" applyNumberFormat="1" applyFont="1" applyFill="1" applyAlignment="1">
      <alignment horizontal="right"/>
    </xf>
    <xf numFmtId="173" fontId="20" fillId="0" borderId="0" xfId="126" quotePrefix="1" applyNumberFormat="1" applyFont="1" applyFill="1" applyAlignment="1">
      <alignment horizontal="center"/>
    </xf>
    <xf numFmtId="164" fontId="20" fillId="0" borderId="0" xfId="126" quotePrefix="1" applyNumberFormat="1" applyFont="1" applyFill="1" applyAlignment="1">
      <alignment horizontal="center"/>
    </xf>
    <xf numFmtId="164" fontId="20" fillId="0" borderId="0" xfId="126" applyNumberFormat="1" applyFont="1" applyAlignment="1">
      <alignment horizontal="right"/>
    </xf>
    <xf numFmtId="166" fontId="20" fillId="0" borderId="17" xfId="126" quotePrefix="1" applyNumberFormat="1" applyFont="1" applyFill="1" applyBorder="1" applyAlignment="1">
      <alignment horizontal="center"/>
    </xf>
    <xf numFmtId="166" fontId="20" fillId="0" borderId="18" xfId="126" applyNumberFormat="1" applyFont="1" applyFill="1" applyBorder="1" applyAlignment="1">
      <alignment horizontal="center"/>
    </xf>
    <xf numFmtId="164" fontId="20" fillId="0" borderId="0" xfId="126" applyNumberFormat="1" applyFont="1" applyBorder="1" applyAlignment="1">
      <alignment horizontal="right"/>
    </xf>
    <xf numFmtId="173" fontId="20" fillId="0" borderId="0" xfId="126" applyNumberFormat="1" applyFont="1" applyFill="1" applyAlignment="1">
      <alignment horizontal="center"/>
    </xf>
    <xf numFmtId="166" fontId="20" fillId="0" borderId="17" xfId="126" applyNumberFormat="1" applyFont="1" applyFill="1" applyBorder="1" applyAlignment="1">
      <alignment horizontal="center"/>
    </xf>
    <xf numFmtId="164" fontId="20" fillId="0" borderId="0" xfId="126" applyNumberFormat="1" applyFont="1" applyBorder="1"/>
    <xf numFmtId="179" fontId="21" fillId="0" borderId="0" xfId="35" applyNumberFormat="1" applyFont="1" applyFill="1" applyAlignment="1">
      <alignment horizontal="left"/>
    </xf>
    <xf numFmtId="0" fontId="20" fillId="0" borderId="4" xfId="126" applyFont="1" applyBorder="1"/>
    <xf numFmtId="0" fontId="20" fillId="0" borderId="7" xfId="126" applyFont="1" applyFill="1" applyBorder="1"/>
    <xf numFmtId="0" fontId="20" fillId="0" borderId="7" xfId="126" applyFont="1" applyBorder="1"/>
    <xf numFmtId="0" fontId="20" fillId="0" borderId="7" xfId="126" applyFont="1" applyBorder="1" applyAlignment="1">
      <alignment horizontal="center"/>
    </xf>
    <xf numFmtId="174" fontId="20" fillId="36" borderId="0" xfId="0" applyNumberFormat="1" applyFont="1" applyFill="1" applyAlignment="1">
      <alignment horizontal="center"/>
    </xf>
    <xf numFmtId="0" fontId="52" fillId="0" borderId="10" xfId="126" applyFont="1" applyFill="1" applyBorder="1" applyAlignment="1">
      <alignment horizontal="center"/>
    </xf>
    <xf numFmtId="9" fontId="0" fillId="0" borderId="0" xfId="0" applyNumberFormat="1" applyFill="1" applyAlignment="1">
      <alignment horizontal="left"/>
    </xf>
    <xf numFmtId="0" fontId="20" fillId="0" borderId="9" xfId="126" applyFont="1" applyFill="1" applyBorder="1" applyAlignment="1">
      <alignment wrapText="1"/>
    </xf>
    <xf numFmtId="0" fontId="20" fillId="0" borderId="4" xfId="126" applyFont="1" applyFill="1" applyBorder="1" applyAlignment="1">
      <alignment wrapText="1"/>
    </xf>
    <xf numFmtId="0" fontId="20" fillId="0" borderId="0" xfId="126" quotePrefix="1" applyFont="1" applyFill="1" applyAlignment="1">
      <alignment horizontal="center" vertical="center" wrapText="1"/>
    </xf>
    <xf numFmtId="0" fontId="20" fillId="0" borderId="0" xfId="126" quotePrefix="1" applyFont="1" applyFill="1" applyAlignment="1">
      <alignment horizontal="center" wrapText="1"/>
    </xf>
    <xf numFmtId="0" fontId="20" fillId="0" borderId="0" xfId="126" quotePrefix="1" applyFont="1" applyFill="1" applyAlignment="1">
      <alignment horizontal="center" vertical="top" wrapText="1"/>
    </xf>
    <xf numFmtId="0" fontId="20" fillId="0" borderId="0" xfId="126" applyFont="1" applyFill="1" applyAlignment="1">
      <alignment wrapText="1"/>
    </xf>
    <xf numFmtId="3" fontId="20" fillId="0" borderId="3" xfId="126" applyNumberFormat="1" applyFont="1" applyFill="1" applyBorder="1"/>
    <xf numFmtId="10" fontId="20" fillId="0" borderId="3" xfId="126" applyNumberFormat="1" applyFont="1" applyFill="1" applyBorder="1"/>
    <xf numFmtId="10" fontId="53" fillId="0" borderId="3" xfId="134" applyNumberFormat="1" applyFont="1" applyFill="1" applyBorder="1"/>
    <xf numFmtId="164" fontId="20" fillId="0" borderId="3" xfId="126" applyNumberFormat="1" applyFont="1" applyFill="1" applyBorder="1"/>
    <xf numFmtId="0" fontId="20" fillId="0" borderId="0" xfId="126" quotePrefix="1" applyFont="1" applyFill="1" applyAlignment="1">
      <alignment horizontal="center"/>
    </xf>
    <xf numFmtId="0" fontId="65" fillId="0" borderId="0" xfId="126" quotePrefix="1" applyFont="1" applyFill="1" applyAlignment="1">
      <alignment horizontal="center" vertical="center" wrapText="1"/>
    </xf>
    <xf numFmtId="0" fontId="20" fillId="0" borderId="6" xfId="126" quotePrefix="1" applyFont="1" applyFill="1" applyBorder="1" applyAlignment="1">
      <alignment horizontal="center" wrapText="1"/>
    </xf>
    <xf numFmtId="0" fontId="20" fillId="0" borderId="5" xfId="126" quotePrefix="1" applyFont="1" applyFill="1" applyBorder="1" applyAlignment="1">
      <alignment horizontal="center" wrapText="1"/>
    </xf>
    <xf numFmtId="0" fontId="20" fillId="0" borderId="0" xfId="126" applyFont="1" applyFill="1" applyAlignment="1">
      <alignment horizontal="left" indent="1"/>
    </xf>
    <xf numFmtId="0" fontId="167" fillId="0" borderId="0" xfId="0" applyFont="1" applyAlignment="1">
      <alignment horizontal="center"/>
    </xf>
    <xf numFmtId="0" fontId="0" fillId="0" borderId="0" xfId="0" applyAlignment="1"/>
    <xf numFmtId="0" fontId="168" fillId="0" borderId="0" xfId="0" applyFont="1" applyAlignment="1">
      <alignment horizontal="center"/>
    </xf>
    <xf numFmtId="0" fontId="0" fillId="0" borderId="0" xfId="0" applyAlignment="1">
      <alignment horizontal="center"/>
    </xf>
    <xf numFmtId="0" fontId="69" fillId="0" borderId="0" xfId="0" applyFont="1" applyAlignment="1">
      <alignment horizontal="center"/>
    </xf>
    <xf numFmtId="0" fontId="50" fillId="0" borderId="0" xfId="0" applyFont="1" applyAlignment="1">
      <alignment horizontal="center"/>
    </xf>
    <xf numFmtId="0" fontId="167" fillId="0" borderId="0" xfId="0" applyFont="1" applyAlignment="1">
      <alignment horizontal="center"/>
    </xf>
    <xf numFmtId="0" fontId="0" fillId="0" borderId="0" xfId="0" applyAlignment="1"/>
    <xf numFmtId="0" fontId="169" fillId="0" borderId="0" xfId="0" applyFont="1" applyAlignment="1">
      <alignment horizontal="center"/>
    </xf>
    <xf numFmtId="0" fontId="170" fillId="0" borderId="0" xfId="0" applyFont="1" applyAlignment="1"/>
    <xf numFmtId="0" fontId="21" fillId="0" borderId="59" xfId="0" quotePrefix="1" applyFont="1" applyBorder="1" applyAlignment="1">
      <alignment horizontal="center"/>
    </xf>
    <xf numFmtId="0" fontId="20" fillId="0" borderId="60" xfId="0" applyFont="1" applyBorder="1" applyAlignment="1">
      <alignment horizontal="center"/>
    </xf>
    <xf numFmtId="196" fontId="21" fillId="0" borderId="17" xfId="53892" applyFont="1" applyBorder="1" applyAlignment="1" applyProtection="1">
      <alignment horizontal="center" wrapText="1"/>
    </xf>
    <xf numFmtId="0" fontId="0" fillId="0" borderId="19" xfId="0" applyBorder="1" applyAlignment="1">
      <alignment horizontal="center" wrapText="1"/>
    </xf>
    <xf numFmtId="0" fontId="21" fillId="0" borderId="59" xfId="0" applyFont="1" applyBorder="1" applyAlignment="1">
      <alignment horizontal="center" wrapText="1"/>
    </xf>
    <xf numFmtId="0" fontId="0" fillId="0" borderId="60" xfId="0" applyBorder="1" applyAlignment="1">
      <alignment wrapText="1"/>
    </xf>
    <xf numFmtId="0" fontId="20" fillId="0" borderId="0" xfId="0" applyNumberFormat="1" applyFont="1" applyFill="1" applyAlignment="1">
      <alignment horizontal="left"/>
    </xf>
    <xf numFmtId="0" fontId="20" fillId="36" borderId="0" xfId="0" applyNumberFormat="1" applyFont="1" applyFill="1" applyAlignment="1">
      <alignment horizontal="center"/>
    </xf>
    <xf numFmtId="0" fontId="21" fillId="0" borderId="6" xfId="28" applyFont="1" applyFill="1" applyBorder="1" applyAlignment="1">
      <alignment horizontal="center"/>
    </xf>
    <xf numFmtId="0" fontId="21" fillId="0" borderId="9" xfId="28" applyFont="1" applyFill="1" applyBorder="1" applyAlignment="1">
      <alignment horizontal="center"/>
    </xf>
    <xf numFmtId="0" fontId="21" fillId="0" borderId="4" xfId="28" applyFont="1" applyFill="1" applyBorder="1" applyAlignment="1">
      <alignment horizontal="center"/>
    </xf>
    <xf numFmtId="0" fontId="21" fillId="0" borderId="7" xfId="28" applyFont="1" applyBorder="1" applyAlignment="1">
      <alignment horizontal="center"/>
    </xf>
    <xf numFmtId="0" fontId="21" fillId="0" borderId="5" xfId="28" applyFont="1" applyBorder="1" applyAlignment="1">
      <alignment horizontal="center"/>
    </xf>
    <xf numFmtId="0" fontId="21" fillId="0" borderId="3" xfId="28" applyFont="1" applyFill="1" applyBorder="1" applyAlignment="1">
      <alignment horizontal="center"/>
    </xf>
    <xf numFmtId="0" fontId="21" fillId="0" borderId="9" xfId="28" applyFont="1" applyBorder="1" applyAlignment="1">
      <alignment horizontal="center"/>
    </xf>
    <xf numFmtId="0" fontId="21" fillId="0" borderId="4" xfId="28" applyFont="1" applyBorder="1" applyAlignment="1">
      <alignment horizontal="center"/>
    </xf>
    <xf numFmtId="0" fontId="21" fillId="0" borderId="3" xfId="28" applyFont="1" applyBorder="1" applyAlignment="1"/>
    <xf numFmtId="0" fontId="21" fillId="0" borderId="6" xfId="28" applyFont="1" applyBorder="1" applyAlignment="1">
      <alignment horizontal="center"/>
    </xf>
    <xf numFmtId="0" fontId="20"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xf numFmtId="39" fontId="23" fillId="0" borderId="6" xfId="22" applyNumberFormat="1" applyFont="1" applyBorder="1" applyAlignment="1">
      <alignment horizontal="center"/>
    </xf>
    <xf numFmtId="0" fontId="0" fillId="0" borderId="9" xfId="0" applyBorder="1"/>
    <xf numFmtId="0" fontId="0" fillId="0" borderId="4" xfId="0" applyBorder="1"/>
    <xf numFmtId="0" fontId="21"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21" fillId="0" borderId="3" xfId="0" applyNumberFormat="1" applyFont="1" applyFill="1" applyBorder="1" applyAlignment="1">
      <alignment wrapText="1"/>
    </xf>
    <xf numFmtId="0" fontId="0" fillId="0" borderId="3" xfId="0" applyBorder="1" applyAlignment="1">
      <alignment wrapText="1"/>
    </xf>
    <xf numFmtId="0" fontId="21" fillId="0" borderId="6" xfId="0" applyFont="1" applyFill="1" applyBorder="1" applyAlignment="1"/>
    <xf numFmtId="0" fontId="0" fillId="0" borderId="9" xfId="0" applyFill="1" applyBorder="1" applyAlignment="1"/>
    <xf numFmtId="0" fontId="0" fillId="0" borderId="4" xfId="0" applyFill="1" applyBorder="1" applyAlignment="1"/>
    <xf numFmtId="0" fontId="21" fillId="0" borderId="6" xfId="0" applyNumberFormat="1" applyFont="1" applyFill="1" applyBorder="1" applyAlignment="1"/>
    <xf numFmtId="0" fontId="23" fillId="0" borderId="0" xfId="0" applyFont="1" applyFill="1" applyBorder="1" applyAlignment="1">
      <alignment vertical="top" wrapText="1"/>
    </xf>
    <xf numFmtId="0" fontId="0" fillId="0" borderId="0" xfId="0" applyAlignment="1">
      <alignment vertical="top" wrapText="1"/>
    </xf>
    <xf numFmtId="0" fontId="23" fillId="0" borderId="6" xfId="0" applyFont="1" applyFill="1" applyBorder="1" applyAlignment="1">
      <alignment horizontal="left"/>
    </xf>
    <xf numFmtId="0" fontId="23" fillId="0" borderId="4" xfId="0" applyFont="1" applyFill="1" applyBorder="1" applyAlignment="1">
      <alignment horizontal="left"/>
    </xf>
    <xf numFmtId="0" fontId="21" fillId="0" borderId="3" xfId="0" applyFont="1" applyFill="1" applyBorder="1" applyAlignment="1">
      <alignment wrapText="1"/>
    </xf>
    <xf numFmtId="0" fontId="0" fillId="0" borderId="0" xfId="0" applyFill="1" applyAlignment="1">
      <alignment wrapText="1"/>
    </xf>
    <xf numFmtId="0" fontId="21"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20" fillId="0" borderId="0" xfId="0" applyFont="1" applyFill="1" applyBorder="1" applyAlignment="1">
      <alignment wrapText="1"/>
    </xf>
    <xf numFmtId="0" fontId="0" fillId="0" borderId="0" xfId="0" applyAlignment="1">
      <alignment wrapText="1"/>
    </xf>
    <xf numFmtId="0" fontId="20" fillId="0" borderId="12" xfId="126" applyFont="1" applyFill="1" applyBorder="1" applyAlignment="1">
      <alignment horizontal="center"/>
    </xf>
    <xf numFmtId="0" fontId="20" fillId="0" borderId="14" xfId="126" applyFont="1" applyFill="1" applyBorder="1" applyAlignment="1">
      <alignment horizontal="center"/>
    </xf>
    <xf numFmtId="0" fontId="0" fillId="0" borderId="14" xfId="0" applyBorder="1" applyAlignment="1"/>
    <xf numFmtId="0" fontId="0" fillId="0" borderId="13" xfId="0" applyBorder="1" applyAlignment="1"/>
    <xf numFmtId="0" fontId="20" fillId="0" borderId="13" xfId="126" applyFont="1" applyFill="1" applyBorder="1" applyAlignment="1">
      <alignment horizontal="center"/>
    </xf>
    <xf numFmtId="173" fontId="20" fillId="0" borderId="61" xfId="126" quotePrefix="1" applyNumberFormat="1" applyFont="1" applyFill="1" applyBorder="1" applyAlignment="1">
      <alignment horizontal="center" vertical="center"/>
    </xf>
    <xf numFmtId="173" fontId="20" fillId="0" borderId="63" xfId="126" quotePrefix="1" applyNumberFormat="1" applyFont="1" applyFill="1" applyBorder="1" applyAlignment="1">
      <alignment horizontal="center" vertical="center"/>
    </xf>
  </cellXfs>
  <cellStyles count="53894">
    <cellStyle name="_x000a__x000a_JournalTemplate=C:\COMFO\CTALK\JOURSTD.TPL_x000a__x000a_LbStateAddress=3 3 0 251 1 89 2 311_x000a__x000a_LbStateJou" xfId="672"/>
    <cellStyle name="_x000a__x000a_JournalTemplate=C:\COMFO\CTALK\JOURSTD.TPL_x000a__x000a_LbStateAddress=3 3 0 251 1 89 2 311_x000a__x000a_LbStateJou 2" xfId="673"/>
    <cellStyle name="_x000a__x000a_JournalTemplate=C:\COMFO\CTALK\JOURSTD.TPL_x000a__x000a_LbStateAddress=3 3 0 251 1 89 2 311_x000a__x000a_LbStateJou 2 2" xfId="674"/>
    <cellStyle name="_x000a__x000a_JournalTemplate=C:\COMFO\CTALK\JOURSTD.TPL_x000a__x000a_LbStateAddress=3 3 0 251 1 89 2 311_x000a__x000a_LbStateJou 3" xfId="675"/>
    <cellStyle name="_x000a__x000a_JournalTemplate=C:\COMFO\CTALK\JOURSTD.TPL_x000a__x000a_LbStateAddress=3 3 0 251 1 89 2 311_x000a__x000a_LbStateJou 3 2" xfId="676"/>
    <cellStyle name="_x000a__x000a_JournalTemplate=C:\COMFO\CTALK\JOURSTD.TPL_x000a__x000a_LbStateAddress=3 3 0 251 1 89 2 311_x000a__x000a_LbStateJou 3 2 2" xfId="677"/>
    <cellStyle name="_x000a__x000a_JournalTemplate=C:\COMFO\CTALK\JOURSTD.TPL_x000a__x000a_LbStateAddress=3 3 0 251 1 89 2 311_x000a__x000a_LbStateJou 3 3" xfId="678"/>
    <cellStyle name="_x000a__x000a_JournalTemplate=C:\COMFO\CTALK\JOURSTD.TPL_x000a__x000a_LbStateAddress=3 3 0 251 1 89 2 311_x000a__x000a_LbStateJou 4" xfId="679"/>
    <cellStyle name="_x000d__x000a_JournalTemplate=C:\COMFO\CTALK\JOURSTD.TPL_x000d__x000a_LbStateAddress=3 3 0 251 1 89 2 311_x000d__x000a_LbStateJou" xfId="680"/>
    <cellStyle name="_x000d__x000a_JournalTemplate=C:\COMFO\CTALK\JOURSTD.TPL_x000d__x000a_LbStateAddress=3 3 0 251 1 89 2 311_x000d__x000a_LbStateJou 2" xfId="681"/>
    <cellStyle name="_x000d__x000a_JournalTemplate=C:\COMFO\CTALK\JOURSTD.TPL_x000d__x000a_LbStateAddress=3 3 0 251 1 89 2 311_x000d__x000a_LbStateJou 2 2" xfId="682"/>
    <cellStyle name="_x000d__x000a_JournalTemplate=C:\COMFO\CTALK\JOURSTD.TPL_x000d__x000a_LbStateAddress=3 3 0 251 1 89 2 311_x000d__x000a_LbStateJou 3" xfId="683"/>
    <cellStyle name="_x000d__x000a_JournalTemplate=C:\COMFO\CTALK\JOURSTD.TPL_x000d__x000a_LbStateAddress=3 3 0 251 1 89 2 311_x000d__x000a_LbStateJou 3 2" xfId="684"/>
    <cellStyle name="_x000d__x000a_JournalTemplate=C:\COMFO\CTALK\JOURSTD.TPL_x000d__x000a_LbStateAddress=3 3 0 251 1 89 2 311_x000d__x000a_LbStateJou 3 2 2" xfId="685"/>
    <cellStyle name="_x000d__x000a_JournalTemplate=C:\COMFO\CTALK\JOURSTD.TPL_x000d__x000a_LbStateAddress=3 3 0 251 1 89 2 311_x000d__x000a_LbStateJou 3 3" xfId="686"/>
    <cellStyle name="_x000d__x000a_JournalTemplate=C:\COMFO\CTALK\JOURSTD.TPL_x000d__x000a_LbStateAddress=3 3 0 251 1 89 2 311_x000d__x000a_LbStateJou 4" xfId="687"/>
    <cellStyle name="*MB Hardwired" xfId="688"/>
    <cellStyle name="*MB Hardwired 2" xfId="689"/>
    <cellStyle name="*MB Input Table Calc" xfId="690"/>
    <cellStyle name="*MB Input Table Calc 2" xfId="691"/>
    <cellStyle name="*MB Normal" xfId="692"/>
    <cellStyle name="*MB Normal 2" xfId="693"/>
    <cellStyle name="*MB Normal 2 2" xfId="694"/>
    <cellStyle name="*MB Normal 3" xfId="695"/>
    <cellStyle name="*MB Placeholder" xfId="696"/>
    <cellStyle name="*MB Placeholder 2" xfId="697"/>
    <cellStyle name="???" xfId="698"/>
    <cellStyle name="??? 2" xfId="699"/>
    <cellStyle name="_Base Case (Rev 3)" xfId="700"/>
    <cellStyle name="_Base Case (Rev 3) 2" xfId="701"/>
    <cellStyle name="_Base Case (Rev 3) 2 2" xfId="702"/>
    <cellStyle name="_Base Case (Rev 3) 2 2 2" xfId="703"/>
    <cellStyle name="_Base Case (Rev 3) 2 3" xfId="704"/>
    <cellStyle name="_Base Case (Rev 3) 3" xfId="705"/>
    <cellStyle name="_Base Case (Rev 3) 3 2" xfId="706"/>
    <cellStyle name="_Base Case (Rev 3) 4" xfId="707"/>
    <cellStyle name="20% - Accent1 2" xfId="708"/>
    <cellStyle name="20% - Accent1 2 10" xfId="709"/>
    <cellStyle name="20% - Accent1 2 10 2" xfId="710"/>
    <cellStyle name="20% - Accent1 2 11" xfId="711"/>
    <cellStyle name="20% - Accent1 2 2" xfId="712"/>
    <cellStyle name="20% - Accent1 2 2 2" xfId="713"/>
    <cellStyle name="20% - Accent1 2 2 2 2" xfId="714"/>
    <cellStyle name="20% - Accent1 2 2 2 2 2" xfId="715"/>
    <cellStyle name="20% - Accent1 2 2 2 3" xfId="716"/>
    <cellStyle name="20% - Accent1 2 2 2 3 2" xfId="717"/>
    <cellStyle name="20% - Accent1 2 2 2 3 2 2" xfId="718"/>
    <cellStyle name="20% - Accent1 2 2 2 3 3" xfId="719"/>
    <cellStyle name="20% - Accent1 2 2 2 4" xfId="720"/>
    <cellStyle name="20% - Accent1 2 2 3" xfId="721"/>
    <cellStyle name="20% - Accent1 2 2 3 2" xfId="722"/>
    <cellStyle name="20% - Accent1 2 2 3 2 2" xfId="723"/>
    <cellStyle name="20% - Accent1 2 2 3 3" xfId="724"/>
    <cellStyle name="20% - Accent1 2 2 4" xfId="725"/>
    <cellStyle name="20% - Accent1 2 2 4 2" xfId="726"/>
    <cellStyle name="20% - Accent1 2 2 4 2 2" xfId="727"/>
    <cellStyle name="20% - Accent1 2 2 4 2 2 2" xfId="728"/>
    <cellStyle name="20% - Accent1 2 2 4 2 3" xfId="729"/>
    <cellStyle name="20% - Accent1 2 2 4 3" xfId="730"/>
    <cellStyle name="20% - Accent1 2 2 4 3 2" xfId="731"/>
    <cellStyle name="20% - Accent1 2 2 4 4" xfId="732"/>
    <cellStyle name="20% - Accent1 2 2 5" xfId="733"/>
    <cellStyle name="20% - Accent1 2 2 5 2" xfId="734"/>
    <cellStyle name="20% - Accent1 2 2 6" xfId="735"/>
    <cellStyle name="20% - Accent1 2 3" xfId="736"/>
    <cellStyle name="20% - Accent1 2 3 2" xfId="737"/>
    <cellStyle name="20% - Accent1 2 3 2 2" xfId="738"/>
    <cellStyle name="20% - Accent1 2 3 2 2 2" xfId="739"/>
    <cellStyle name="20% - Accent1 2 3 2 3" xfId="740"/>
    <cellStyle name="20% - Accent1 2 3 3" xfId="741"/>
    <cellStyle name="20% - Accent1 2 3 3 2" xfId="742"/>
    <cellStyle name="20% - Accent1 2 3 3 2 2" xfId="743"/>
    <cellStyle name="20% - Accent1 2 3 3 2 2 2" xfId="744"/>
    <cellStyle name="20% - Accent1 2 3 3 2 3" xfId="745"/>
    <cellStyle name="20% - Accent1 2 3 3 3" xfId="746"/>
    <cellStyle name="20% - Accent1 2 3 3 3 2" xfId="747"/>
    <cellStyle name="20% - Accent1 2 3 3 4" xfId="748"/>
    <cellStyle name="20% - Accent1 2 3 4" xfId="749"/>
    <cellStyle name="20% - Accent1 2 3 4 2" xfId="750"/>
    <cellStyle name="20% - Accent1 2 3 5" xfId="751"/>
    <cellStyle name="20% - Accent1 2 4" xfId="752"/>
    <cellStyle name="20% - Accent1 2 4 2" xfId="753"/>
    <cellStyle name="20% - Accent1 2 4 2 2" xfId="754"/>
    <cellStyle name="20% - Accent1 2 4 2 2 2" xfId="755"/>
    <cellStyle name="20% - Accent1 2 4 2 3" xfId="756"/>
    <cellStyle name="20% - Accent1 2 4 3" xfId="757"/>
    <cellStyle name="20% - Accent1 2 4 3 2" xfId="758"/>
    <cellStyle name="20% - Accent1 2 4 4" xfId="759"/>
    <cellStyle name="20% - Accent1 2 5" xfId="760"/>
    <cellStyle name="20% - Accent1 2 5 2" xfId="761"/>
    <cellStyle name="20% - Accent1 2 5 2 2" xfId="762"/>
    <cellStyle name="20% - Accent1 2 5 2 2 2" xfId="763"/>
    <cellStyle name="20% - Accent1 2 5 2 3" xfId="764"/>
    <cellStyle name="20% - Accent1 2 5 3" xfId="765"/>
    <cellStyle name="20% - Accent1 2 5 3 2" xfId="766"/>
    <cellStyle name="20% - Accent1 2 5 3 2 2" xfId="767"/>
    <cellStyle name="20% - Accent1 2 5 3 2 2 2" xfId="768"/>
    <cellStyle name="20% - Accent1 2 5 3 2 3" xfId="769"/>
    <cellStyle name="20% - Accent1 2 5 3 3" xfId="770"/>
    <cellStyle name="20% - Accent1 2 5 3 3 2" xfId="771"/>
    <cellStyle name="20% - Accent1 2 5 3 4" xfId="772"/>
    <cellStyle name="20% - Accent1 2 5 4" xfId="773"/>
    <cellStyle name="20% - Accent1 2 5 4 2" xfId="774"/>
    <cellStyle name="20% - Accent1 2 5 5" xfId="775"/>
    <cellStyle name="20% - Accent1 2 6" xfId="776"/>
    <cellStyle name="20% - Accent1 2 6 2" xfId="777"/>
    <cellStyle name="20% - Accent1 2 6 2 2" xfId="778"/>
    <cellStyle name="20% - Accent1 2 6 3" xfId="779"/>
    <cellStyle name="20% - Accent1 2 7" xfId="780"/>
    <cellStyle name="20% - Accent1 2 7 2" xfId="781"/>
    <cellStyle name="20% - Accent1 2 7 2 2" xfId="782"/>
    <cellStyle name="20% - Accent1 2 7 3" xfId="783"/>
    <cellStyle name="20% - Accent1 2 8" xfId="784"/>
    <cellStyle name="20% - Accent1 2 8 2" xfId="785"/>
    <cellStyle name="20% - Accent1 2 8 2 2" xfId="786"/>
    <cellStyle name="20% - Accent1 2 8 2 2 2" xfId="787"/>
    <cellStyle name="20% - Accent1 2 8 2 3" xfId="788"/>
    <cellStyle name="20% - Accent1 2 8 3" xfId="789"/>
    <cellStyle name="20% - Accent1 2 8 3 2" xfId="790"/>
    <cellStyle name="20% - Accent1 2 8 4" xfId="791"/>
    <cellStyle name="20% - Accent1 2 9" xfId="792"/>
    <cellStyle name="20% - Accent1 2 9 2" xfId="793"/>
    <cellStyle name="20% - Accent1 3" xfId="794"/>
    <cellStyle name="20% - Accent1 3 2" xfId="795"/>
    <cellStyle name="20% - Accent1 3 2 2" xfId="796"/>
    <cellStyle name="20% - Accent1 3 2 2 2" xfId="797"/>
    <cellStyle name="20% - Accent1 3 2 3" xfId="798"/>
    <cellStyle name="20% - Accent1 3 3" xfId="799"/>
    <cellStyle name="20% - Accent1 3 3 2" xfId="800"/>
    <cellStyle name="20% - Accent1 3 4" xfId="801"/>
    <cellStyle name="20% - Accent1 3 4 2" xfId="802"/>
    <cellStyle name="20% - Accent1 3 4 2 2" xfId="803"/>
    <cellStyle name="20% - Accent1 3 4 3" xfId="804"/>
    <cellStyle name="20% - Accent1 3 5" xfId="805"/>
    <cellStyle name="20% - Accent1 4" xfId="806"/>
    <cellStyle name="20% - Accent1 4 2" xfId="807"/>
    <cellStyle name="20% - Accent1 4 2 2" xfId="808"/>
    <cellStyle name="20% - Accent1 4 3" xfId="809"/>
    <cellStyle name="20% - Accent1 4 3 2" xfId="810"/>
    <cellStyle name="20% - Accent1 4 3 2 2" xfId="811"/>
    <cellStyle name="20% - Accent1 4 3 3" xfId="812"/>
    <cellStyle name="20% - Accent1 4 4" xfId="813"/>
    <cellStyle name="20% - Accent1 5" xfId="814"/>
    <cellStyle name="20% - Accent1 5 2" xfId="815"/>
    <cellStyle name="20% - Accent1 5 2 2" xfId="816"/>
    <cellStyle name="20% - Accent1 5 2 2 2" xfId="817"/>
    <cellStyle name="20% - Accent1 5 2 3" xfId="818"/>
    <cellStyle name="20% - Accent1 5 3" xfId="819"/>
    <cellStyle name="20% - Accent1 5 3 2" xfId="820"/>
    <cellStyle name="20% - Accent1 5 3 2 2" xfId="821"/>
    <cellStyle name="20% - Accent1 5 3 2 2 2" xfId="822"/>
    <cellStyle name="20% - Accent1 5 3 2 3" xfId="823"/>
    <cellStyle name="20% - Accent1 5 3 3" xfId="824"/>
    <cellStyle name="20% - Accent1 5 3 3 2" xfId="825"/>
    <cellStyle name="20% - Accent1 5 3 4" xfId="826"/>
    <cellStyle name="20% - Accent1 5 4" xfId="827"/>
    <cellStyle name="20% - Accent1 5 4 2" xfId="828"/>
    <cellStyle name="20% - Accent1 5 5" xfId="829"/>
    <cellStyle name="20% - Accent1 6" xfId="830"/>
    <cellStyle name="20% - Accent1 6 2" xfId="831"/>
    <cellStyle name="20% - Accent1 6 2 2" xfId="832"/>
    <cellStyle name="20% - Accent1 6 2 2 2" xfId="833"/>
    <cellStyle name="20% - Accent1 6 2 3" xfId="834"/>
    <cellStyle name="20% - Accent1 6 3" xfId="835"/>
    <cellStyle name="20% - Accent1 6 3 2" xfId="836"/>
    <cellStyle name="20% - Accent1 6 4" xfId="837"/>
    <cellStyle name="20% - Accent1 7" xfId="838"/>
    <cellStyle name="20% - Accent1 8" xfId="839"/>
    <cellStyle name="20% - Accent2 2" xfId="840"/>
    <cellStyle name="20% - Accent2 2 10" xfId="841"/>
    <cellStyle name="20% - Accent2 2 10 2" xfId="842"/>
    <cellStyle name="20% - Accent2 2 11" xfId="843"/>
    <cellStyle name="20% - Accent2 2 2" xfId="844"/>
    <cellStyle name="20% - Accent2 2 2 2" xfId="845"/>
    <cellStyle name="20% - Accent2 2 2 2 2" xfId="846"/>
    <cellStyle name="20% - Accent2 2 2 2 2 2" xfId="847"/>
    <cellStyle name="20% - Accent2 2 2 2 3" xfId="848"/>
    <cellStyle name="20% - Accent2 2 2 2 3 2" xfId="849"/>
    <cellStyle name="20% - Accent2 2 2 2 3 2 2" xfId="850"/>
    <cellStyle name="20% - Accent2 2 2 2 3 3" xfId="851"/>
    <cellStyle name="20% - Accent2 2 2 2 4" xfId="852"/>
    <cellStyle name="20% - Accent2 2 2 3" xfId="853"/>
    <cellStyle name="20% - Accent2 2 2 3 2" xfId="854"/>
    <cellStyle name="20% - Accent2 2 2 3 2 2" xfId="855"/>
    <cellStyle name="20% - Accent2 2 2 3 3" xfId="856"/>
    <cellStyle name="20% - Accent2 2 2 4" xfId="857"/>
    <cellStyle name="20% - Accent2 2 2 4 2" xfId="858"/>
    <cellStyle name="20% - Accent2 2 2 4 2 2" xfId="859"/>
    <cellStyle name="20% - Accent2 2 2 4 2 2 2" xfId="860"/>
    <cellStyle name="20% - Accent2 2 2 4 2 3" xfId="861"/>
    <cellStyle name="20% - Accent2 2 2 4 3" xfId="862"/>
    <cellStyle name="20% - Accent2 2 2 4 3 2" xfId="863"/>
    <cellStyle name="20% - Accent2 2 2 4 4" xfId="864"/>
    <cellStyle name="20% - Accent2 2 2 5" xfId="865"/>
    <cellStyle name="20% - Accent2 2 2 5 2" xfId="866"/>
    <cellStyle name="20% - Accent2 2 2 6" xfId="867"/>
    <cellStyle name="20% - Accent2 2 3" xfId="868"/>
    <cellStyle name="20% - Accent2 2 3 2" xfId="869"/>
    <cellStyle name="20% - Accent2 2 3 2 2" xfId="870"/>
    <cellStyle name="20% - Accent2 2 3 2 2 2" xfId="871"/>
    <cellStyle name="20% - Accent2 2 3 2 3" xfId="872"/>
    <cellStyle name="20% - Accent2 2 3 3" xfId="873"/>
    <cellStyle name="20% - Accent2 2 3 3 2" xfId="874"/>
    <cellStyle name="20% - Accent2 2 3 3 2 2" xfId="875"/>
    <cellStyle name="20% - Accent2 2 3 3 2 2 2" xfId="876"/>
    <cellStyle name="20% - Accent2 2 3 3 2 3" xfId="877"/>
    <cellStyle name="20% - Accent2 2 3 3 3" xfId="878"/>
    <cellStyle name="20% - Accent2 2 3 3 3 2" xfId="879"/>
    <cellStyle name="20% - Accent2 2 3 3 4" xfId="880"/>
    <cellStyle name="20% - Accent2 2 3 4" xfId="881"/>
    <cellStyle name="20% - Accent2 2 3 4 2" xfId="882"/>
    <cellStyle name="20% - Accent2 2 3 5" xfId="883"/>
    <cellStyle name="20% - Accent2 2 4" xfId="884"/>
    <cellStyle name="20% - Accent2 2 4 2" xfId="885"/>
    <cellStyle name="20% - Accent2 2 4 2 2" xfId="886"/>
    <cellStyle name="20% - Accent2 2 4 2 2 2" xfId="887"/>
    <cellStyle name="20% - Accent2 2 4 2 3" xfId="888"/>
    <cellStyle name="20% - Accent2 2 4 3" xfId="889"/>
    <cellStyle name="20% - Accent2 2 4 3 2" xfId="890"/>
    <cellStyle name="20% - Accent2 2 4 4" xfId="891"/>
    <cellStyle name="20% - Accent2 2 5" xfId="892"/>
    <cellStyle name="20% - Accent2 2 5 2" xfId="893"/>
    <cellStyle name="20% - Accent2 2 5 2 2" xfId="894"/>
    <cellStyle name="20% - Accent2 2 5 2 2 2" xfId="895"/>
    <cellStyle name="20% - Accent2 2 5 2 3" xfId="896"/>
    <cellStyle name="20% - Accent2 2 5 3" xfId="897"/>
    <cellStyle name="20% - Accent2 2 5 3 2" xfId="898"/>
    <cellStyle name="20% - Accent2 2 5 3 2 2" xfId="899"/>
    <cellStyle name="20% - Accent2 2 5 3 2 2 2" xfId="900"/>
    <cellStyle name="20% - Accent2 2 5 3 2 3" xfId="901"/>
    <cellStyle name="20% - Accent2 2 5 3 3" xfId="902"/>
    <cellStyle name="20% - Accent2 2 5 3 3 2" xfId="903"/>
    <cellStyle name="20% - Accent2 2 5 3 4" xfId="904"/>
    <cellStyle name="20% - Accent2 2 5 4" xfId="905"/>
    <cellStyle name="20% - Accent2 2 5 4 2" xfId="906"/>
    <cellStyle name="20% - Accent2 2 5 5" xfId="907"/>
    <cellStyle name="20% - Accent2 2 6" xfId="908"/>
    <cellStyle name="20% - Accent2 2 6 2" xfId="909"/>
    <cellStyle name="20% - Accent2 2 6 2 2" xfId="910"/>
    <cellStyle name="20% - Accent2 2 6 3" xfId="911"/>
    <cellStyle name="20% - Accent2 2 7" xfId="912"/>
    <cellStyle name="20% - Accent2 2 7 2" xfId="913"/>
    <cellStyle name="20% - Accent2 2 7 2 2" xfId="914"/>
    <cellStyle name="20% - Accent2 2 7 3" xfId="915"/>
    <cellStyle name="20% - Accent2 2 8" xfId="916"/>
    <cellStyle name="20% - Accent2 2 8 2" xfId="917"/>
    <cellStyle name="20% - Accent2 2 8 2 2" xfId="918"/>
    <cellStyle name="20% - Accent2 2 8 2 2 2" xfId="919"/>
    <cellStyle name="20% - Accent2 2 8 2 3" xfId="920"/>
    <cellStyle name="20% - Accent2 2 8 3" xfId="921"/>
    <cellStyle name="20% - Accent2 2 8 3 2" xfId="922"/>
    <cellStyle name="20% - Accent2 2 8 4" xfId="923"/>
    <cellStyle name="20% - Accent2 2 9" xfId="924"/>
    <cellStyle name="20% - Accent2 2 9 2" xfId="925"/>
    <cellStyle name="20% - Accent2 3" xfId="926"/>
    <cellStyle name="20% - Accent2 3 2" xfId="927"/>
    <cellStyle name="20% - Accent2 3 2 2" xfId="928"/>
    <cellStyle name="20% - Accent2 3 2 2 2" xfId="929"/>
    <cellStyle name="20% - Accent2 3 2 3" xfId="930"/>
    <cellStyle name="20% - Accent2 3 3" xfId="931"/>
    <cellStyle name="20% - Accent2 3 3 2" xfId="932"/>
    <cellStyle name="20% - Accent2 3 4" xfId="933"/>
    <cellStyle name="20% - Accent2 3 4 2" xfId="934"/>
    <cellStyle name="20% - Accent2 3 4 2 2" xfId="935"/>
    <cellStyle name="20% - Accent2 3 4 3" xfId="936"/>
    <cellStyle name="20% - Accent2 3 5" xfId="937"/>
    <cellStyle name="20% - Accent2 4" xfId="938"/>
    <cellStyle name="20% - Accent2 4 2" xfId="939"/>
    <cellStyle name="20% - Accent2 4 2 2" xfId="940"/>
    <cellStyle name="20% - Accent2 4 3" xfId="941"/>
    <cellStyle name="20% - Accent2 4 3 2" xfId="942"/>
    <cellStyle name="20% - Accent2 4 3 2 2" xfId="943"/>
    <cellStyle name="20% - Accent2 4 3 3" xfId="944"/>
    <cellStyle name="20% - Accent2 4 4" xfId="945"/>
    <cellStyle name="20% - Accent2 5" xfId="946"/>
    <cellStyle name="20% - Accent2 5 2" xfId="947"/>
    <cellStyle name="20% - Accent2 5 2 2" xfId="948"/>
    <cellStyle name="20% - Accent2 5 2 2 2" xfId="949"/>
    <cellStyle name="20% - Accent2 5 2 3" xfId="950"/>
    <cellStyle name="20% - Accent2 5 3" xfId="951"/>
    <cellStyle name="20% - Accent2 5 3 2" xfId="952"/>
    <cellStyle name="20% - Accent2 5 3 2 2" xfId="953"/>
    <cellStyle name="20% - Accent2 5 3 2 2 2" xfId="954"/>
    <cellStyle name="20% - Accent2 5 3 2 3" xfId="955"/>
    <cellStyle name="20% - Accent2 5 3 3" xfId="956"/>
    <cellStyle name="20% - Accent2 5 3 3 2" xfId="957"/>
    <cellStyle name="20% - Accent2 5 3 4" xfId="958"/>
    <cellStyle name="20% - Accent2 5 4" xfId="959"/>
    <cellStyle name="20% - Accent2 5 4 2" xfId="960"/>
    <cellStyle name="20% - Accent2 5 5" xfId="961"/>
    <cellStyle name="20% - Accent2 6" xfId="962"/>
    <cellStyle name="20% - Accent2 6 2" xfId="963"/>
    <cellStyle name="20% - Accent2 6 2 2" xfId="964"/>
    <cellStyle name="20% - Accent2 6 2 2 2" xfId="965"/>
    <cellStyle name="20% - Accent2 6 2 3" xfId="966"/>
    <cellStyle name="20% - Accent2 6 3" xfId="967"/>
    <cellStyle name="20% - Accent2 6 3 2" xfId="968"/>
    <cellStyle name="20% - Accent2 6 4" xfId="969"/>
    <cellStyle name="20% - Accent2 7" xfId="970"/>
    <cellStyle name="20% - Accent2 8" xfId="971"/>
    <cellStyle name="20% - Accent3 2" xfId="972"/>
    <cellStyle name="20% - Accent3 2 10" xfId="973"/>
    <cellStyle name="20% - Accent3 2 10 2" xfId="974"/>
    <cellStyle name="20% - Accent3 2 11" xfId="975"/>
    <cellStyle name="20% - Accent3 2 2" xfId="976"/>
    <cellStyle name="20% - Accent3 2 2 2" xfId="977"/>
    <cellStyle name="20% - Accent3 2 2 2 2" xfId="978"/>
    <cellStyle name="20% - Accent3 2 2 2 2 2" xfId="979"/>
    <cellStyle name="20% - Accent3 2 2 2 3" xfId="980"/>
    <cellStyle name="20% - Accent3 2 2 2 3 2" xfId="981"/>
    <cellStyle name="20% - Accent3 2 2 2 3 2 2" xfId="982"/>
    <cellStyle name="20% - Accent3 2 2 2 3 3" xfId="983"/>
    <cellStyle name="20% - Accent3 2 2 2 4" xfId="984"/>
    <cellStyle name="20% - Accent3 2 2 3" xfId="985"/>
    <cellStyle name="20% - Accent3 2 2 3 2" xfId="986"/>
    <cellStyle name="20% - Accent3 2 2 3 2 2" xfId="987"/>
    <cellStyle name="20% - Accent3 2 2 3 3" xfId="988"/>
    <cellStyle name="20% - Accent3 2 2 4" xfId="989"/>
    <cellStyle name="20% - Accent3 2 2 4 2" xfId="990"/>
    <cellStyle name="20% - Accent3 2 2 4 2 2" xfId="991"/>
    <cellStyle name="20% - Accent3 2 2 4 2 2 2" xfId="992"/>
    <cellStyle name="20% - Accent3 2 2 4 2 3" xfId="993"/>
    <cellStyle name="20% - Accent3 2 2 4 3" xfId="994"/>
    <cellStyle name="20% - Accent3 2 2 4 3 2" xfId="995"/>
    <cellStyle name="20% - Accent3 2 2 4 4" xfId="996"/>
    <cellStyle name="20% - Accent3 2 2 5" xfId="997"/>
    <cellStyle name="20% - Accent3 2 2 5 2" xfId="998"/>
    <cellStyle name="20% - Accent3 2 2 6" xfId="999"/>
    <cellStyle name="20% - Accent3 2 3" xfId="1000"/>
    <cellStyle name="20% - Accent3 2 3 2" xfId="1001"/>
    <cellStyle name="20% - Accent3 2 3 2 2" xfId="1002"/>
    <cellStyle name="20% - Accent3 2 3 2 2 2" xfId="1003"/>
    <cellStyle name="20% - Accent3 2 3 2 3" xfId="1004"/>
    <cellStyle name="20% - Accent3 2 3 3" xfId="1005"/>
    <cellStyle name="20% - Accent3 2 3 3 2" xfId="1006"/>
    <cellStyle name="20% - Accent3 2 3 3 2 2" xfId="1007"/>
    <cellStyle name="20% - Accent3 2 3 3 2 2 2" xfId="1008"/>
    <cellStyle name="20% - Accent3 2 3 3 2 3" xfId="1009"/>
    <cellStyle name="20% - Accent3 2 3 3 3" xfId="1010"/>
    <cellStyle name="20% - Accent3 2 3 3 3 2" xfId="1011"/>
    <cellStyle name="20% - Accent3 2 3 3 4" xfId="1012"/>
    <cellStyle name="20% - Accent3 2 3 4" xfId="1013"/>
    <cellStyle name="20% - Accent3 2 3 4 2" xfId="1014"/>
    <cellStyle name="20% - Accent3 2 3 5" xfId="1015"/>
    <cellStyle name="20% - Accent3 2 4" xfId="1016"/>
    <cellStyle name="20% - Accent3 2 4 2" xfId="1017"/>
    <cellStyle name="20% - Accent3 2 4 2 2" xfId="1018"/>
    <cellStyle name="20% - Accent3 2 4 2 2 2" xfId="1019"/>
    <cellStyle name="20% - Accent3 2 4 2 3" xfId="1020"/>
    <cellStyle name="20% - Accent3 2 4 3" xfId="1021"/>
    <cellStyle name="20% - Accent3 2 4 3 2" xfId="1022"/>
    <cellStyle name="20% - Accent3 2 4 4" xfId="1023"/>
    <cellStyle name="20% - Accent3 2 5" xfId="1024"/>
    <cellStyle name="20% - Accent3 2 5 2" xfId="1025"/>
    <cellStyle name="20% - Accent3 2 5 2 2" xfId="1026"/>
    <cellStyle name="20% - Accent3 2 5 2 2 2" xfId="1027"/>
    <cellStyle name="20% - Accent3 2 5 2 3" xfId="1028"/>
    <cellStyle name="20% - Accent3 2 5 3" xfId="1029"/>
    <cellStyle name="20% - Accent3 2 5 3 2" xfId="1030"/>
    <cellStyle name="20% - Accent3 2 5 3 2 2" xfId="1031"/>
    <cellStyle name="20% - Accent3 2 5 3 2 2 2" xfId="1032"/>
    <cellStyle name="20% - Accent3 2 5 3 2 3" xfId="1033"/>
    <cellStyle name="20% - Accent3 2 5 3 3" xfId="1034"/>
    <cellStyle name="20% - Accent3 2 5 3 3 2" xfId="1035"/>
    <cellStyle name="20% - Accent3 2 5 3 4" xfId="1036"/>
    <cellStyle name="20% - Accent3 2 5 4" xfId="1037"/>
    <cellStyle name="20% - Accent3 2 5 4 2" xfId="1038"/>
    <cellStyle name="20% - Accent3 2 5 5" xfId="1039"/>
    <cellStyle name="20% - Accent3 2 6" xfId="1040"/>
    <cellStyle name="20% - Accent3 2 6 2" xfId="1041"/>
    <cellStyle name="20% - Accent3 2 6 2 2" xfId="1042"/>
    <cellStyle name="20% - Accent3 2 6 3" xfId="1043"/>
    <cellStyle name="20% - Accent3 2 7" xfId="1044"/>
    <cellStyle name="20% - Accent3 2 7 2" xfId="1045"/>
    <cellStyle name="20% - Accent3 2 7 2 2" xfId="1046"/>
    <cellStyle name="20% - Accent3 2 7 3" xfId="1047"/>
    <cellStyle name="20% - Accent3 2 8" xfId="1048"/>
    <cellStyle name="20% - Accent3 2 8 2" xfId="1049"/>
    <cellStyle name="20% - Accent3 2 8 2 2" xfId="1050"/>
    <cellStyle name="20% - Accent3 2 8 2 2 2" xfId="1051"/>
    <cellStyle name="20% - Accent3 2 8 2 3" xfId="1052"/>
    <cellStyle name="20% - Accent3 2 8 3" xfId="1053"/>
    <cellStyle name="20% - Accent3 2 8 3 2" xfId="1054"/>
    <cellStyle name="20% - Accent3 2 8 4" xfId="1055"/>
    <cellStyle name="20% - Accent3 2 9" xfId="1056"/>
    <cellStyle name="20% - Accent3 2 9 2" xfId="1057"/>
    <cellStyle name="20% - Accent3 3" xfId="1058"/>
    <cellStyle name="20% - Accent3 3 2" xfId="1059"/>
    <cellStyle name="20% - Accent3 3 2 2" xfId="1060"/>
    <cellStyle name="20% - Accent3 3 2 2 2" xfId="1061"/>
    <cellStyle name="20% - Accent3 3 2 3" xfId="1062"/>
    <cellStyle name="20% - Accent3 3 3" xfId="1063"/>
    <cellStyle name="20% - Accent3 3 3 2" xfId="1064"/>
    <cellStyle name="20% - Accent3 3 4" xfId="1065"/>
    <cellStyle name="20% - Accent3 3 4 2" xfId="1066"/>
    <cellStyle name="20% - Accent3 3 4 2 2" xfId="1067"/>
    <cellStyle name="20% - Accent3 3 4 3" xfId="1068"/>
    <cellStyle name="20% - Accent3 3 5" xfId="1069"/>
    <cellStyle name="20% - Accent3 4" xfId="1070"/>
    <cellStyle name="20% - Accent3 4 2" xfId="1071"/>
    <cellStyle name="20% - Accent3 4 2 2" xfId="1072"/>
    <cellStyle name="20% - Accent3 4 3" xfId="1073"/>
    <cellStyle name="20% - Accent3 4 3 2" xfId="1074"/>
    <cellStyle name="20% - Accent3 4 3 2 2" xfId="1075"/>
    <cellStyle name="20% - Accent3 4 3 3" xfId="1076"/>
    <cellStyle name="20% - Accent3 4 4" xfId="1077"/>
    <cellStyle name="20% - Accent3 5" xfId="1078"/>
    <cellStyle name="20% - Accent3 5 2" xfId="1079"/>
    <cellStyle name="20% - Accent3 5 2 2" xfId="1080"/>
    <cellStyle name="20% - Accent3 5 2 2 2" xfId="1081"/>
    <cellStyle name="20% - Accent3 5 2 3" xfId="1082"/>
    <cellStyle name="20% - Accent3 5 3" xfId="1083"/>
    <cellStyle name="20% - Accent3 5 3 2" xfId="1084"/>
    <cellStyle name="20% - Accent3 5 3 2 2" xfId="1085"/>
    <cellStyle name="20% - Accent3 5 3 2 2 2" xfId="1086"/>
    <cellStyle name="20% - Accent3 5 3 2 3" xfId="1087"/>
    <cellStyle name="20% - Accent3 5 3 3" xfId="1088"/>
    <cellStyle name="20% - Accent3 5 3 3 2" xfId="1089"/>
    <cellStyle name="20% - Accent3 5 3 4" xfId="1090"/>
    <cellStyle name="20% - Accent3 5 4" xfId="1091"/>
    <cellStyle name="20% - Accent3 5 4 2" xfId="1092"/>
    <cellStyle name="20% - Accent3 5 5" xfId="1093"/>
    <cellStyle name="20% - Accent3 6" xfId="1094"/>
    <cellStyle name="20% - Accent3 6 2" xfId="1095"/>
    <cellStyle name="20% - Accent3 6 2 2" xfId="1096"/>
    <cellStyle name="20% - Accent3 6 2 2 2" xfId="1097"/>
    <cellStyle name="20% - Accent3 6 2 3" xfId="1098"/>
    <cellStyle name="20% - Accent3 6 3" xfId="1099"/>
    <cellStyle name="20% - Accent3 6 3 2" xfId="1100"/>
    <cellStyle name="20% - Accent3 6 4" xfId="1101"/>
    <cellStyle name="20% - Accent3 7" xfId="1102"/>
    <cellStyle name="20% - Accent3 8" xfId="1103"/>
    <cellStyle name="20% - Accent4 2" xfId="1104"/>
    <cellStyle name="20% - Accent4 2 10" xfId="1105"/>
    <cellStyle name="20% - Accent4 2 10 2" xfId="1106"/>
    <cellStyle name="20% - Accent4 2 11" xfId="1107"/>
    <cellStyle name="20% - Accent4 2 2" xfId="1108"/>
    <cellStyle name="20% - Accent4 2 2 2" xfId="1109"/>
    <cellStyle name="20% - Accent4 2 2 2 2" xfId="1110"/>
    <cellStyle name="20% - Accent4 2 2 2 2 2" xfId="1111"/>
    <cellStyle name="20% - Accent4 2 2 2 3" xfId="1112"/>
    <cellStyle name="20% - Accent4 2 2 2 3 2" xfId="1113"/>
    <cellStyle name="20% - Accent4 2 2 2 3 2 2" xfId="1114"/>
    <cellStyle name="20% - Accent4 2 2 2 3 3" xfId="1115"/>
    <cellStyle name="20% - Accent4 2 2 2 4" xfId="1116"/>
    <cellStyle name="20% - Accent4 2 2 3" xfId="1117"/>
    <cellStyle name="20% - Accent4 2 2 3 2" xfId="1118"/>
    <cellStyle name="20% - Accent4 2 2 3 2 2" xfId="1119"/>
    <cellStyle name="20% - Accent4 2 2 3 3" xfId="1120"/>
    <cellStyle name="20% - Accent4 2 2 4" xfId="1121"/>
    <cellStyle name="20% - Accent4 2 2 4 2" xfId="1122"/>
    <cellStyle name="20% - Accent4 2 2 4 2 2" xfId="1123"/>
    <cellStyle name="20% - Accent4 2 2 4 2 2 2" xfId="1124"/>
    <cellStyle name="20% - Accent4 2 2 4 2 3" xfId="1125"/>
    <cellStyle name="20% - Accent4 2 2 4 3" xfId="1126"/>
    <cellStyle name="20% - Accent4 2 2 4 3 2" xfId="1127"/>
    <cellStyle name="20% - Accent4 2 2 4 4" xfId="1128"/>
    <cellStyle name="20% - Accent4 2 2 5" xfId="1129"/>
    <cellStyle name="20% - Accent4 2 2 5 2" xfId="1130"/>
    <cellStyle name="20% - Accent4 2 2 6" xfId="1131"/>
    <cellStyle name="20% - Accent4 2 3" xfId="1132"/>
    <cellStyle name="20% - Accent4 2 3 2" xfId="1133"/>
    <cellStyle name="20% - Accent4 2 3 2 2" xfId="1134"/>
    <cellStyle name="20% - Accent4 2 3 2 2 2" xfId="1135"/>
    <cellStyle name="20% - Accent4 2 3 2 3" xfId="1136"/>
    <cellStyle name="20% - Accent4 2 3 3" xfId="1137"/>
    <cellStyle name="20% - Accent4 2 3 3 2" xfId="1138"/>
    <cellStyle name="20% - Accent4 2 3 3 2 2" xfId="1139"/>
    <cellStyle name="20% - Accent4 2 3 3 2 2 2" xfId="1140"/>
    <cellStyle name="20% - Accent4 2 3 3 2 3" xfId="1141"/>
    <cellStyle name="20% - Accent4 2 3 3 3" xfId="1142"/>
    <cellStyle name="20% - Accent4 2 3 3 3 2" xfId="1143"/>
    <cellStyle name="20% - Accent4 2 3 3 4" xfId="1144"/>
    <cellStyle name="20% - Accent4 2 3 4" xfId="1145"/>
    <cellStyle name="20% - Accent4 2 3 4 2" xfId="1146"/>
    <cellStyle name="20% - Accent4 2 3 5" xfId="1147"/>
    <cellStyle name="20% - Accent4 2 4" xfId="1148"/>
    <cellStyle name="20% - Accent4 2 4 2" xfId="1149"/>
    <cellStyle name="20% - Accent4 2 4 2 2" xfId="1150"/>
    <cellStyle name="20% - Accent4 2 4 2 2 2" xfId="1151"/>
    <cellStyle name="20% - Accent4 2 4 2 3" xfId="1152"/>
    <cellStyle name="20% - Accent4 2 4 3" xfId="1153"/>
    <cellStyle name="20% - Accent4 2 4 3 2" xfId="1154"/>
    <cellStyle name="20% - Accent4 2 4 4" xfId="1155"/>
    <cellStyle name="20% - Accent4 2 5" xfId="1156"/>
    <cellStyle name="20% - Accent4 2 5 2" xfId="1157"/>
    <cellStyle name="20% - Accent4 2 5 2 2" xfId="1158"/>
    <cellStyle name="20% - Accent4 2 5 2 2 2" xfId="1159"/>
    <cellStyle name="20% - Accent4 2 5 2 3" xfId="1160"/>
    <cellStyle name="20% - Accent4 2 5 3" xfId="1161"/>
    <cellStyle name="20% - Accent4 2 5 3 2" xfId="1162"/>
    <cellStyle name="20% - Accent4 2 5 3 2 2" xfId="1163"/>
    <cellStyle name="20% - Accent4 2 5 3 2 2 2" xfId="1164"/>
    <cellStyle name="20% - Accent4 2 5 3 2 3" xfId="1165"/>
    <cellStyle name="20% - Accent4 2 5 3 3" xfId="1166"/>
    <cellStyle name="20% - Accent4 2 5 3 3 2" xfId="1167"/>
    <cellStyle name="20% - Accent4 2 5 3 4" xfId="1168"/>
    <cellStyle name="20% - Accent4 2 5 4" xfId="1169"/>
    <cellStyle name="20% - Accent4 2 5 4 2" xfId="1170"/>
    <cellStyle name="20% - Accent4 2 5 5" xfId="1171"/>
    <cellStyle name="20% - Accent4 2 6" xfId="1172"/>
    <cellStyle name="20% - Accent4 2 6 2" xfId="1173"/>
    <cellStyle name="20% - Accent4 2 6 2 2" xfId="1174"/>
    <cellStyle name="20% - Accent4 2 6 3" xfId="1175"/>
    <cellStyle name="20% - Accent4 2 7" xfId="1176"/>
    <cellStyle name="20% - Accent4 2 7 2" xfId="1177"/>
    <cellStyle name="20% - Accent4 2 7 2 2" xfId="1178"/>
    <cellStyle name="20% - Accent4 2 7 3" xfId="1179"/>
    <cellStyle name="20% - Accent4 2 8" xfId="1180"/>
    <cellStyle name="20% - Accent4 2 8 2" xfId="1181"/>
    <cellStyle name="20% - Accent4 2 8 2 2" xfId="1182"/>
    <cellStyle name="20% - Accent4 2 8 2 2 2" xfId="1183"/>
    <cellStyle name="20% - Accent4 2 8 2 3" xfId="1184"/>
    <cellStyle name="20% - Accent4 2 8 3" xfId="1185"/>
    <cellStyle name="20% - Accent4 2 8 3 2" xfId="1186"/>
    <cellStyle name="20% - Accent4 2 8 4" xfId="1187"/>
    <cellStyle name="20% - Accent4 2 9" xfId="1188"/>
    <cellStyle name="20% - Accent4 2 9 2" xfId="1189"/>
    <cellStyle name="20% - Accent4 3" xfId="1190"/>
    <cellStyle name="20% - Accent4 3 2" xfId="1191"/>
    <cellStyle name="20% - Accent4 3 2 2" xfId="1192"/>
    <cellStyle name="20% - Accent4 3 2 2 2" xfId="1193"/>
    <cellStyle name="20% - Accent4 3 2 3" xfId="1194"/>
    <cellStyle name="20% - Accent4 3 3" xfId="1195"/>
    <cellStyle name="20% - Accent4 3 3 2" xfId="1196"/>
    <cellStyle name="20% - Accent4 3 4" xfId="1197"/>
    <cellStyle name="20% - Accent4 3 4 2" xfId="1198"/>
    <cellStyle name="20% - Accent4 3 4 2 2" xfId="1199"/>
    <cellStyle name="20% - Accent4 3 4 3" xfId="1200"/>
    <cellStyle name="20% - Accent4 3 5" xfId="1201"/>
    <cellStyle name="20% - Accent4 4" xfId="1202"/>
    <cellStyle name="20% - Accent4 4 2" xfId="1203"/>
    <cellStyle name="20% - Accent4 4 2 2" xfId="1204"/>
    <cellStyle name="20% - Accent4 4 3" xfId="1205"/>
    <cellStyle name="20% - Accent4 4 3 2" xfId="1206"/>
    <cellStyle name="20% - Accent4 4 3 2 2" xfId="1207"/>
    <cellStyle name="20% - Accent4 4 3 3" xfId="1208"/>
    <cellStyle name="20% - Accent4 4 4" xfId="1209"/>
    <cellStyle name="20% - Accent4 5" xfId="1210"/>
    <cellStyle name="20% - Accent4 5 2" xfId="1211"/>
    <cellStyle name="20% - Accent4 5 2 2" xfId="1212"/>
    <cellStyle name="20% - Accent4 5 2 2 2" xfId="1213"/>
    <cellStyle name="20% - Accent4 5 2 3" xfId="1214"/>
    <cellStyle name="20% - Accent4 5 3" xfId="1215"/>
    <cellStyle name="20% - Accent4 5 3 2" xfId="1216"/>
    <cellStyle name="20% - Accent4 5 3 2 2" xfId="1217"/>
    <cellStyle name="20% - Accent4 5 3 2 2 2" xfId="1218"/>
    <cellStyle name="20% - Accent4 5 3 2 3" xfId="1219"/>
    <cellStyle name="20% - Accent4 5 3 3" xfId="1220"/>
    <cellStyle name="20% - Accent4 5 3 3 2" xfId="1221"/>
    <cellStyle name="20% - Accent4 5 3 4" xfId="1222"/>
    <cellStyle name="20% - Accent4 5 4" xfId="1223"/>
    <cellStyle name="20% - Accent4 5 4 2" xfId="1224"/>
    <cellStyle name="20% - Accent4 5 5" xfId="1225"/>
    <cellStyle name="20% - Accent4 6" xfId="1226"/>
    <cellStyle name="20% - Accent4 6 2" xfId="1227"/>
    <cellStyle name="20% - Accent4 6 2 2" xfId="1228"/>
    <cellStyle name="20% - Accent4 6 2 2 2" xfId="1229"/>
    <cellStyle name="20% - Accent4 6 2 3" xfId="1230"/>
    <cellStyle name="20% - Accent4 6 3" xfId="1231"/>
    <cellStyle name="20% - Accent4 6 3 2" xfId="1232"/>
    <cellStyle name="20% - Accent4 6 4" xfId="1233"/>
    <cellStyle name="20% - Accent4 7" xfId="1234"/>
    <cellStyle name="20% - Accent4 8" xfId="1235"/>
    <cellStyle name="20% - Accent5 2" xfId="1236"/>
    <cellStyle name="20% - Accent5 2 10" xfId="1237"/>
    <cellStyle name="20% - Accent5 2 10 2" xfId="1238"/>
    <cellStyle name="20% - Accent5 2 11" xfId="1239"/>
    <cellStyle name="20% - Accent5 2 2" xfId="1240"/>
    <cellStyle name="20% - Accent5 2 2 2" xfId="1241"/>
    <cellStyle name="20% - Accent5 2 2 2 2" xfId="1242"/>
    <cellStyle name="20% - Accent5 2 2 2 2 2" xfId="1243"/>
    <cellStyle name="20% - Accent5 2 2 2 3" xfId="1244"/>
    <cellStyle name="20% - Accent5 2 2 2 3 2" xfId="1245"/>
    <cellStyle name="20% - Accent5 2 2 2 3 2 2" xfId="1246"/>
    <cellStyle name="20% - Accent5 2 2 2 3 3" xfId="1247"/>
    <cellStyle name="20% - Accent5 2 2 2 4" xfId="1248"/>
    <cellStyle name="20% - Accent5 2 2 3" xfId="1249"/>
    <cellStyle name="20% - Accent5 2 2 3 2" xfId="1250"/>
    <cellStyle name="20% - Accent5 2 2 3 2 2" xfId="1251"/>
    <cellStyle name="20% - Accent5 2 2 3 3" xfId="1252"/>
    <cellStyle name="20% - Accent5 2 2 4" xfId="1253"/>
    <cellStyle name="20% - Accent5 2 2 4 2" xfId="1254"/>
    <cellStyle name="20% - Accent5 2 2 4 2 2" xfId="1255"/>
    <cellStyle name="20% - Accent5 2 2 4 2 2 2" xfId="1256"/>
    <cellStyle name="20% - Accent5 2 2 4 2 3" xfId="1257"/>
    <cellStyle name="20% - Accent5 2 2 4 3" xfId="1258"/>
    <cellStyle name="20% - Accent5 2 2 4 3 2" xfId="1259"/>
    <cellStyle name="20% - Accent5 2 2 4 4" xfId="1260"/>
    <cellStyle name="20% - Accent5 2 2 5" xfId="1261"/>
    <cellStyle name="20% - Accent5 2 2 5 2" xfId="1262"/>
    <cellStyle name="20% - Accent5 2 2 6" xfId="1263"/>
    <cellStyle name="20% - Accent5 2 3" xfId="1264"/>
    <cellStyle name="20% - Accent5 2 3 2" xfId="1265"/>
    <cellStyle name="20% - Accent5 2 3 2 2" xfId="1266"/>
    <cellStyle name="20% - Accent5 2 3 2 2 2" xfId="1267"/>
    <cellStyle name="20% - Accent5 2 3 2 3" xfId="1268"/>
    <cellStyle name="20% - Accent5 2 3 3" xfId="1269"/>
    <cellStyle name="20% - Accent5 2 3 3 2" xfId="1270"/>
    <cellStyle name="20% - Accent5 2 3 3 2 2" xfId="1271"/>
    <cellStyle name="20% - Accent5 2 3 3 2 2 2" xfId="1272"/>
    <cellStyle name="20% - Accent5 2 3 3 2 3" xfId="1273"/>
    <cellStyle name="20% - Accent5 2 3 3 3" xfId="1274"/>
    <cellStyle name="20% - Accent5 2 3 3 3 2" xfId="1275"/>
    <cellStyle name="20% - Accent5 2 3 3 4" xfId="1276"/>
    <cellStyle name="20% - Accent5 2 3 4" xfId="1277"/>
    <cellStyle name="20% - Accent5 2 3 4 2" xfId="1278"/>
    <cellStyle name="20% - Accent5 2 3 5" xfId="1279"/>
    <cellStyle name="20% - Accent5 2 4" xfId="1280"/>
    <cellStyle name="20% - Accent5 2 4 2" xfId="1281"/>
    <cellStyle name="20% - Accent5 2 4 2 2" xfId="1282"/>
    <cellStyle name="20% - Accent5 2 4 2 2 2" xfId="1283"/>
    <cellStyle name="20% - Accent5 2 4 2 3" xfId="1284"/>
    <cellStyle name="20% - Accent5 2 4 3" xfId="1285"/>
    <cellStyle name="20% - Accent5 2 4 3 2" xfId="1286"/>
    <cellStyle name="20% - Accent5 2 4 4" xfId="1287"/>
    <cellStyle name="20% - Accent5 2 5" xfId="1288"/>
    <cellStyle name="20% - Accent5 2 5 2" xfId="1289"/>
    <cellStyle name="20% - Accent5 2 5 2 2" xfId="1290"/>
    <cellStyle name="20% - Accent5 2 5 2 2 2" xfId="1291"/>
    <cellStyle name="20% - Accent5 2 5 2 3" xfId="1292"/>
    <cellStyle name="20% - Accent5 2 5 3" xfId="1293"/>
    <cellStyle name="20% - Accent5 2 5 3 2" xfId="1294"/>
    <cellStyle name="20% - Accent5 2 5 3 2 2" xfId="1295"/>
    <cellStyle name="20% - Accent5 2 5 3 2 2 2" xfId="1296"/>
    <cellStyle name="20% - Accent5 2 5 3 2 3" xfId="1297"/>
    <cellStyle name="20% - Accent5 2 5 3 3" xfId="1298"/>
    <cellStyle name="20% - Accent5 2 5 3 3 2" xfId="1299"/>
    <cellStyle name="20% - Accent5 2 5 3 4" xfId="1300"/>
    <cellStyle name="20% - Accent5 2 5 4" xfId="1301"/>
    <cellStyle name="20% - Accent5 2 5 4 2" xfId="1302"/>
    <cellStyle name="20% - Accent5 2 5 5" xfId="1303"/>
    <cellStyle name="20% - Accent5 2 6" xfId="1304"/>
    <cellStyle name="20% - Accent5 2 6 2" xfId="1305"/>
    <cellStyle name="20% - Accent5 2 6 2 2" xfId="1306"/>
    <cellStyle name="20% - Accent5 2 6 3" xfId="1307"/>
    <cellStyle name="20% - Accent5 2 7" xfId="1308"/>
    <cellStyle name="20% - Accent5 2 7 2" xfId="1309"/>
    <cellStyle name="20% - Accent5 2 7 2 2" xfId="1310"/>
    <cellStyle name="20% - Accent5 2 7 3" xfId="1311"/>
    <cellStyle name="20% - Accent5 2 8" xfId="1312"/>
    <cellStyle name="20% - Accent5 2 8 2" xfId="1313"/>
    <cellStyle name="20% - Accent5 2 8 2 2" xfId="1314"/>
    <cellStyle name="20% - Accent5 2 8 2 2 2" xfId="1315"/>
    <cellStyle name="20% - Accent5 2 8 2 3" xfId="1316"/>
    <cellStyle name="20% - Accent5 2 8 3" xfId="1317"/>
    <cellStyle name="20% - Accent5 2 8 3 2" xfId="1318"/>
    <cellStyle name="20% - Accent5 2 8 4" xfId="1319"/>
    <cellStyle name="20% - Accent5 2 9" xfId="1320"/>
    <cellStyle name="20% - Accent5 2 9 2" xfId="1321"/>
    <cellStyle name="20% - Accent5 3" xfId="1322"/>
    <cellStyle name="20% - Accent5 3 2" xfId="1323"/>
    <cellStyle name="20% - Accent5 3 2 2" xfId="1324"/>
    <cellStyle name="20% - Accent5 3 2 2 2" xfId="1325"/>
    <cellStyle name="20% - Accent5 3 2 3" xfId="1326"/>
    <cellStyle name="20% - Accent5 3 3" xfId="1327"/>
    <cellStyle name="20% - Accent5 3 3 2" xfId="1328"/>
    <cellStyle name="20% - Accent5 3 4" xfId="1329"/>
    <cellStyle name="20% - Accent5 3 4 2" xfId="1330"/>
    <cellStyle name="20% - Accent5 3 4 2 2" xfId="1331"/>
    <cellStyle name="20% - Accent5 3 4 3" xfId="1332"/>
    <cellStyle name="20% - Accent5 3 5" xfId="1333"/>
    <cellStyle name="20% - Accent5 4" xfId="1334"/>
    <cellStyle name="20% - Accent5 4 2" xfId="1335"/>
    <cellStyle name="20% - Accent5 4 2 2" xfId="1336"/>
    <cellStyle name="20% - Accent5 4 3" xfId="1337"/>
    <cellStyle name="20% - Accent5 4 3 2" xfId="1338"/>
    <cellStyle name="20% - Accent5 4 3 2 2" xfId="1339"/>
    <cellStyle name="20% - Accent5 4 3 3" xfId="1340"/>
    <cellStyle name="20% - Accent5 4 4" xfId="1341"/>
    <cellStyle name="20% - Accent5 5" xfId="1342"/>
    <cellStyle name="20% - Accent5 5 2" xfId="1343"/>
    <cellStyle name="20% - Accent5 5 2 2" xfId="1344"/>
    <cellStyle name="20% - Accent5 5 2 2 2" xfId="1345"/>
    <cellStyle name="20% - Accent5 5 2 3" xfId="1346"/>
    <cellStyle name="20% - Accent5 5 3" xfId="1347"/>
    <cellStyle name="20% - Accent5 5 3 2" xfId="1348"/>
    <cellStyle name="20% - Accent5 5 3 2 2" xfId="1349"/>
    <cellStyle name="20% - Accent5 5 3 2 2 2" xfId="1350"/>
    <cellStyle name="20% - Accent5 5 3 2 3" xfId="1351"/>
    <cellStyle name="20% - Accent5 5 3 3" xfId="1352"/>
    <cellStyle name="20% - Accent5 5 3 3 2" xfId="1353"/>
    <cellStyle name="20% - Accent5 5 3 4" xfId="1354"/>
    <cellStyle name="20% - Accent5 5 4" xfId="1355"/>
    <cellStyle name="20% - Accent5 5 4 2" xfId="1356"/>
    <cellStyle name="20% - Accent5 5 5" xfId="1357"/>
    <cellStyle name="20% - Accent5 6" xfId="1358"/>
    <cellStyle name="20% - Accent5 6 2" xfId="1359"/>
    <cellStyle name="20% - Accent5 6 2 2" xfId="1360"/>
    <cellStyle name="20% - Accent5 6 2 2 2" xfId="1361"/>
    <cellStyle name="20% - Accent5 6 2 3" xfId="1362"/>
    <cellStyle name="20% - Accent5 6 3" xfId="1363"/>
    <cellStyle name="20% - Accent5 6 3 2" xfId="1364"/>
    <cellStyle name="20% - Accent5 6 4" xfId="1365"/>
    <cellStyle name="20% - Accent5 7" xfId="1366"/>
    <cellStyle name="20% - Accent5 8" xfId="1367"/>
    <cellStyle name="20% - Accent6 2" xfId="1368"/>
    <cellStyle name="20% - Accent6 2 10" xfId="1369"/>
    <cellStyle name="20% - Accent6 2 10 2" xfId="1370"/>
    <cellStyle name="20% - Accent6 2 11" xfId="1371"/>
    <cellStyle name="20% - Accent6 2 2" xfId="1372"/>
    <cellStyle name="20% - Accent6 2 2 2" xfId="1373"/>
    <cellStyle name="20% - Accent6 2 2 2 2" xfId="1374"/>
    <cellStyle name="20% - Accent6 2 2 2 2 2" xfId="1375"/>
    <cellStyle name="20% - Accent6 2 2 2 3" xfId="1376"/>
    <cellStyle name="20% - Accent6 2 2 2 3 2" xfId="1377"/>
    <cellStyle name="20% - Accent6 2 2 2 3 2 2" xfId="1378"/>
    <cellStyle name="20% - Accent6 2 2 2 3 3" xfId="1379"/>
    <cellStyle name="20% - Accent6 2 2 2 4" xfId="1380"/>
    <cellStyle name="20% - Accent6 2 2 3" xfId="1381"/>
    <cellStyle name="20% - Accent6 2 2 3 2" xfId="1382"/>
    <cellStyle name="20% - Accent6 2 2 3 2 2" xfId="1383"/>
    <cellStyle name="20% - Accent6 2 2 3 3" xfId="1384"/>
    <cellStyle name="20% - Accent6 2 2 4" xfId="1385"/>
    <cellStyle name="20% - Accent6 2 2 4 2" xfId="1386"/>
    <cellStyle name="20% - Accent6 2 2 4 2 2" xfId="1387"/>
    <cellStyle name="20% - Accent6 2 2 4 2 2 2" xfId="1388"/>
    <cellStyle name="20% - Accent6 2 2 4 2 3" xfId="1389"/>
    <cellStyle name="20% - Accent6 2 2 4 3" xfId="1390"/>
    <cellStyle name="20% - Accent6 2 2 4 3 2" xfId="1391"/>
    <cellStyle name="20% - Accent6 2 2 4 4" xfId="1392"/>
    <cellStyle name="20% - Accent6 2 2 5" xfId="1393"/>
    <cellStyle name="20% - Accent6 2 2 5 2" xfId="1394"/>
    <cellStyle name="20% - Accent6 2 2 6" xfId="1395"/>
    <cellStyle name="20% - Accent6 2 3" xfId="1396"/>
    <cellStyle name="20% - Accent6 2 3 2" xfId="1397"/>
    <cellStyle name="20% - Accent6 2 3 2 2" xfId="1398"/>
    <cellStyle name="20% - Accent6 2 3 2 2 2" xfId="1399"/>
    <cellStyle name="20% - Accent6 2 3 2 3" xfId="1400"/>
    <cellStyle name="20% - Accent6 2 3 3" xfId="1401"/>
    <cellStyle name="20% - Accent6 2 3 3 2" xfId="1402"/>
    <cellStyle name="20% - Accent6 2 3 3 2 2" xfId="1403"/>
    <cellStyle name="20% - Accent6 2 3 3 2 2 2" xfId="1404"/>
    <cellStyle name="20% - Accent6 2 3 3 2 3" xfId="1405"/>
    <cellStyle name="20% - Accent6 2 3 3 3" xfId="1406"/>
    <cellStyle name="20% - Accent6 2 3 3 3 2" xfId="1407"/>
    <cellStyle name="20% - Accent6 2 3 3 4" xfId="1408"/>
    <cellStyle name="20% - Accent6 2 3 4" xfId="1409"/>
    <cellStyle name="20% - Accent6 2 3 4 2" xfId="1410"/>
    <cellStyle name="20% - Accent6 2 3 5" xfId="1411"/>
    <cellStyle name="20% - Accent6 2 4" xfId="1412"/>
    <cellStyle name="20% - Accent6 2 4 2" xfId="1413"/>
    <cellStyle name="20% - Accent6 2 4 2 2" xfId="1414"/>
    <cellStyle name="20% - Accent6 2 4 2 2 2" xfId="1415"/>
    <cellStyle name="20% - Accent6 2 4 2 3" xfId="1416"/>
    <cellStyle name="20% - Accent6 2 4 3" xfId="1417"/>
    <cellStyle name="20% - Accent6 2 4 3 2" xfId="1418"/>
    <cellStyle name="20% - Accent6 2 4 4" xfId="1419"/>
    <cellStyle name="20% - Accent6 2 5" xfId="1420"/>
    <cellStyle name="20% - Accent6 2 5 2" xfId="1421"/>
    <cellStyle name="20% - Accent6 2 5 2 2" xfId="1422"/>
    <cellStyle name="20% - Accent6 2 5 2 2 2" xfId="1423"/>
    <cellStyle name="20% - Accent6 2 5 2 3" xfId="1424"/>
    <cellStyle name="20% - Accent6 2 5 3" xfId="1425"/>
    <cellStyle name="20% - Accent6 2 5 3 2" xfId="1426"/>
    <cellStyle name="20% - Accent6 2 5 3 2 2" xfId="1427"/>
    <cellStyle name="20% - Accent6 2 5 3 2 2 2" xfId="1428"/>
    <cellStyle name="20% - Accent6 2 5 3 2 3" xfId="1429"/>
    <cellStyle name="20% - Accent6 2 5 3 3" xfId="1430"/>
    <cellStyle name="20% - Accent6 2 5 3 3 2" xfId="1431"/>
    <cellStyle name="20% - Accent6 2 5 3 4" xfId="1432"/>
    <cellStyle name="20% - Accent6 2 5 4" xfId="1433"/>
    <cellStyle name="20% - Accent6 2 5 4 2" xfId="1434"/>
    <cellStyle name="20% - Accent6 2 5 5" xfId="1435"/>
    <cellStyle name="20% - Accent6 2 6" xfId="1436"/>
    <cellStyle name="20% - Accent6 2 6 2" xfId="1437"/>
    <cellStyle name="20% - Accent6 2 6 2 2" xfId="1438"/>
    <cellStyle name="20% - Accent6 2 6 3" xfId="1439"/>
    <cellStyle name="20% - Accent6 2 7" xfId="1440"/>
    <cellStyle name="20% - Accent6 2 7 2" xfId="1441"/>
    <cellStyle name="20% - Accent6 2 7 2 2" xfId="1442"/>
    <cellStyle name="20% - Accent6 2 7 3" xfId="1443"/>
    <cellStyle name="20% - Accent6 2 8" xfId="1444"/>
    <cellStyle name="20% - Accent6 2 8 2" xfId="1445"/>
    <cellStyle name="20% - Accent6 2 8 2 2" xfId="1446"/>
    <cellStyle name="20% - Accent6 2 8 2 2 2" xfId="1447"/>
    <cellStyle name="20% - Accent6 2 8 2 3" xfId="1448"/>
    <cellStyle name="20% - Accent6 2 8 3" xfId="1449"/>
    <cellStyle name="20% - Accent6 2 8 3 2" xfId="1450"/>
    <cellStyle name="20% - Accent6 2 8 4" xfId="1451"/>
    <cellStyle name="20% - Accent6 2 9" xfId="1452"/>
    <cellStyle name="20% - Accent6 2 9 2" xfId="1453"/>
    <cellStyle name="20% - Accent6 3" xfId="1454"/>
    <cellStyle name="20% - Accent6 3 2" xfId="1455"/>
    <cellStyle name="20% - Accent6 3 2 2" xfId="1456"/>
    <cellStyle name="20% - Accent6 3 2 2 2" xfId="1457"/>
    <cellStyle name="20% - Accent6 3 2 3" xfId="1458"/>
    <cellStyle name="20% - Accent6 3 3" xfId="1459"/>
    <cellStyle name="20% - Accent6 3 3 2" xfId="1460"/>
    <cellStyle name="20% - Accent6 3 4" xfId="1461"/>
    <cellStyle name="20% - Accent6 3 4 2" xfId="1462"/>
    <cellStyle name="20% - Accent6 3 4 2 2" xfId="1463"/>
    <cellStyle name="20% - Accent6 3 4 3" xfId="1464"/>
    <cellStyle name="20% - Accent6 3 5" xfId="1465"/>
    <cellStyle name="20% - Accent6 4" xfId="1466"/>
    <cellStyle name="20% - Accent6 4 2" xfId="1467"/>
    <cellStyle name="20% - Accent6 4 2 2" xfId="1468"/>
    <cellStyle name="20% - Accent6 4 3" xfId="1469"/>
    <cellStyle name="20% - Accent6 4 3 2" xfId="1470"/>
    <cellStyle name="20% - Accent6 4 3 2 2" xfId="1471"/>
    <cellStyle name="20% - Accent6 4 3 3" xfId="1472"/>
    <cellStyle name="20% - Accent6 4 4" xfId="1473"/>
    <cellStyle name="20% - Accent6 5" xfId="1474"/>
    <cellStyle name="20% - Accent6 5 2" xfId="1475"/>
    <cellStyle name="20% - Accent6 5 2 2" xfId="1476"/>
    <cellStyle name="20% - Accent6 5 2 2 2" xfId="1477"/>
    <cellStyle name="20% - Accent6 5 2 3" xfId="1478"/>
    <cellStyle name="20% - Accent6 5 3" xfId="1479"/>
    <cellStyle name="20% - Accent6 5 3 2" xfId="1480"/>
    <cellStyle name="20% - Accent6 5 3 2 2" xfId="1481"/>
    <cellStyle name="20% - Accent6 5 3 2 2 2" xfId="1482"/>
    <cellStyle name="20% - Accent6 5 3 2 3" xfId="1483"/>
    <cellStyle name="20% - Accent6 5 3 3" xfId="1484"/>
    <cellStyle name="20% - Accent6 5 3 3 2" xfId="1485"/>
    <cellStyle name="20% - Accent6 5 3 4" xfId="1486"/>
    <cellStyle name="20% - Accent6 5 4" xfId="1487"/>
    <cellStyle name="20% - Accent6 5 4 2" xfId="1488"/>
    <cellStyle name="20% - Accent6 5 5" xfId="1489"/>
    <cellStyle name="20% - Accent6 6" xfId="1490"/>
    <cellStyle name="20% - Accent6 6 2" xfId="1491"/>
    <cellStyle name="20% - Accent6 6 2 2" xfId="1492"/>
    <cellStyle name="20% - Accent6 6 2 2 2" xfId="1493"/>
    <cellStyle name="20% - Accent6 6 2 3" xfId="1494"/>
    <cellStyle name="20% - Accent6 6 3" xfId="1495"/>
    <cellStyle name="20% - Accent6 6 3 2" xfId="1496"/>
    <cellStyle name="20% - Accent6 6 4" xfId="1497"/>
    <cellStyle name="20% - Accent6 7" xfId="1498"/>
    <cellStyle name="20% - Accent6 8" xfId="1499"/>
    <cellStyle name="40% - Accent1 2" xfId="1500"/>
    <cellStyle name="40% - Accent1 2 10" xfId="1501"/>
    <cellStyle name="40% - Accent1 2 10 2" xfId="1502"/>
    <cellStyle name="40% - Accent1 2 11" xfId="1503"/>
    <cellStyle name="40% - Accent1 2 2" xfId="1504"/>
    <cellStyle name="40% - Accent1 2 2 2" xfId="1505"/>
    <cellStyle name="40% - Accent1 2 2 2 2" xfId="1506"/>
    <cellStyle name="40% - Accent1 2 2 2 2 2" xfId="1507"/>
    <cellStyle name="40% - Accent1 2 2 2 3" xfId="1508"/>
    <cellStyle name="40% - Accent1 2 2 2 3 2" xfId="1509"/>
    <cellStyle name="40% - Accent1 2 2 2 3 2 2" xfId="1510"/>
    <cellStyle name="40% - Accent1 2 2 2 3 3" xfId="1511"/>
    <cellStyle name="40% - Accent1 2 2 2 4" xfId="1512"/>
    <cellStyle name="40% - Accent1 2 2 3" xfId="1513"/>
    <cellStyle name="40% - Accent1 2 2 3 2" xfId="1514"/>
    <cellStyle name="40% - Accent1 2 2 3 2 2" xfId="1515"/>
    <cellStyle name="40% - Accent1 2 2 3 3" xfId="1516"/>
    <cellStyle name="40% - Accent1 2 2 4" xfId="1517"/>
    <cellStyle name="40% - Accent1 2 2 4 2" xfId="1518"/>
    <cellStyle name="40% - Accent1 2 2 4 2 2" xfId="1519"/>
    <cellStyle name="40% - Accent1 2 2 4 2 2 2" xfId="1520"/>
    <cellStyle name="40% - Accent1 2 2 4 2 3" xfId="1521"/>
    <cellStyle name="40% - Accent1 2 2 4 3" xfId="1522"/>
    <cellStyle name="40% - Accent1 2 2 4 3 2" xfId="1523"/>
    <cellStyle name="40% - Accent1 2 2 4 4" xfId="1524"/>
    <cellStyle name="40% - Accent1 2 2 5" xfId="1525"/>
    <cellStyle name="40% - Accent1 2 2 5 2" xfId="1526"/>
    <cellStyle name="40% - Accent1 2 2 6" xfId="1527"/>
    <cellStyle name="40% - Accent1 2 3" xfId="1528"/>
    <cellStyle name="40% - Accent1 2 3 2" xfId="1529"/>
    <cellStyle name="40% - Accent1 2 3 2 2" xfId="1530"/>
    <cellStyle name="40% - Accent1 2 3 2 2 2" xfId="1531"/>
    <cellStyle name="40% - Accent1 2 3 2 3" xfId="1532"/>
    <cellStyle name="40% - Accent1 2 3 3" xfId="1533"/>
    <cellStyle name="40% - Accent1 2 3 3 2" xfId="1534"/>
    <cellStyle name="40% - Accent1 2 3 3 2 2" xfId="1535"/>
    <cellStyle name="40% - Accent1 2 3 3 2 2 2" xfId="1536"/>
    <cellStyle name="40% - Accent1 2 3 3 2 3" xfId="1537"/>
    <cellStyle name="40% - Accent1 2 3 3 3" xfId="1538"/>
    <cellStyle name="40% - Accent1 2 3 3 3 2" xfId="1539"/>
    <cellStyle name="40% - Accent1 2 3 3 4" xfId="1540"/>
    <cellStyle name="40% - Accent1 2 3 4" xfId="1541"/>
    <cellStyle name="40% - Accent1 2 3 4 2" xfId="1542"/>
    <cellStyle name="40% - Accent1 2 3 5" xfId="1543"/>
    <cellStyle name="40% - Accent1 2 4" xfId="1544"/>
    <cellStyle name="40% - Accent1 2 4 2" xfId="1545"/>
    <cellStyle name="40% - Accent1 2 4 2 2" xfId="1546"/>
    <cellStyle name="40% - Accent1 2 4 2 2 2" xfId="1547"/>
    <cellStyle name="40% - Accent1 2 4 2 3" xfId="1548"/>
    <cellStyle name="40% - Accent1 2 4 3" xfId="1549"/>
    <cellStyle name="40% - Accent1 2 4 3 2" xfId="1550"/>
    <cellStyle name="40% - Accent1 2 4 4" xfId="1551"/>
    <cellStyle name="40% - Accent1 2 5" xfId="1552"/>
    <cellStyle name="40% - Accent1 2 5 2" xfId="1553"/>
    <cellStyle name="40% - Accent1 2 5 2 2" xfId="1554"/>
    <cellStyle name="40% - Accent1 2 5 2 2 2" xfId="1555"/>
    <cellStyle name="40% - Accent1 2 5 2 3" xfId="1556"/>
    <cellStyle name="40% - Accent1 2 5 3" xfId="1557"/>
    <cellStyle name="40% - Accent1 2 5 3 2" xfId="1558"/>
    <cellStyle name="40% - Accent1 2 5 3 2 2" xfId="1559"/>
    <cellStyle name="40% - Accent1 2 5 3 2 2 2" xfId="1560"/>
    <cellStyle name="40% - Accent1 2 5 3 2 3" xfId="1561"/>
    <cellStyle name="40% - Accent1 2 5 3 3" xfId="1562"/>
    <cellStyle name="40% - Accent1 2 5 3 3 2" xfId="1563"/>
    <cellStyle name="40% - Accent1 2 5 3 4" xfId="1564"/>
    <cellStyle name="40% - Accent1 2 5 4" xfId="1565"/>
    <cellStyle name="40% - Accent1 2 5 4 2" xfId="1566"/>
    <cellStyle name="40% - Accent1 2 5 5" xfId="1567"/>
    <cellStyle name="40% - Accent1 2 6" xfId="1568"/>
    <cellStyle name="40% - Accent1 2 6 2" xfId="1569"/>
    <cellStyle name="40% - Accent1 2 6 2 2" xfId="1570"/>
    <cellStyle name="40% - Accent1 2 6 3" xfId="1571"/>
    <cellStyle name="40% - Accent1 2 7" xfId="1572"/>
    <cellStyle name="40% - Accent1 2 7 2" xfId="1573"/>
    <cellStyle name="40% - Accent1 2 7 2 2" xfId="1574"/>
    <cellStyle name="40% - Accent1 2 7 3" xfId="1575"/>
    <cellStyle name="40% - Accent1 2 8" xfId="1576"/>
    <cellStyle name="40% - Accent1 2 8 2" xfId="1577"/>
    <cellStyle name="40% - Accent1 2 8 2 2" xfId="1578"/>
    <cellStyle name="40% - Accent1 2 8 2 2 2" xfId="1579"/>
    <cellStyle name="40% - Accent1 2 8 2 3" xfId="1580"/>
    <cellStyle name="40% - Accent1 2 8 3" xfId="1581"/>
    <cellStyle name="40% - Accent1 2 8 3 2" xfId="1582"/>
    <cellStyle name="40% - Accent1 2 8 4" xfId="1583"/>
    <cellStyle name="40% - Accent1 2 9" xfId="1584"/>
    <cellStyle name="40% - Accent1 2 9 2" xfId="1585"/>
    <cellStyle name="40% - Accent1 3" xfId="1586"/>
    <cellStyle name="40% - Accent1 3 2" xfId="1587"/>
    <cellStyle name="40% - Accent1 3 2 2" xfId="1588"/>
    <cellStyle name="40% - Accent1 3 2 2 2" xfId="1589"/>
    <cellStyle name="40% - Accent1 3 2 3" xfId="1590"/>
    <cellStyle name="40% - Accent1 3 3" xfId="1591"/>
    <cellStyle name="40% - Accent1 3 3 2" xfId="1592"/>
    <cellStyle name="40% - Accent1 3 4" xfId="1593"/>
    <cellStyle name="40% - Accent1 3 4 2" xfId="1594"/>
    <cellStyle name="40% - Accent1 3 4 2 2" xfId="1595"/>
    <cellStyle name="40% - Accent1 3 4 3" xfId="1596"/>
    <cellStyle name="40% - Accent1 3 5" xfId="1597"/>
    <cellStyle name="40% - Accent1 4" xfId="1598"/>
    <cellStyle name="40% - Accent1 4 2" xfId="1599"/>
    <cellStyle name="40% - Accent1 4 2 2" xfId="1600"/>
    <cellStyle name="40% - Accent1 4 3" xfId="1601"/>
    <cellStyle name="40% - Accent1 4 3 2" xfId="1602"/>
    <cellStyle name="40% - Accent1 4 3 2 2" xfId="1603"/>
    <cellStyle name="40% - Accent1 4 3 3" xfId="1604"/>
    <cellStyle name="40% - Accent1 4 4" xfId="1605"/>
    <cellStyle name="40% - Accent1 5" xfId="1606"/>
    <cellStyle name="40% - Accent1 5 2" xfId="1607"/>
    <cellStyle name="40% - Accent1 5 2 2" xfId="1608"/>
    <cellStyle name="40% - Accent1 5 2 2 2" xfId="1609"/>
    <cellStyle name="40% - Accent1 5 2 3" xfId="1610"/>
    <cellStyle name="40% - Accent1 5 3" xfId="1611"/>
    <cellStyle name="40% - Accent1 5 3 2" xfId="1612"/>
    <cellStyle name="40% - Accent1 5 3 2 2" xfId="1613"/>
    <cellStyle name="40% - Accent1 5 3 2 2 2" xfId="1614"/>
    <cellStyle name="40% - Accent1 5 3 2 3" xfId="1615"/>
    <cellStyle name="40% - Accent1 5 3 3" xfId="1616"/>
    <cellStyle name="40% - Accent1 5 3 3 2" xfId="1617"/>
    <cellStyle name="40% - Accent1 5 3 4" xfId="1618"/>
    <cellStyle name="40% - Accent1 5 4" xfId="1619"/>
    <cellStyle name="40% - Accent1 5 4 2" xfId="1620"/>
    <cellStyle name="40% - Accent1 5 5" xfId="1621"/>
    <cellStyle name="40% - Accent1 6" xfId="1622"/>
    <cellStyle name="40% - Accent1 6 2" xfId="1623"/>
    <cellStyle name="40% - Accent1 6 2 2" xfId="1624"/>
    <cellStyle name="40% - Accent1 6 2 2 2" xfId="1625"/>
    <cellStyle name="40% - Accent1 6 2 3" xfId="1626"/>
    <cellStyle name="40% - Accent1 6 3" xfId="1627"/>
    <cellStyle name="40% - Accent1 6 3 2" xfId="1628"/>
    <cellStyle name="40% - Accent1 6 4" xfId="1629"/>
    <cellStyle name="40% - Accent1 7" xfId="1630"/>
    <cellStyle name="40% - Accent1 8" xfId="1631"/>
    <cellStyle name="40% - Accent2 2" xfId="1632"/>
    <cellStyle name="40% - Accent2 2 10" xfId="1633"/>
    <cellStyle name="40% - Accent2 2 10 2" xfId="1634"/>
    <cellStyle name="40% - Accent2 2 11" xfId="1635"/>
    <cellStyle name="40% - Accent2 2 2" xfId="1636"/>
    <cellStyle name="40% - Accent2 2 2 2" xfId="1637"/>
    <cellStyle name="40% - Accent2 2 2 2 2" xfId="1638"/>
    <cellStyle name="40% - Accent2 2 2 2 2 2" xfId="1639"/>
    <cellStyle name="40% - Accent2 2 2 2 3" xfId="1640"/>
    <cellStyle name="40% - Accent2 2 2 2 3 2" xfId="1641"/>
    <cellStyle name="40% - Accent2 2 2 2 3 2 2" xfId="1642"/>
    <cellStyle name="40% - Accent2 2 2 2 3 3" xfId="1643"/>
    <cellStyle name="40% - Accent2 2 2 2 4" xfId="1644"/>
    <cellStyle name="40% - Accent2 2 2 3" xfId="1645"/>
    <cellStyle name="40% - Accent2 2 2 3 2" xfId="1646"/>
    <cellStyle name="40% - Accent2 2 2 3 2 2" xfId="1647"/>
    <cellStyle name="40% - Accent2 2 2 3 3" xfId="1648"/>
    <cellStyle name="40% - Accent2 2 2 4" xfId="1649"/>
    <cellStyle name="40% - Accent2 2 2 4 2" xfId="1650"/>
    <cellStyle name="40% - Accent2 2 2 4 2 2" xfId="1651"/>
    <cellStyle name="40% - Accent2 2 2 4 2 2 2" xfId="1652"/>
    <cellStyle name="40% - Accent2 2 2 4 2 3" xfId="1653"/>
    <cellStyle name="40% - Accent2 2 2 4 3" xfId="1654"/>
    <cellStyle name="40% - Accent2 2 2 4 3 2" xfId="1655"/>
    <cellStyle name="40% - Accent2 2 2 4 4" xfId="1656"/>
    <cellStyle name="40% - Accent2 2 2 5" xfId="1657"/>
    <cellStyle name="40% - Accent2 2 2 5 2" xfId="1658"/>
    <cellStyle name="40% - Accent2 2 2 6" xfId="1659"/>
    <cellStyle name="40% - Accent2 2 3" xfId="1660"/>
    <cellStyle name="40% - Accent2 2 3 2" xfId="1661"/>
    <cellStyle name="40% - Accent2 2 3 2 2" xfId="1662"/>
    <cellStyle name="40% - Accent2 2 3 2 2 2" xfId="1663"/>
    <cellStyle name="40% - Accent2 2 3 2 3" xfId="1664"/>
    <cellStyle name="40% - Accent2 2 3 3" xfId="1665"/>
    <cellStyle name="40% - Accent2 2 3 3 2" xfId="1666"/>
    <cellStyle name="40% - Accent2 2 3 3 2 2" xfId="1667"/>
    <cellStyle name="40% - Accent2 2 3 3 2 2 2" xfId="1668"/>
    <cellStyle name="40% - Accent2 2 3 3 2 3" xfId="1669"/>
    <cellStyle name="40% - Accent2 2 3 3 3" xfId="1670"/>
    <cellStyle name="40% - Accent2 2 3 3 3 2" xfId="1671"/>
    <cellStyle name="40% - Accent2 2 3 3 4" xfId="1672"/>
    <cellStyle name="40% - Accent2 2 3 4" xfId="1673"/>
    <cellStyle name="40% - Accent2 2 3 4 2" xfId="1674"/>
    <cellStyle name="40% - Accent2 2 3 5" xfId="1675"/>
    <cellStyle name="40% - Accent2 2 4" xfId="1676"/>
    <cellStyle name="40% - Accent2 2 4 2" xfId="1677"/>
    <cellStyle name="40% - Accent2 2 4 2 2" xfId="1678"/>
    <cellStyle name="40% - Accent2 2 4 2 2 2" xfId="1679"/>
    <cellStyle name="40% - Accent2 2 4 2 3" xfId="1680"/>
    <cellStyle name="40% - Accent2 2 4 3" xfId="1681"/>
    <cellStyle name="40% - Accent2 2 4 3 2" xfId="1682"/>
    <cellStyle name="40% - Accent2 2 4 4" xfId="1683"/>
    <cellStyle name="40% - Accent2 2 5" xfId="1684"/>
    <cellStyle name="40% - Accent2 2 5 2" xfId="1685"/>
    <cellStyle name="40% - Accent2 2 5 2 2" xfId="1686"/>
    <cellStyle name="40% - Accent2 2 5 2 2 2" xfId="1687"/>
    <cellStyle name="40% - Accent2 2 5 2 3" xfId="1688"/>
    <cellStyle name="40% - Accent2 2 5 3" xfId="1689"/>
    <cellStyle name="40% - Accent2 2 5 3 2" xfId="1690"/>
    <cellStyle name="40% - Accent2 2 5 3 2 2" xfId="1691"/>
    <cellStyle name="40% - Accent2 2 5 3 2 2 2" xfId="1692"/>
    <cellStyle name="40% - Accent2 2 5 3 2 3" xfId="1693"/>
    <cellStyle name="40% - Accent2 2 5 3 3" xfId="1694"/>
    <cellStyle name="40% - Accent2 2 5 3 3 2" xfId="1695"/>
    <cellStyle name="40% - Accent2 2 5 3 4" xfId="1696"/>
    <cellStyle name="40% - Accent2 2 5 4" xfId="1697"/>
    <cellStyle name="40% - Accent2 2 5 4 2" xfId="1698"/>
    <cellStyle name="40% - Accent2 2 5 5" xfId="1699"/>
    <cellStyle name="40% - Accent2 2 6" xfId="1700"/>
    <cellStyle name="40% - Accent2 2 6 2" xfId="1701"/>
    <cellStyle name="40% - Accent2 2 6 2 2" xfId="1702"/>
    <cellStyle name="40% - Accent2 2 6 3" xfId="1703"/>
    <cellStyle name="40% - Accent2 2 7" xfId="1704"/>
    <cellStyle name="40% - Accent2 2 7 2" xfId="1705"/>
    <cellStyle name="40% - Accent2 2 7 2 2" xfId="1706"/>
    <cellStyle name="40% - Accent2 2 7 3" xfId="1707"/>
    <cellStyle name="40% - Accent2 2 8" xfId="1708"/>
    <cellStyle name="40% - Accent2 2 8 2" xfId="1709"/>
    <cellStyle name="40% - Accent2 2 8 2 2" xfId="1710"/>
    <cellStyle name="40% - Accent2 2 8 2 2 2" xfId="1711"/>
    <cellStyle name="40% - Accent2 2 8 2 3" xfId="1712"/>
    <cellStyle name="40% - Accent2 2 8 3" xfId="1713"/>
    <cellStyle name="40% - Accent2 2 8 3 2" xfId="1714"/>
    <cellStyle name="40% - Accent2 2 8 4" xfId="1715"/>
    <cellStyle name="40% - Accent2 2 9" xfId="1716"/>
    <cellStyle name="40% - Accent2 2 9 2" xfId="1717"/>
    <cellStyle name="40% - Accent2 3" xfId="1718"/>
    <cellStyle name="40% - Accent2 3 2" xfId="1719"/>
    <cellStyle name="40% - Accent2 3 2 2" xfId="1720"/>
    <cellStyle name="40% - Accent2 3 2 2 2" xfId="1721"/>
    <cellStyle name="40% - Accent2 3 2 3" xfId="1722"/>
    <cellStyle name="40% - Accent2 3 3" xfId="1723"/>
    <cellStyle name="40% - Accent2 3 3 2" xfId="1724"/>
    <cellStyle name="40% - Accent2 3 4" xfId="1725"/>
    <cellStyle name="40% - Accent2 3 4 2" xfId="1726"/>
    <cellStyle name="40% - Accent2 3 4 2 2" xfId="1727"/>
    <cellStyle name="40% - Accent2 3 4 3" xfId="1728"/>
    <cellStyle name="40% - Accent2 3 5" xfId="1729"/>
    <cellStyle name="40% - Accent2 4" xfId="1730"/>
    <cellStyle name="40% - Accent2 4 2" xfId="1731"/>
    <cellStyle name="40% - Accent2 4 2 2" xfId="1732"/>
    <cellStyle name="40% - Accent2 4 3" xfId="1733"/>
    <cellStyle name="40% - Accent2 4 3 2" xfId="1734"/>
    <cellStyle name="40% - Accent2 4 3 2 2" xfId="1735"/>
    <cellStyle name="40% - Accent2 4 3 3" xfId="1736"/>
    <cellStyle name="40% - Accent2 4 4" xfId="1737"/>
    <cellStyle name="40% - Accent2 5" xfId="1738"/>
    <cellStyle name="40% - Accent2 5 2" xfId="1739"/>
    <cellStyle name="40% - Accent2 5 2 2" xfId="1740"/>
    <cellStyle name="40% - Accent2 5 2 2 2" xfId="1741"/>
    <cellStyle name="40% - Accent2 5 2 3" xfId="1742"/>
    <cellStyle name="40% - Accent2 5 3" xfId="1743"/>
    <cellStyle name="40% - Accent2 5 3 2" xfId="1744"/>
    <cellStyle name="40% - Accent2 5 3 2 2" xfId="1745"/>
    <cellStyle name="40% - Accent2 5 3 2 2 2" xfId="1746"/>
    <cellStyle name="40% - Accent2 5 3 2 3" xfId="1747"/>
    <cellStyle name="40% - Accent2 5 3 3" xfId="1748"/>
    <cellStyle name="40% - Accent2 5 3 3 2" xfId="1749"/>
    <cellStyle name="40% - Accent2 5 3 4" xfId="1750"/>
    <cellStyle name="40% - Accent2 5 4" xfId="1751"/>
    <cellStyle name="40% - Accent2 5 4 2" xfId="1752"/>
    <cellStyle name="40% - Accent2 5 5" xfId="1753"/>
    <cellStyle name="40% - Accent2 6" xfId="1754"/>
    <cellStyle name="40% - Accent2 6 2" xfId="1755"/>
    <cellStyle name="40% - Accent2 6 2 2" xfId="1756"/>
    <cellStyle name="40% - Accent2 6 2 2 2" xfId="1757"/>
    <cellStyle name="40% - Accent2 6 2 3" xfId="1758"/>
    <cellStyle name="40% - Accent2 6 3" xfId="1759"/>
    <cellStyle name="40% - Accent2 6 3 2" xfId="1760"/>
    <cellStyle name="40% - Accent2 6 4" xfId="1761"/>
    <cellStyle name="40% - Accent2 7" xfId="1762"/>
    <cellStyle name="40% - Accent2 8" xfId="1763"/>
    <cellStyle name="40% - Accent3 2" xfId="1764"/>
    <cellStyle name="40% - Accent3 2 10" xfId="1765"/>
    <cellStyle name="40% - Accent3 2 10 2" xfId="1766"/>
    <cellStyle name="40% - Accent3 2 11" xfId="1767"/>
    <cellStyle name="40% - Accent3 2 2" xfId="1768"/>
    <cellStyle name="40% - Accent3 2 2 2" xfId="1769"/>
    <cellStyle name="40% - Accent3 2 2 2 2" xfId="1770"/>
    <cellStyle name="40% - Accent3 2 2 2 2 2" xfId="1771"/>
    <cellStyle name="40% - Accent3 2 2 2 3" xfId="1772"/>
    <cellStyle name="40% - Accent3 2 2 2 3 2" xfId="1773"/>
    <cellStyle name="40% - Accent3 2 2 2 3 2 2" xfId="1774"/>
    <cellStyle name="40% - Accent3 2 2 2 3 3" xfId="1775"/>
    <cellStyle name="40% - Accent3 2 2 2 4" xfId="1776"/>
    <cellStyle name="40% - Accent3 2 2 3" xfId="1777"/>
    <cellStyle name="40% - Accent3 2 2 3 2" xfId="1778"/>
    <cellStyle name="40% - Accent3 2 2 3 2 2" xfId="1779"/>
    <cellStyle name="40% - Accent3 2 2 3 3" xfId="1780"/>
    <cellStyle name="40% - Accent3 2 2 4" xfId="1781"/>
    <cellStyle name="40% - Accent3 2 2 4 2" xfId="1782"/>
    <cellStyle name="40% - Accent3 2 2 4 2 2" xfId="1783"/>
    <cellStyle name="40% - Accent3 2 2 4 2 2 2" xfId="1784"/>
    <cellStyle name="40% - Accent3 2 2 4 2 3" xfId="1785"/>
    <cellStyle name="40% - Accent3 2 2 4 3" xfId="1786"/>
    <cellStyle name="40% - Accent3 2 2 4 3 2" xfId="1787"/>
    <cellStyle name="40% - Accent3 2 2 4 4" xfId="1788"/>
    <cellStyle name="40% - Accent3 2 2 5" xfId="1789"/>
    <cellStyle name="40% - Accent3 2 2 5 2" xfId="1790"/>
    <cellStyle name="40% - Accent3 2 2 6" xfId="1791"/>
    <cellStyle name="40% - Accent3 2 3" xfId="1792"/>
    <cellStyle name="40% - Accent3 2 3 2" xfId="1793"/>
    <cellStyle name="40% - Accent3 2 3 2 2" xfId="1794"/>
    <cellStyle name="40% - Accent3 2 3 2 2 2" xfId="1795"/>
    <cellStyle name="40% - Accent3 2 3 2 3" xfId="1796"/>
    <cellStyle name="40% - Accent3 2 3 3" xfId="1797"/>
    <cellStyle name="40% - Accent3 2 3 3 2" xfId="1798"/>
    <cellStyle name="40% - Accent3 2 3 3 2 2" xfId="1799"/>
    <cellStyle name="40% - Accent3 2 3 3 2 2 2" xfId="1800"/>
    <cellStyle name="40% - Accent3 2 3 3 2 3" xfId="1801"/>
    <cellStyle name="40% - Accent3 2 3 3 3" xfId="1802"/>
    <cellStyle name="40% - Accent3 2 3 3 3 2" xfId="1803"/>
    <cellStyle name="40% - Accent3 2 3 3 4" xfId="1804"/>
    <cellStyle name="40% - Accent3 2 3 4" xfId="1805"/>
    <cellStyle name="40% - Accent3 2 3 4 2" xfId="1806"/>
    <cellStyle name="40% - Accent3 2 3 5" xfId="1807"/>
    <cellStyle name="40% - Accent3 2 4" xfId="1808"/>
    <cellStyle name="40% - Accent3 2 4 2" xfId="1809"/>
    <cellStyle name="40% - Accent3 2 4 2 2" xfId="1810"/>
    <cellStyle name="40% - Accent3 2 4 2 2 2" xfId="1811"/>
    <cellStyle name="40% - Accent3 2 4 2 3" xfId="1812"/>
    <cellStyle name="40% - Accent3 2 4 3" xfId="1813"/>
    <cellStyle name="40% - Accent3 2 4 3 2" xfId="1814"/>
    <cellStyle name="40% - Accent3 2 4 4" xfId="1815"/>
    <cellStyle name="40% - Accent3 2 5" xfId="1816"/>
    <cellStyle name="40% - Accent3 2 5 2" xfId="1817"/>
    <cellStyle name="40% - Accent3 2 5 2 2" xfId="1818"/>
    <cellStyle name="40% - Accent3 2 5 2 2 2" xfId="1819"/>
    <cellStyle name="40% - Accent3 2 5 2 3" xfId="1820"/>
    <cellStyle name="40% - Accent3 2 5 3" xfId="1821"/>
    <cellStyle name="40% - Accent3 2 5 3 2" xfId="1822"/>
    <cellStyle name="40% - Accent3 2 5 3 2 2" xfId="1823"/>
    <cellStyle name="40% - Accent3 2 5 3 2 2 2" xfId="1824"/>
    <cellStyle name="40% - Accent3 2 5 3 2 3" xfId="1825"/>
    <cellStyle name="40% - Accent3 2 5 3 3" xfId="1826"/>
    <cellStyle name="40% - Accent3 2 5 3 3 2" xfId="1827"/>
    <cellStyle name="40% - Accent3 2 5 3 4" xfId="1828"/>
    <cellStyle name="40% - Accent3 2 5 4" xfId="1829"/>
    <cellStyle name="40% - Accent3 2 5 4 2" xfId="1830"/>
    <cellStyle name="40% - Accent3 2 5 5" xfId="1831"/>
    <cellStyle name="40% - Accent3 2 6" xfId="1832"/>
    <cellStyle name="40% - Accent3 2 6 2" xfId="1833"/>
    <cellStyle name="40% - Accent3 2 6 2 2" xfId="1834"/>
    <cellStyle name="40% - Accent3 2 6 3" xfId="1835"/>
    <cellStyle name="40% - Accent3 2 7" xfId="1836"/>
    <cellStyle name="40% - Accent3 2 7 2" xfId="1837"/>
    <cellStyle name="40% - Accent3 2 7 2 2" xfId="1838"/>
    <cellStyle name="40% - Accent3 2 7 3" xfId="1839"/>
    <cellStyle name="40% - Accent3 2 8" xfId="1840"/>
    <cellStyle name="40% - Accent3 2 8 2" xfId="1841"/>
    <cellStyle name="40% - Accent3 2 8 2 2" xfId="1842"/>
    <cellStyle name="40% - Accent3 2 8 2 2 2" xfId="1843"/>
    <cellStyle name="40% - Accent3 2 8 2 3" xfId="1844"/>
    <cellStyle name="40% - Accent3 2 8 3" xfId="1845"/>
    <cellStyle name="40% - Accent3 2 8 3 2" xfId="1846"/>
    <cellStyle name="40% - Accent3 2 8 4" xfId="1847"/>
    <cellStyle name="40% - Accent3 2 9" xfId="1848"/>
    <cellStyle name="40% - Accent3 2 9 2" xfId="1849"/>
    <cellStyle name="40% - Accent3 3" xfId="1850"/>
    <cellStyle name="40% - Accent3 3 2" xfId="1851"/>
    <cellStyle name="40% - Accent3 3 2 2" xfId="1852"/>
    <cellStyle name="40% - Accent3 3 2 2 2" xfId="1853"/>
    <cellStyle name="40% - Accent3 3 2 3" xfId="1854"/>
    <cellStyle name="40% - Accent3 3 3" xfId="1855"/>
    <cellStyle name="40% - Accent3 3 3 2" xfId="1856"/>
    <cellStyle name="40% - Accent3 3 4" xfId="1857"/>
    <cellStyle name="40% - Accent3 3 4 2" xfId="1858"/>
    <cellStyle name="40% - Accent3 3 4 2 2" xfId="1859"/>
    <cellStyle name="40% - Accent3 3 4 3" xfId="1860"/>
    <cellStyle name="40% - Accent3 3 5" xfId="1861"/>
    <cellStyle name="40% - Accent3 4" xfId="1862"/>
    <cellStyle name="40% - Accent3 4 2" xfId="1863"/>
    <cellStyle name="40% - Accent3 4 2 2" xfId="1864"/>
    <cellStyle name="40% - Accent3 4 3" xfId="1865"/>
    <cellStyle name="40% - Accent3 4 3 2" xfId="1866"/>
    <cellStyle name="40% - Accent3 4 3 2 2" xfId="1867"/>
    <cellStyle name="40% - Accent3 4 3 3" xfId="1868"/>
    <cellStyle name="40% - Accent3 4 4" xfId="1869"/>
    <cellStyle name="40% - Accent3 5" xfId="1870"/>
    <cellStyle name="40% - Accent3 5 2" xfId="1871"/>
    <cellStyle name="40% - Accent3 5 2 2" xfId="1872"/>
    <cellStyle name="40% - Accent3 5 2 2 2" xfId="1873"/>
    <cellStyle name="40% - Accent3 5 2 3" xfId="1874"/>
    <cellStyle name="40% - Accent3 5 3" xfId="1875"/>
    <cellStyle name="40% - Accent3 5 3 2" xfId="1876"/>
    <cellStyle name="40% - Accent3 5 3 2 2" xfId="1877"/>
    <cellStyle name="40% - Accent3 5 3 2 2 2" xfId="1878"/>
    <cellStyle name="40% - Accent3 5 3 2 3" xfId="1879"/>
    <cellStyle name="40% - Accent3 5 3 3" xfId="1880"/>
    <cellStyle name="40% - Accent3 5 3 3 2" xfId="1881"/>
    <cellStyle name="40% - Accent3 5 3 4" xfId="1882"/>
    <cellStyle name="40% - Accent3 5 4" xfId="1883"/>
    <cellStyle name="40% - Accent3 5 4 2" xfId="1884"/>
    <cellStyle name="40% - Accent3 5 5" xfId="1885"/>
    <cellStyle name="40% - Accent3 6" xfId="1886"/>
    <cellStyle name="40% - Accent3 6 2" xfId="1887"/>
    <cellStyle name="40% - Accent3 6 2 2" xfId="1888"/>
    <cellStyle name="40% - Accent3 6 2 2 2" xfId="1889"/>
    <cellStyle name="40% - Accent3 6 2 3" xfId="1890"/>
    <cellStyle name="40% - Accent3 6 3" xfId="1891"/>
    <cellStyle name="40% - Accent3 6 3 2" xfId="1892"/>
    <cellStyle name="40% - Accent3 6 4" xfId="1893"/>
    <cellStyle name="40% - Accent3 7" xfId="1894"/>
    <cellStyle name="40% - Accent3 8" xfId="1895"/>
    <cellStyle name="40% - Accent4 2" xfId="1896"/>
    <cellStyle name="40% - Accent4 2 10" xfId="1897"/>
    <cellStyle name="40% - Accent4 2 10 2" xfId="1898"/>
    <cellStyle name="40% - Accent4 2 11" xfId="1899"/>
    <cellStyle name="40% - Accent4 2 2" xfId="1900"/>
    <cellStyle name="40% - Accent4 2 2 2" xfId="1901"/>
    <cellStyle name="40% - Accent4 2 2 2 2" xfId="1902"/>
    <cellStyle name="40% - Accent4 2 2 2 2 2" xfId="1903"/>
    <cellStyle name="40% - Accent4 2 2 2 3" xfId="1904"/>
    <cellStyle name="40% - Accent4 2 2 2 3 2" xfId="1905"/>
    <cellStyle name="40% - Accent4 2 2 2 3 2 2" xfId="1906"/>
    <cellStyle name="40% - Accent4 2 2 2 3 3" xfId="1907"/>
    <cellStyle name="40% - Accent4 2 2 2 4" xfId="1908"/>
    <cellStyle name="40% - Accent4 2 2 3" xfId="1909"/>
    <cellStyle name="40% - Accent4 2 2 3 2" xfId="1910"/>
    <cellStyle name="40% - Accent4 2 2 3 2 2" xfId="1911"/>
    <cellStyle name="40% - Accent4 2 2 3 3" xfId="1912"/>
    <cellStyle name="40% - Accent4 2 2 4" xfId="1913"/>
    <cellStyle name="40% - Accent4 2 2 4 2" xfId="1914"/>
    <cellStyle name="40% - Accent4 2 2 4 2 2" xfId="1915"/>
    <cellStyle name="40% - Accent4 2 2 4 2 2 2" xfId="1916"/>
    <cellStyle name="40% - Accent4 2 2 4 2 3" xfId="1917"/>
    <cellStyle name="40% - Accent4 2 2 4 3" xfId="1918"/>
    <cellStyle name="40% - Accent4 2 2 4 3 2" xfId="1919"/>
    <cellStyle name="40% - Accent4 2 2 4 4" xfId="1920"/>
    <cellStyle name="40% - Accent4 2 2 5" xfId="1921"/>
    <cellStyle name="40% - Accent4 2 2 5 2" xfId="1922"/>
    <cellStyle name="40% - Accent4 2 2 6" xfId="1923"/>
    <cellStyle name="40% - Accent4 2 3" xfId="1924"/>
    <cellStyle name="40% - Accent4 2 3 2" xfId="1925"/>
    <cellStyle name="40% - Accent4 2 3 2 2" xfId="1926"/>
    <cellStyle name="40% - Accent4 2 3 2 2 2" xfId="1927"/>
    <cellStyle name="40% - Accent4 2 3 2 3" xfId="1928"/>
    <cellStyle name="40% - Accent4 2 3 3" xfId="1929"/>
    <cellStyle name="40% - Accent4 2 3 3 2" xfId="1930"/>
    <cellStyle name="40% - Accent4 2 3 3 2 2" xfId="1931"/>
    <cellStyle name="40% - Accent4 2 3 3 2 2 2" xfId="1932"/>
    <cellStyle name="40% - Accent4 2 3 3 2 3" xfId="1933"/>
    <cellStyle name="40% - Accent4 2 3 3 3" xfId="1934"/>
    <cellStyle name="40% - Accent4 2 3 3 3 2" xfId="1935"/>
    <cellStyle name="40% - Accent4 2 3 3 4" xfId="1936"/>
    <cellStyle name="40% - Accent4 2 3 4" xfId="1937"/>
    <cellStyle name="40% - Accent4 2 3 4 2" xfId="1938"/>
    <cellStyle name="40% - Accent4 2 3 5" xfId="1939"/>
    <cellStyle name="40% - Accent4 2 4" xfId="1940"/>
    <cellStyle name="40% - Accent4 2 4 2" xfId="1941"/>
    <cellStyle name="40% - Accent4 2 4 2 2" xfId="1942"/>
    <cellStyle name="40% - Accent4 2 4 2 2 2" xfId="1943"/>
    <cellStyle name="40% - Accent4 2 4 2 3" xfId="1944"/>
    <cellStyle name="40% - Accent4 2 4 3" xfId="1945"/>
    <cellStyle name="40% - Accent4 2 4 3 2" xfId="1946"/>
    <cellStyle name="40% - Accent4 2 4 4" xfId="1947"/>
    <cellStyle name="40% - Accent4 2 5" xfId="1948"/>
    <cellStyle name="40% - Accent4 2 5 2" xfId="1949"/>
    <cellStyle name="40% - Accent4 2 5 2 2" xfId="1950"/>
    <cellStyle name="40% - Accent4 2 5 2 2 2" xfId="1951"/>
    <cellStyle name="40% - Accent4 2 5 2 3" xfId="1952"/>
    <cellStyle name="40% - Accent4 2 5 3" xfId="1953"/>
    <cellStyle name="40% - Accent4 2 5 3 2" xfId="1954"/>
    <cellStyle name="40% - Accent4 2 5 3 2 2" xfId="1955"/>
    <cellStyle name="40% - Accent4 2 5 3 2 2 2" xfId="1956"/>
    <cellStyle name="40% - Accent4 2 5 3 2 3" xfId="1957"/>
    <cellStyle name="40% - Accent4 2 5 3 3" xfId="1958"/>
    <cellStyle name="40% - Accent4 2 5 3 3 2" xfId="1959"/>
    <cellStyle name="40% - Accent4 2 5 3 4" xfId="1960"/>
    <cellStyle name="40% - Accent4 2 5 4" xfId="1961"/>
    <cellStyle name="40% - Accent4 2 5 4 2" xfId="1962"/>
    <cellStyle name="40% - Accent4 2 5 5" xfId="1963"/>
    <cellStyle name="40% - Accent4 2 6" xfId="1964"/>
    <cellStyle name="40% - Accent4 2 6 2" xfId="1965"/>
    <cellStyle name="40% - Accent4 2 6 2 2" xfId="1966"/>
    <cellStyle name="40% - Accent4 2 6 3" xfId="1967"/>
    <cellStyle name="40% - Accent4 2 7" xfId="1968"/>
    <cellStyle name="40% - Accent4 2 7 2" xfId="1969"/>
    <cellStyle name="40% - Accent4 2 7 2 2" xfId="1970"/>
    <cellStyle name="40% - Accent4 2 7 3" xfId="1971"/>
    <cellStyle name="40% - Accent4 2 8" xfId="1972"/>
    <cellStyle name="40% - Accent4 2 8 2" xfId="1973"/>
    <cellStyle name="40% - Accent4 2 8 2 2" xfId="1974"/>
    <cellStyle name="40% - Accent4 2 8 2 2 2" xfId="1975"/>
    <cellStyle name="40% - Accent4 2 8 2 3" xfId="1976"/>
    <cellStyle name="40% - Accent4 2 8 3" xfId="1977"/>
    <cellStyle name="40% - Accent4 2 8 3 2" xfId="1978"/>
    <cellStyle name="40% - Accent4 2 8 4" xfId="1979"/>
    <cellStyle name="40% - Accent4 2 9" xfId="1980"/>
    <cellStyle name="40% - Accent4 2 9 2" xfId="1981"/>
    <cellStyle name="40% - Accent4 3" xfId="1982"/>
    <cellStyle name="40% - Accent4 3 2" xfId="1983"/>
    <cellStyle name="40% - Accent4 3 2 2" xfId="1984"/>
    <cellStyle name="40% - Accent4 3 2 2 2" xfId="1985"/>
    <cellStyle name="40% - Accent4 3 2 3" xfId="1986"/>
    <cellStyle name="40% - Accent4 3 3" xfId="1987"/>
    <cellStyle name="40% - Accent4 3 3 2" xfId="1988"/>
    <cellStyle name="40% - Accent4 3 4" xfId="1989"/>
    <cellStyle name="40% - Accent4 3 4 2" xfId="1990"/>
    <cellStyle name="40% - Accent4 3 4 2 2" xfId="1991"/>
    <cellStyle name="40% - Accent4 3 4 3" xfId="1992"/>
    <cellStyle name="40% - Accent4 3 5" xfId="1993"/>
    <cellStyle name="40% - Accent4 4" xfId="1994"/>
    <cellStyle name="40% - Accent4 4 2" xfId="1995"/>
    <cellStyle name="40% - Accent4 4 2 2" xfId="1996"/>
    <cellStyle name="40% - Accent4 4 3" xfId="1997"/>
    <cellStyle name="40% - Accent4 4 3 2" xfId="1998"/>
    <cellStyle name="40% - Accent4 4 3 2 2" xfId="1999"/>
    <cellStyle name="40% - Accent4 4 3 3" xfId="2000"/>
    <cellStyle name="40% - Accent4 4 4" xfId="2001"/>
    <cellStyle name="40% - Accent4 5" xfId="2002"/>
    <cellStyle name="40% - Accent4 5 2" xfId="2003"/>
    <cellStyle name="40% - Accent4 5 2 2" xfId="2004"/>
    <cellStyle name="40% - Accent4 5 2 2 2" xfId="2005"/>
    <cellStyle name="40% - Accent4 5 2 3" xfId="2006"/>
    <cellStyle name="40% - Accent4 5 3" xfId="2007"/>
    <cellStyle name="40% - Accent4 5 3 2" xfId="2008"/>
    <cellStyle name="40% - Accent4 5 3 2 2" xfId="2009"/>
    <cellStyle name="40% - Accent4 5 3 2 2 2" xfId="2010"/>
    <cellStyle name="40% - Accent4 5 3 2 3" xfId="2011"/>
    <cellStyle name="40% - Accent4 5 3 3" xfId="2012"/>
    <cellStyle name="40% - Accent4 5 3 3 2" xfId="2013"/>
    <cellStyle name="40% - Accent4 5 3 4" xfId="2014"/>
    <cellStyle name="40% - Accent4 5 4" xfId="2015"/>
    <cellStyle name="40% - Accent4 5 4 2" xfId="2016"/>
    <cellStyle name="40% - Accent4 5 5" xfId="2017"/>
    <cellStyle name="40% - Accent4 6" xfId="2018"/>
    <cellStyle name="40% - Accent4 6 2" xfId="2019"/>
    <cellStyle name="40% - Accent4 6 2 2" xfId="2020"/>
    <cellStyle name="40% - Accent4 6 2 2 2" xfId="2021"/>
    <cellStyle name="40% - Accent4 6 2 3" xfId="2022"/>
    <cellStyle name="40% - Accent4 6 3" xfId="2023"/>
    <cellStyle name="40% - Accent4 6 3 2" xfId="2024"/>
    <cellStyle name="40% - Accent4 6 4" xfId="2025"/>
    <cellStyle name="40% - Accent4 7" xfId="2026"/>
    <cellStyle name="40% - Accent4 8" xfId="2027"/>
    <cellStyle name="40% - Accent5 2" xfId="2028"/>
    <cellStyle name="40% - Accent5 2 10" xfId="2029"/>
    <cellStyle name="40% - Accent5 2 10 2" xfId="2030"/>
    <cellStyle name="40% - Accent5 2 11" xfId="2031"/>
    <cellStyle name="40% - Accent5 2 2" xfId="2032"/>
    <cellStyle name="40% - Accent5 2 2 2" xfId="2033"/>
    <cellStyle name="40% - Accent5 2 2 2 2" xfId="2034"/>
    <cellStyle name="40% - Accent5 2 2 2 2 2" xfId="2035"/>
    <cellStyle name="40% - Accent5 2 2 2 3" xfId="2036"/>
    <cellStyle name="40% - Accent5 2 2 2 3 2" xfId="2037"/>
    <cellStyle name="40% - Accent5 2 2 2 3 2 2" xfId="2038"/>
    <cellStyle name="40% - Accent5 2 2 2 3 3" xfId="2039"/>
    <cellStyle name="40% - Accent5 2 2 2 4" xfId="2040"/>
    <cellStyle name="40% - Accent5 2 2 3" xfId="2041"/>
    <cellStyle name="40% - Accent5 2 2 3 2" xfId="2042"/>
    <cellStyle name="40% - Accent5 2 2 3 2 2" xfId="2043"/>
    <cellStyle name="40% - Accent5 2 2 3 3" xfId="2044"/>
    <cellStyle name="40% - Accent5 2 2 4" xfId="2045"/>
    <cellStyle name="40% - Accent5 2 2 4 2" xfId="2046"/>
    <cellStyle name="40% - Accent5 2 2 4 2 2" xfId="2047"/>
    <cellStyle name="40% - Accent5 2 2 4 2 2 2" xfId="2048"/>
    <cellStyle name="40% - Accent5 2 2 4 2 3" xfId="2049"/>
    <cellStyle name="40% - Accent5 2 2 4 3" xfId="2050"/>
    <cellStyle name="40% - Accent5 2 2 4 3 2" xfId="2051"/>
    <cellStyle name="40% - Accent5 2 2 4 4" xfId="2052"/>
    <cellStyle name="40% - Accent5 2 2 5" xfId="2053"/>
    <cellStyle name="40% - Accent5 2 2 5 2" xfId="2054"/>
    <cellStyle name="40% - Accent5 2 2 6" xfId="2055"/>
    <cellStyle name="40% - Accent5 2 3" xfId="2056"/>
    <cellStyle name="40% - Accent5 2 3 2" xfId="2057"/>
    <cellStyle name="40% - Accent5 2 3 2 2" xfId="2058"/>
    <cellStyle name="40% - Accent5 2 3 2 2 2" xfId="2059"/>
    <cellStyle name="40% - Accent5 2 3 2 3" xfId="2060"/>
    <cellStyle name="40% - Accent5 2 3 3" xfId="2061"/>
    <cellStyle name="40% - Accent5 2 3 3 2" xfId="2062"/>
    <cellStyle name="40% - Accent5 2 3 3 2 2" xfId="2063"/>
    <cellStyle name="40% - Accent5 2 3 3 2 2 2" xfId="2064"/>
    <cellStyle name="40% - Accent5 2 3 3 2 3" xfId="2065"/>
    <cellStyle name="40% - Accent5 2 3 3 3" xfId="2066"/>
    <cellStyle name="40% - Accent5 2 3 3 3 2" xfId="2067"/>
    <cellStyle name="40% - Accent5 2 3 3 4" xfId="2068"/>
    <cellStyle name="40% - Accent5 2 3 4" xfId="2069"/>
    <cellStyle name="40% - Accent5 2 3 4 2" xfId="2070"/>
    <cellStyle name="40% - Accent5 2 3 5" xfId="2071"/>
    <cellStyle name="40% - Accent5 2 4" xfId="2072"/>
    <cellStyle name="40% - Accent5 2 4 2" xfId="2073"/>
    <cellStyle name="40% - Accent5 2 4 2 2" xfId="2074"/>
    <cellStyle name="40% - Accent5 2 4 2 2 2" xfId="2075"/>
    <cellStyle name="40% - Accent5 2 4 2 3" xfId="2076"/>
    <cellStyle name="40% - Accent5 2 4 3" xfId="2077"/>
    <cellStyle name="40% - Accent5 2 4 3 2" xfId="2078"/>
    <cellStyle name="40% - Accent5 2 4 4" xfId="2079"/>
    <cellStyle name="40% - Accent5 2 5" xfId="2080"/>
    <cellStyle name="40% - Accent5 2 5 2" xfId="2081"/>
    <cellStyle name="40% - Accent5 2 5 2 2" xfId="2082"/>
    <cellStyle name="40% - Accent5 2 5 2 2 2" xfId="2083"/>
    <cellStyle name="40% - Accent5 2 5 2 3" xfId="2084"/>
    <cellStyle name="40% - Accent5 2 5 3" xfId="2085"/>
    <cellStyle name="40% - Accent5 2 5 3 2" xfId="2086"/>
    <cellStyle name="40% - Accent5 2 5 3 2 2" xfId="2087"/>
    <cellStyle name="40% - Accent5 2 5 3 2 2 2" xfId="2088"/>
    <cellStyle name="40% - Accent5 2 5 3 2 3" xfId="2089"/>
    <cellStyle name="40% - Accent5 2 5 3 3" xfId="2090"/>
    <cellStyle name="40% - Accent5 2 5 3 3 2" xfId="2091"/>
    <cellStyle name="40% - Accent5 2 5 3 4" xfId="2092"/>
    <cellStyle name="40% - Accent5 2 5 4" xfId="2093"/>
    <cellStyle name="40% - Accent5 2 5 4 2" xfId="2094"/>
    <cellStyle name="40% - Accent5 2 5 5" xfId="2095"/>
    <cellStyle name="40% - Accent5 2 6" xfId="2096"/>
    <cellStyle name="40% - Accent5 2 6 2" xfId="2097"/>
    <cellStyle name="40% - Accent5 2 6 2 2" xfId="2098"/>
    <cellStyle name="40% - Accent5 2 6 3" xfId="2099"/>
    <cellStyle name="40% - Accent5 2 7" xfId="2100"/>
    <cellStyle name="40% - Accent5 2 7 2" xfId="2101"/>
    <cellStyle name="40% - Accent5 2 7 2 2" xfId="2102"/>
    <cellStyle name="40% - Accent5 2 7 3" xfId="2103"/>
    <cellStyle name="40% - Accent5 2 8" xfId="2104"/>
    <cellStyle name="40% - Accent5 2 8 2" xfId="2105"/>
    <cellStyle name="40% - Accent5 2 8 2 2" xfId="2106"/>
    <cellStyle name="40% - Accent5 2 8 2 2 2" xfId="2107"/>
    <cellStyle name="40% - Accent5 2 8 2 3" xfId="2108"/>
    <cellStyle name="40% - Accent5 2 8 3" xfId="2109"/>
    <cellStyle name="40% - Accent5 2 8 3 2" xfId="2110"/>
    <cellStyle name="40% - Accent5 2 8 4" xfId="2111"/>
    <cellStyle name="40% - Accent5 2 9" xfId="2112"/>
    <cellStyle name="40% - Accent5 2 9 2" xfId="2113"/>
    <cellStyle name="40% - Accent5 3" xfId="2114"/>
    <cellStyle name="40% - Accent5 3 2" xfId="2115"/>
    <cellStyle name="40% - Accent5 3 2 2" xfId="2116"/>
    <cellStyle name="40% - Accent5 3 2 2 2" xfId="2117"/>
    <cellStyle name="40% - Accent5 3 2 3" xfId="2118"/>
    <cellStyle name="40% - Accent5 3 3" xfId="2119"/>
    <cellStyle name="40% - Accent5 3 3 2" xfId="2120"/>
    <cellStyle name="40% - Accent5 3 4" xfId="2121"/>
    <cellStyle name="40% - Accent5 3 4 2" xfId="2122"/>
    <cellStyle name="40% - Accent5 3 4 2 2" xfId="2123"/>
    <cellStyle name="40% - Accent5 3 4 3" xfId="2124"/>
    <cellStyle name="40% - Accent5 3 5" xfId="2125"/>
    <cellStyle name="40% - Accent5 4" xfId="2126"/>
    <cellStyle name="40% - Accent5 4 2" xfId="2127"/>
    <cellStyle name="40% - Accent5 4 2 2" xfId="2128"/>
    <cellStyle name="40% - Accent5 4 3" xfId="2129"/>
    <cellStyle name="40% - Accent5 4 3 2" xfId="2130"/>
    <cellStyle name="40% - Accent5 4 3 2 2" xfId="2131"/>
    <cellStyle name="40% - Accent5 4 3 3" xfId="2132"/>
    <cellStyle name="40% - Accent5 4 4" xfId="2133"/>
    <cellStyle name="40% - Accent5 5" xfId="2134"/>
    <cellStyle name="40% - Accent5 5 2" xfId="2135"/>
    <cellStyle name="40% - Accent5 5 2 2" xfId="2136"/>
    <cellStyle name="40% - Accent5 5 2 2 2" xfId="2137"/>
    <cellStyle name="40% - Accent5 5 2 3" xfId="2138"/>
    <cellStyle name="40% - Accent5 5 3" xfId="2139"/>
    <cellStyle name="40% - Accent5 5 3 2" xfId="2140"/>
    <cellStyle name="40% - Accent5 5 3 2 2" xfId="2141"/>
    <cellStyle name="40% - Accent5 5 3 2 2 2" xfId="2142"/>
    <cellStyle name="40% - Accent5 5 3 2 3" xfId="2143"/>
    <cellStyle name="40% - Accent5 5 3 3" xfId="2144"/>
    <cellStyle name="40% - Accent5 5 3 3 2" xfId="2145"/>
    <cellStyle name="40% - Accent5 5 3 4" xfId="2146"/>
    <cellStyle name="40% - Accent5 5 4" xfId="2147"/>
    <cellStyle name="40% - Accent5 5 4 2" xfId="2148"/>
    <cellStyle name="40% - Accent5 5 5" xfId="2149"/>
    <cellStyle name="40% - Accent5 6" xfId="2150"/>
    <cellStyle name="40% - Accent5 6 2" xfId="2151"/>
    <cellStyle name="40% - Accent5 6 2 2" xfId="2152"/>
    <cellStyle name="40% - Accent5 6 2 2 2" xfId="2153"/>
    <cellStyle name="40% - Accent5 6 2 3" xfId="2154"/>
    <cellStyle name="40% - Accent5 6 3" xfId="2155"/>
    <cellStyle name="40% - Accent5 6 3 2" xfId="2156"/>
    <cellStyle name="40% - Accent5 6 4" xfId="2157"/>
    <cellStyle name="40% - Accent5 7" xfId="2158"/>
    <cellStyle name="40% - Accent5 8" xfId="2159"/>
    <cellStyle name="40% - Accent6 2" xfId="2160"/>
    <cellStyle name="40% - Accent6 2 10" xfId="2161"/>
    <cellStyle name="40% - Accent6 2 10 2" xfId="2162"/>
    <cellStyle name="40% - Accent6 2 11" xfId="2163"/>
    <cellStyle name="40% - Accent6 2 2" xfId="2164"/>
    <cellStyle name="40% - Accent6 2 2 2" xfId="2165"/>
    <cellStyle name="40% - Accent6 2 2 2 2" xfId="2166"/>
    <cellStyle name="40% - Accent6 2 2 2 2 2" xfId="2167"/>
    <cellStyle name="40% - Accent6 2 2 2 3" xfId="2168"/>
    <cellStyle name="40% - Accent6 2 2 2 3 2" xfId="2169"/>
    <cellStyle name="40% - Accent6 2 2 2 3 2 2" xfId="2170"/>
    <cellStyle name="40% - Accent6 2 2 2 3 3" xfId="2171"/>
    <cellStyle name="40% - Accent6 2 2 2 4" xfId="2172"/>
    <cellStyle name="40% - Accent6 2 2 3" xfId="2173"/>
    <cellStyle name="40% - Accent6 2 2 3 2" xfId="2174"/>
    <cellStyle name="40% - Accent6 2 2 3 2 2" xfId="2175"/>
    <cellStyle name="40% - Accent6 2 2 3 3" xfId="2176"/>
    <cellStyle name="40% - Accent6 2 2 4" xfId="2177"/>
    <cellStyle name="40% - Accent6 2 2 4 2" xfId="2178"/>
    <cellStyle name="40% - Accent6 2 2 4 2 2" xfId="2179"/>
    <cellStyle name="40% - Accent6 2 2 4 2 2 2" xfId="2180"/>
    <cellStyle name="40% - Accent6 2 2 4 2 3" xfId="2181"/>
    <cellStyle name="40% - Accent6 2 2 4 3" xfId="2182"/>
    <cellStyle name="40% - Accent6 2 2 4 3 2" xfId="2183"/>
    <cellStyle name="40% - Accent6 2 2 4 4" xfId="2184"/>
    <cellStyle name="40% - Accent6 2 2 5" xfId="2185"/>
    <cellStyle name="40% - Accent6 2 2 5 2" xfId="2186"/>
    <cellStyle name="40% - Accent6 2 2 6" xfId="2187"/>
    <cellStyle name="40% - Accent6 2 3" xfId="2188"/>
    <cellStyle name="40% - Accent6 2 3 2" xfId="2189"/>
    <cellStyle name="40% - Accent6 2 3 2 2" xfId="2190"/>
    <cellStyle name="40% - Accent6 2 3 2 2 2" xfId="2191"/>
    <cellStyle name="40% - Accent6 2 3 2 3" xfId="2192"/>
    <cellStyle name="40% - Accent6 2 3 3" xfId="2193"/>
    <cellStyle name="40% - Accent6 2 3 3 2" xfId="2194"/>
    <cellStyle name="40% - Accent6 2 3 3 2 2" xfId="2195"/>
    <cellStyle name="40% - Accent6 2 3 3 2 2 2" xfId="2196"/>
    <cellStyle name="40% - Accent6 2 3 3 2 3" xfId="2197"/>
    <cellStyle name="40% - Accent6 2 3 3 3" xfId="2198"/>
    <cellStyle name="40% - Accent6 2 3 3 3 2" xfId="2199"/>
    <cellStyle name="40% - Accent6 2 3 3 4" xfId="2200"/>
    <cellStyle name="40% - Accent6 2 3 4" xfId="2201"/>
    <cellStyle name="40% - Accent6 2 3 4 2" xfId="2202"/>
    <cellStyle name="40% - Accent6 2 3 5" xfId="2203"/>
    <cellStyle name="40% - Accent6 2 4" xfId="2204"/>
    <cellStyle name="40% - Accent6 2 4 2" xfId="2205"/>
    <cellStyle name="40% - Accent6 2 4 2 2" xfId="2206"/>
    <cellStyle name="40% - Accent6 2 4 2 2 2" xfId="2207"/>
    <cellStyle name="40% - Accent6 2 4 2 3" xfId="2208"/>
    <cellStyle name="40% - Accent6 2 4 3" xfId="2209"/>
    <cellStyle name="40% - Accent6 2 4 3 2" xfId="2210"/>
    <cellStyle name="40% - Accent6 2 4 4" xfId="2211"/>
    <cellStyle name="40% - Accent6 2 5" xfId="2212"/>
    <cellStyle name="40% - Accent6 2 5 2" xfId="2213"/>
    <cellStyle name="40% - Accent6 2 5 2 2" xfId="2214"/>
    <cellStyle name="40% - Accent6 2 5 2 2 2" xfId="2215"/>
    <cellStyle name="40% - Accent6 2 5 2 3" xfId="2216"/>
    <cellStyle name="40% - Accent6 2 5 3" xfId="2217"/>
    <cellStyle name="40% - Accent6 2 5 3 2" xfId="2218"/>
    <cellStyle name="40% - Accent6 2 5 3 2 2" xfId="2219"/>
    <cellStyle name="40% - Accent6 2 5 3 2 2 2" xfId="2220"/>
    <cellStyle name="40% - Accent6 2 5 3 2 3" xfId="2221"/>
    <cellStyle name="40% - Accent6 2 5 3 3" xfId="2222"/>
    <cellStyle name="40% - Accent6 2 5 3 3 2" xfId="2223"/>
    <cellStyle name="40% - Accent6 2 5 3 4" xfId="2224"/>
    <cellStyle name="40% - Accent6 2 5 4" xfId="2225"/>
    <cellStyle name="40% - Accent6 2 5 4 2" xfId="2226"/>
    <cellStyle name="40% - Accent6 2 5 5" xfId="2227"/>
    <cellStyle name="40% - Accent6 2 6" xfId="2228"/>
    <cellStyle name="40% - Accent6 2 6 2" xfId="2229"/>
    <cellStyle name="40% - Accent6 2 6 2 2" xfId="2230"/>
    <cellStyle name="40% - Accent6 2 6 3" xfId="2231"/>
    <cellStyle name="40% - Accent6 2 7" xfId="2232"/>
    <cellStyle name="40% - Accent6 2 7 2" xfId="2233"/>
    <cellStyle name="40% - Accent6 2 7 2 2" xfId="2234"/>
    <cellStyle name="40% - Accent6 2 7 3" xfId="2235"/>
    <cellStyle name="40% - Accent6 2 8" xfId="2236"/>
    <cellStyle name="40% - Accent6 2 8 2" xfId="2237"/>
    <cellStyle name="40% - Accent6 2 8 2 2" xfId="2238"/>
    <cellStyle name="40% - Accent6 2 8 2 2 2" xfId="2239"/>
    <cellStyle name="40% - Accent6 2 8 2 3" xfId="2240"/>
    <cellStyle name="40% - Accent6 2 8 3" xfId="2241"/>
    <cellStyle name="40% - Accent6 2 8 3 2" xfId="2242"/>
    <cellStyle name="40% - Accent6 2 8 4" xfId="2243"/>
    <cellStyle name="40% - Accent6 2 9" xfId="2244"/>
    <cellStyle name="40% - Accent6 2 9 2" xfId="2245"/>
    <cellStyle name="40% - Accent6 3" xfId="2246"/>
    <cellStyle name="40% - Accent6 3 2" xfId="2247"/>
    <cellStyle name="40% - Accent6 3 2 2" xfId="2248"/>
    <cellStyle name="40% - Accent6 3 2 2 2" xfId="2249"/>
    <cellStyle name="40% - Accent6 3 2 3" xfId="2250"/>
    <cellStyle name="40% - Accent6 3 3" xfId="2251"/>
    <cellStyle name="40% - Accent6 3 3 2" xfId="2252"/>
    <cellStyle name="40% - Accent6 3 4" xfId="2253"/>
    <cellStyle name="40% - Accent6 3 4 2" xfId="2254"/>
    <cellStyle name="40% - Accent6 3 4 2 2" xfId="2255"/>
    <cellStyle name="40% - Accent6 3 4 3" xfId="2256"/>
    <cellStyle name="40% - Accent6 3 5" xfId="2257"/>
    <cellStyle name="40% - Accent6 4" xfId="2258"/>
    <cellStyle name="40% - Accent6 4 2" xfId="2259"/>
    <cellStyle name="40% - Accent6 4 2 2" xfId="2260"/>
    <cellStyle name="40% - Accent6 4 3" xfId="2261"/>
    <cellStyle name="40% - Accent6 4 3 2" xfId="2262"/>
    <cellStyle name="40% - Accent6 4 3 2 2" xfId="2263"/>
    <cellStyle name="40% - Accent6 4 3 3" xfId="2264"/>
    <cellStyle name="40% - Accent6 4 4" xfId="2265"/>
    <cellStyle name="40% - Accent6 5" xfId="2266"/>
    <cellStyle name="40% - Accent6 5 2" xfId="2267"/>
    <cellStyle name="40% - Accent6 5 2 2" xfId="2268"/>
    <cellStyle name="40% - Accent6 5 2 2 2" xfId="2269"/>
    <cellStyle name="40% - Accent6 5 2 3" xfId="2270"/>
    <cellStyle name="40% - Accent6 5 3" xfId="2271"/>
    <cellStyle name="40% - Accent6 5 3 2" xfId="2272"/>
    <cellStyle name="40% - Accent6 5 3 2 2" xfId="2273"/>
    <cellStyle name="40% - Accent6 5 3 2 2 2" xfId="2274"/>
    <cellStyle name="40% - Accent6 5 3 2 3" xfId="2275"/>
    <cellStyle name="40% - Accent6 5 3 3" xfId="2276"/>
    <cellStyle name="40% - Accent6 5 3 3 2" xfId="2277"/>
    <cellStyle name="40% - Accent6 5 3 4" xfId="2278"/>
    <cellStyle name="40% - Accent6 5 4" xfId="2279"/>
    <cellStyle name="40% - Accent6 5 4 2" xfId="2280"/>
    <cellStyle name="40% - Accent6 5 5" xfId="2281"/>
    <cellStyle name="40% - Accent6 6" xfId="2282"/>
    <cellStyle name="40% - Accent6 6 2" xfId="2283"/>
    <cellStyle name="40% - Accent6 6 2 2" xfId="2284"/>
    <cellStyle name="40% - Accent6 6 2 2 2" xfId="2285"/>
    <cellStyle name="40% - Accent6 6 2 3" xfId="2286"/>
    <cellStyle name="40% - Accent6 6 3" xfId="2287"/>
    <cellStyle name="40% - Accent6 6 3 2" xfId="2288"/>
    <cellStyle name="40% - Accent6 6 4" xfId="2289"/>
    <cellStyle name="40% - Accent6 7" xfId="2290"/>
    <cellStyle name="40% - Accent6 8" xfId="2291"/>
    <cellStyle name="60% - Accent1 2" xfId="2292"/>
    <cellStyle name="60% - Accent1 2 10" xfId="2293"/>
    <cellStyle name="60% - Accent1 2 2" xfId="2294"/>
    <cellStyle name="60% - Accent1 2 2 2" xfId="2295"/>
    <cellStyle name="60% - Accent1 2 2 2 2" xfId="2296"/>
    <cellStyle name="60% - Accent1 2 2 3" xfId="2297"/>
    <cellStyle name="60% - Accent1 2 2 3 2" xfId="2298"/>
    <cellStyle name="60% - Accent1 2 2 3 2 2" xfId="2299"/>
    <cellStyle name="60% - Accent1 2 2 3 3" xfId="2300"/>
    <cellStyle name="60% - Accent1 2 2 4" xfId="2301"/>
    <cellStyle name="60% - Accent1 2 3" xfId="2302"/>
    <cellStyle name="60% - Accent1 2 3 2" xfId="2303"/>
    <cellStyle name="60% - Accent1 2 3 2 2" xfId="2304"/>
    <cellStyle name="60% - Accent1 2 3 3" xfId="2305"/>
    <cellStyle name="60% - Accent1 2 3 3 2" xfId="2306"/>
    <cellStyle name="60% - Accent1 2 3 3 2 2" xfId="2307"/>
    <cellStyle name="60% - Accent1 2 3 3 3" xfId="2308"/>
    <cellStyle name="60% - Accent1 2 3 4" xfId="2309"/>
    <cellStyle name="60% - Accent1 2 4" xfId="2310"/>
    <cellStyle name="60% - Accent1 2 4 2" xfId="2311"/>
    <cellStyle name="60% - Accent1 2 4 2 2" xfId="2312"/>
    <cellStyle name="60% - Accent1 2 4 3" xfId="2313"/>
    <cellStyle name="60% - Accent1 2 5" xfId="2314"/>
    <cellStyle name="60% - Accent1 2 5 2" xfId="2315"/>
    <cellStyle name="60% - Accent1 2 5 2 2" xfId="2316"/>
    <cellStyle name="60% - Accent1 2 5 3" xfId="2317"/>
    <cellStyle name="60% - Accent1 2 5 3 2" xfId="2318"/>
    <cellStyle name="60% - Accent1 2 5 3 2 2" xfId="2319"/>
    <cellStyle name="60% - Accent1 2 5 3 3" xfId="2320"/>
    <cellStyle name="60% - Accent1 2 5 4" xfId="2321"/>
    <cellStyle name="60% - Accent1 2 6" xfId="2322"/>
    <cellStyle name="60% - Accent1 2 6 2" xfId="2323"/>
    <cellStyle name="60% - Accent1 2 7" xfId="2324"/>
    <cellStyle name="60% - Accent1 2 7 2" xfId="2325"/>
    <cellStyle name="60% - Accent1 2 8" xfId="2326"/>
    <cellStyle name="60% - Accent1 2 8 2" xfId="2327"/>
    <cellStyle name="60% - Accent1 2 8 2 2" xfId="2328"/>
    <cellStyle name="60% - Accent1 2 8 3" xfId="2329"/>
    <cellStyle name="60% - Accent1 2 9" xfId="2330"/>
    <cellStyle name="60% - Accent1 2 9 2" xfId="2331"/>
    <cellStyle name="60% - Accent1 2 9 2 2" xfId="2332"/>
    <cellStyle name="60% - Accent1 2 9 3" xfId="2333"/>
    <cellStyle name="60% - Accent1 3" xfId="2334"/>
    <cellStyle name="60% - Accent1 3 2" xfId="2335"/>
    <cellStyle name="60% - Accent1 3 2 2" xfId="2336"/>
    <cellStyle name="60% - Accent1 3 3" xfId="2337"/>
    <cellStyle name="60% - Accent1 3 3 2" xfId="2338"/>
    <cellStyle name="60% - Accent1 3 4" xfId="2339"/>
    <cellStyle name="60% - Accent1 3 4 2" xfId="2340"/>
    <cellStyle name="60% - Accent1 3 4 2 2" xfId="2341"/>
    <cellStyle name="60% - Accent1 3 4 3" xfId="2342"/>
    <cellStyle name="60% - Accent1 3 5" xfId="2343"/>
    <cellStyle name="60% - Accent1 4" xfId="2344"/>
    <cellStyle name="60% - Accent1 4 2" xfId="2345"/>
    <cellStyle name="60% - Accent1 4 2 2" xfId="2346"/>
    <cellStyle name="60% - Accent1 4 3" xfId="2347"/>
    <cellStyle name="60% - Accent1 4 3 2" xfId="2348"/>
    <cellStyle name="60% - Accent1 4 3 2 2" xfId="2349"/>
    <cellStyle name="60% - Accent1 4 3 3" xfId="2350"/>
    <cellStyle name="60% - Accent1 4 4" xfId="2351"/>
    <cellStyle name="60% - Accent1 5" xfId="2352"/>
    <cellStyle name="60% - Accent1 5 2" xfId="2353"/>
    <cellStyle name="60% - Accent1 5 2 2" xfId="2354"/>
    <cellStyle name="60% - Accent1 5 3" xfId="2355"/>
    <cellStyle name="60% - Accent1 5 3 2" xfId="2356"/>
    <cellStyle name="60% - Accent1 5 3 2 2" xfId="2357"/>
    <cellStyle name="60% - Accent1 5 3 3" xfId="2358"/>
    <cellStyle name="60% - Accent1 5 4" xfId="2359"/>
    <cellStyle name="60% - Accent1 6" xfId="2360"/>
    <cellStyle name="60% - Accent1 6 2" xfId="2361"/>
    <cellStyle name="60% - Accent1 6 2 2" xfId="2362"/>
    <cellStyle name="60% - Accent1 6 3" xfId="2363"/>
    <cellStyle name="60% - Accent1 7" xfId="2364"/>
    <cellStyle name="60% - Accent1 8" xfId="2365"/>
    <cellStyle name="60% - Accent2 2" xfId="2366"/>
    <cellStyle name="60% - Accent2 2 10" xfId="2367"/>
    <cellStyle name="60% - Accent2 2 2" xfId="2368"/>
    <cellStyle name="60% - Accent2 2 2 2" xfId="2369"/>
    <cellStyle name="60% - Accent2 2 2 2 2" xfId="2370"/>
    <cellStyle name="60% - Accent2 2 2 3" xfId="2371"/>
    <cellStyle name="60% - Accent2 2 2 3 2" xfId="2372"/>
    <cellStyle name="60% - Accent2 2 2 3 2 2" xfId="2373"/>
    <cellStyle name="60% - Accent2 2 2 3 3" xfId="2374"/>
    <cellStyle name="60% - Accent2 2 2 4" xfId="2375"/>
    <cellStyle name="60% - Accent2 2 3" xfId="2376"/>
    <cellStyle name="60% - Accent2 2 3 2" xfId="2377"/>
    <cellStyle name="60% - Accent2 2 3 2 2" xfId="2378"/>
    <cellStyle name="60% - Accent2 2 3 3" xfId="2379"/>
    <cellStyle name="60% - Accent2 2 3 3 2" xfId="2380"/>
    <cellStyle name="60% - Accent2 2 3 3 2 2" xfId="2381"/>
    <cellStyle name="60% - Accent2 2 3 3 3" xfId="2382"/>
    <cellStyle name="60% - Accent2 2 3 4" xfId="2383"/>
    <cellStyle name="60% - Accent2 2 4" xfId="2384"/>
    <cellStyle name="60% - Accent2 2 4 2" xfId="2385"/>
    <cellStyle name="60% - Accent2 2 4 2 2" xfId="2386"/>
    <cellStyle name="60% - Accent2 2 4 3" xfId="2387"/>
    <cellStyle name="60% - Accent2 2 5" xfId="2388"/>
    <cellStyle name="60% - Accent2 2 5 2" xfId="2389"/>
    <cellStyle name="60% - Accent2 2 5 2 2" xfId="2390"/>
    <cellStyle name="60% - Accent2 2 5 3" xfId="2391"/>
    <cellStyle name="60% - Accent2 2 5 3 2" xfId="2392"/>
    <cellStyle name="60% - Accent2 2 5 3 2 2" xfId="2393"/>
    <cellStyle name="60% - Accent2 2 5 3 3" xfId="2394"/>
    <cellStyle name="60% - Accent2 2 5 4" xfId="2395"/>
    <cellStyle name="60% - Accent2 2 6" xfId="2396"/>
    <cellStyle name="60% - Accent2 2 6 2" xfId="2397"/>
    <cellStyle name="60% - Accent2 2 7" xfId="2398"/>
    <cellStyle name="60% - Accent2 2 7 2" xfId="2399"/>
    <cellStyle name="60% - Accent2 2 8" xfId="2400"/>
    <cellStyle name="60% - Accent2 2 8 2" xfId="2401"/>
    <cellStyle name="60% - Accent2 2 8 2 2" xfId="2402"/>
    <cellStyle name="60% - Accent2 2 8 3" xfId="2403"/>
    <cellStyle name="60% - Accent2 2 9" xfId="2404"/>
    <cellStyle name="60% - Accent2 2 9 2" xfId="2405"/>
    <cellStyle name="60% - Accent2 2 9 2 2" xfId="2406"/>
    <cellStyle name="60% - Accent2 2 9 3" xfId="2407"/>
    <cellStyle name="60% - Accent2 3" xfId="2408"/>
    <cellStyle name="60% - Accent2 3 2" xfId="2409"/>
    <cellStyle name="60% - Accent2 3 2 2" xfId="2410"/>
    <cellStyle name="60% - Accent2 3 3" xfId="2411"/>
    <cellStyle name="60% - Accent2 3 3 2" xfId="2412"/>
    <cellStyle name="60% - Accent2 3 4" xfId="2413"/>
    <cellStyle name="60% - Accent2 3 4 2" xfId="2414"/>
    <cellStyle name="60% - Accent2 3 4 2 2" xfId="2415"/>
    <cellStyle name="60% - Accent2 3 4 3" xfId="2416"/>
    <cellStyle name="60% - Accent2 3 5" xfId="2417"/>
    <cellStyle name="60% - Accent2 4" xfId="2418"/>
    <cellStyle name="60% - Accent2 4 2" xfId="2419"/>
    <cellStyle name="60% - Accent2 4 2 2" xfId="2420"/>
    <cellStyle name="60% - Accent2 4 3" xfId="2421"/>
    <cellStyle name="60% - Accent2 4 3 2" xfId="2422"/>
    <cellStyle name="60% - Accent2 4 3 2 2" xfId="2423"/>
    <cellStyle name="60% - Accent2 4 3 3" xfId="2424"/>
    <cellStyle name="60% - Accent2 4 4" xfId="2425"/>
    <cellStyle name="60% - Accent2 5" xfId="2426"/>
    <cellStyle name="60% - Accent2 5 2" xfId="2427"/>
    <cellStyle name="60% - Accent2 5 2 2" xfId="2428"/>
    <cellStyle name="60% - Accent2 5 3" xfId="2429"/>
    <cellStyle name="60% - Accent2 5 3 2" xfId="2430"/>
    <cellStyle name="60% - Accent2 5 3 2 2" xfId="2431"/>
    <cellStyle name="60% - Accent2 5 3 3" xfId="2432"/>
    <cellStyle name="60% - Accent2 5 4" xfId="2433"/>
    <cellStyle name="60% - Accent2 6" xfId="2434"/>
    <cellStyle name="60% - Accent2 6 2" xfId="2435"/>
    <cellStyle name="60% - Accent2 6 2 2" xfId="2436"/>
    <cellStyle name="60% - Accent2 6 3" xfId="2437"/>
    <cellStyle name="60% - Accent2 7" xfId="2438"/>
    <cellStyle name="60% - Accent2 8" xfId="2439"/>
    <cellStyle name="60% - Accent3 2" xfId="2440"/>
    <cellStyle name="60% - Accent3 2 10" xfId="2441"/>
    <cellStyle name="60% - Accent3 2 2" xfId="2442"/>
    <cellStyle name="60% - Accent3 2 2 2" xfId="2443"/>
    <cellStyle name="60% - Accent3 2 2 2 2" xfId="2444"/>
    <cellStyle name="60% - Accent3 2 2 3" xfId="2445"/>
    <cellStyle name="60% - Accent3 2 2 3 2" xfId="2446"/>
    <cellStyle name="60% - Accent3 2 2 3 2 2" xfId="2447"/>
    <cellStyle name="60% - Accent3 2 2 3 3" xfId="2448"/>
    <cellStyle name="60% - Accent3 2 2 4" xfId="2449"/>
    <cellStyle name="60% - Accent3 2 3" xfId="2450"/>
    <cellStyle name="60% - Accent3 2 3 2" xfId="2451"/>
    <cellStyle name="60% - Accent3 2 3 2 2" xfId="2452"/>
    <cellStyle name="60% - Accent3 2 3 3" xfId="2453"/>
    <cellStyle name="60% - Accent3 2 3 3 2" xfId="2454"/>
    <cellStyle name="60% - Accent3 2 3 3 2 2" xfId="2455"/>
    <cellStyle name="60% - Accent3 2 3 3 3" xfId="2456"/>
    <cellStyle name="60% - Accent3 2 3 4" xfId="2457"/>
    <cellStyle name="60% - Accent3 2 4" xfId="2458"/>
    <cellStyle name="60% - Accent3 2 4 2" xfId="2459"/>
    <cellStyle name="60% - Accent3 2 4 2 2" xfId="2460"/>
    <cellStyle name="60% - Accent3 2 4 3" xfId="2461"/>
    <cellStyle name="60% - Accent3 2 5" xfId="2462"/>
    <cellStyle name="60% - Accent3 2 5 2" xfId="2463"/>
    <cellStyle name="60% - Accent3 2 5 2 2" xfId="2464"/>
    <cellStyle name="60% - Accent3 2 5 3" xfId="2465"/>
    <cellStyle name="60% - Accent3 2 5 3 2" xfId="2466"/>
    <cellStyle name="60% - Accent3 2 5 3 2 2" xfId="2467"/>
    <cellStyle name="60% - Accent3 2 5 3 3" xfId="2468"/>
    <cellStyle name="60% - Accent3 2 5 4" xfId="2469"/>
    <cellStyle name="60% - Accent3 2 6" xfId="2470"/>
    <cellStyle name="60% - Accent3 2 6 2" xfId="2471"/>
    <cellStyle name="60% - Accent3 2 7" xfId="2472"/>
    <cellStyle name="60% - Accent3 2 7 2" xfId="2473"/>
    <cellStyle name="60% - Accent3 2 8" xfId="2474"/>
    <cellStyle name="60% - Accent3 2 8 2" xfId="2475"/>
    <cellStyle name="60% - Accent3 2 8 2 2" xfId="2476"/>
    <cellStyle name="60% - Accent3 2 8 3" xfId="2477"/>
    <cellStyle name="60% - Accent3 2 9" xfId="2478"/>
    <cellStyle name="60% - Accent3 2 9 2" xfId="2479"/>
    <cellStyle name="60% - Accent3 2 9 2 2" xfId="2480"/>
    <cellStyle name="60% - Accent3 2 9 3" xfId="2481"/>
    <cellStyle name="60% - Accent3 3" xfId="2482"/>
    <cellStyle name="60% - Accent3 3 2" xfId="2483"/>
    <cellStyle name="60% - Accent3 3 2 2" xfId="2484"/>
    <cellStyle name="60% - Accent3 3 3" xfId="2485"/>
    <cellStyle name="60% - Accent3 3 3 2" xfId="2486"/>
    <cellStyle name="60% - Accent3 3 4" xfId="2487"/>
    <cellStyle name="60% - Accent3 3 4 2" xfId="2488"/>
    <cellStyle name="60% - Accent3 3 4 2 2" xfId="2489"/>
    <cellStyle name="60% - Accent3 3 4 3" xfId="2490"/>
    <cellStyle name="60% - Accent3 3 5" xfId="2491"/>
    <cellStyle name="60% - Accent3 4" xfId="2492"/>
    <cellStyle name="60% - Accent3 4 2" xfId="2493"/>
    <cellStyle name="60% - Accent3 4 2 2" xfId="2494"/>
    <cellStyle name="60% - Accent3 4 3" xfId="2495"/>
    <cellStyle name="60% - Accent3 4 3 2" xfId="2496"/>
    <cellStyle name="60% - Accent3 4 3 2 2" xfId="2497"/>
    <cellStyle name="60% - Accent3 4 3 3" xfId="2498"/>
    <cellStyle name="60% - Accent3 4 4" xfId="2499"/>
    <cellStyle name="60% - Accent3 5" xfId="2500"/>
    <cellStyle name="60% - Accent3 5 2" xfId="2501"/>
    <cellStyle name="60% - Accent3 5 2 2" xfId="2502"/>
    <cellStyle name="60% - Accent3 5 3" xfId="2503"/>
    <cellStyle name="60% - Accent3 5 3 2" xfId="2504"/>
    <cellStyle name="60% - Accent3 5 3 2 2" xfId="2505"/>
    <cellStyle name="60% - Accent3 5 3 3" xfId="2506"/>
    <cellStyle name="60% - Accent3 5 4" xfId="2507"/>
    <cellStyle name="60% - Accent3 6" xfId="2508"/>
    <cellStyle name="60% - Accent3 6 2" xfId="2509"/>
    <cellStyle name="60% - Accent3 6 2 2" xfId="2510"/>
    <cellStyle name="60% - Accent3 6 3" xfId="2511"/>
    <cellStyle name="60% - Accent3 7" xfId="2512"/>
    <cellStyle name="60% - Accent3 8" xfId="2513"/>
    <cellStyle name="60% - Accent4 2" xfId="2514"/>
    <cellStyle name="60% - Accent4 2 10" xfId="2515"/>
    <cellStyle name="60% - Accent4 2 2" xfId="2516"/>
    <cellStyle name="60% - Accent4 2 2 2" xfId="2517"/>
    <cellStyle name="60% - Accent4 2 2 2 2" xfId="2518"/>
    <cellStyle name="60% - Accent4 2 2 3" xfId="2519"/>
    <cellStyle name="60% - Accent4 2 2 3 2" xfId="2520"/>
    <cellStyle name="60% - Accent4 2 2 3 2 2" xfId="2521"/>
    <cellStyle name="60% - Accent4 2 2 3 3" xfId="2522"/>
    <cellStyle name="60% - Accent4 2 2 4" xfId="2523"/>
    <cellStyle name="60% - Accent4 2 3" xfId="2524"/>
    <cellStyle name="60% - Accent4 2 3 2" xfId="2525"/>
    <cellStyle name="60% - Accent4 2 3 2 2" xfId="2526"/>
    <cellStyle name="60% - Accent4 2 3 3" xfId="2527"/>
    <cellStyle name="60% - Accent4 2 3 3 2" xfId="2528"/>
    <cellStyle name="60% - Accent4 2 3 3 2 2" xfId="2529"/>
    <cellStyle name="60% - Accent4 2 3 3 3" xfId="2530"/>
    <cellStyle name="60% - Accent4 2 3 4" xfId="2531"/>
    <cellStyle name="60% - Accent4 2 4" xfId="2532"/>
    <cellStyle name="60% - Accent4 2 4 2" xfId="2533"/>
    <cellStyle name="60% - Accent4 2 4 2 2" xfId="2534"/>
    <cellStyle name="60% - Accent4 2 4 3" xfId="2535"/>
    <cellStyle name="60% - Accent4 2 5" xfId="2536"/>
    <cellStyle name="60% - Accent4 2 5 2" xfId="2537"/>
    <cellStyle name="60% - Accent4 2 5 2 2" xfId="2538"/>
    <cellStyle name="60% - Accent4 2 5 3" xfId="2539"/>
    <cellStyle name="60% - Accent4 2 5 3 2" xfId="2540"/>
    <cellStyle name="60% - Accent4 2 5 3 2 2" xfId="2541"/>
    <cellStyle name="60% - Accent4 2 5 3 3" xfId="2542"/>
    <cellStyle name="60% - Accent4 2 5 4" xfId="2543"/>
    <cellStyle name="60% - Accent4 2 6" xfId="2544"/>
    <cellStyle name="60% - Accent4 2 6 2" xfId="2545"/>
    <cellStyle name="60% - Accent4 2 7" xfId="2546"/>
    <cellStyle name="60% - Accent4 2 7 2" xfId="2547"/>
    <cellStyle name="60% - Accent4 2 8" xfId="2548"/>
    <cellStyle name="60% - Accent4 2 8 2" xfId="2549"/>
    <cellStyle name="60% - Accent4 2 8 2 2" xfId="2550"/>
    <cellStyle name="60% - Accent4 2 8 3" xfId="2551"/>
    <cellStyle name="60% - Accent4 2 9" xfId="2552"/>
    <cellStyle name="60% - Accent4 2 9 2" xfId="2553"/>
    <cellStyle name="60% - Accent4 2 9 2 2" xfId="2554"/>
    <cellStyle name="60% - Accent4 2 9 3" xfId="2555"/>
    <cellStyle name="60% - Accent4 3" xfId="2556"/>
    <cellStyle name="60% - Accent4 3 2" xfId="2557"/>
    <cellStyle name="60% - Accent4 3 2 2" xfId="2558"/>
    <cellStyle name="60% - Accent4 3 3" xfId="2559"/>
    <cellStyle name="60% - Accent4 3 3 2" xfId="2560"/>
    <cellStyle name="60% - Accent4 3 4" xfId="2561"/>
    <cellStyle name="60% - Accent4 3 4 2" xfId="2562"/>
    <cellStyle name="60% - Accent4 3 4 2 2" xfId="2563"/>
    <cellStyle name="60% - Accent4 3 4 3" xfId="2564"/>
    <cellStyle name="60% - Accent4 3 5" xfId="2565"/>
    <cellStyle name="60% - Accent4 4" xfId="2566"/>
    <cellStyle name="60% - Accent4 4 2" xfId="2567"/>
    <cellStyle name="60% - Accent4 4 2 2" xfId="2568"/>
    <cellStyle name="60% - Accent4 4 3" xfId="2569"/>
    <cellStyle name="60% - Accent4 4 3 2" xfId="2570"/>
    <cellStyle name="60% - Accent4 4 3 2 2" xfId="2571"/>
    <cellStyle name="60% - Accent4 4 3 3" xfId="2572"/>
    <cellStyle name="60% - Accent4 4 4" xfId="2573"/>
    <cellStyle name="60% - Accent4 5" xfId="2574"/>
    <cellStyle name="60% - Accent4 5 2" xfId="2575"/>
    <cellStyle name="60% - Accent4 5 2 2" xfId="2576"/>
    <cellStyle name="60% - Accent4 5 3" xfId="2577"/>
    <cellStyle name="60% - Accent4 5 3 2" xfId="2578"/>
    <cellStyle name="60% - Accent4 5 3 2 2" xfId="2579"/>
    <cellStyle name="60% - Accent4 5 3 3" xfId="2580"/>
    <cellStyle name="60% - Accent4 5 4" xfId="2581"/>
    <cellStyle name="60% - Accent4 6" xfId="2582"/>
    <cellStyle name="60% - Accent4 6 2" xfId="2583"/>
    <cellStyle name="60% - Accent4 6 2 2" xfId="2584"/>
    <cellStyle name="60% - Accent4 6 3" xfId="2585"/>
    <cellStyle name="60% - Accent4 7" xfId="2586"/>
    <cellStyle name="60% - Accent4 8" xfId="2587"/>
    <cellStyle name="60% - Accent5 2" xfId="2588"/>
    <cellStyle name="60% - Accent5 2 10" xfId="2589"/>
    <cellStyle name="60% - Accent5 2 2" xfId="2590"/>
    <cellStyle name="60% - Accent5 2 2 2" xfId="2591"/>
    <cellStyle name="60% - Accent5 2 2 2 2" xfId="2592"/>
    <cellStyle name="60% - Accent5 2 2 3" xfId="2593"/>
    <cellStyle name="60% - Accent5 2 2 3 2" xfId="2594"/>
    <cellStyle name="60% - Accent5 2 2 3 2 2" xfId="2595"/>
    <cellStyle name="60% - Accent5 2 2 3 3" xfId="2596"/>
    <cellStyle name="60% - Accent5 2 2 4" xfId="2597"/>
    <cellStyle name="60% - Accent5 2 3" xfId="2598"/>
    <cellStyle name="60% - Accent5 2 3 2" xfId="2599"/>
    <cellStyle name="60% - Accent5 2 3 2 2" xfId="2600"/>
    <cellStyle name="60% - Accent5 2 3 3" xfId="2601"/>
    <cellStyle name="60% - Accent5 2 3 3 2" xfId="2602"/>
    <cellStyle name="60% - Accent5 2 3 3 2 2" xfId="2603"/>
    <cellStyle name="60% - Accent5 2 3 3 3" xfId="2604"/>
    <cellStyle name="60% - Accent5 2 3 4" xfId="2605"/>
    <cellStyle name="60% - Accent5 2 4" xfId="2606"/>
    <cellStyle name="60% - Accent5 2 4 2" xfId="2607"/>
    <cellStyle name="60% - Accent5 2 4 2 2" xfId="2608"/>
    <cellStyle name="60% - Accent5 2 4 3" xfId="2609"/>
    <cellStyle name="60% - Accent5 2 5" xfId="2610"/>
    <cellStyle name="60% - Accent5 2 5 2" xfId="2611"/>
    <cellStyle name="60% - Accent5 2 5 2 2" xfId="2612"/>
    <cellStyle name="60% - Accent5 2 5 3" xfId="2613"/>
    <cellStyle name="60% - Accent5 2 5 3 2" xfId="2614"/>
    <cellStyle name="60% - Accent5 2 5 3 2 2" xfId="2615"/>
    <cellStyle name="60% - Accent5 2 5 3 3" xfId="2616"/>
    <cellStyle name="60% - Accent5 2 5 4" xfId="2617"/>
    <cellStyle name="60% - Accent5 2 6" xfId="2618"/>
    <cellStyle name="60% - Accent5 2 6 2" xfId="2619"/>
    <cellStyle name="60% - Accent5 2 7" xfId="2620"/>
    <cellStyle name="60% - Accent5 2 7 2" xfId="2621"/>
    <cellStyle name="60% - Accent5 2 8" xfId="2622"/>
    <cellStyle name="60% - Accent5 2 8 2" xfId="2623"/>
    <cellStyle name="60% - Accent5 2 8 2 2" xfId="2624"/>
    <cellStyle name="60% - Accent5 2 8 3" xfId="2625"/>
    <cellStyle name="60% - Accent5 2 9" xfId="2626"/>
    <cellStyle name="60% - Accent5 2 9 2" xfId="2627"/>
    <cellStyle name="60% - Accent5 2 9 2 2" xfId="2628"/>
    <cellStyle name="60% - Accent5 2 9 3" xfId="2629"/>
    <cellStyle name="60% - Accent5 3" xfId="2630"/>
    <cellStyle name="60% - Accent5 3 2" xfId="2631"/>
    <cellStyle name="60% - Accent5 3 2 2" xfId="2632"/>
    <cellStyle name="60% - Accent5 3 3" xfId="2633"/>
    <cellStyle name="60% - Accent5 3 3 2" xfId="2634"/>
    <cellStyle name="60% - Accent5 3 4" xfId="2635"/>
    <cellStyle name="60% - Accent5 3 4 2" xfId="2636"/>
    <cellStyle name="60% - Accent5 3 4 2 2" xfId="2637"/>
    <cellStyle name="60% - Accent5 3 4 3" xfId="2638"/>
    <cellStyle name="60% - Accent5 3 5" xfId="2639"/>
    <cellStyle name="60% - Accent5 4" xfId="2640"/>
    <cellStyle name="60% - Accent5 4 2" xfId="2641"/>
    <cellStyle name="60% - Accent5 4 2 2" xfId="2642"/>
    <cellStyle name="60% - Accent5 4 3" xfId="2643"/>
    <cellStyle name="60% - Accent5 4 3 2" xfId="2644"/>
    <cellStyle name="60% - Accent5 4 3 2 2" xfId="2645"/>
    <cellStyle name="60% - Accent5 4 3 3" xfId="2646"/>
    <cellStyle name="60% - Accent5 4 4" xfId="2647"/>
    <cellStyle name="60% - Accent5 5" xfId="2648"/>
    <cellStyle name="60% - Accent5 5 2" xfId="2649"/>
    <cellStyle name="60% - Accent5 5 2 2" xfId="2650"/>
    <cellStyle name="60% - Accent5 5 3" xfId="2651"/>
    <cellStyle name="60% - Accent5 5 3 2" xfId="2652"/>
    <cellStyle name="60% - Accent5 5 3 2 2" xfId="2653"/>
    <cellStyle name="60% - Accent5 5 3 3" xfId="2654"/>
    <cellStyle name="60% - Accent5 5 4" xfId="2655"/>
    <cellStyle name="60% - Accent5 6" xfId="2656"/>
    <cellStyle name="60% - Accent5 6 2" xfId="2657"/>
    <cellStyle name="60% - Accent5 6 2 2" xfId="2658"/>
    <cellStyle name="60% - Accent5 6 3" xfId="2659"/>
    <cellStyle name="60% - Accent5 7" xfId="2660"/>
    <cellStyle name="60% - Accent5 8" xfId="2661"/>
    <cellStyle name="60% - Accent6 2" xfId="2662"/>
    <cellStyle name="60% - Accent6 2 10" xfId="2663"/>
    <cellStyle name="60% - Accent6 2 2" xfId="2664"/>
    <cellStyle name="60% - Accent6 2 2 2" xfId="2665"/>
    <cellStyle name="60% - Accent6 2 2 2 2" xfId="2666"/>
    <cellStyle name="60% - Accent6 2 2 3" xfId="2667"/>
    <cellStyle name="60% - Accent6 2 2 3 2" xfId="2668"/>
    <cellStyle name="60% - Accent6 2 2 3 2 2" xfId="2669"/>
    <cellStyle name="60% - Accent6 2 2 3 3" xfId="2670"/>
    <cellStyle name="60% - Accent6 2 2 4" xfId="2671"/>
    <cellStyle name="60% - Accent6 2 3" xfId="2672"/>
    <cellStyle name="60% - Accent6 2 3 2" xfId="2673"/>
    <cellStyle name="60% - Accent6 2 3 2 2" xfId="2674"/>
    <cellStyle name="60% - Accent6 2 3 3" xfId="2675"/>
    <cellStyle name="60% - Accent6 2 3 3 2" xfId="2676"/>
    <cellStyle name="60% - Accent6 2 3 3 2 2" xfId="2677"/>
    <cellStyle name="60% - Accent6 2 3 3 3" xfId="2678"/>
    <cellStyle name="60% - Accent6 2 3 4" xfId="2679"/>
    <cellStyle name="60% - Accent6 2 4" xfId="2680"/>
    <cellStyle name="60% - Accent6 2 4 2" xfId="2681"/>
    <cellStyle name="60% - Accent6 2 4 2 2" xfId="2682"/>
    <cellStyle name="60% - Accent6 2 4 3" xfId="2683"/>
    <cellStyle name="60% - Accent6 2 5" xfId="2684"/>
    <cellStyle name="60% - Accent6 2 5 2" xfId="2685"/>
    <cellStyle name="60% - Accent6 2 5 2 2" xfId="2686"/>
    <cellStyle name="60% - Accent6 2 5 3" xfId="2687"/>
    <cellStyle name="60% - Accent6 2 5 3 2" xfId="2688"/>
    <cellStyle name="60% - Accent6 2 5 3 2 2" xfId="2689"/>
    <cellStyle name="60% - Accent6 2 5 3 3" xfId="2690"/>
    <cellStyle name="60% - Accent6 2 5 4" xfId="2691"/>
    <cellStyle name="60% - Accent6 2 6" xfId="2692"/>
    <cellStyle name="60% - Accent6 2 6 2" xfId="2693"/>
    <cellStyle name="60% - Accent6 2 7" xfId="2694"/>
    <cellStyle name="60% - Accent6 2 7 2" xfId="2695"/>
    <cellStyle name="60% - Accent6 2 8" xfId="2696"/>
    <cellStyle name="60% - Accent6 2 8 2" xfId="2697"/>
    <cellStyle name="60% - Accent6 2 8 2 2" xfId="2698"/>
    <cellStyle name="60% - Accent6 2 8 3" xfId="2699"/>
    <cellStyle name="60% - Accent6 2 9" xfId="2700"/>
    <cellStyle name="60% - Accent6 2 9 2" xfId="2701"/>
    <cellStyle name="60% - Accent6 2 9 2 2" xfId="2702"/>
    <cellStyle name="60% - Accent6 2 9 3" xfId="2703"/>
    <cellStyle name="60% - Accent6 3" xfId="2704"/>
    <cellStyle name="60% - Accent6 3 2" xfId="2705"/>
    <cellStyle name="60% - Accent6 3 2 2" xfId="2706"/>
    <cellStyle name="60% - Accent6 3 3" xfId="2707"/>
    <cellStyle name="60% - Accent6 3 3 2" xfId="2708"/>
    <cellStyle name="60% - Accent6 3 4" xfId="2709"/>
    <cellStyle name="60% - Accent6 3 4 2" xfId="2710"/>
    <cellStyle name="60% - Accent6 3 4 2 2" xfId="2711"/>
    <cellStyle name="60% - Accent6 3 4 3" xfId="2712"/>
    <cellStyle name="60% - Accent6 3 5" xfId="2713"/>
    <cellStyle name="60% - Accent6 4" xfId="2714"/>
    <cellStyle name="60% - Accent6 4 2" xfId="2715"/>
    <cellStyle name="60% - Accent6 4 2 2" xfId="2716"/>
    <cellStyle name="60% - Accent6 4 3" xfId="2717"/>
    <cellStyle name="60% - Accent6 4 3 2" xfId="2718"/>
    <cellStyle name="60% - Accent6 4 3 2 2" xfId="2719"/>
    <cellStyle name="60% - Accent6 4 3 3" xfId="2720"/>
    <cellStyle name="60% - Accent6 4 4" xfId="2721"/>
    <cellStyle name="60% - Accent6 5" xfId="2722"/>
    <cellStyle name="60% - Accent6 5 2" xfId="2723"/>
    <cellStyle name="60% - Accent6 5 2 2" xfId="2724"/>
    <cellStyle name="60% - Accent6 5 3" xfId="2725"/>
    <cellStyle name="60% - Accent6 5 3 2" xfId="2726"/>
    <cellStyle name="60% - Accent6 5 3 2 2" xfId="2727"/>
    <cellStyle name="60% - Accent6 5 3 3" xfId="2728"/>
    <cellStyle name="60% - Accent6 5 4" xfId="2729"/>
    <cellStyle name="60% - Accent6 6" xfId="2730"/>
    <cellStyle name="60% - Accent6 6 2" xfId="2731"/>
    <cellStyle name="60% - Accent6 6 2 2" xfId="2732"/>
    <cellStyle name="60% - Accent6 6 3" xfId="2733"/>
    <cellStyle name="60% - Accent6 7" xfId="2734"/>
    <cellStyle name="60% - Accent6 8" xfId="2735"/>
    <cellStyle name="Accent1 - 20%" xfId="1"/>
    <cellStyle name="Accent1 - 20% 10" xfId="2736"/>
    <cellStyle name="Accent1 - 20% 11" xfId="2737"/>
    <cellStyle name="Accent1 - 20% 2" xfId="2738"/>
    <cellStyle name="Accent1 - 20% 2 2" xfId="2739"/>
    <cellStyle name="Accent1 - 20% 2 2 2" xfId="2740"/>
    <cellStyle name="Accent1 - 20% 2 2 2 2" xfId="2741"/>
    <cellStyle name="Accent1 - 20% 2 2 3" xfId="2742"/>
    <cellStyle name="Accent1 - 20% 2 3" xfId="2743"/>
    <cellStyle name="Accent1 - 20% 2 3 2" xfId="2744"/>
    <cellStyle name="Accent1 - 20% 2 3 2 2" xfId="2745"/>
    <cellStyle name="Accent1 - 20% 2 3 2 2 2" xfId="2746"/>
    <cellStyle name="Accent1 - 20% 2 3 2 3" xfId="2747"/>
    <cellStyle name="Accent1 - 20% 2 3 3" xfId="2748"/>
    <cellStyle name="Accent1 - 20% 2 3 3 2" xfId="2749"/>
    <cellStyle name="Accent1 - 20% 2 3 4" xfId="2750"/>
    <cellStyle name="Accent1 - 20% 2 4" xfId="2751"/>
    <cellStyle name="Accent1 - 20% 2 4 2" xfId="2752"/>
    <cellStyle name="Accent1 - 20% 2 4 2 2" xfId="2753"/>
    <cellStyle name="Accent1 - 20% 2 4 2 2 2" xfId="2754"/>
    <cellStyle name="Accent1 - 20% 2 4 2 3" xfId="2755"/>
    <cellStyle name="Accent1 - 20% 2 4 3" xfId="2756"/>
    <cellStyle name="Accent1 - 20% 2 4 3 2" xfId="2757"/>
    <cellStyle name="Accent1 - 20% 2 4 4" xfId="2758"/>
    <cellStyle name="Accent1 - 20% 2 5" xfId="2759"/>
    <cellStyle name="Accent1 - 20% 2 5 2" xfId="2760"/>
    <cellStyle name="Accent1 - 20% 2 6" xfId="2761"/>
    <cellStyle name="Accent1 - 20% 2 6 2" xfId="2762"/>
    <cellStyle name="Accent1 - 20% 2 7" xfId="2763"/>
    <cellStyle name="Accent1 - 20% 3" xfId="2764"/>
    <cellStyle name="Accent1 - 20% 3 2" xfId="2765"/>
    <cellStyle name="Accent1 - 20% 3 2 2" xfId="2766"/>
    <cellStyle name="Accent1 - 20% 3 2 2 2" xfId="2767"/>
    <cellStyle name="Accent1 - 20% 3 2 3" xfId="2768"/>
    <cellStyle name="Accent1 - 20% 3 3" xfId="2769"/>
    <cellStyle name="Accent1 - 20% 3 3 2" xfId="2770"/>
    <cellStyle name="Accent1 - 20% 3 4" xfId="2771"/>
    <cellStyle name="Accent1 - 20% 4" xfId="2772"/>
    <cellStyle name="Accent1 - 20% 4 2" xfId="2773"/>
    <cellStyle name="Accent1 - 20% 4 2 2" xfId="2774"/>
    <cellStyle name="Accent1 - 20% 4 3" xfId="2775"/>
    <cellStyle name="Accent1 - 20% 5" xfId="2776"/>
    <cellStyle name="Accent1 - 20% 5 2" xfId="2777"/>
    <cellStyle name="Accent1 - 20% 5 2 2" xfId="2778"/>
    <cellStyle name="Accent1 - 20% 5 3" xfId="2779"/>
    <cellStyle name="Accent1 - 20% 6" xfId="2780"/>
    <cellStyle name="Accent1 - 20% 6 2" xfId="2781"/>
    <cellStyle name="Accent1 - 20% 7" xfId="2782"/>
    <cellStyle name="Accent1 - 20% 7 2" xfId="2783"/>
    <cellStyle name="Accent1 - 20% 8" xfId="2784"/>
    <cellStyle name="Accent1 - 20% 8 2" xfId="2785"/>
    <cellStyle name="Accent1 - 20% 9" xfId="2786"/>
    <cellStyle name="Accent1 - 20% 9 2" xfId="2787"/>
    <cellStyle name="Accent1 - 40%" xfId="2"/>
    <cellStyle name="Accent1 - 40% 10" xfId="2788"/>
    <cellStyle name="Accent1 - 40% 11" xfId="2789"/>
    <cellStyle name="Accent1 - 40% 2" xfId="2790"/>
    <cellStyle name="Accent1 - 40% 2 2" xfId="2791"/>
    <cellStyle name="Accent1 - 40% 2 2 2" xfId="2792"/>
    <cellStyle name="Accent1 - 40% 2 2 2 2" xfId="2793"/>
    <cellStyle name="Accent1 - 40% 2 2 3" xfId="2794"/>
    <cellStyle name="Accent1 - 40% 2 3" xfId="2795"/>
    <cellStyle name="Accent1 - 40% 2 3 2" xfId="2796"/>
    <cellStyle name="Accent1 - 40% 2 3 2 2" xfId="2797"/>
    <cellStyle name="Accent1 - 40% 2 3 2 2 2" xfId="2798"/>
    <cellStyle name="Accent1 - 40% 2 3 2 3" xfId="2799"/>
    <cellStyle name="Accent1 - 40% 2 3 3" xfId="2800"/>
    <cellStyle name="Accent1 - 40% 2 3 3 2" xfId="2801"/>
    <cellStyle name="Accent1 - 40% 2 3 4" xfId="2802"/>
    <cellStyle name="Accent1 - 40% 2 4" xfId="2803"/>
    <cellStyle name="Accent1 - 40% 2 4 2" xfId="2804"/>
    <cellStyle name="Accent1 - 40% 2 4 2 2" xfId="2805"/>
    <cellStyle name="Accent1 - 40% 2 4 2 2 2" xfId="2806"/>
    <cellStyle name="Accent1 - 40% 2 4 2 3" xfId="2807"/>
    <cellStyle name="Accent1 - 40% 2 4 3" xfId="2808"/>
    <cellStyle name="Accent1 - 40% 2 4 3 2" xfId="2809"/>
    <cellStyle name="Accent1 - 40% 2 4 4" xfId="2810"/>
    <cellStyle name="Accent1 - 40% 2 5" xfId="2811"/>
    <cellStyle name="Accent1 - 40% 2 5 2" xfId="2812"/>
    <cellStyle name="Accent1 - 40% 2 6" xfId="2813"/>
    <cellStyle name="Accent1 - 40% 2 6 2" xfId="2814"/>
    <cellStyle name="Accent1 - 40% 2 7" xfId="2815"/>
    <cellStyle name="Accent1 - 40% 3" xfId="2816"/>
    <cellStyle name="Accent1 - 40% 3 2" xfId="2817"/>
    <cellStyle name="Accent1 - 40% 3 2 2" xfId="2818"/>
    <cellStyle name="Accent1 - 40% 3 2 2 2" xfId="2819"/>
    <cellStyle name="Accent1 - 40% 3 2 3" xfId="2820"/>
    <cellStyle name="Accent1 - 40% 3 3" xfId="2821"/>
    <cellStyle name="Accent1 - 40% 3 3 2" xfId="2822"/>
    <cellStyle name="Accent1 - 40% 3 4" xfId="2823"/>
    <cellStyle name="Accent1 - 40% 4" xfId="2824"/>
    <cellStyle name="Accent1 - 40% 4 2" xfId="2825"/>
    <cellStyle name="Accent1 - 40% 4 2 2" xfId="2826"/>
    <cellStyle name="Accent1 - 40% 4 3" xfId="2827"/>
    <cellStyle name="Accent1 - 40% 5" xfId="2828"/>
    <cellStyle name="Accent1 - 40% 5 2" xfId="2829"/>
    <cellStyle name="Accent1 - 40% 5 2 2" xfId="2830"/>
    <cellStyle name="Accent1 - 40% 5 3" xfId="2831"/>
    <cellStyle name="Accent1 - 40% 6" xfId="2832"/>
    <cellStyle name="Accent1 - 40% 6 2" xfId="2833"/>
    <cellStyle name="Accent1 - 40% 7" xfId="2834"/>
    <cellStyle name="Accent1 - 40% 7 2" xfId="2835"/>
    <cellStyle name="Accent1 - 40% 8" xfId="2836"/>
    <cellStyle name="Accent1 - 40% 8 2" xfId="2837"/>
    <cellStyle name="Accent1 - 40% 9" xfId="2838"/>
    <cellStyle name="Accent1 - 40% 9 2" xfId="2839"/>
    <cellStyle name="Accent1 - 60%" xfId="3"/>
    <cellStyle name="Accent1 - 60% 10" xfId="2840"/>
    <cellStyle name="Accent1 - 60% 2" xfId="2841"/>
    <cellStyle name="Accent1 - 60% 2 2" xfId="2842"/>
    <cellStyle name="Accent1 - 60% 2 2 2" xfId="2843"/>
    <cellStyle name="Accent1 - 60% 2 3" xfId="2844"/>
    <cellStyle name="Accent1 - 60% 2 3 2" xfId="2845"/>
    <cellStyle name="Accent1 - 60% 2 3 2 2" xfId="2846"/>
    <cellStyle name="Accent1 - 60% 2 3 3" xfId="2847"/>
    <cellStyle name="Accent1 - 60% 2 4" xfId="2848"/>
    <cellStyle name="Accent1 - 60% 2 4 2" xfId="2849"/>
    <cellStyle name="Accent1 - 60% 2 4 2 2" xfId="2850"/>
    <cellStyle name="Accent1 - 60% 2 4 3" xfId="2851"/>
    <cellStyle name="Accent1 - 60% 2 5" xfId="2852"/>
    <cellStyle name="Accent1 - 60% 3" xfId="2853"/>
    <cellStyle name="Accent1 - 60% 3 2" xfId="2854"/>
    <cellStyle name="Accent1 - 60% 3 2 2" xfId="2855"/>
    <cellStyle name="Accent1 - 60% 3 3" xfId="2856"/>
    <cellStyle name="Accent1 - 60% 4" xfId="2857"/>
    <cellStyle name="Accent1 - 60% 4 2" xfId="2858"/>
    <cellStyle name="Accent1 - 60% 5" xfId="2859"/>
    <cellStyle name="Accent1 - 60% 5 2" xfId="2860"/>
    <cellStyle name="Accent1 - 60% 6" xfId="2861"/>
    <cellStyle name="Accent1 - 60% 6 2" xfId="2862"/>
    <cellStyle name="Accent1 - 60% 6 2 2" xfId="2863"/>
    <cellStyle name="Accent1 - 60% 6 3" xfId="2864"/>
    <cellStyle name="Accent1 - 60% 7" xfId="2865"/>
    <cellStyle name="Accent1 - 60% 7 2" xfId="2866"/>
    <cellStyle name="Accent1 - 60% 8" xfId="2867"/>
    <cellStyle name="Accent1 - 60% 8 2" xfId="2868"/>
    <cellStyle name="Accent1 - 60% 9" xfId="2869"/>
    <cellStyle name="Accent1 10" xfId="2870"/>
    <cellStyle name="Accent1 10 2" xfId="2871"/>
    <cellStyle name="Accent1 10 2 2" xfId="2872"/>
    <cellStyle name="Accent1 10 3" xfId="2873"/>
    <cellStyle name="Accent1 100" xfId="2874"/>
    <cellStyle name="Accent1 100 2" xfId="2875"/>
    <cellStyle name="Accent1 100 2 2" xfId="2876"/>
    <cellStyle name="Accent1 100 3" xfId="2877"/>
    <cellStyle name="Accent1 101" xfId="2878"/>
    <cellStyle name="Accent1 101 2" xfId="2879"/>
    <cellStyle name="Accent1 101 2 2" xfId="2880"/>
    <cellStyle name="Accent1 101 3" xfId="2881"/>
    <cellStyle name="Accent1 102" xfId="2882"/>
    <cellStyle name="Accent1 102 2" xfId="2883"/>
    <cellStyle name="Accent1 103" xfId="2884"/>
    <cellStyle name="Accent1 103 2" xfId="2885"/>
    <cellStyle name="Accent1 104" xfId="2886"/>
    <cellStyle name="Accent1 104 2" xfId="2887"/>
    <cellStyle name="Accent1 104 2 2" xfId="2888"/>
    <cellStyle name="Accent1 104 3" xfId="2889"/>
    <cellStyle name="Accent1 105" xfId="2890"/>
    <cellStyle name="Accent1 105 2" xfId="2891"/>
    <cellStyle name="Accent1 105 2 2" xfId="2892"/>
    <cellStyle name="Accent1 105 3" xfId="2893"/>
    <cellStyle name="Accent1 106" xfId="2894"/>
    <cellStyle name="Accent1 106 2" xfId="2895"/>
    <cellStyle name="Accent1 106 2 2" xfId="2896"/>
    <cellStyle name="Accent1 106 3" xfId="2897"/>
    <cellStyle name="Accent1 107" xfId="2898"/>
    <cellStyle name="Accent1 107 2" xfId="2899"/>
    <cellStyle name="Accent1 107 2 2" xfId="2900"/>
    <cellStyle name="Accent1 107 3" xfId="2901"/>
    <cellStyle name="Accent1 108" xfId="2902"/>
    <cellStyle name="Accent1 108 2" xfId="2903"/>
    <cellStyle name="Accent1 108 2 2" xfId="2904"/>
    <cellStyle name="Accent1 108 3" xfId="2905"/>
    <cellStyle name="Accent1 109" xfId="2906"/>
    <cellStyle name="Accent1 109 2" xfId="2907"/>
    <cellStyle name="Accent1 109 2 2" xfId="2908"/>
    <cellStyle name="Accent1 109 3" xfId="2909"/>
    <cellStyle name="Accent1 11" xfId="2910"/>
    <cellStyle name="Accent1 11 2" xfId="2911"/>
    <cellStyle name="Accent1 11 2 2" xfId="2912"/>
    <cellStyle name="Accent1 11 3" xfId="2913"/>
    <cellStyle name="Accent1 110" xfId="2914"/>
    <cellStyle name="Accent1 110 2" xfId="2915"/>
    <cellStyle name="Accent1 110 2 2" xfId="2916"/>
    <cellStyle name="Accent1 110 3" xfId="2917"/>
    <cellStyle name="Accent1 111" xfId="2918"/>
    <cellStyle name="Accent1 111 2" xfId="2919"/>
    <cellStyle name="Accent1 111 2 2" xfId="2920"/>
    <cellStyle name="Accent1 111 3" xfId="2921"/>
    <cellStyle name="Accent1 112" xfId="2922"/>
    <cellStyle name="Accent1 112 2" xfId="2923"/>
    <cellStyle name="Accent1 112 2 2" xfId="2924"/>
    <cellStyle name="Accent1 112 3" xfId="2925"/>
    <cellStyle name="Accent1 113" xfId="2926"/>
    <cellStyle name="Accent1 113 2" xfId="2927"/>
    <cellStyle name="Accent1 113 2 2" xfId="2928"/>
    <cellStyle name="Accent1 113 3" xfId="2929"/>
    <cellStyle name="Accent1 114" xfId="2930"/>
    <cellStyle name="Accent1 114 2" xfId="2931"/>
    <cellStyle name="Accent1 115" xfId="2932"/>
    <cellStyle name="Accent1 115 2" xfId="2933"/>
    <cellStyle name="Accent1 116" xfId="2934"/>
    <cellStyle name="Accent1 116 2" xfId="2935"/>
    <cellStyle name="Accent1 117" xfId="2936"/>
    <cellStyle name="Accent1 117 2" xfId="2937"/>
    <cellStyle name="Accent1 118" xfId="2938"/>
    <cellStyle name="Accent1 118 2" xfId="2939"/>
    <cellStyle name="Accent1 119" xfId="2940"/>
    <cellStyle name="Accent1 119 2" xfId="2941"/>
    <cellStyle name="Accent1 12" xfId="2942"/>
    <cellStyle name="Accent1 12 2" xfId="2943"/>
    <cellStyle name="Accent1 12 2 2" xfId="2944"/>
    <cellStyle name="Accent1 12 3" xfId="2945"/>
    <cellStyle name="Accent1 120" xfId="2946"/>
    <cellStyle name="Accent1 120 2" xfId="2947"/>
    <cellStyle name="Accent1 121" xfId="2948"/>
    <cellStyle name="Accent1 121 2" xfId="2949"/>
    <cellStyle name="Accent1 122" xfId="2950"/>
    <cellStyle name="Accent1 122 2" xfId="2951"/>
    <cellStyle name="Accent1 123" xfId="2952"/>
    <cellStyle name="Accent1 123 2" xfId="2953"/>
    <cellStyle name="Accent1 124" xfId="2954"/>
    <cellStyle name="Accent1 124 2" xfId="2955"/>
    <cellStyle name="Accent1 125" xfId="2956"/>
    <cellStyle name="Accent1 125 2" xfId="2957"/>
    <cellStyle name="Accent1 126" xfId="2958"/>
    <cellStyle name="Accent1 127" xfId="2959"/>
    <cellStyle name="Accent1 128" xfId="2960"/>
    <cellStyle name="Accent1 129" xfId="2961"/>
    <cellStyle name="Accent1 13" xfId="2962"/>
    <cellStyle name="Accent1 13 2" xfId="2963"/>
    <cellStyle name="Accent1 13 2 2" xfId="2964"/>
    <cellStyle name="Accent1 13 3" xfId="2965"/>
    <cellStyle name="Accent1 130" xfId="2966"/>
    <cellStyle name="Accent1 131" xfId="2967"/>
    <cellStyle name="Accent1 132" xfId="2968"/>
    <cellStyle name="Accent1 133" xfId="2969"/>
    <cellStyle name="Accent1 134" xfId="2970"/>
    <cellStyle name="Accent1 135" xfId="2971"/>
    <cellStyle name="Accent1 136" xfId="2972"/>
    <cellStyle name="Accent1 137" xfId="2973"/>
    <cellStyle name="Accent1 138" xfId="2974"/>
    <cellStyle name="Accent1 139" xfId="2975"/>
    <cellStyle name="Accent1 14" xfId="2976"/>
    <cellStyle name="Accent1 14 2" xfId="2977"/>
    <cellStyle name="Accent1 14 2 2" xfId="2978"/>
    <cellStyle name="Accent1 14 3" xfId="2979"/>
    <cellStyle name="Accent1 140" xfId="2980"/>
    <cellStyle name="Accent1 141" xfId="2981"/>
    <cellStyle name="Accent1 142" xfId="2982"/>
    <cellStyle name="Accent1 143" xfId="2983"/>
    <cellStyle name="Accent1 144" xfId="2984"/>
    <cellStyle name="Accent1 145" xfId="2985"/>
    <cellStyle name="Accent1 146" xfId="2986"/>
    <cellStyle name="Accent1 147" xfId="2987"/>
    <cellStyle name="Accent1 148" xfId="2988"/>
    <cellStyle name="Accent1 149" xfId="2989"/>
    <cellStyle name="Accent1 15" xfId="2990"/>
    <cellStyle name="Accent1 15 2" xfId="2991"/>
    <cellStyle name="Accent1 15 2 2" xfId="2992"/>
    <cellStyle name="Accent1 15 3" xfId="2993"/>
    <cellStyle name="Accent1 150" xfId="2994"/>
    <cellStyle name="Accent1 151" xfId="2995"/>
    <cellStyle name="Accent1 152" xfId="2996"/>
    <cellStyle name="Accent1 153" xfId="2997"/>
    <cellStyle name="Accent1 154" xfId="2998"/>
    <cellStyle name="Accent1 155" xfId="2999"/>
    <cellStyle name="Accent1 156" xfId="3000"/>
    <cellStyle name="Accent1 157" xfId="3001"/>
    <cellStyle name="Accent1 158" xfId="3002"/>
    <cellStyle name="Accent1 159" xfId="3003"/>
    <cellStyle name="Accent1 16" xfId="3004"/>
    <cellStyle name="Accent1 16 2" xfId="3005"/>
    <cellStyle name="Accent1 16 2 2" xfId="3006"/>
    <cellStyle name="Accent1 16 3" xfId="3007"/>
    <cellStyle name="Accent1 160" xfId="3008"/>
    <cellStyle name="Accent1 161" xfId="3009"/>
    <cellStyle name="Accent1 162" xfId="3010"/>
    <cellStyle name="Accent1 163" xfId="3011"/>
    <cellStyle name="Accent1 164" xfId="3012"/>
    <cellStyle name="Accent1 165" xfId="3013"/>
    <cellStyle name="Accent1 166" xfId="3014"/>
    <cellStyle name="Accent1 167" xfId="3015"/>
    <cellStyle name="Accent1 168" xfId="3016"/>
    <cellStyle name="Accent1 169" xfId="3017"/>
    <cellStyle name="Accent1 17" xfId="3018"/>
    <cellStyle name="Accent1 17 2" xfId="3019"/>
    <cellStyle name="Accent1 17 2 2" xfId="3020"/>
    <cellStyle name="Accent1 17 3" xfId="3021"/>
    <cellStyle name="Accent1 170" xfId="3022"/>
    <cellStyle name="Accent1 171" xfId="3023"/>
    <cellStyle name="Accent1 172" xfId="3024"/>
    <cellStyle name="Accent1 173" xfId="3025"/>
    <cellStyle name="Accent1 174" xfId="3026"/>
    <cellStyle name="Accent1 175" xfId="3027"/>
    <cellStyle name="Accent1 176" xfId="3028"/>
    <cellStyle name="Accent1 177" xfId="3029"/>
    <cellStyle name="Accent1 178" xfId="3030"/>
    <cellStyle name="Accent1 179" xfId="3031"/>
    <cellStyle name="Accent1 18" xfId="3032"/>
    <cellStyle name="Accent1 18 2" xfId="3033"/>
    <cellStyle name="Accent1 18 2 2" xfId="3034"/>
    <cellStyle name="Accent1 18 3" xfId="3035"/>
    <cellStyle name="Accent1 19" xfId="3036"/>
    <cellStyle name="Accent1 19 2" xfId="3037"/>
    <cellStyle name="Accent1 19 2 2" xfId="3038"/>
    <cellStyle name="Accent1 19 3" xfId="3039"/>
    <cellStyle name="Accent1 2" xfId="3040"/>
    <cellStyle name="Accent1 2 10" xfId="3041"/>
    <cellStyle name="Accent1 2 10 2" xfId="3042"/>
    <cellStyle name="Accent1 2 11" xfId="3043"/>
    <cellStyle name="Accent1 2 12" xfId="3044"/>
    <cellStyle name="Accent1 2 2" xfId="3045"/>
    <cellStyle name="Accent1 2 2 2" xfId="3046"/>
    <cellStyle name="Accent1 2 2 2 2" xfId="3047"/>
    <cellStyle name="Accent1 2 2 3" xfId="3048"/>
    <cellStyle name="Accent1 2 2 3 2" xfId="3049"/>
    <cellStyle name="Accent1 2 2 3 2 2" xfId="3050"/>
    <cellStyle name="Accent1 2 2 3 3" xfId="3051"/>
    <cellStyle name="Accent1 2 2 4" xfId="3052"/>
    <cellStyle name="Accent1 2 3" xfId="3053"/>
    <cellStyle name="Accent1 2 3 2" xfId="3054"/>
    <cellStyle name="Accent1 2 3 2 2" xfId="3055"/>
    <cellStyle name="Accent1 2 3 3" xfId="3056"/>
    <cellStyle name="Accent1 2 3 3 2" xfId="3057"/>
    <cellStyle name="Accent1 2 3 3 2 2" xfId="3058"/>
    <cellStyle name="Accent1 2 3 3 3" xfId="3059"/>
    <cellStyle name="Accent1 2 3 4" xfId="3060"/>
    <cellStyle name="Accent1 2 4" xfId="3061"/>
    <cellStyle name="Accent1 2 4 2" xfId="3062"/>
    <cellStyle name="Accent1 2 4 2 2" xfId="3063"/>
    <cellStyle name="Accent1 2 4 3" xfId="3064"/>
    <cellStyle name="Accent1 2 5" xfId="3065"/>
    <cellStyle name="Accent1 2 5 2" xfId="3066"/>
    <cellStyle name="Accent1 2 5 2 2" xfId="3067"/>
    <cellStyle name="Accent1 2 5 3" xfId="3068"/>
    <cellStyle name="Accent1 2 5 3 2" xfId="3069"/>
    <cellStyle name="Accent1 2 5 3 2 2" xfId="3070"/>
    <cellStyle name="Accent1 2 5 3 3" xfId="3071"/>
    <cellStyle name="Accent1 2 5 4" xfId="3072"/>
    <cellStyle name="Accent1 2 6" xfId="3073"/>
    <cellStyle name="Accent1 2 6 2" xfId="3074"/>
    <cellStyle name="Accent1 2 7" xfId="3075"/>
    <cellStyle name="Accent1 2 7 2" xfId="3076"/>
    <cellStyle name="Accent1 2 8" xfId="3077"/>
    <cellStyle name="Accent1 2 8 2" xfId="3078"/>
    <cellStyle name="Accent1 2 8 2 2" xfId="3079"/>
    <cellStyle name="Accent1 2 8 3" xfId="3080"/>
    <cellStyle name="Accent1 2 9" xfId="3081"/>
    <cellStyle name="Accent1 2 9 2" xfId="3082"/>
    <cellStyle name="Accent1 2 9 2 2" xfId="3083"/>
    <cellStyle name="Accent1 2 9 3" xfId="3084"/>
    <cellStyle name="Accent1 20" xfId="3085"/>
    <cellStyle name="Accent1 20 2" xfId="3086"/>
    <cellStyle name="Accent1 20 2 2" xfId="3087"/>
    <cellStyle name="Accent1 20 3" xfId="3088"/>
    <cellStyle name="Accent1 21" xfId="3089"/>
    <cellStyle name="Accent1 21 2" xfId="3090"/>
    <cellStyle name="Accent1 21 2 2" xfId="3091"/>
    <cellStyle name="Accent1 21 3" xfId="3092"/>
    <cellStyle name="Accent1 22" xfId="3093"/>
    <cellStyle name="Accent1 22 2" xfId="3094"/>
    <cellStyle name="Accent1 22 2 2" xfId="3095"/>
    <cellStyle name="Accent1 22 3" xfId="3096"/>
    <cellStyle name="Accent1 23" xfId="3097"/>
    <cellStyle name="Accent1 23 2" xfId="3098"/>
    <cellStyle name="Accent1 23 2 2" xfId="3099"/>
    <cellStyle name="Accent1 23 3" xfId="3100"/>
    <cellStyle name="Accent1 24" xfId="3101"/>
    <cellStyle name="Accent1 24 2" xfId="3102"/>
    <cellStyle name="Accent1 24 2 2" xfId="3103"/>
    <cellStyle name="Accent1 24 3" xfId="3104"/>
    <cellStyle name="Accent1 25" xfId="3105"/>
    <cellStyle name="Accent1 25 2" xfId="3106"/>
    <cellStyle name="Accent1 25 2 2" xfId="3107"/>
    <cellStyle name="Accent1 25 3" xfId="3108"/>
    <cellStyle name="Accent1 26" xfId="3109"/>
    <cellStyle name="Accent1 26 2" xfId="3110"/>
    <cellStyle name="Accent1 26 2 2" xfId="3111"/>
    <cellStyle name="Accent1 26 3" xfId="3112"/>
    <cellStyle name="Accent1 27" xfId="3113"/>
    <cellStyle name="Accent1 27 2" xfId="3114"/>
    <cellStyle name="Accent1 27 2 2" xfId="3115"/>
    <cellStyle name="Accent1 27 3" xfId="3116"/>
    <cellStyle name="Accent1 28" xfId="3117"/>
    <cellStyle name="Accent1 28 2" xfId="3118"/>
    <cellStyle name="Accent1 28 2 2" xfId="3119"/>
    <cellStyle name="Accent1 28 3" xfId="3120"/>
    <cellStyle name="Accent1 29" xfId="3121"/>
    <cellStyle name="Accent1 29 2" xfId="3122"/>
    <cellStyle name="Accent1 29 2 2" xfId="3123"/>
    <cellStyle name="Accent1 29 3" xfId="3124"/>
    <cellStyle name="Accent1 3" xfId="3125"/>
    <cellStyle name="Accent1 3 10" xfId="3126"/>
    <cellStyle name="Accent1 3 10 2" xfId="3127"/>
    <cellStyle name="Accent1 3 11" xfId="3128"/>
    <cellStyle name="Accent1 3 2" xfId="3129"/>
    <cellStyle name="Accent1 3 2 2" xfId="3130"/>
    <cellStyle name="Accent1 3 2 2 2" xfId="3131"/>
    <cellStyle name="Accent1 3 2 3" xfId="3132"/>
    <cellStyle name="Accent1 3 2 3 2" xfId="3133"/>
    <cellStyle name="Accent1 3 2 3 2 2" xfId="3134"/>
    <cellStyle name="Accent1 3 2 3 3" xfId="3135"/>
    <cellStyle name="Accent1 3 2 4" xfId="3136"/>
    <cellStyle name="Accent1 3 3" xfId="3137"/>
    <cellStyle name="Accent1 3 3 2" xfId="3138"/>
    <cellStyle name="Accent1 3 3 2 2" xfId="3139"/>
    <cellStyle name="Accent1 3 3 3" xfId="3140"/>
    <cellStyle name="Accent1 3 3 3 2" xfId="3141"/>
    <cellStyle name="Accent1 3 3 3 2 2" xfId="3142"/>
    <cellStyle name="Accent1 3 3 3 3" xfId="3143"/>
    <cellStyle name="Accent1 3 3 4" xfId="3144"/>
    <cellStyle name="Accent1 3 4" xfId="3145"/>
    <cellStyle name="Accent1 3 4 2" xfId="3146"/>
    <cellStyle name="Accent1 3 4 2 2" xfId="3147"/>
    <cellStyle name="Accent1 3 4 3" xfId="3148"/>
    <cellStyle name="Accent1 3 5" xfId="3149"/>
    <cellStyle name="Accent1 3 5 2" xfId="3150"/>
    <cellStyle name="Accent1 3 5 2 2" xfId="3151"/>
    <cellStyle name="Accent1 3 5 3" xfId="3152"/>
    <cellStyle name="Accent1 3 5 3 2" xfId="3153"/>
    <cellStyle name="Accent1 3 5 3 2 2" xfId="3154"/>
    <cellStyle name="Accent1 3 5 3 3" xfId="3155"/>
    <cellStyle name="Accent1 3 5 4" xfId="3156"/>
    <cellStyle name="Accent1 3 6" xfId="3157"/>
    <cellStyle name="Accent1 3 6 2" xfId="3158"/>
    <cellStyle name="Accent1 3 7" xfId="3159"/>
    <cellStyle name="Accent1 3 7 2" xfId="3160"/>
    <cellStyle name="Accent1 3 8" xfId="3161"/>
    <cellStyle name="Accent1 3 8 2" xfId="3162"/>
    <cellStyle name="Accent1 3 8 2 2" xfId="3163"/>
    <cellStyle name="Accent1 3 8 3" xfId="3164"/>
    <cellStyle name="Accent1 3 9" xfId="3165"/>
    <cellStyle name="Accent1 3 9 2" xfId="3166"/>
    <cellStyle name="Accent1 3 9 2 2" xfId="3167"/>
    <cellStyle name="Accent1 3 9 3" xfId="3168"/>
    <cellStyle name="Accent1 30" xfId="3169"/>
    <cellStyle name="Accent1 30 2" xfId="3170"/>
    <cellStyle name="Accent1 30 2 2" xfId="3171"/>
    <cellStyle name="Accent1 30 3" xfId="3172"/>
    <cellStyle name="Accent1 31" xfId="3173"/>
    <cellStyle name="Accent1 31 2" xfId="3174"/>
    <cellStyle name="Accent1 31 2 2" xfId="3175"/>
    <cellStyle name="Accent1 31 3" xfId="3176"/>
    <cellStyle name="Accent1 32" xfId="3177"/>
    <cellStyle name="Accent1 32 2" xfId="3178"/>
    <cellStyle name="Accent1 32 2 2" xfId="3179"/>
    <cellStyle name="Accent1 32 3" xfId="3180"/>
    <cellStyle name="Accent1 33" xfId="3181"/>
    <cellStyle name="Accent1 33 2" xfId="3182"/>
    <cellStyle name="Accent1 33 2 2" xfId="3183"/>
    <cellStyle name="Accent1 33 3" xfId="3184"/>
    <cellStyle name="Accent1 34" xfId="3185"/>
    <cellStyle name="Accent1 34 2" xfId="3186"/>
    <cellStyle name="Accent1 34 2 2" xfId="3187"/>
    <cellStyle name="Accent1 34 3" xfId="3188"/>
    <cellStyle name="Accent1 35" xfId="3189"/>
    <cellStyle name="Accent1 35 2" xfId="3190"/>
    <cellStyle name="Accent1 35 2 2" xfId="3191"/>
    <cellStyle name="Accent1 35 3" xfId="3192"/>
    <cellStyle name="Accent1 36" xfId="3193"/>
    <cellStyle name="Accent1 36 2" xfId="3194"/>
    <cellStyle name="Accent1 36 2 2" xfId="3195"/>
    <cellStyle name="Accent1 36 3" xfId="3196"/>
    <cellStyle name="Accent1 37" xfId="3197"/>
    <cellStyle name="Accent1 37 2" xfId="3198"/>
    <cellStyle name="Accent1 37 2 2" xfId="3199"/>
    <cellStyle name="Accent1 37 3" xfId="3200"/>
    <cellStyle name="Accent1 38" xfId="3201"/>
    <cellStyle name="Accent1 38 2" xfId="3202"/>
    <cellStyle name="Accent1 38 2 2" xfId="3203"/>
    <cellStyle name="Accent1 38 3" xfId="3204"/>
    <cellStyle name="Accent1 39" xfId="3205"/>
    <cellStyle name="Accent1 39 2" xfId="3206"/>
    <cellStyle name="Accent1 39 2 2" xfId="3207"/>
    <cellStyle name="Accent1 39 3" xfId="3208"/>
    <cellStyle name="Accent1 4" xfId="3209"/>
    <cellStyle name="Accent1 4 2" xfId="3210"/>
    <cellStyle name="Accent1 4 2 2" xfId="3211"/>
    <cellStyle name="Accent1 4 2 2 2" xfId="3212"/>
    <cellStyle name="Accent1 4 2 3" xfId="3213"/>
    <cellStyle name="Accent1 4 2 3 2" xfId="3214"/>
    <cellStyle name="Accent1 4 2 3 2 2" xfId="3215"/>
    <cellStyle name="Accent1 4 2 3 3" xfId="3216"/>
    <cellStyle name="Accent1 4 2 4" xfId="3217"/>
    <cellStyle name="Accent1 4 3" xfId="3218"/>
    <cellStyle name="Accent1 4 3 2" xfId="3219"/>
    <cellStyle name="Accent1 4 3 2 2" xfId="3220"/>
    <cellStyle name="Accent1 4 3 3" xfId="3221"/>
    <cellStyle name="Accent1 4 3 3 2" xfId="3222"/>
    <cellStyle name="Accent1 4 3 3 2 2" xfId="3223"/>
    <cellStyle name="Accent1 4 3 3 3" xfId="3224"/>
    <cellStyle name="Accent1 4 3 4" xfId="3225"/>
    <cellStyle name="Accent1 4 4" xfId="3226"/>
    <cellStyle name="Accent1 4 4 2" xfId="3227"/>
    <cellStyle name="Accent1 4 4 2 2" xfId="3228"/>
    <cellStyle name="Accent1 4 4 3" xfId="3229"/>
    <cellStyle name="Accent1 4 5" xfId="3230"/>
    <cellStyle name="Accent1 4 5 2" xfId="3231"/>
    <cellStyle name="Accent1 4 6" xfId="3232"/>
    <cellStyle name="Accent1 4 6 2" xfId="3233"/>
    <cellStyle name="Accent1 4 7" xfId="3234"/>
    <cellStyle name="Accent1 40" xfId="3235"/>
    <cellStyle name="Accent1 40 2" xfId="3236"/>
    <cellStyle name="Accent1 40 2 2" xfId="3237"/>
    <cellStyle name="Accent1 40 3" xfId="3238"/>
    <cellStyle name="Accent1 41" xfId="3239"/>
    <cellStyle name="Accent1 41 2" xfId="3240"/>
    <cellStyle name="Accent1 41 2 2" xfId="3241"/>
    <cellStyle name="Accent1 41 3" xfId="3242"/>
    <cellStyle name="Accent1 42" xfId="3243"/>
    <cellStyle name="Accent1 42 2" xfId="3244"/>
    <cellStyle name="Accent1 42 2 2" xfId="3245"/>
    <cellStyle name="Accent1 42 3" xfId="3246"/>
    <cellStyle name="Accent1 43" xfId="3247"/>
    <cellStyle name="Accent1 43 2" xfId="3248"/>
    <cellStyle name="Accent1 43 2 2" xfId="3249"/>
    <cellStyle name="Accent1 43 3" xfId="3250"/>
    <cellStyle name="Accent1 44" xfId="3251"/>
    <cellStyle name="Accent1 44 2" xfId="3252"/>
    <cellStyle name="Accent1 44 2 2" xfId="3253"/>
    <cellStyle name="Accent1 44 3" xfId="3254"/>
    <cellStyle name="Accent1 45" xfId="3255"/>
    <cellStyle name="Accent1 45 2" xfId="3256"/>
    <cellStyle name="Accent1 45 2 2" xfId="3257"/>
    <cellStyle name="Accent1 45 3" xfId="3258"/>
    <cellStyle name="Accent1 46" xfId="3259"/>
    <cellStyle name="Accent1 46 2" xfId="3260"/>
    <cellStyle name="Accent1 46 2 2" xfId="3261"/>
    <cellStyle name="Accent1 46 3" xfId="3262"/>
    <cellStyle name="Accent1 47" xfId="3263"/>
    <cellStyle name="Accent1 47 2" xfId="3264"/>
    <cellStyle name="Accent1 47 2 2" xfId="3265"/>
    <cellStyle name="Accent1 47 3" xfId="3266"/>
    <cellStyle name="Accent1 48" xfId="3267"/>
    <cellStyle name="Accent1 48 2" xfId="3268"/>
    <cellStyle name="Accent1 48 2 2" xfId="3269"/>
    <cellStyle name="Accent1 48 3" xfId="3270"/>
    <cellStyle name="Accent1 48 3 2" xfId="3271"/>
    <cellStyle name="Accent1 48 3 2 2" xfId="3272"/>
    <cellStyle name="Accent1 48 3 3" xfId="3273"/>
    <cellStyle name="Accent1 48 4" xfId="3274"/>
    <cellStyle name="Accent1 49" xfId="3275"/>
    <cellStyle name="Accent1 49 2" xfId="3276"/>
    <cellStyle name="Accent1 49 2 2" xfId="3277"/>
    <cellStyle name="Accent1 49 3" xfId="3278"/>
    <cellStyle name="Accent1 49 3 2" xfId="3279"/>
    <cellStyle name="Accent1 49 3 2 2" xfId="3280"/>
    <cellStyle name="Accent1 49 3 3" xfId="3281"/>
    <cellStyle name="Accent1 49 4" xfId="3282"/>
    <cellStyle name="Accent1 5" xfId="3283"/>
    <cellStyle name="Accent1 5 2" xfId="3284"/>
    <cellStyle name="Accent1 5 2 2" xfId="3285"/>
    <cellStyle name="Accent1 5 2 2 2" xfId="3286"/>
    <cellStyle name="Accent1 5 2 3" xfId="3287"/>
    <cellStyle name="Accent1 5 2 3 2" xfId="3288"/>
    <cellStyle name="Accent1 5 2 3 2 2" xfId="3289"/>
    <cellStyle name="Accent1 5 2 3 3" xfId="3290"/>
    <cellStyle name="Accent1 5 2 4" xfId="3291"/>
    <cellStyle name="Accent1 5 3" xfId="3292"/>
    <cellStyle name="Accent1 5 3 2" xfId="3293"/>
    <cellStyle name="Accent1 5 3 2 2" xfId="3294"/>
    <cellStyle name="Accent1 5 3 3" xfId="3295"/>
    <cellStyle name="Accent1 5 3 3 2" xfId="3296"/>
    <cellStyle name="Accent1 5 3 3 2 2" xfId="3297"/>
    <cellStyle name="Accent1 5 3 3 3" xfId="3298"/>
    <cellStyle name="Accent1 5 3 4" xfId="3299"/>
    <cellStyle name="Accent1 5 4" xfId="3300"/>
    <cellStyle name="Accent1 5 4 2" xfId="3301"/>
    <cellStyle name="Accent1 5 5" xfId="3302"/>
    <cellStyle name="Accent1 5 5 2" xfId="3303"/>
    <cellStyle name="Accent1 5 6" xfId="3304"/>
    <cellStyle name="Accent1 50" xfId="3305"/>
    <cellStyle name="Accent1 50 2" xfId="3306"/>
    <cellStyle name="Accent1 50 2 2" xfId="3307"/>
    <cellStyle name="Accent1 50 3" xfId="3308"/>
    <cellStyle name="Accent1 50 3 2" xfId="3309"/>
    <cellStyle name="Accent1 50 3 2 2" xfId="3310"/>
    <cellStyle name="Accent1 50 3 3" xfId="3311"/>
    <cellStyle name="Accent1 50 4" xfId="3312"/>
    <cellStyle name="Accent1 51" xfId="3313"/>
    <cellStyle name="Accent1 51 2" xfId="3314"/>
    <cellStyle name="Accent1 51 2 2" xfId="3315"/>
    <cellStyle name="Accent1 51 3" xfId="3316"/>
    <cellStyle name="Accent1 51 3 2" xfId="3317"/>
    <cellStyle name="Accent1 51 3 2 2" xfId="3318"/>
    <cellStyle name="Accent1 51 3 3" xfId="3319"/>
    <cellStyle name="Accent1 51 4" xfId="3320"/>
    <cellStyle name="Accent1 52" xfId="3321"/>
    <cellStyle name="Accent1 52 2" xfId="3322"/>
    <cellStyle name="Accent1 52 2 2" xfId="3323"/>
    <cellStyle name="Accent1 52 3" xfId="3324"/>
    <cellStyle name="Accent1 53" xfId="3325"/>
    <cellStyle name="Accent1 53 2" xfId="3326"/>
    <cellStyle name="Accent1 53 2 2" xfId="3327"/>
    <cellStyle name="Accent1 53 3" xfId="3328"/>
    <cellStyle name="Accent1 54" xfId="3329"/>
    <cellStyle name="Accent1 54 2" xfId="3330"/>
    <cellStyle name="Accent1 54 2 2" xfId="3331"/>
    <cellStyle name="Accent1 54 3" xfId="3332"/>
    <cellStyle name="Accent1 55" xfId="3333"/>
    <cellStyle name="Accent1 55 2" xfId="3334"/>
    <cellStyle name="Accent1 55 2 2" xfId="3335"/>
    <cellStyle name="Accent1 55 3" xfId="3336"/>
    <cellStyle name="Accent1 56" xfId="3337"/>
    <cellStyle name="Accent1 56 2" xfId="3338"/>
    <cellStyle name="Accent1 56 2 2" xfId="3339"/>
    <cellStyle name="Accent1 56 3" xfId="3340"/>
    <cellStyle name="Accent1 57" xfId="3341"/>
    <cellStyle name="Accent1 57 2" xfId="3342"/>
    <cellStyle name="Accent1 57 2 2" xfId="3343"/>
    <cellStyle name="Accent1 57 3" xfId="3344"/>
    <cellStyle name="Accent1 58" xfId="3345"/>
    <cellStyle name="Accent1 58 2" xfId="3346"/>
    <cellStyle name="Accent1 58 2 2" xfId="3347"/>
    <cellStyle name="Accent1 58 3" xfId="3348"/>
    <cellStyle name="Accent1 58 3 2" xfId="3349"/>
    <cellStyle name="Accent1 58 3 2 2" xfId="3350"/>
    <cellStyle name="Accent1 58 3 3" xfId="3351"/>
    <cellStyle name="Accent1 58 4" xfId="3352"/>
    <cellStyle name="Accent1 59" xfId="3353"/>
    <cellStyle name="Accent1 59 2" xfId="3354"/>
    <cellStyle name="Accent1 59 2 2" xfId="3355"/>
    <cellStyle name="Accent1 59 3" xfId="3356"/>
    <cellStyle name="Accent1 59 3 2" xfId="3357"/>
    <cellStyle name="Accent1 59 3 2 2" xfId="3358"/>
    <cellStyle name="Accent1 59 3 3" xfId="3359"/>
    <cellStyle name="Accent1 59 4" xfId="3360"/>
    <cellStyle name="Accent1 6" xfId="3361"/>
    <cellStyle name="Accent1 6 2" xfId="3362"/>
    <cellStyle name="Accent1 6 2 2" xfId="3363"/>
    <cellStyle name="Accent1 6 2 2 2" xfId="3364"/>
    <cellStyle name="Accent1 6 2 3" xfId="3365"/>
    <cellStyle name="Accent1 6 2 3 2" xfId="3366"/>
    <cellStyle name="Accent1 6 2 3 2 2" xfId="3367"/>
    <cellStyle name="Accent1 6 2 3 3" xfId="3368"/>
    <cellStyle name="Accent1 6 2 4" xfId="3369"/>
    <cellStyle name="Accent1 6 3" xfId="3370"/>
    <cellStyle name="Accent1 6 3 2" xfId="3371"/>
    <cellStyle name="Accent1 6 4" xfId="3372"/>
    <cellStyle name="Accent1 60" xfId="3373"/>
    <cellStyle name="Accent1 60 2" xfId="3374"/>
    <cellStyle name="Accent1 60 2 2" xfId="3375"/>
    <cellStyle name="Accent1 60 3" xfId="3376"/>
    <cellStyle name="Accent1 60 3 2" xfId="3377"/>
    <cellStyle name="Accent1 60 3 2 2" xfId="3378"/>
    <cellStyle name="Accent1 60 3 3" xfId="3379"/>
    <cellStyle name="Accent1 60 4" xfId="3380"/>
    <cellStyle name="Accent1 61" xfId="3381"/>
    <cellStyle name="Accent1 61 2" xfId="3382"/>
    <cellStyle name="Accent1 61 2 2" xfId="3383"/>
    <cellStyle name="Accent1 61 3" xfId="3384"/>
    <cellStyle name="Accent1 61 3 2" xfId="3385"/>
    <cellStyle name="Accent1 61 3 2 2" xfId="3386"/>
    <cellStyle name="Accent1 61 3 3" xfId="3387"/>
    <cellStyle name="Accent1 61 4" xfId="3388"/>
    <cellStyle name="Accent1 62" xfId="3389"/>
    <cellStyle name="Accent1 62 2" xfId="3390"/>
    <cellStyle name="Accent1 62 2 2" xfId="3391"/>
    <cellStyle name="Accent1 62 3" xfId="3392"/>
    <cellStyle name="Accent1 62 3 2" xfId="3393"/>
    <cellStyle name="Accent1 62 3 2 2" xfId="3394"/>
    <cellStyle name="Accent1 62 3 3" xfId="3395"/>
    <cellStyle name="Accent1 62 4" xfId="3396"/>
    <cellStyle name="Accent1 63" xfId="3397"/>
    <cellStyle name="Accent1 63 2" xfId="3398"/>
    <cellStyle name="Accent1 63 2 2" xfId="3399"/>
    <cellStyle name="Accent1 63 3" xfId="3400"/>
    <cellStyle name="Accent1 63 3 2" xfId="3401"/>
    <cellStyle name="Accent1 63 3 2 2" xfId="3402"/>
    <cellStyle name="Accent1 63 3 3" xfId="3403"/>
    <cellStyle name="Accent1 63 4" xfId="3404"/>
    <cellStyle name="Accent1 64" xfId="3405"/>
    <cellStyle name="Accent1 64 2" xfId="3406"/>
    <cellStyle name="Accent1 64 2 2" xfId="3407"/>
    <cellStyle name="Accent1 64 3" xfId="3408"/>
    <cellStyle name="Accent1 64 3 2" xfId="3409"/>
    <cellStyle name="Accent1 64 3 2 2" xfId="3410"/>
    <cellStyle name="Accent1 64 3 3" xfId="3411"/>
    <cellStyle name="Accent1 64 4" xfId="3412"/>
    <cellStyle name="Accent1 65" xfId="3413"/>
    <cellStyle name="Accent1 65 2" xfId="3414"/>
    <cellStyle name="Accent1 65 2 2" xfId="3415"/>
    <cellStyle name="Accent1 65 3" xfId="3416"/>
    <cellStyle name="Accent1 65 3 2" xfId="3417"/>
    <cellStyle name="Accent1 65 3 2 2" xfId="3418"/>
    <cellStyle name="Accent1 65 3 3" xfId="3419"/>
    <cellStyle name="Accent1 65 4" xfId="3420"/>
    <cellStyle name="Accent1 66" xfId="3421"/>
    <cellStyle name="Accent1 66 2" xfId="3422"/>
    <cellStyle name="Accent1 66 2 2" xfId="3423"/>
    <cellStyle name="Accent1 66 3" xfId="3424"/>
    <cellStyle name="Accent1 66 3 2" xfId="3425"/>
    <cellStyle name="Accent1 66 3 2 2" xfId="3426"/>
    <cellStyle name="Accent1 66 3 3" xfId="3427"/>
    <cellStyle name="Accent1 66 4" xfId="3428"/>
    <cellStyle name="Accent1 67" xfId="3429"/>
    <cellStyle name="Accent1 67 2" xfId="3430"/>
    <cellStyle name="Accent1 67 2 2" xfId="3431"/>
    <cellStyle name="Accent1 67 3" xfId="3432"/>
    <cellStyle name="Accent1 67 3 2" xfId="3433"/>
    <cellStyle name="Accent1 67 3 2 2" xfId="3434"/>
    <cellStyle name="Accent1 67 3 3" xfId="3435"/>
    <cellStyle name="Accent1 67 4" xfId="3436"/>
    <cellStyle name="Accent1 68" xfId="3437"/>
    <cellStyle name="Accent1 68 2" xfId="3438"/>
    <cellStyle name="Accent1 68 2 2" xfId="3439"/>
    <cellStyle name="Accent1 68 3" xfId="3440"/>
    <cellStyle name="Accent1 68 3 2" xfId="3441"/>
    <cellStyle name="Accent1 68 3 2 2" xfId="3442"/>
    <cellStyle name="Accent1 68 3 3" xfId="3443"/>
    <cellStyle name="Accent1 68 4" xfId="3444"/>
    <cellStyle name="Accent1 69" xfId="3445"/>
    <cellStyle name="Accent1 69 2" xfId="3446"/>
    <cellStyle name="Accent1 69 2 2" xfId="3447"/>
    <cellStyle name="Accent1 69 3" xfId="3448"/>
    <cellStyle name="Accent1 69 3 2" xfId="3449"/>
    <cellStyle name="Accent1 69 3 2 2" xfId="3450"/>
    <cellStyle name="Accent1 69 3 3" xfId="3451"/>
    <cellStyle name="Accent1 69 4" xfId="3452"/>
    <cellStyle name="Accent1 7" xfId="3453"/>
    <cellStyle name="Accent1 7 2" xfId="3454"/>
    <cellStyle name="Accent1 7 2 2" xfId="3455"/>
    <cellStyle name="Accent1 7 2 2 2" xfId="3456"/>
    <cellStyle name="Accent1 7 2 3" xfId="3457"/>
    <cellStyle name="Accent1 7 2 3 2" xfId="3458"/>
    <cellStyle name="Accent1 7 2 3 2 2" xfId="3459"/>
    <cellStyle name="Accent1 7 2 3 3" xfId="3460"/>
    <cellStyle name="Accent1 7 2 4" xfId="3461"/>
    <cellStyle name="Accent1 7 3" xfId="3462"/>
    <cellStyle name="Accent1 7 3 2" xfId="3463"/>
    <cellStyle name="Accent1 7 4" xfId="3464"/>
    <cellStyle name="Accent1 70" xfId="3465"/>
    <cellStyle name="Accent1 70 2" xfId="3466"/>
    <cellStyle name="Accent1 70 2 2" xfId="3467"/>
    <cellStyle name="Accent1 70 3" xfId="3468"/>
    <cellStyle name="Accent1 70 3 2" xfId="3469"/>
    <cellStyle name="Accent1 70 3 2 2" xfId="3470"/>
    <cellStyle name="Accent1 70 3 3" xfId="3471"/>
    <cellStyle name="Accent1 70 4" xfId="3472"/>
    <cellStyle name="Accent1 71" xfId="3473"/>
    <cellStyle name="Accent1 71 2" xfId="3474"/>
    <cellStyle name="Accent1 71 2 2" xfId="3475"/>
    <cellStyle name="Accent1 71 3" xfId="3476"/>
    <cellStyle name="Accent1 71 3 2" xfId="3477"/>
    <cellStyle name="Accent1 71 3 2 2" xfId="3478"/>
    <cellStyle name="Accent1 71 3 3" xfId="3479"/>
    <cellStyle name="Accent1 71 4" xfId="3480"/>
    <cellStyle name="Accent1 72" xfId="3481"/>
    <cellStyle name="Accent1 72 2" xfId="3482"/>
    <cellStyle name="Accent1 72 2 2" xfId="3483"/>
    <cellStyle name="Accent1 72 3" xfId="3484"/>
    <cellStyle name="Accent1 72 3 2" xfId="3485"/>
    <cellStyle name="Accent1 72 3 2 2" xfId="3486"/>
    <cellStyle name="Accent1 72 3 3" xfId="3487"/>
    <cellStyle name="Accent1 72 4" xfId="3488"/>
    <cellStyle name="Accent1 73" xfId="3489"/>
    <cellStyle name="Accent1 73 2" xfId="3490"/>
    <cellStyle name="Accent1 73 2 2" xfId="3491"/>
    <cellStyle name="Accent1 73 3" xfId="3492"/>
    <cellStyle name="Accent1 73 3 2" xfId="3493"/>
    <cellStyle name="Accent1 73 3 2 2" xfId="3494"/>
    <cellStyle name="Accent1 73 3 3" xfId="3495"/>
    <cellStyle name="Accent1 73 4" xfId="3496"/>
    <cellStyle name="Accent1 74" xfId="3497"/>
    <cellStyle name="Accent1 74 2" xfId="3498"/>
    <cellStyle name="Accent1 74 2 2" xfId="3499"/>
    <cellStyle name="Accent1 74 3" xfId="3500"/>
    <cellStyle name="Accent1 74 3 2" xfId="3501"/>
    <cellStyle name="Accent1 74 3 2 2" xfId="3502"/>
    <cellStyle name="Accent1 74 3 3" xfId="3503"/>
    <cellStyle name="Accent1 74 4" xfId="3504"/>
    <cellStyle name="Accent1 75" xfId="3505"/>
    <cellStyle name="Accent1 75 2" xfId="3506"/>
    <cellStyle name="Accent1 75 2 2" xfId="3507"/>
    <cellStyle name="Accent1 75 3" xfId="3508"/>
    <cellStyle name="Accent1 75 3 2" xfId="3509"/>
    <cellStyle name="Accent1 75 3 2 2" xfId="3510"/>
    <cellStyle name="Accent1 75 3 3" xfId="3511"/>
    <cellStyle name="Accent1 75 4" xfId="3512"/>
    <cellStyle name="Accent1 76" xfId="3513"/>
    <cellStyle name="Accent1 76 2" xfId="3514"/>
    <cellStyle name="Accent1 76 2 2" xfId="3515"/>
    <cellStyle name="Accent1 76 3" xfId="3516"/>
    <cellStyle name="Accent1 76 3 2" xfId="3517"/>
    <cellStyle name="Accent1 76 3 2 2" xfId="3518"/>
    <cellStyle name="Accent1 76 3 3" xfId="3519"/>
    <cellStyle name="Accent1 76 4" xfId="3520"/>
    <cellStyle name="Accent1 77" xfId="3521"/>
    <cellStyle name="Accent1 77 2" xfId="3522"/>
    <cellStyle name="Accent1 77 2 2" xfId="3523"/>
    <cellStyle name="Accent1 77 3" xfId="3524"/>
    <cellStyle name="Accent1 77 3 2" xfId="3525"/>
    <cellStyle name="Accent1 77 3 2 2" xfId="3526"/>
    <cellStyle name="Accent1 77 3 3" xfId="3527"/>
    <cellStyle name="Accent1 77 4" xfId="3528"/>
    <cellStyle name="Accent1 78" xfId="3529"/>
    <cellStyle name="Accent1 78 2" xfId="3530"/>
    <cellStyle name="Accent1 78 2 2" xfId="3531"/>
    <cellStyle name="Accent1 78 3" xfId="3532"/>
    <cellStyle name="Accent1 78 3 2" xfId="3533"/>
    <cellStyle name="Accent1 78 3 2 2" xfId="3534"/>
    <cellStyle name="Accent1 78 3 3" xfId="3535"/>
    <cellStyle name="Accent1 78 4" xfId="3536"/>
    <cellStyle name="Accent1 79" xfId="3537"/>
    <cellStyle name="Accent1 79 2" xfId="3538"/>
    <cellStyle name="Accent1 79 2 2" xfId="3539"/>
    <cellStyle name="Accent1 79 3" xfId="3540"/>
    <cellStyle name="Accent1 79 3 2" xfId="3541"/>
    <cellStyle name="Accent1 79 3 2 2" xfId="3542"/>
    <cellStyle name="Accent1 79 3 3" xfId="3543"/>
    <cellStyle name="Accent1 79 4" xfId="3544"/>
    <cellStyle name="Accent1 8" xfId="3545"/>
    <cellStyle name="Accent1 8 2" xfId="3546"/>
    <cellStyle name="Accent1 8 2 2" xfId="3547"/>
    <cellStyle name="Accent1 8 3" xfId="3548"/>
    <cellStyle name="Accent1 80" xfId="3549"/>
    <cellStyle name="Accent1 80 2" xfId="3550"/>
    <cellStyle name="Accent1 80 2 2" xfId="3551"/>
    <cellStyle name="Accent1 80 3" xfId="3552"/>
    <cellStyle name="Accent1 80 3 2" xfId="3553"/>
    <cellStyle name="Accent1 80 3 2 2" xfId="3554"/>
    <cellStyle name="Accent1 80 3 3" xfId="3555"/>
    <cellStyle name="Accent1 80 4" xfId="3556"/>
    <cellStyle name="Accent1 81" xfId="3557"/>
    <cellStyle name="Accent1 81 2" xfId="3558"/>
    <cellStyle name="Accent1 81 2 2" xfId="3559"/>
    <cellStyle name="Accent1 81 3" xfId="3560"/>
    <cellStyle name="Accent1 81 3 2" xfId="3561"/>
    <cellStyle name="Accent1 81 3 2 2" xfId="3562"/>
    <cellStyle name="Accent1 81 3 3" xfId="3563"/>
    <cellStyle name="Accent1 81 4" xfId="3564"/>
    <cellStyle name="Accent1 82" xfId="3565"/>
    <cellStyle name="Accent1 82 2" xfId="3566"/>
    <cellStyle name="Accent1 82 2 2" xfId="3567"/>
    <cellStyle name="Accent1 82 3" xfId="3568"/>
    <cellStyle name="Accent1 82 3 2" xfId="3569"/>
    <cellStyle name="Accent1 82 3 2 2" xfId="3570"/>
    <cellStyle name="Accent1 82 3 3" xfId="3571"/>
    <cellStyle name="Accent1 82 4" xfId="3572"/>
    <cellStyle name="Accent1 83" xfId="3573"/>
    <cellStyle name="Accent1 83 2" xfId="3574"/>
    <cellStyle name="Accent1 83 2 2" xfId="3575"/>
    <cellStyle name="Accent1 83 3" xfId="3576"/>
    <cellStyle name="Accent1 83 3 2" xfId="3577"/>
    <cellStyle name="Accent1 83 3 2 2" xfId="3578"/>
    <cellStyle name="Accent1 83 3 3" xfId="3579"/>
    <cellStyle name="Accent1 83 4" xfId="3580"/>
    <cellStyle name="Accent1 84" xfId="3581"/>
    <cellStyle name="Accent1 84 2" xfId="3582"/>
    <cellStyle name="Accent1 84 2 2" xfId="3583"/>
    <cellStyle name="Accent1 84 3" xfId="3584"/>
    <cellStyle name="Accent1 85" xfId="3585"/>
    <cellStyle name="Accent1 85 2" xfId="3586"/>
    <cellStyle name="Accent1 85 2 2" xfId="3587"/>
    <cellStyle name="Accent1 85 3" xfId="3588"/>
    <cellStyle name="Accent1 86" xfId="3589"/>
    <cellStyle name="Accent1 86 2" xfId="3590"/>
    <cellStyle name="Accent1 86 2 2" xfId="3591"/>
    <cellStyle name="Accent1 86 3" xfId="3592"/>
    <cellStyle name="Accent1 87" xfId="3593"/>
    <cellStyle name="Accent1 87 2" xfId="3594"/>
    <cellStyle name="Accent1 87 2 2" xfId="3595"/>
    <cellStyle name="Accent1 87 3" xfId="3596"/>
    <cellStyle name="Accent1 88" xfId="3597"/>
    <cellStyle name="Accent1 88 2" xfId="3598"/>
    <cellStyle name="Accent1 88 2 2" xfId="3599"/>
    <cellStyle name="Accent1 88 3" xfId="3600"/>
    <cellStyle name="Accent1 89" xfId="3601"/>
    <cellStyle name="Accent1 89 2" xfId="3602"/>
    <cellStyle name="Accent1 89 2 2" xfId="3603"/>
    <cellStyle name="Accent1 89 3" xfId="3604"/>
    <cellStyle name="Accent1 9" xfId="3605"/>
    <cellStyle name="Accent1 9 2" xfId="3606"/>
    <cellStyle name="Accent1 9 2 2" xfId="3607"/>
    <cellStyle name="Accent1 9 3" xfId="3608"/>
    <cellStyle name="Accent1 90" xfId="3609"/>
    <cellStyle name="Accent1 90 2" xfId="3610"/>
    <cellStyle name="Accent1 90 2 2" xfId="3611"/>
    <cellStyle name="Accent1 90 3" xfId="3612"/>
    <cellStyle name="Accent1 91" xfId="3613"/>
    <cellStyle name="Accent1 91 2" xfId="3614"/>
    <cellStyle name="Accent1 91 2 2" xfId="3615"/>
    <cellStyle name="Accent1 91 3" xfId="3616"/>
    <cellStyle name="Accent1 92" xfId="3617"/>
    <cellStyle name="Accent1 92 2" xfId="3618"/>
    <cellStyle name="Accent1 92 2 2" xfId="3619"/>
    <cellStyle name="Accent1 92 3" xfId="3620"/>
    <cellStyle name="Accent1 93" xfId="3621"/>
    <cellStyle name="Accent1 93 2" xfId="3622"/>
    <cellStyle name="Accent1 93 2 2" xfId="3623"/>
    <cellStyle name="Accent1 93 3" xfId="3624"/>
    <cellStyle name="Accent1 94" xfId="3625"/>
    <cellStyle name="Accent1 94 2" xfId="3626"/>
    <cellStyle name="Accent1 94 2 2" xfId="3627"/>
    <cellStyle name="Accent1 94 3" xfId="3628"/>
    <cellStyle name="Accent1 95" xfId="3629"/>
    <cellStyle name="Accent1 95 2" xfId="3630"/>
    <cellStyle name="Accent1 95 2 2" xfId="3631"/>
    <cellStyle name="Accent1 95 3" xfId="3632"/>
    <cellStyle name="Accent1 96" xfId="3633"/>
    <cellStyle name="Accent1 96 2" xfId="3634"/>
    <cellStyle name="Accent1 96 2 2" xfId="3635"/>
    <cellStyle name="Accent1 96 3" xfId="3636"/>
    <cellStyle name="Accent1 97" xfId="3637"/>
    <cellStyle name="Accent1 97 2" xfId="3638"/>
    <cellStyle name="Accent1 97 2 2" xfId="3639"/>
    <cellStyle name="Accent1 97 3" xfId="3640"/>
    <cellStyle name="Accent1 98" xfId="3641"/>
    <cellStyle name="Accent1 98 2" xfId="3642"/>
    <cellStyle name="Accent1 98 2 2" xfId="3643"/>
    <cellStyle name="Accent1 98 3" xfId="3644"/>
    <cellStyle name="Accent1 99" xfId="3645"/>
    <cellStyle name="Accent1 99 2" xfId="3646"/>
    <cellStyle name="Accent1 99 2 2" xfId="3647"/>
    <cellStyle name="Accent1 99 3" xfId="3648"/>
    <cellStyle name="Accent2 - 20%" xfId="4"/>
    <cellStyle name="Accent2 - 20% 10" xfId="3649"/>
    <cellStyle name="Accent2 - 20% 11" xfId="3650"/>
    <cellStyle name="Accent2 - 20% 2" xfId="3651"/>
    <cellStyle name="Accent2 - 20% 2 2" xfId="3652"/>
    <cellStyle name="Accent2 - 20% 2 2 2" xfId="3653"/>
    <cellStyle name="Accent2 - 20% 2 2 2 2" xfId="3654"/>
    <cellStyle name="Accent2 - 20% 2 2 3" xfId="3655"/>
    <cellStyle name="Accent2 - 20% 2 3" xfId="3656"/>
    <cellStyle name="Accent2 - 20% 2 3 2" xfId="3657"/>
    <cellStyle name="Accent2 - 20% 2 3 2 2" xfId="3658"/>
    <cellStyle name="Accent2 - 20% 2 3 2 2 2" xfId="3659"/>
    <cellStyle name="Accent2 - 20% 2 3 2 3" xfId="3660"/>
    <cellStyle name="Accent2 - 20% 2 3 3" xfId="3661"/>
    <cellStyle name="Accent2 - 20% 2 3 3 2" xfId="3662"/>
    <cellStyle name="Accent2 - 20% 2 3 4" xfId="3663"/>
    <cellStyle name="Accent2 - 20% 2 4" xfId="3664"/>
    <cellStyle name="Accent2 - 20% 2 4 2" xfId="3665"/>
    <cellStyle name="Accent2 - 20% 2 4 2 2" xfId="3666"/>
    <cellStyle name="Accent2 - 20% 2 4 2 2 2" xfId="3667"/>
    <cellStyle name="Accent2 - 20% 2 4 2 3" xfId="3668"/>
    <cellStyle name="Accent2 - 20% 2 4 3" xfId="3669"/>
    <cellStyle name="Accent2 - 20% 2 4 3 2" xfId="3670"/>
    <cellStyle name="Accent2 - 20% 2 4 4" xfId="3671"/>
    <cellStyle name="Accent2 - 20% 2 5" xfId="3672"/>
    <cellStyle name="Accent2 - 20% 2 5 2" xfId="3673"/>
    <cellStyle name="Accent2 - 20% 2 6" xfId="3674"/>
    <cellStyle name="Accent2 - 20% 2 6 2" xfId="3675"/>
    <cellStyle name="Accent2 - 20% 2 7" xfId="3676"/>
    <cellStyle name="Accent2 - 20% 3" xfId="3677"/>
    <cellStyle name="Accent2 - 20% 3 2" xfId="3678"/>
    <cellStyle name="Accent2 - 20% 3 2 2" xfId="3679"/>
    <cellStyle name="Accent2 - 20% 3 2 2 2" xfId="3680"/>
    <cellStyle name="Accent2 - 20% 3 2 3" xfId="3681"/>
    <cellStyle name="Accent2 - 20% 3 3" xfId="3682"/>
    <cellStyle name="Accent2 - 20% 3 3 2" xfId="3683"/>
    <cellStyle name="Accent2 - 20% 3 4" xfId="3684"/>
    <cellStyle name="Accent2 - 20% 4" xfId="3685"/>
    <cellStyle name="Accent2 - 20% 4 2" xfId="3686"/>
    <cellStyle name="Accent2 - 20% 4 2 2" xfId="3687"/>
    <cellStyle name="Accent2 - 20% 4 3" xfId="3688"/>
    <cellStyle name="Accent2 - 20% 5" xfId="3689"/>
    <cellStyle name="Accent2 - 20% 5 2" xfId="3690"/>
    <cellStyle name="Accent2 - 20% 5 2 2" xfId="3691"/>
    <cellStyle name="Accent2 - 20% 5 3" xfId="3692"/>
    <cellStyle name="Accent2 - 20% 6" xfId="3693"/>
    <cellStyle name="Accent2 - 20% 6 2" xfId="3694"/>
    <cellStyle name="Accent2 - 20% 7" xfId="3695"/>
    <cellStyle name="Accent2 - 20% 7 2" xfId="3696"/>
    <cellStyle name="Accent2 - 20% 8" xfId="3697"/>
    <cellStyle name="Accent2 - 20% 8 2" xfId="3698"/>
    <cellStyle name="Accent2 - 20% 9" xfId="3699"/>
    <cellStyle name="Accent2 - 20% 9 2" xfId="3700"/>
    <cellStyle name="Accent2 - 40%" xfId="5"/>
    <cellStyle name="Accent2 - 40% 10" xfId="3701"/>
    <cellStyle name="Accent2 - 40% 11" xfId="3702"/>
    <cellStyle name="Accent2 - 40% 2" xfId="3703"/>
    <cellStyle name="Accent2 - 40% 2 2" xfId="3704"/>
    <cellStyle name="Accent2 - 40% 2 2 2" xfId="3705"/>
    <cellStyle name="Accent2 - 40% 2 2 2 2" xfId="3706"/>
    <cellStyle name="Accent2 - 40% 2 2 3" xfId="3707"/>
    <cellStyle name="Accent2 - 40% 2 3" xfId="3708"/>
    <cellStyle name="Accent2 - 40% 2 3 2" xfId="3709"/>
    <cellStyle name="Accent2 - 40% 2 3 2 2" xfId="3710"/>
    <cellStyle name="Accent2 - 40% 2 3 2 2 2" xfId="3711"/>
    <cellStyle name="Accent2 - 40% 2 3 2 3" xfId="3712"/>
    <cellStyle name="Accent2 - 40% 2 3 3" xfId="3713"/>
    <cellStyle name="Accent2 - 40% 2 3 3 2" xfId="3714"/>
    <cellStyle name="Accent2 - 40% 2 3 4" xfId="3715"/>
    <cellStyle name="Accent2 - 40% 2 4" xfId="3716"/>
    <cellStyle name="Accent2 - 40% 2 4 2" xfId="3717"/>
    <cellStyle name="Accent2 - 40% 2 4 2 2" xfId="3718"/>
    <cellStyle name="Accent2 - 40% 2 4 2 2 2" xfId="3719"/>
    <cellStyle name="Accent2 - 40% 2 4 2 3" xfId="3720"/>
    <cellStyle name="Accent2 - 40% 2 4 3" xfId="3721"/>
    <cellStyle name="Accent2 - 40% 2 4 3 2" xfId="3722"/>
    <cellStyle name="Accent2 - 40% 2 4 4" xfId="3723"/>
    <cellStyle name="Accent2 - 40% 2 5" xfId="3724"/>
    <cellStyle name="Accent2 - 40% 2 5 2" xfId="3725"/>
    <cellStyle name="Accent2 - 40% 2 6" xfId="3726"/>
    <cellStyle name="Accent2 - 40% 2 6 2" xfId="3727"/>
    <cellStyle name="Accent2 - 40% 2 7" xfId="3728"/>
    <cellStyle name="Accent2 - 40% 3" xfId="3729"/>
    <cellStyle name="Accent2 - 40% 3 2" xfId="3730"/>
    <cellStyle name="Accent2 - 40% 3 2 2" xfId="3731"/>
    <cellStyle name="Accent2 - 40% 3 2 2 2" xfId="3732"/>
    <cellStyle name="Accent2 - 40% 3 2 3" xfId="3733"/>
    <cellStyle name="Accent2 - 40% 3 3" xfId="3734"/>
    <cellStyle name="Accent2 - 40% 3 3 2" xfId="3735"/>
    <cellStyle name="Accent2 - 40% 3 4" xfId="3736"/>
    <cellStyle name="Accent2 - 40% 4" xfId="3737"/>
    <cellStyle name="Accent2 - 40% 4 2" xfId="3738"/>
    <cellStyle name="Accent2 - 40% 4 2 2" xfId="3739"/>
    <cellStyle name="Accent2 - 40% 4 3" xfId="3740"/>
    <cellStyle name="Accent2 - 40% 5" xfId="3741"/>
    <cellStyle name="Accent2 - 40% 5 2" xfId="3742"/>
    <cellStyle name="Accent2 - 40% 5 2 2" xfId="3743"/>
    <cellStyle name="Accent2 - 40% 5 3" xfId="3744"/>
    <cellStyle name="Accent2 - 40% 6" xfId="3745"/>
    <cellStyle name="Accent2 - 40% 6 2" xfId="3746"/>
    <cellStyle name="Accent2 - 40% 7" xfId="3747"/>
    <cellStyle name="Accent2 - 40% 7 2" xfId="3748"/>
    <cellStyle name="Accent2 - 40% 8" xfId="3749"/>
    <cellStyle name="Accent2 - 40% 8 2" xfId="3750"/>
    <cellStyle name="Accent2 - 40% 9" xfId="3751"/>
    <cellStyle name="Accent2 - 40% 9 2" xfId="3752"/>
    <cellStyle name="Accent2 - 60%" xfId="6"/>
    <cellStyle name="Accent2 - 60% 10" xfId="3753"/>
    <cellStyle name="Accent2 - 60% 2" xfId="3754"/>
    <cellStyle name="Accent2 - 60% 2 2" xfId="3755"/>
    <cellStyle name="Accent2 - 60% 2 2 2" xfId="3756"/>
    <cellStyle name="Accent2 - 60% 2 3" xfId="3757"/>
    <cellStyle name="Accent2 - 60% 2 3 2" xfId="3758"/>
    <cellStyle name="Accent2 - 60% 2 3 2 2" xfId="3759"/>
    <cellStyle name="Accent2 - 60% 2 3 3" xfId="3760"/>
    <cellStyle name="Accent2 - 60% 2 4" xfId="3761"/>
    <cellStyle name="Accent2 - 60% 2 4 2" xfId="3762"/>
    <cellStyle name="Accent2 - 60% 2 4 2 2" xfId="3763"/>
    <cellStyle name="Accent2 - 60% 2 4 3" xfId="3764"/>
    <cellStyle name="Accent2 - 60% 2 5" xfId="3765"/>
    <cellStyle name="Accent2 - 60% 3" xfId="3766"/>
    <cellStyle name="Accent2 - 60% 3 2" xfId="3767"/>
    <cellStyle name="Accent2 - 60% 3 2 2" xfId="3768"/>
    <cellStyle name="Accent2 - 60% 3 3" xfId="3769"/>
    <cellStyle name="Accent2 - 60% 4" xfId="3770"/>
    <cellStyle name="Accent2 - 60% 4 2" xfId="3771"/>
    <cellStyle name="Accent2 - 60% 5" xfId="3772"/>
    <cellStyle name="Accent2 - 60% 5 2" xfId="3773"/>
    <cellStyle name="Accent2 - 60% 6" xfId="3774"/>
    <cellStyle name="Accent2 - 60% 6 2" xfId="3775"/>
    <cellStyle name="Accent2 - 60% 6 2 2" xfId="3776"/>
    <cellStyle name="Accent2 - 60% 6 3" xfId="3777"/>
    <cellStyle name="Accent2 - 60% 7" xfId="3778"/>
    <cellStyle name="Accent2 - 60% 7 2" xfId="3779"/>
    <cellStyle name="Accent2 - 60% 8" xfId="3780"/>
    <cellStyle name="Accent2 - 60% 8 2" xfId="3781"/>
    <cellStyle name="Accent2 - 60% 9" xfId="3782"/>
    <cellStyle name="Accent2 10" xfId="3783"/>
    <cellStyle name="Accent2 10 2" xfId="3784"/>
    <cellStyle name="Accent2 10 2 2" xfId="3785"/>
    <cellStyle name="Accent2 10 3" xfId="3786"/>
    <cellStyle name="Accent2 100" xfId="3787"/>
    <cellStyle name="Accent2 100 2" xfId="3788"/>
    <cellStyle name="Accent2 100 2 2" xfId="3789"/>
    <cellStyle name="Accent2 100 3" xfId="3790"/>
    <cellStyle name="Accent2 101" xfId="3791"/>
    <cellStyle name="Accent2 101 2" xfId="3792"/>
    <cellStyle name="Accent2 101 2 2" xfId="3793"/>
    <cellStyle name="Accent2 101 3" xfId="3794"/>
    <cellStyle name="Accent2 102" xfId="3795"/>
    <cellStyle name="Accent2 102 2" xfId="3796"/>
    <cellStyle name="Accent2 103" xfId="3797"/>
    <cellStyle name="Accent2 103 2" xfId="3798"/>
    <cellStyle name="Accent2 104" xfId="3799"/>
    <cellStyle name="Accent2 104 2" xfId="3800"/>
    <cellStyle name="Accent2 104 2 2" xfId="3801"/>
    <cellStyle name="Accent2 104 3" xfId="3802"/>
    <cellStyle name="Accent2 105" xfId="3803"/>
    <cellStyle name="Accent2 105 2" xfId="3804"/>
    <cellStyle name="Accent2 105 2 2" xfId="3805"/>
    <cellStyle name="Accent2 105 3" xfId="3806"/>
    <cellStyle name="Accent2 106" xfId="3807"/>
    <cellStyle name="Accent2 106 2" xfId="3808"/>
    <cellStyle name="Accent2 106 2 2" xfId="3809"/>
    <cellStyle name="Accent2 106 3" xfId="3810"/>
    <cellStyle name="Accent2 107" xfId="3811"/>
    <cellStyle name="Accent2 107 2" xfId="3812"/>
    <cellStyle name="Accent2 107 2 2" xfId="3813"/>
    <cellStyle name="Accent2 107 3" xfId="3814"/>
    <cellStyle name="Accent2 108" xfId="3815"/>
    <cellStyle name="Accent2 108 2" xfId="3816"/>
    <cellStyle name="Accent2 108 2 2" xfId="3817"/>
    <cellStyle name="Accent2 108 3" xfId="3818"/>
    <cellStyle name="Accent2 109" xfId="3819"/>
    <cellStyle name="Accent2 109 2" xfId="3820"/>
    <cellStyle name="Accent2 109 2 2" xfId="3821"/>
    <cellStyle name="Accent2 109 3" xfId="3822"/>
    <cellStyle name="Accent2 11" xfId="3823"/>
    <cellStyle name="Accent2 11 2" xfId="3824"/>
    <cellStyle name="Accent2 11 2 2" xfId="3825"/>
    <cellStyle name="Accent2 11 3" xfId="3826"/>
    <cellStyle name="Accent2 110" xfId="3827"/>
    <cellStyle name="Accent2 110 2" xfId="3828"/>
    <cellStyle name="Accent2 110 2 2" xfId="3829"/>
    <cellStyle name="Accent2 110 3" xfId="3830"/>
    <cellStyle name="Accent2 111" xfId="3831"/>
    <cellStyle name="Accent2 111 2" xfId="3832"/>
    <cellStyle name="Accent2 111 2 2" xfId="3833"/>
    <cellStyle name="Accent2 111 3" xfId="3834"/>
    <cellStyle name="Accent2 112" xfId="3835"/>
    <cellStyle name="Accent2 112 2" xfId="3836"/>
    <cellStyle name="Accent2 112 2 2" xfId="3837"/>
    <cellStyle name="Accent2 112 3" xfId="3838"/>
    <cellStyle name="Accent2 113" xfId="3839"/>
    <cellStyle name="Accent2 113 2" xfId="3840"/>
    <cellStyle name="Accent2 113 2 2" xfId="3841"/>
    <cellStyle name="Accent2 113 3" xfId="3842"/>
    <cellStyle name="Accent2 114" xfId="3843"/>
    <cellStyle name="Accent2 114 2" xfId="3844"/>
    <cellStyle name="Accent2 115" xfId="3845"/>
    <cellStyle name="Accent2 115 2" xfId="3846"/>
    <cellStyle name="Accent2 116" xfId="3847"/>
    <cellStyle name="Accent2 116 2" xfId="3848"/>
    <cellStyle name="Accent2 117" xfId="3849"/>
    <cellStyle name="Accent2 117 2" xfId="3850"/>
    <cellStyle name="Accent2 118" xfId="3851"/>
    <cellStyle name="Accent2 118 2" xfId="3852"/>
    <cellStyle name="Accent2 119" xfId="3853"/>
    <cellStyle name="Accent2 119 2" xfId="3854"/>
    <cellStyle name="Accent2 12" xfId="3855"/>
    <cellStyle name="Accent2 12 2" xfId="3856"/>
    <cellStyle name="Accent2 12 2 2" xfId="3857"/>
    <cellStyle name="Accent2 12 3" xfId="3858"/>
    <cellStyle name="Accent2 120" xfId="3859"/>
    <cellStyle name="Accent2 120 2" xfId="3860"/>
    <cellStyle name="Accent2 121" xfId="3861"/>
    <cellStyle name="Accent2 121 2" xfId="3862"/>
    <cellStyle name="Accent2 122" xfId="3863"/>
    <cellStyle name="Accent2 122 2" xfId="3864"/>
    <cellStyle name="Accent2 123" xfId="3865"/>
    <cellStyle name="Accent2 123 2" xfId="3866"/>
    <cellStyle name="Accent2 124" xfId="3867"/>
    <cellStyle name="Accent2 124 2" xfId="3868"/>
    <cellStyle name="Accent2 125" xfId="3869"/>
    <cellStyle name="Accent2 125 2" xfId="3870"/>
    <cellStyle name="Accent2 126" xfId="3871"/>
    <cellStyle name="Accent2 127" xfId="3872"/>
    <cellStyle name="Accent2 128" xfId="3873"/>
    <cellStyle name="Accent2 129" xfId="3874"/>
    <cellStyle name="Accent2 13" xfId="3875"/>
    <cellStyle name="Accent2 13 2" xfId="3876"/>
    <cellStyle name="Accent2 13 2 2" xfId="3877"/>
    <cellStyle name="Accent2 13 3" xfId="3878"/>
    <cellStyle name="Accent2 130" xfId="3879"/>
    <cellStyle name="Accent2 131" xfId="3880"/>
    <cellStyle name="Accent2 132" xfId="3881"/>
    <cellStyle name="Accent2 133" xfId="3882"/>
    <cellStyle name="Accent2 134" xfId="3883"/>
    <cellStyle name="Accent2 135" xfId="3884"/>
    <cellStyle name="Accent2 136" xfId="3885"/>
    <cellStyle name="Accent2 137" xfId="3886"/>
    <cellStyle name="Accent2 138" xfId="3887"/>
    <cellStyle name="Accent2 139" xfId="3888"/>
    <cellStyle name="Accent2 14" xfId="3889"/>
    <cellStyle name="Accent2 14 2" xfId="3890"/>
    <cellStyle name="Accent2 14 2 2" xfId="3891"/>
    <cellStyle name="Accent2 14 3" xfId="3892"/>
    <cellStyle name="Accent2 140" xfId="3893"/>
    <cellStyle name="Accent2 141" xfId="3894"/>
    <cellStyle name="Accent2 142" xfId="3895"/>
    <cellStyle name="Accent2 143" xfId="3896"/>
    <cellStyle name="Accent2 144" xfId="3897"/>
    <cellStyle name="Accent2 145" xfId="3898"/>
    <cellStyle name="Accent2 146" xfId="3899"/>
    <cellStyle name="Accent2 147" xfId="3900"/>
    <cellStyle name="Accent2 148" xfId="3901"/>
    <cellStyle name="Accent2 149" xfId="3902"/>
    <cellStyle name="Accent2 15" xfId="3903"/>
    <cellStyle name="Accent2 15 2" xfId="3904"/>
    <cellStyle name="Accent2 15 2 2" xfId="3905"/>
    <cellStyle name="Accent2 15 3" xfId="3906"/>
    <cellStyle name="Accent2 150" xfId="3907"/>
    <cellStyle name="Accent2 151" xfId="3908"/>
    <cellStyle name="Accent2 152" xfId="3909"/>
    <cellStyle name="Accent2 153" xfId="3910"/>
    <cellStyle name="Accent2 154" xfId="3911"/>
    <cellStyle name="Accent2 155" xfId="3912"/>
    <cellStyle name="Accent2 156" xfId="3913"/>
    <cellStyle name="Accent2 157" xfId="3914"/>
    <cellStyle name="Accent2 158" xfId="3915"/>
    <cellStyle name="Accent2 159" xfId="3916"/>
    <cellStyle name="Accent2 16" xfId="3917"/>
    <cellStyle name="Accent2 16 2" xfId="3918"/>
    <cellStyle name="Accent2 16 2 2" xfId="3919"/>
    <cellStyle name="Accent2 16 3" xfId="3920"/>
    <cellStyle name="Accent2 160" xfId="3921"/>
    <cellStyle name="Accent2 161" xfId="3922"/>
    <cellStyle name="Accent2 162" xfId="3923"/>
    <cellStyle name="Accent2 163" xfId="3924"/>
    <cellStyle name="Accent2 164" xfId="3925"/>
    <cellStyle name="Accent2 165" xfId="3926"/>
    <cellStyle name="Accent2 166" xfId="3927"/>
    <cellStyle name="Accent2 167" xfId="3928"/>
    <cellStyle name="Accent2 168" xfId="3929"/>
    <cellStyle name="Accent2 169" xfId="3930"/>
    <cellStyle name="Accent2 17" xfId="3931"/>
    <cellStyle name="Accent2 17 2" xfId="3932"/>
    <cellStyle name="Accent2 17 2 2" xfId="3933"/>
    <cellStyle name="Accent2 17 3" xfId="3934"/>
    <cellStyle name="Accent2 170" xfId="3935"/>
    <cellStyle name="Accent2 171" xfId="3936"/>
    <cellStyle name="Accent2 172" xfId="3937"/>
    <cellStyle name="Accent2 173" xfId="3938"/>
    <cellStyle name="Accent2 174" xfId="3939"/>
    <cellStyle name="Accent2 175" xfId="3940"/>
    <cellStyle name="Accent2 176" xfId="3941"/>
    <cellStyle name="Accent2 177" xfId="3942"/>
    <cellStyle name="Accent2 178" xfId="3943"/>
    <cellStyle name="Accent2 179" xfId="3944"/>
    <cellStyle name="Accent2 18" xfId="3945"/>
    <cellStyle name="Accent2 18 2" xfId="3946"/>
    <cellStyle name="Accent2 18 2 2" xfId="3947"/>
    <cellStyle name="Accent2 18 3" xfId="3948"/>
    <cellStyle name="Accent2 19" xfId="3949"/>
    <cellStyle name="Accent2 19 2" xfId="3950"/>
    <cellStyle name="Accent2 19 2 2" xfId="3951"/>
    <cellStyle name="Accent2 19 3" xfId="3952"/>
    <cellStyle name="Accent2 2" xfId="3953"/>
    <cellStyle name="Accent2 2 10" xfId="3954"/>
    <cellStyle name="Accent2 2 10 2" xfId="3955"/>
    <cellStyle name="Accent2 2 11" xfId="3956"/>
    <cellStyle name="Accent2 2 12" xfId="3957"/>
    <cellStyle name="Accent2 2 2" xfId="3958"/>
    <cellStyle name="Accent2 2 2 2" xfId="3959"/>
    <cellStyle name="Accent2 2 2 2 2" xfId="3960"/>
    <cellStyle name="Accent2 2 2 3" xfId="3961"/>
    <cellStyle name="Accent2 2 2 3 2" xfId="3962"/>
    <cellStyle name="Accent2 2 2 3 2 2" xfId="3963"/>
    <cellStyle name="Accent2 2 2 3 3" xfId="3964"/>
    <cellStyle name="Accent2 2 2 4" xfId="3965"/>
    <cellStyle name="Accent2 2 3" xfId="3966"/>
    <cellStyle name="Accent2 2 3 2" xfId="3967"/>
    <cellStyle name="Accent2 2 3 2 2" xfId="3968"/>
    <cellStyle name="Accent2 2 3 3" xfId="3969"/>
    <cellStyle name="Accent2 2 3 3 2" xfId="3970"/>
    <cellStyle name="Accent2 2 3 3 2 2" xfId="3971"/>
    <cellStyle name="Accent2 2 3 3 3" xfId="3972"/>
    <cellStyle name="Accent2 2 3 4" xfId="3973"/>
    <cellStyle name="Accent2 2 4" xfId="3974"/>
    <cellStyle name="Accent2 2 4 2" xfId="3975"/>
    <cellStyle name="Accent2 2 4 2 2" xfId="3976"/>
    <cellStyle name="Accent2 2 4 3" xfId="3977"/>
    <cellStyle name="Accent2 2 5" xfId="3978"/>
    <cellStyle name="Accent2 2 5 2" xfId="3979"/>
    <cellStyle name="Accent2 2 5 2 2" xfId="3980"/>
    <cellStyle name="Accent2 2 5 3" xfId="3981"/>
    <cellStyle name="Accent2 2 5 3 2" xfId="3982"/>
    <cellStyle name="Accent2 2 5 3 2 2" xfId="3983"/>
    <cellStyle name="Accent2 2 5 3 3" xfId="3984"/>
    <cellStyle name="Accent2 2 5 4" xfId="3985"/>
    <cellStyle name="Accent2 2 6" xfId="3986"/>
    <cellStyle name="Accent2 2 6 2" xfId="3987"/>
    <cellStyle name="Accent2 2 7" xfId="3988"/>
    <cellStyle name="Accent2 2 7 2" xfId="3989"/>
    <cellStyle name="Accent2 2 8" xfId="3990"/>
    <cellStyle name="Accent2 2 8 2" xfId="3991"/>
    <cellStyle name="Accent2 2 8 2 2" xfId="3992"/>
    <cellStyle name="Accent2 2 8 3" xfId="3993"/>
    <cellStyle name="Accent2 2 9" xfId="3994"/>
    <cellStyle name="Accent2 2 9 2" xfId="3995"/>
    <cellStyle name="Accent2 2 9 2 2" xfId="3996"/>
    <cellStyle name="Accent2 2 9 3" xfId="3997"/>
    <cellStyle name="Accent2 20" xfId="3998"/>
    <cellStyle name="Accent2 20 2" xfId="3999"/>
    <cellStyle name="Accent2 20 2 2" xfId="4000"/>
    <cellStyle name="Accent2 20 3" xfId="4001"/>
    <cellStyle name="Accent2 21" xfId="4002"/>
    <cellStyle name="Accent2 21 2" xfId="4003"/>
    <cellStyle name="Accent2 21 2 2" xfId="4004"/>
    <cellStyle name="Accent2 21 3" xfId="4005"/>
    <cellStyle name="Accent2 22" xfId="4006"/>
    <cellStyle name="Accent2 22 2" xfId="4007"/>
    <cellStyle name="Accent2 22 2 2" xfId="4008"/>
    <cellStyle name="Accent2 22 3" xfId="4009"/>
    <cellStyle name="Accent2 23" xfId="4010"/>
    <cellStyle name="Accent2 23 2" xfId="4011"/>
    <cellStyle name="Accent2 23 2 2" xfId="4012"/>
    <cellStyle name="Accent2 23 3" xfId="4013"/>
    <cellStyle name="Accent2 24" xfId="4014"/>
    <cellStyle name="Accent2 24 2" xfId="4015"/>
    <cellStyle name="Accent2 24 2 2" xfId="4016"/>
    <cellStyle name="Accent2 24 3" xfId="4017"/>
    <cellStyle name="Accent2 25" xfId="4018"/>
    <cellStyle name="Accent2 25 2" xfId="4019"/>
    <cellStyle name="Accent2 25 2 2" xfId="4020"/>
    <cellStyle name="Accent2 25 3" xfId="4021"/>
    <cellStyle name="Accent2 26" xfId="4022"/>
    <cellStyle name="Accent2 26 2" xfId="4023"/>
    <cellStyle name="Accent2 26 2 2" xfId="4024"/>
    <cellStyle name="Accent2 26 3" xfId="4025"/>
    <cellStyle name="Accent2 27" xfId="4026"/>
    <cellStyle name="Accent2 27 2" xfId="4027"/>
    <cellStyle name="Accent2 27 2 2" xfId="4028"/>
    <cellStyle name="Accent2 27 3" xfId="4029"/>
    <cellStyle name="Accent2 28" xfId="4030"/>
    <cellStyle name="Accent2 28 2" xfId="4031"/>
    <cellStyle name="Accent2 28 2 2" xfId="4032"/>
    <cellStyle name="Accent2 28 3" xfId="4033"/>
    <cellStyle name="Accent2 29" xfId="4034"/>
    <cellStyle name="Accent2 29 2" xfId="4035"/>
    <cellStyle name="Accent2 29 2 2" xfId="4036"/>
    <cellStyle name="Accent2 29 3" xfId="4037"/>
    <cellStyle name="Accent2 3" xfId="4038"/>
    <cellStyle name="Accent2 3 10" xfId="4039"/>
    <cellStyle name="Accent2 3 10 2" xfId="4040"/>
    <cellStyle name="Accent2 3 11" xfId="4041"/>
    <cellStyle name="Accent2 3 2" xfId="4042"/>
    <cellStyle name="Accent2 3 2 2" xfId="4043"/>
    <cellStyle name="Accent2 3 2 2 2" xfId="4044"/>
    <cellStyle name="Accent2 3 2 3" xfId="4045"/>
    <cellStyle name="Accent2 3 2 3 2" xfId="4046"/>
    <cellStyle name="Accent2 3 2 3 2 2" xfId="4047"/>
    <cellStyle name="Accent2 3 2 3 3" xfId="4048"/>
    <cellStyle name="Accent2 3 2 4" xfId="4049"/>
    <cellStyle name="Accent2 3 3" xfId="4050"/>
    <cellStyle name="Accent2 3 3 2" xfId="4051"/>
    <cellStyle name="Accent2 3 3 2 2" xfId="4052"/>
    <cellStyle name="Accent2 3 3 3" xfId="4053"/>
    <cellStyle name="Accent2 3 3 3 2" xfId="4054"/>
    <cellStyle name="Accent2 3 3 3 2 2" xfId="4055"/>
    <cellStyle name="Accent2 3 3 3 3" xfId="4056"/>
    <cellStyle name="Accent2 3 3 4" xfId="4057"/>
    <cellStyle name="Accent2 3 4" xfId="4058"/>
    <cellStyle name="Accent2 3 4 2" xfId="4059"/>
    <cellStyle name="Accent2 3 4 2 2" xfId="4060"/>
    <cellStyle name="Accent2 3 4 3" xfId="4061"/>
    <cellStyle name="Accent2 3 5" xfId="4062"/>
    <cellStyle name="Accent2 3 5 2" xfId="4063"/>
    <cellStyle name="Accent2 3 5 2 2" xfId="4064"/>
    <cellStyle name="Accent2 3 5 3" xfId="4065"/>
    <cellStyle name="Accent2 3 5 3 2" xfId="4066"/>
    <cellStyle name="Accent2 3 5 3 2 2" xfId="4067"/>
    <cellStyle name="Accent2 3 5 3 3" xfId="4068"/>
    <cellStyle name="Accent2 3 5 4" xfId="4069"/>
    <cellStyle name="Accent2 3 6" xfId="4070"/>
    <cellStyle name="Accent2 3 6 2" xfId="4071"/>
    <cellStyle name="Accent2 3 7" xfId="4072"/>
    <cellStyle name="Accent2 3 7 2" xfId="4073"/>
    <cellStyle name="Accent2 3 8" xfId="4074"/>
    <cellStyle name="Accent2 3 8 2" xfId="4075"/>
    <cellStyle name="Accent2 3 8 2 2" xfId="4076"/>
    <cellStyle name="Accent2 3 8 3" xfId="4077"/>
    <cellStyle name="Accent2 3 9" xfId="4078"/>
    <cellStyle name="Accent2 3 9 2" xfId="4079"/>
    <cellStyle name="Accent2 3 9 2 2" xfId="4080"/>
    <cellStyle name="Accent2 3 9 3" xfId="4081"/>
    <cellStyle name="Accent2 30" xfId="4082"/>
    <cellStyle name="Accent2 30 2" xfId="4083"/>
    <cellStyle name="Accent2 30 2 2" xfId="4084"/>
    <cellStyle name="Accent2 30 3" xfId="4085"/>
    <cellStyle name="Accent2 31" xfId="4086"/>
    <cellStyle name="Accent2 31 2" xfId="4087"/>
    <cellStyle name="Accent2 31 2 2" xfId="4088"/>
    <cellStyle name="Accent2 31 3" xfId="4089"/>
    <cellStyle name="Accent2 32" xfId="4090"/>
    <cellStyle name="Accent2 32 2" xfId="4091"/>
    <cellStyle name="Accent2 32 2 2" xfId="4092"/>
    <cellStyle name="Accent2 32 3" xfId="4093"/>
    <cellStyle name="Accent2 33" xfId="4094"/>
    <cellStyle name="Accent2 33 2" xfId="4095"/>
    <cellStyle name="Accent2 33 2 2" xfId="4096"/>
    <cellStyle name="Accent2 33 3" xfId="4097"/>
    <cellStyle name="Accent2 34" xfId="4098"/>
    <cellStyle name="Accent2 34 2" xfId="4099"/>
    <cellStyle name="Accent2 34 2 2" xfId="4100"/>
    <cellStyle name="Accent2 34 3" xfId="4101"/>
    <cellStyle name="Accent2 35" xfId="4102"/>
    <cellStyle name="Accent2 35 2" xfId="4103"/>
    <cellStyle name="Accent2 35 2 2" xfId="4104"/>
    <cellStyle name="Accent2 35 3" xfId="4105"/>
    <cellStyle name="Accent2 36" xfId="4106"/>
    <cellStyle name="Accent2 36 2" xfId="4107"/>
    <cellStyle name="Accent2 36 2 2" xfId="4108"/>
    <cellStyle name="Accent2 36 3" xfId="4109"/>
    <cellStyle name="Accent2 37" xfId="4110"/>
    <cellStyle name="Accent2 37 2" xfId="4111"/>
    <cellStyle name="Accent2 37 2 2" xfId="4112"/>
    <cellStyle name="Accent2 37 3" xfId="4113"/>
    <cellStyle name="Accent2 38" xfId="4114"/>
    <cellStyle name="Accent2 38 2" xfId="4115"/>
    <cellStyle name="Accent2 38 2 2" xfId="4116"/>
    <cellStyle name="Accent2 38 3" xfId="4117"/>
    <cellStyle name="Accent2 39" xfId="4118"/>
    <cellStyle name="Accent2 39 2" xfId="4119"/>
    <cellStyle name="Accent2 39 2 2" xfId="4120"/>
    <cellStyle name="Accent2 39 3" xfId="4121"/>
    <cellStyle name="Accent2 4" xfId="4122"/>
    <cellStyle name="Accent2 4 2" xfId="4123"/>
    <cellStyle name="Accent2 4 2 2" xfId="4124"/>
    <cellStyle name="Accent2 4 2 2 2" xfId="4125"/>
    <cellStyle name="Accent2 4 2 3" xfId="4126"/>
    <cellStyle name="Accent2 4 2 3 2" xfId="4127"/>
    <cellStyle name="Accent2 4 2 3 2 2" xfId="4128"/>
    <cellStyle name="Accent2 4 2 3 3" xfId="4129"/>
    <cellStyle name="Accent2 4 2 4" xfId="4130"/>
    <cellStyle name="Accent2 4 3" xfId="4131"/>
    <cellStyle name="Accent2 4 3 2" xfId="4132"/>
    <cellStyle name="Accent2 4 3 2 2" xfId="4133"/>
    <cellStyle name="Accent2 4 3 3" xfId="4134"/>
    <cellStyle name="Accent2 4 3 3 2" xfId="4135"/>
    <cellStyle name="Accent2 4 3 3 2 2" xfId="4136"/>
    <cellStyle name="Accent2 4 3 3 3" xfId="4137"/>
    <cellStyle name="Accent2 4 3 4" xfId="4138"/>
    <cellStyle name="Accent2 4 4" xfId="4139"/>
    <cellStyle name="Accent2 4 4 2" xfId="4140"/>
    <cellStyle name="Accent2 4 4 2 2" xfId="4141"/>
    <cellStyle name="Accent2 4 4 3" xfId="4142"/>
    <cellStyle name="Accent2 4 5" xfId="4143"/>
    <cellStyle name="Accent2 4 5 2" xfId="4144"/>
    <cellStyle name="Accent2 4 6" xfId="4145"/>
    <cellStyle name="Accent2 4 6 2" xfId="4146"/>
    <cellStyle name="Accent2 4 7" xfId="4147"/>
    <cellStyle name="Accent2 40" xfId="4148"/>
    <cellStyle name="Accent2 40 2" xfId="4149"/>
    <cellStyle name="Accent2 40 2 2" xfId="4150"/>
    <cellStyle name="Accent2 40 3" xfId="4151"/>
    <cellStyle name="Accent2 41" xfId="4152"/>
    <cellStyle name="Accent2 41 2" xfId="4153"/>
    <cellStyle name="Accent2 41 2 2" xfId="4154"/>
    <cellStyle name="Accent2 41 3" xfId="4155"/>
    <cellStyle name="Accent2 42" xfId="4156"/>
    <cellStyle name="Accent2 42 2" xfId="4157"/>
    <cellStyle name="Accent2 42 2 2" xfId="4158"/>
    <cellStyle name="Accent2 42 3" xfId="4159"/>
    <cellStyle name="Accent2 43" xfId="4160"/>
    <cellStyle name="Accent2 43 2" xfId="4161"/>
    <cellStyle name="Accent2 43 2 2" xfId="4162"/>
    <cellStyle name="Accent2 43 3" xfId="4163"/>
    <cellStyle name="Accent2 44" xfId="4164"/>
    <cellStyle name="Accent2 44 2" xfId="4165"/>
    <cellStyle name="Accent2 44 2 2" xfId="4166"/>
    <cellStyle name="Accent2 44 3" xfId="4167"/>
    <cellStyle name="Accent2 45" xfId="4168"/>
    <cellStyle name="Accent2 45 2" xfId="4169"/>
    <cellStyle name="Accent2 45 2 2" xfId="4170"/>
    <cellStyle name="Accent2 45 3" xfId="4171"/>
    <cellStyle name="Accent2 46" xfId="4172"/>
    <cellStyle name="Accent2 46 2" xfId="4173"/>
    <cellStyle name="Accent2 46 2 2" xfId="4174"/>
    <cellStyle name="Accent2 46 3" xfId="4175"/>
    <cellStyle name="Accent2 47" xfId="4176"/>
    <cellStyle name="Accent2 47 2" xfId="4177"/>
    <cellStyle name="Accent2 47 2 2" xfId="4178"/>
    <cellStyle name="Accent2 47 3" xfId="4179"/>
    <cellStyle name="Accent2 48" xfId="4180"/>
    <cellStyle name="Accent2 48 2" xfId="4181"/>
    <cellStyle name="Accent2 48 2 2" xfId="4182"/>
    <cellStyle name="Accent2 48 3" xfId="4183"/>
    <cellStyle name="Accent2 48 3 2" xfId="4184"/>
    <cellStyle name="Accent2 48 3 2 2" xfId="4185"/>
    <cellStyle name="Accent2 48 3 3" xfId="4186"/>
    <cellStyle name="Accent2 48 4" xfId="4187"/>
    <cellStyle name="Accent2 49" xfId="4188"/>
    <cellStyle name="Accent2 49 2" xfId="4189"/>
    <cellStyle name="Accent2 49 2 2" xfId="4190"/>
    <cellStyle name="Accent2 49 3" xfId="4191"/>
    <cellStyle name="Accent2 49 3 2" xfId="4192"/>
    <cellStyle name="Accent2 49 3 2 2" xfId="4193"/>
    <cellStyle name="Accent2 49 3 3" xfId="4194"/>
    <cellStyle name="Accent2 49 4" xfId="4195"/>
    <cellStyle name="Accent2 5" xfId="4196"/>
    <cellStyle name="Accent2 5 2" xfId="4197"/>
    <cellStyle name="Accent2 5 2 2" xfId="4198"/>
    <cellStyle name="Accent2 5 2 2 2" xfId="4199"/>
    <cellStyle name="Accent2 5 2 3" xfId="4200"/>
    <cellStyle name="Accent2 5 2 3 2" xfId="4201"/>
    <cellStyle name="Accent2 5 2 3 2 2" xfId="4202"/>
    <cellStyle name="Accent2 5 2 3 3" xfId="4203"/>
    <cellStyle name="Accent2 5 2 4" xfId="4204"/>
    <cellStyle name="Accent2 5 3" xfId="4205"/>
    <cellStyle name="Accent2 5 3 2" xfId="4206"/>
    <cellStyle name="Accent2 5 3 2 2" xfId="4207"/>
    <cellStyle name="Accent2 5 3 3" xfId="4208"/>
    <cellStyle name="Accent2 5 3 3 2" xfId="4209"/>
    <cellStyle name="Accent2 5 3 3 2 2" xfId="4210"/>
    <cellStyle name="Accent2 5 3 3 3" xfId="4211"/>
    <cellStyle name="Accent2 5 3 4" xfId="4212"/>
    <cellStyle name="Accent2 5 4" xfId="4213"/>
    <cellStyle name="Accent2 5 4 2" xfId="4214"/>
    <cellStyle name="Accent2 5 5" xfId="4215"/>
    <cellStyle name="Accent2 5 5 2" xfId="4216"/>
    <cellStyle name="Accent2 5 6" xfId="4217"/>
    <cellStyle name="Accent2 50" xfId="4218"/>
    <cellStyle name="Accent2 50 2" xfId="4219"/>
    <cellStyle name="Accent2 50 2 2" xfId="4220"/>
    <cellStyle name="Accent2 50 3" xfId="4221"/>
    <cellStyle name="Accent2 50 3 2" xfId="4222"/>
    <cellStyle name="Accent2 50 3 2 2" xfId="4223"/>
    <cellStyle name="Accent2 50 3 3" xfId="4224"/>
    <cellStyle name="Accent2 50 4" xfId="4225"/>
    <cellStyle name="Accent2 51" xfId="4226"/>
    <cellStyle name="Accent2 51 2" xfId="4227"/>
    <cellStyle name="Accent2 51 2 2" xfId="4228"/>
    <cellStyle name="Accent2 51 3" xfId="4229"/>
    <cellStyle name="Accent2 51 3 2" xfId="4230"/>
    <cellStyle name="Accent2 51 3 2 2" xfId="4231"/>
    <cellStyle name="Accent2 51 3 3" xfId="4232"/>
    <cellStyle name="Accent2 51 4" xfId="4233"/>
    <cellStyle name="Accent2 52" xfId="4234"/>
    <cellStyle name="Accent2 52 2" xfId="4235"/>
    <cellStyle name="Accent2 52 2 2" xfId="4236"/>
    <cellStyle name="Accent2 52 3" xfId="4237"/>
    <cellStyle name="Accent2 53" xfId="4238"/>
    <cellStyle name="Accent2 53 2" xfId="4239"/>
    <cellStyle name="Accent2 53 2 2" xfId="4240"/>
    <cellStyle name="Accent2 53 3" xfId="4241"/>
    <cellStyle name="Accent2 54" xfId="4242"/>
    <cellStyle name="Accent2 54 2" xfId="4243"/>
    <cellStyle name="Accent2 54 2 2" xfId="4244"/>
    <cellStyle name="Accent2 54 3" xfId="4245"/>
    <cellStyle name="Accent2 55" xfId="4246"/>
    <cellStyle name="Accent2 55 2" xfId="4247"/>
    <cellStyle name="Accent2 55 2 2" xfId="4248"/>
    <cellStyle name="Accent2 55 3" xfId="4249"/>
    <cellStyle name="Accent2 56" xfId="4250"/>
    <cellStyle name="Accent2 56 2" xfId="4251"/>
    <cellStyle name="Accent2 56 2 2" xfId="4252"/>
    <cellStyle name="Accent2 56 3" xfId="4253"/>
    <cellStyle name="Accent2 57" xfId="4254"/>
    <cellStyle name="Accent2 57 2" xfId="4255"/>
    <cellStyle name="Accent2 57 2 2" xfId="4256"/>
    <cellStyle name="Accent2 57 3" xfId="4257"/>
    <cellStyle name="Accent2 58" xfId="4258"/>
    <cellStyle name="Accent2 58 2" xfId="4259"/>
    <cellStyle name="Accent2 58 2 2" xfId="4260"/>
    <cellStyle name="Accent2 58 3" xfId="4261"/>
    <cellStyle name="Accent2 58 3 2" xfId="4262"/>
    <cellStyle name="Accent2 58 3 2 2" xfId="4263"/>
    <cellStyle name="Accent2 58 3 3" xfId="4264"/>
    <cellStyle name="Accent2 58 4" xfId="4265"/>
    <cellStyle name="Accent2 59" xfId="4266"/>
    <cellStyle name="Accent2 59 2" xfId="4267"/>
    <cellStyle name="Accent2 59 2 2" xfId="4268"/>
    <cellStyle name="Accent2 59 3" xfId="4269"/>
    <cellStyle name="Accent2 59 3 2" xfId="4270"/>
    <cellStyle name="Accent2 59 3 2 2" xfId="4271"/>
    <cellStyle name="Accent2 59 3 3" xfId="4272"/>
    <cellStyle name="Accent2 59 4" xfId="4273"/>
    <cellStyle name="Accent2 6" xfId="4274"/>
    <cellStyle name="Accent2 6 2" xfId="4275"/>
    <cellStyle name="Accent2 6 2 2" xfId="4276"/>
    <cellStyle name="Accent2 6 2 2 2" xfId="4277"/>
    <cellStyle name="Accent2 6 2 3" xfId="4278"/>
    <cellStyle name="Accent2 6 2 3 2" xfId="4279"/>
    <cellStyle name="Accent2 6 2 3 2 2" xfId="4280"/>
    <cellStyle name="Accent2 6 2 3 3" xfId="4281"/>
    <cellStyle name="Accent2 6 2 4" xfId="4282"/>
    <cellStyle name="Accent2 6 3" xfId="4283"/>
    <cellStyle name="Accent2 6 3 2" xfId="4284"/>
    <cellStyle name="Accent2 6 4" xfId="4285"/>
    <cellStyle name="Accent2 60" xfId="4286"/>
    <cellStyle name="Accent2 60 2" xfId="4287"/>
    <cellStyle name="Accent2 60 2 2" xfId="4288"/>
    <cellStyle name="Accent2 60 3" xfId="4289"/>
    <cellStyle name="Accent2 60 3 2" xfId="4290"/>
    <cellStyle name="Accent2 60 3 2 2" xfId="4291"/>
    <cellStyle name="Accent2 60 3 3" xfId="4292"/>
    <cellStyle name="Accent2 60 4" xfId="4293"/>
    <cellStyle name="Accent2 61" xfId="4294"/>
    <cellStyle name="Accent2 61 2" xfId="4295"/>
    <cellStyle name="Accent2 61 2 2" xfId="4296"/>
    <cellStyle name="Accent2 61 3" xfId="4297"/>
    <cellStyle name="Accent2 61 3 2" xfId="4298"/>
    <cellStyle name="Accent2 61 3 2 2" xfId="4299"/>
    <cellStyle name="Accent2 61 3 3" xfId="4300"/>
    <cellStyle name="Accent2 61 4" xfId="4301"/>
    <cellStyle name="Accent2 62" xfId="4302"/>
    <cellStyle name="Accent2 62 2" xfId="4303"/>
    <cellStyle name="Accent2 62 2 2" xfId="4304"/>
    <cellStyle name="Accent2 62 3" xfId="4305"/>
    <cellStyle name="Accent2 62 3 2" xfId="4306"/>
    <cellStyle name="Accent2 62 3 2 2" xfId="4307"/>
    <cellStyle name="Accent2 62 3 3" xfId="4308"/>
    <cellStyle name="Accent2 62 4" xfId="4309"/>
    <cellStyle name="Accent2 63" xfId="4310"/>
    <cellStyle name="Accent2 63 2" xfId="4311"/>
    <cellStyle name="Accent2 63 2 2" xfId="4312"/>
    <cellStyle name="Accent2 63 3" xfId="4313"/>
    <cellStyle name="Accent2 63 3 2" xfId="4314"/>
    <cellStyle name="Accent2 63 3 2 2" xfId="4315"/>
    <cellStyle name="Accent2 63 3 3" xfId="4316"/>
    <cellStyle name="Accent2 63 4" xfId="4317"/>
    <cellStyle name="Accent2 64" xfId="4318"/>
    <cellStyle name="Accent2 64 2" xfId="4319"/>
    <cellStyle name="Accent2 64 2 2" xfId="4320"/>
    <cellStyle name="Accent2 64 3" xfId="4321"/>
    <cellStyle name="Accent2 64 3 2" xfId="4322"/>
    <cellStyle name="Accent2 64 3 2 2" xfId="4323"/>
    <cellStyle name="Accent2 64 3 3" xfId="4324"/>
    <cellStyle name="Accent2 64 4" xfId="4325"/>
    <cellStyle name="Accent2 65" xfId="4326"/>
    <cellStyle name="Accent2 65 2" xfId="4327"/>
    <cellStyle name="Accent2 65 2 2" xfId="4328"/>
    <cellStyle name="Accent2 65 3" xfId="4329"/>
    <cellStyle name="Accent2 65 3 2" xfId="4330"/>
    <cellStyle name="Accent2 65 3 2 2" xfId="4331"/>
    <cellStyle name="Accent2 65 3 3" xfId="4332"/>
    <cellStyle name="Accent2 65 4" xfId="4333"/>
    <cellStyle name="Accent2 66" xfId="4334"/>
    <cellStyle name="Accent2 66 2" xfId="4335"/>
    <cellStyle name="Accent2 66 2 2" xfId="4336"/>
    <cellStyle name="Accent2 66 3" xfId="4337"/>
    <cellStyle name="Accent2 66 3 2" xfId="4338"/>
    <cellStyle name="Accent2 66 3 2 2" xfId="4339"/>
    <cellStyle name="Accent2 66 3 3" xfId="4340"/>
    <cellStyle name="Accent2 66 4" xfId="4341"/>
    <cellStyle name="Accent2 67" xfId="4342"/>
    <cellStyle name="Accent2 67 2" xfId="4343"/>
    <cellStyle name="Accent2 67 2 2" xfId="4344"/>
    <cellStyle name="Accent2 67 3" xfId="4345"/>
    <cellStyle name="Accent2 67 3 2" xfId="4346"/>
    <cellStyle name="Accent2 67 3 2 2" xfId="4347"/>
    <cellStyle name="Accent2 67 3 3" xfId="4348"/>
    <cellStyle name="Accent2 67 4" xfId="4349"/>
    <cellStyle name="Accent2 68" xfId="4350"/>
    <cellStyle name="Accent2 68 2" xfId="4351"/>
    <cellStyle name="Accent2 68 2 2" xfId="4352"/>
    <cellStyle name="Accent2 68 3" xfId="4353"/>
    <cellStyle name="Accent2 68 3 2" xfId="4354"/>
    <cellStyle name="Accent2 68 3 2 2" xfId="4355"/>
    <cellStyle name="Accent2 68 3 3" xfId="4356"/>
    <cellStyle name="Accent2 68 4" xfId="4357"/>
    <cellStyle name="Accent2 69" xfId="4358"/>
    <cellStyle name="Accent2 69 2" xfId="4359"/>
    <cellStyle name="Accent2 69 2 2" xfId="4360"/>
    <cellStyle name="Accent2 69 3" xfId="4361"/>
    <cellStyle name="Accent2 69 3 2" xfId="4362"/>
    <cellStyle name="Accent2 69 3 2 2" xfId="4363"/>
    <cellStyle name="Accent2 69 3 3" xfId="4364"/>
    <cellStyle name="Accent2 69 4" xfId="4365"/>
    <cellStyle name="Accent2 7" xfId="4366"/>
    <cellStyle name="Accent2 7 2" xfId="4367"/>
    <cellStyle name="Accent2 7 2 2" xfId="4368"/>
    <cellStyle name="Accent2 7 2 2 2" xfId="4369"/>
    <cellStyle name="Accent2 7 2 3" xfId="4370"/>
    <cellStyle name="Accent2 7 2 3 2" xfId="4371"/>
    <cellStyle name="Accent2 7 2 3 2 2" xfId="4372"/>
    <cellStyle name="Accent2 7 2 3 3" xfId="4373"/>
    <cellStyle name="Accent2 7 2 4" xfId="4374"/>
    <cellStyle name="Accent2 7 3" xfId="4375"/>
    <cellStyle name="Accent2 7 3 2" xfId="4376"/>
    <cellStyle name="Accent2 7 4" xfId="4377"/>
    <cellStyle name="Accent2 70" xfId="4378"/>
    <cellStyle name="Accent2 70 2" xfId="4379"/>
    <cellStyle name="Accent2 70 2 2" xfId="4380"/>
    <cellStyle name="Accent2 70 3" xfId="4381"/>
    <cellStyle name="Accent2 70 3 2" xfId="4382"/>
    <cellStyle name="Accent2 70 3 2 2" xfId="4383"/>
    <cellStyle name="Accent2 70 3 3" xfId="4384"/>
    <cellStyle name="Accent2 70 4" xfId="4385"/>
    <cellStyle name="Accent2 71" xfId="4386"/>
    <cellStyle name="Accent2 71 2" xfId="4387"/>
    <cellStyle name="Accent2 71 2 2" xfId="4388"/>
    <cellStyle name="Accent2 71 3" xfId="4389"/>
    <cellStyle name="Accent2 71 3 2" xfId="4390"/>
    <cellStyle name="Accent2 71 3 2 2" xfId="4391"/>
    <cellStyle name="Accent2 71 3 3" xfId="4392"/>
    <cellStyle name="Accent2 71 4" xfId="4393"/>
    <cellStyle name="Accent2 72" xfId="4394"/>
    <cellStyle name="Accent2 72 2" xfId="4395"/>
    <cellStyle name="Accent2 72 2 2" xfId="4396"/>
    <cellStyle name="Accent2 72 3" xfId="4397"/>
    <cellStyle name="Accent2 72 3 2" xfId="4398"/>
    <cellStyle name="Accent2 72 3 2 2" xfId="4399"/>
    <cellStyle name="Accent2 72 3 3" xfId="4400"/>
    <cellStyle name="Accent2 72 4" xfId="4401"/>
    <cellStyle name="Accent2 73" xfId="4402"/>
    <cellStyle name="Accent2 73 2" xfId="4403"/>
    <cellStyle name="Accent2 73 2 2" xfId="4404"/>
    <cellStyle name="Accent2 73 3" xfId="4405"/>
    <cellStyle name="Accent2 73 3 2" xfId="4406"/>
    <cellStyle name="Accent2 73 3 2 2" xfId="4407"/>
    <cellStyle name="Accent2 73 3 3" xfId="4408"/>
    <cellStyle name="Accent2 73 4" xfId="4409"/>
    <cellStyle name="Accent2 74" xfId="4410"/>
    <cellStyle name="Accent2 74 2" xfId="4411"/>
    <cellStyle name="Accent2 74 2 2" xfId="4412"/>
    <cellStyle name="Accent2 74 3" xfId="4413"/>
    <cellStyle name="Accent2 74 3 2" xfId="4414"/>
    <cellStyle name="Accent2 74 3 2 2" xfId="4415"/>
    <cellStyle name="Accent2 74 3 3" xfId="4416"/>
    <cellStyle name="Accent2 74 4" xfId="4417"/>
    <cellStyle name="Accent2 75" xfId="4418"/>
    <cellStyle name="Accent2 75 2" xfId="4419"/>
    <cellStyle name="Accent2 75 2 2" xfId="4420"/>
    <cellStyle name="Accent2 75 3" xfId="4421"/>
    <cellStyle name="Accent2 75 3 2" xfId="4422"/>
    <cellStyle name="Accent2 75 3 2 2" xfId="4423"/>
    <cellStyle name="Accent2 75 3 3" xfId="4424"/>
    <cellStyle name="Accent2 75 4" xfId="4425"/>
    <cellStyle name="Accent2 76" xfId="4426"/>
    <cellStyle name="Accent2 76 2" xfId="4427"/>
    <cellStyle name="Accent2 76 2 2" xfId="4428"/>
    <cellStyle name="Accent2 76 3" xfId="4429"/>
    <cellStyle name="Accent2 76 3 2" xfId="4430"/>
    <cellStyle name="Accent2 76 3 2 2" xfId="4431"/>
    <cellStyle name="Accent2 76 3 3" xfId="4432"/>
    <cellStyle name="Accent2 76 4" xfId="4433"/>
    <cellStyle name="Accent2 77" xfId="4434"/>
    <cellStyle name="Accent2 77 2" xfId="4435"/>
    <cellStyle name="Accent2 77 2 2" xfId="4436"/>
    <cellStyle name="Accent2 77 3" xfId="4437"/>
    <cellStyle name="Accent2 77 3 2" xfId="4438"/>
    <cellStyle name="Accent2 77 3 2 2" xfId="4439"/>
    <cellStyle name="Accent2 77 3 3" xfId="4440"/>
    <cellStyle name="Accent2 77 4" xfId="4441"/>
    <cellStyle name="Accent2 78" xfId="4442"/>
    <cellStyle name="Accent2 78 2" xfId="4443"/>
    <cellStyle name="Accent2 78 2 2" xfId="4444"/>
    <cellStyle name="Accent2 78 3" xfId="4445"/>
    <cellStyle name="Accent2 78 3 2" xfId="4446"/>
    <cellStyle name="Accent2 78 3 2 2" xfId="4447"/>
    <cellStyle name="Accent2 78 3 3" xfId="4448"/>
    <cellStyle name="Accent2 78 4" xfId="4449"/>
    <cellStyle name="Accent2 79" xfId="4450"/>
    <cellStyle name="Accent2 79 2" xfId="4451"/>
    <cellStyle name="Accent2 79 2 2" xfId="4452"/>
    <cellStyle name="Accent2 79 3" xfId="4453"/>
    <cellStyle name="Accent2 79 3 2" xfId="4454"/>
    <cellStyle name="Accent2 79 3 2 2" xfId="4455"/>
    <cellStyle name="Accent2 79 3 3" xfId="4456"/>
    <cellStyle name="Accent2 79 4" xfId="4457"/>
    <cellStyle name="Accent2 8" xfId="4458"/>
    <cellStyle name="Accent2 8 2" xfId="4459"/>
    <cellStyle name="Accent2 8 2 2" xfId="4460"/>
    <cellStyle name="Accent2 8 3" xfId="4461"/>
    <cellStyle name="Accent2 80" xfId="4462"/>
    <cellStyle name="Accent2 80 2" xfId="4463"/>
    <cellStyle name="Accent2 80 2 2" xfId="4464"/>
    <cellStyle name="Accent2 80 3" xfId="4465"/>
    <cellStyle name="Accent2 80 3 2" xfId="4466"/>
    <cellStyle name="Accent2 80 3 2 2" xfId="4467"/>
    <cellStyle name="Accent2 80 3 3" xfId="4468"/>
    <cellStyle name="Accent2 80 4" xfId="4469"/>
    <cellStyle name="Accent2 81" xfId="4470"/>
    <cellStyle name="Accent2 81 2" xfId="4471"/>
    <cellStyle name="Accent2 81 2 2" xfId="4472"/>
    <cellStyle name="Accent2 81 3" xfId="4473"/>
    <cellStyle name="Accent2 81 3 2" xfId="4474"/>
    <cellStyle name="Accent2 81 3 2 2" xfId="4475"/>
    <cellStyle name="Accent2 81 3 3" xfId="4476"/>
    <cellStyle name="Accent2 81 4" xfId="4477"/>
    <cellStyle name="Accent2 82" xfId="4478"/>
    <cellStyle name="Accent2 82 2" xfId="4479"/>
    <cellStyle name="Accent2 82 2 2" xfId="4480"/>
    <cellStyle name="Accent2 82 3" xfId="4481"/>
    <cellStyle name="Accent2 82 3 2" xfId="4482"/>
    <cellStyle name="Accent2 82 3 2 2" xfId="4483"/>
    <cellStyle name="Accent2 82 3 3" xfId="4484"/>
    <cellStyle name="Accent2 82 4" xfId="4485"/>
    <cellStyle name="Accent2 83" xfId="4486"/>
    <cellStyle name="Accent2 83 2" xfId="4487"/>
    <cellStyle name="Accent2 83 2 2" xfId="4488"/>
    <cellStyle name="Accent2 83 3" xfId="4489"/>
    <cellStyle name="Accent2 83 3 2" xfId="4490"/>
    <cellStyle name="Accent2 83 3 2 2" xfId="4491"/>
    <cellStyle name="Accent2 83 3 3" xfId="4492"/>
    <cellStyle name="Accent2 83 4" xfId="4493"/>
    <cellStyle name="Accent2 84" xfId="4494"/>
    <cellStyle name="Accent2 84 2" xfId="4495"/>
    <cellStyle name="Accent2 84 2 2" xfId="4496"/>
    <cellStyle name="Accent2 84 3" xfId="4497"/>
    <cellStyle name="Accent2 85" xfId="4498"/>
    <cellStyle name="Accent2 85 2" xfId="4499"/>
    <cellStyle name="Accent2 85 2 2" xfId="4500"/>
    <cellStyle name="Accent2 85 3" xfId="4501"/>
    <cellStyle name="Accent2 86" xfId="4502"/>
    <cellStyle name="Accent2 86 2" xfId="4503"/>
    <cellStyle name="Accent2 86 2 2" xfId="4504"/>
    <cellStyle name="Accent2 86 3" xfId="4505"/>
    <cellStyle name="Accent2 87" xfId="4506"/>
    <cellStyle name="Accent2 87 2" xfId="4507"/>
    <cellStyle name="Accent2 87 2 2" xfId="4508"/>
    <cellStyle name="Accent2 87 3" xfId="4509"/>
    <cellStyle name="Accent2 88" xfId="4510"/>
    <cellStyle name="Accent2 88 2" xfId="4511"/>
    <cellStyle name="Accent2 88 2 2" xfId="4512"/>
    <cellStyle name="Accent2 88 3" xfId="4513"/>
    <cellStyle name="Accent2 89" xfId="4514"/>
    <cellStyle name="Accent2 89 2" xfId="4515"/>
    <cellStyle name="Accent2 89 2 2" xfId="4516"/>
    <cellStyle name="Accent2 89 3" xfId="4517"/>
    <cellStyle name="Accent2 9" xfId="4518"/>
    <cellStyle name="Accent2 9 2" xfId="4519"/>
    <cellStyle name="Accent2 9 2 2" xfId="4520"/>
    <cellStyle name="Accent2 9 3" xfId="4521"/>
    <cellStyle name="Accent2 90" xfId="4522"/>
    <cellStyle name="Accent2 90 2" xfId="4523"/>
    <cellStyle name="Accent2 90 2 2" xfId="4524"/>
    <cellStyle name="Accent2 90 3" xfId="4525"/>
    <cellStyle name="Accent2 91" xfId="4526"/>
    <cellStyle name="Accent2 91 2" xfId="4527"/>
    <cellStyle name="Accent2 91 2 2" xfId="4528"/>
    <cellStyle name="Accent2 91 3" xfId="4529"/>
    <cellStyle name="Accent2 92" xfId="4530"/>
    <cellStyle name="Accent2 92 2" xfId="4531"/>
    <cellStyle name="Accent2 92 2 2" xfId="4532"/>
    <cellStyle name="Accent2 92 3" xfId="4533"/>
    <cellStyle name="Accent2 93" xfId="4534"/>
    <cellStyle name="Accent2 93 2" xfId="4535"/>
    <cellStyle name="Accent2 93 2 2" xfId="4536"/>
    <cellStyle name="Accent2 93 3" xfId="4537"/>
    <cellStyle name="Accent2 94" xfId="4538"/>
    <cellStyle name="Accent2 94 2" xfId="4539"/>
    <cellStyle name="Accent2 94 2 2" xfId="4540"/>
    <cellStyle name="Accent2 94 3" xfId="4541"/>
    <cellStyle name="Accent2 95" xfId="4542"/>
    <cellStyle name="Accent2 95 2" xfId="4543"/>
    <cellStyle name="Accent2 95 2 2" xfId="4544"/>
    <cellStyle name="Accent2 95 3" xfId="4545"/>
    <cellStyle name="Accent2 96" xfId="4546"/>
    <cellStyle name="Accent2 96 2" xfId="4547"/>
    <cellStyle name="Accent2 96 2 2" xfId="4548"/>
    <cellStyle name="Accent2 96 3" xfId="4549"/>
    <cellStyle name="Accent2 97" xfId="4550"/>
    <cellStyle name="Accent2 97 2" xfId="4551"/>
    <cellStyle name="Accent2 97 2 2" xfId="4552"/>
    <cellStyle name="Accent2 97 3" xfId="4553"/>
    <cellStyle name="Accent2 98" xfId="4554"/>
    <cellStyle name="Accent2 98 2" xfId="4555"/>
    <cellStyle name="Accent2 98 2 2" xfId="4556"/>
    <cellStyle name="Accent2 98 3" xfId="4557"/>
    <cellStyle name="Accent2 99" xfId="4558"/>
    <cellStyle name="Accent2 99 2" xfId="4559"/>
    <cellStyle name="Accent2 99 2 2" xfId="4560"/>
    <cellStyle name="Accent2 99 3" xfId="4561"/>
    <cellStyle name="Accent3 - 20%" xfId="7"/>
    <cellStyle name="Accent3 - 20% 10" xfId="4562"/>
    <cellStyle name="Accent3 - 20% 11" xfId="4563"/>
    <cellStyle name="Accent3 - 20% 2" xfId="4564"/>
    <cellStyle name="Accent3 - 20% 2 2" xfId="4565"/>
    <cellStyle name="Accent3 - 20% 2 2 2" xfId="4566"/>
    <cellStyle name="Accent3 - 20% 2 2 2 2" xfId="4567"/>
    <cellStyle name="Accent3 - 20% 2 2 3" xfId="4568"/>
    <cellStyle name="Accent3 - 20% 2 3" xfId="4569"/>
    <cellStyle name="Accent3 - 20% 2 3 2" xfId="4570"/>
    <cellStyle name="Accent3 - 20% 2 3 2 2" xfId="4571"/>
    <cellStyle name="Accent3 - 20% 2 3 2 2 2" xfId="4572"/>
    <cellStyle name="Accent3 - 20% 2 3 2 3" xfId="4573"/>
    <cellStyle name="Accent3 - 20% 2 3 3" xfId="4574"/>
    <cellStyle name="Accent3 - 20% 2 3 3 2" xfId="4575"/>
    <cellStyle name="Accent3 - 20% 2 3 4" xfId="4576"/>
    <cellStyle name="Accent3 - 20% 2 4" xfId="4577"/>
    <cellStyle name="Accent3 - 20% 2 4 2" xfId="4578"/>
    <cellStyle name="Accent3 - 20% 2 4 2 2" xfId="4579"/>
    <cellStyle name="Accent3 - 20% 2 4 2 2 2" xfId="4580"/>
    <cellStyle name="Accent3 - 20% 2 4 2 3" xfId="4581"/>
    <cellStyle name="Accent3 - 20% 2 4 3" xfId="4582"/>
    <cellStyle name="Accent3 - 20% 2 4 3 2" xfId="4583"/>
    <cellStyle name="Accent3 - 20% 2 4 4" xfId="4584"/>
    <cellStyle name="Accent3 - 20% 2 5" xfId="4585"/>
    <cellStyle name="Accent3 - 20% 2 5 2" xfId="4586"/>
    <cellStyle name="Accent3 - 20% 2 6" xfId="4587"/>
    <cellStyle name="Accent3 - 20% 2 6 2" xfId="4588"/>
    <cellStyle name="Accent3 - 20% 2 7" xfId="4589"/>
    <cellStyle name="Accent3 - 20% 3" xfId="4590"/>
    <cellStyle name="Accent3 - 20% 3 2" xfId="4591"/>
    <cellStyle name="Accent3 - 20% 3 2 2" xfId="4592"/>
    <cellStyle name="Accent3 - 20% 3 2 2 2" xfId="4593"/>
    <cellStyle name="Accent3 - 20% 3 2 3" xfId="4594"/>
    <cellStyle name="Accent3 - 20% 3 3" xfId="4595"/>
    <cellStyle name="Accent3 - 20% 3 3 2" xfId="4596"/>
    <cellStyle name="Accent3 - 20% 3 4" xfId="4597"/>
    <cellStyle name="Accent3 - 20% 4" xfId="4598"/>
    <cellStyle name="Accent3 - 20% 4 2" xfId="4599"/>
    <cellStyle name="Accent3 - 20% 4 2 2" xfId="4600"/>
    <cellStyle name="Accent3 - 20% 4 3" xfId="4601"/>
    <cellStyle name="Accent3 - 20% 5" xfId="4602"/>
    <cellStyle name="Accent3 - 20% 5 2" xfId="4603"/>
    <cellStyle name="Accent3 - 20% 5 2 2" xfId="4604"/>
    <cellStyle name="Accent3 - 20% 5 3" xfId="4605"/>
    <cellStyle name="Accent3 - 20% 6" xfId="4606"/>
    <cellStyle name="Accent3 - 20% 6 2" xfId="4607"/>
    <cellStyle name="Accent3 - 20% 7" xfId="4608"/>
    <cellStyle name="Accent3 - 20% 7 2" xfId="4609"/>
    <cellStyle name="Accent3 - 20% 8" xfId="4610"/>
    <cellStyle name="Accent3 - 20% 8 2" xfId="4611"/>
    <cellStyle name="Accent3 - 20% 9" xfId="4612"/>
    <cellStyle name="Accent3 - 20% 9 2" xfId="4613"/>
    <cellStyle name="Accent3 - 40%" xfId="8"/>
    <cellStyle name="Accent3 - 40% 10" xfId="4614"/>
    <cellStyle name="Accent3 - 40% 11" xfId="4615"/>
    <cellStyle name="Accent3 - 40% 2" xfId="4616"/>
    <cellStyle name="Accent3 - 40% 2 2" xfId="4617"/>
    <cellStyle name="Accent3 - 40% 2 2 2" xfId="4618"/>
    <cellStyle name="Accent3 - 40% 2 2 2 2" xfId="4619"/>
    <cellStyle name="Accent3 - 40% 2 2 3" xfId="4620"/>
    <cellStyle name="Accent3 - 40% 2 3" xfId="4621"/>
    <cellStyle name="Accent3 - 40% 2 3 2" xfId="4622"/>
    <cellStyle name="Accent3 - 40% 2 3 2 2" xfId="4623"/>
    <cellStyle name="Accent3 - 40% 2 3 2 2 2" xfId="4624"/>
    <cellStyle name="Accent3 - 40% 2 3 2 3" xfId="4625"/>
    <cellStyle name="Accent3 - 40% 2 3 3" xfId="4626"/>
    <cellStyle name="Accent3 - 40% 2 3 3 2" xfId="4627"/>
    <cellStyle name="Accent3 - 40% 2 3 4" xfId="4628"/>
    <cellStyle name="Accent3 - 40% 2 4" xfId="4629"/>
    <cellStyle name="Accent3 - 40% 2 4 2" xfId="4630"/>
    <cellStyle name="Accent3 - 40% 2 4 2 2" xfId="4631"/>
    <cellStyle name="Accent3 - 40% 2 4 2 2 2" xfId="4632"/>
    <cellStyle name="Accent3 - 40% 2 4 2 3" xfId="4633"/>
    <cellStyle name="Accent3 - 40% 2 4 3" xfId="4634"/>
    <cellStyle name="Accent3 - 40% 2 4 3 2" xfId="4635"/>
    <cellStyle name="Accent3 - 40% 2 4 4" xfId="4636"/>
    <cellStyle name="Accent3 - 40% 2 5" xfId="4637"/>
    <cellStyle name="Accent3 - 40% 2 5 2" xfId="4638"/>
    <cellStyle name="Accent3 - 40% 2 6" xfId="4639"/>
    <cellStyle name="Accent3 - 40% 2 6 2" xfId="4640"/>
    <cellStyle name="Accent3 - 40% 2 7" xfId="4641"/>
    <cellStyle name="Accent3 - 40% 3" xfId="4642"/>
    <cellStyle name="Accent3 - 40% 3 2" xfId="4643"/>
    <cellStyle name="Accent3 - 40% 3 2 2" xfId="4644"/>
    <cellStyle name="Accent3 - 40% 3 2 2 2" xfId="4645"/>
    <cellStyle name="Accent3 - 40% 3 2 3" xfId="4646"/>
    <cellStyle name="Accent3 - 40% 3 3" xfId="4647"/>
    <cellStyle name="Accent3 - 40% 3 3 2" xfId="4648"/>
    <cellStyle name="Accent3 - 40% 3 4" xfId="4649"/>
    <cellStyle name="Accent3 - 40% 4" xfId="4650"/>
    <cellStyle name="Accent3 - 40% 4 2" xfId="4651"/>
    <cellStyle name="Accent3 - 40% 4 2 2" xfId="4652"/>
    <cellStyle name="Accent3 - 40% 4 3" xfId="4653"/>
    <cellStyle name="Accent3 - 40% 5" xfId="4654"/>
    <cellStyle name="Accent3 - 40% 5 2" xfId="4655"/>
    <cellStyle name="Accent3 - 40% 5 2 2" xfId="4656"/>
    <cellStyle name="Accent3 - 40% 5 3" xfId="4657"/>
    <cellStyle name="Accent3 - 40% 6" xfId="4658"/>
    <cellStyle name="Accent3 - 40% 6 2" xfId="4659"/>
    <cellStyle name="Accent3 - 40% 7" xfId="4660"/>
    <cellStyle name="Accent3 - 40% 7 2" xfId="4661"/>
    <cellStyle name="Accent3 - 40% 8" xfId="4662"/>
    <cellStyle name="Accent3 - 40% 8 2" xfId="4663"/>
    <cellStyle name="Accent3 - 40% 9" xfId="4664"/>
    <cellStyle name="Accent3 - 40% 9 2" xfId="4665"/>
    <cellStyle name="Accent3 - 60%" xfId="9"/>
    <cellStyle name="Accent3 - 60% 10" xfId="4666"/>
    <cellStyle name="Accent3 - 60% 2" xfId="4667"/>
    <cellStyle name="Accent3 - 60% 2 2" xfId="4668"/>
    <cellStyle name="Accent3 - 60% 2 2 2" xfId="4669"/>
    <cellStyle name="Accent3 - 60% 2 3" xfId="4670"/>
    <cellStyle name="Accent3 - 60% 2 3 2" xfId="4671"/>
    <cellStyle name="Accent3 - 60% 2 3 2 2" xfId="4672"/>
    <cellStyle name="Accent3 - 60% 2 3 3" xfId="4673"/>
    <cellStyle name="Accent3 - 60% 2 4" xfId="4674"/>
    <cellStyle name="Accent3 - 60% 2 4 2" xfId="4675"/>
    <cellStyle name="Accent3 - 60% 2 4 2 2" xfId="4676"/>
    <cellStyle name="Accent3 - 60% 2 4 3" xfId="4677"/>
    <cellStyle name="Accent3 - 60% 2 5" xfId="4678"/>
    <cellStyle name="Accent3 - 60% 3" xfId="4679"/>
    <cellStyle name="Accent3 - 60% 3 2" xfId="4680"/>
    <cellStyle name="Accent3 - 60% 3 2 2" xfId="4681"/>
    <cellStyle name="Accent3 - 60% 3 3" xfId="4682"/>
    <cellStyle name="Accent3 - 60% 4" xfId="4683"/>
    <cellStyle name="Accent3 - 60% 4 2" xfId="4684"/>
    <cellStyle name="Accent3 - 60% 5" xfId="4685"/>
    <cellStyle name="Accent3 - 60% 5 2" xfId="4686"/>
    <cellStyle name="Accent3 - 60% 6" xfId="4687"/>
    <cellStyle name="Accent3 - 60% 6 2" xfId="4688"/>
    <cellStyle name="Accent3 - 60% 6 2 2" xfId="4689"/>
    <cellStyle name="Accent3 - 60% 6 3" xfId="4690"/>
    <cellStyle name="Accent3 - 60% 7" xfId="4691"/>
    <cellStyle name="Accent3 - 60% 7 2" xfId="4692"/>
    <cellStyle name="Accent3 - 60% 8" xfId="4693"/>
    <cellStyle name="Accent3 - 60% 8 2" xfId="4694"/>
    <cellStyle name="Accent3 - 60% 9" xfId="4695"/>
    <cellStyle name="Accent3 10" xfId="4696"/>
    <cellStyle name="Accent3 10 2" xfId="4697"/>
    <cellStyle name="Accent3 10 2 2" xfId="4698"/>
    <cellStyle name="Accent3 10 3" xfId="4699"/>
    <cellStyle name="Accent3 100" xfId="4700"/>
    <cellStyle name="Accent3 100 2" xfId="4701"/>
    <cellStyle name="Accent3 100 2 2" xfId="4702"/>
    <cellStyle name="Accent3 100 3" xfId="4703"/>
    <cellStyle name="Accent3 101" xfId="4704"/>
    <cellStyle name="Accent3 101 2" xfId="4705"/>
    <cellStyle name="Accent3 101 2 2" xfId="4706"/>
    <cellStyle name="Accent3 101 3" xfId="4707"/>
    <cellStyle name="Accent3 102" xfId="4708"/>
    <cellStyle name="Accent3 102 2" xfId="4709"/>
    <cellStyle name="Accent3 103" xfId="4710"/>
    <cellStyle name="Accent3 103 2" xfId="4711"/>
    <cellStyle name="Accent3 104" xfId="4712"/>
    <cellStyle name="Accent3 104 2" xfId="4713"/>
    <cellStyle name="Accent3 104 2 2" xfId="4714"/>
    <cellStyle name="Accent3 104 3" xfId="4715"/>
    <cellStyle name="Accent3 105" xfId="4716"/>
    <cellStyle name="Accent3 105 2" xfId="4717"/>
    <cellStyle name="Accent3 105 2 2" xfId="4718"/>
    <cellStyle name="Accent3 105 3" xfId="4719"/>
    <cellStyle name="Accent3 106" xfId="4720"/>
    <cellStyle name="Accent3 106 2" xfId="4721"/>
    <cellStyle name="Accent3 106 2 2" xfId="4722"/>
    <cellStyle name="Accent3 106 3" xfId="4723"/>
    <cellStyle name="Accent3 107" xfId="4724"/>
    <cellStyle name="Accent3 107 2" xfId="4725"/>
    <cellStyle name="Accent3 107 2 2" xfId="4726"/>
    <cellStyle name="Accent3 107 3" xfId="4727"/>
    <cellStyle name="Accent3 108" xfId="4728"/>
    <cellStyle name="Accent3 108 2" xfId="4729"/>
    <cellStyle name="Accent3 108 2 2" xfId="4730"/>
    <cellStyle name="Accent3 108 3" xfId="4731"/>
    <cellStyle name="Accent3 109" xfId="4732"/>
    <cellStyle name="Accent3 109 2" xfId="4733"/>
    <cellStyle name="Accent3 109 2 2" xfId="4734"/>
    <cellStyle name="Accent3 109 3" xfId="4735"/>
    <cellStyle name="Accent3 11" xfId="4736"/>
    <cellStyle name="Accent3 11 2" xfId="4737"/>
    <cellStyle name="Accent3 11 2 2" xfId="4738"/>
    <cellStyle name="Accent3 11 3" xfId="4739"/>
    <cellStyle name="Accent3 110" xfId="4740"/>
    <cellStyle name="Accent3 110 2" xfId="4741"/>
    <cellStyle name="Accent3 110 2 2" xfId="4742"/>
    <cellStyle name="Accent3 110 3" xfId="4743"/>
    <cellStyle name="Accent3 111" xfId="4744"/>
    <cellStyle name="Accent3 111 2" xfId="4745"/>
    <cellStyle name="Accent3 111 2 2" xfId="4746"/>
    <cellStyle name="Accent3 111 3" xfId="4747"/>
    <cellStyle name="Accent3 112" xfId="4748"/>
    <cellStyle name="Accent3 112 2" xfId="4749"/>
    <cellStyle name="Accent3 112 2 2" xfId="4750"/>
    <cellStyle name="Accent3 112 3" xfId="4751"/>
    <cellStyle name="Accent3 113" xfId="4752"/>
    <cellStyle name="Accent3 113 2" xfId="4753"/>
    <cellStyle name="Accent3 113 2 2" xfId="4754"/>
    <cellStyle name="Accent3 113 3" xfId="4755"/>
    <cellStyle name="Accent3 114" xfId="4756"/>
    <cellStyle name="Accent3 114 2" xfId="4757"/>
    <cellStyle name="Accent3 115" xfId="4758"/>
    <cellStyle name="Accent3 115 2" xfId="4759"/>
    <cellStyle name="Accent3 116" xfId="4760"/>
    <cellStyle name="Accent3 116 2" xfId="4761"/>
    <cellStyle name="Accent3 117" xfId="4762"/>
    <cellStyle name="Accent3 117 2" xfId="4763"/>
    <cellStyle name="Accent3 118" xfId="4764"/>
    <cellStyle name="Accent3 118 2" xfId="4765"/>
    <cellStyle name="Accent3 119" xfId="4766"/>
    <cellStyle name="Accent3 119 2" xfId="4767"/>
    <cellStyle name="Accent3 12" xfId="4768"/>
    <cellStyle name="Accent3 12 2" xfId="4769"/>
    <cellStyle name="Accent3 12 2 2" xfId="4770"/>
    <cellStyle name="Accent3 12 3" xfId="4771"/>
    <cellStyle name="Accent3 120" xfId="4772"/>
    <cellStyle name="Accent3 120 2" xfId="4773"/>
    <cellStyle name="Accent3 121" xfId="4774"/>
    <cellStyle name="Accent3 121 2" xfId="4775"/>
    <cellStyle name="Accent3 122" xfId="4776"/>
    <cellStyle name="Accent3 122 2" xfId="4777"/>
    <cellStyle name="Accent3 123" xfId="4778"/>
    <cellStyle name="Accent3 123 2" xfId="4779"/>
    <cellStyle name="Accent3 124" xfId="4780"/>
    <cellStyle name="Accent3 124 2" xfId="4781"/>
    <cellStyle name="Accent3 125" xfId="4782"/>
    <cellStyle name="Accent3 125 2" xfId="4783"/>
    <cellStyle name="Accent3 126" xfId="4784"/>
    <cellStyle name="Accent3 127" xfId="4785"/>
    <cellStyle name="Accent3 128" xfId="4786"/>
    <cellStyle name="Accent3 129" xfId="4787"/>
    <cellStyle name="Accent3 13" xfId="4788"/>
    <cellStyle name="Accent3 13 2" xfId="4789"/>
    <cellStyle name="Accent3 13 2 2" xfId="4790"/>
    <cellStyle name="Accent3 13 3" xfId="4791"/>
    <cellStyle name="Accent3 130" xfId="4792"/>
    <cellStyle name="Accent3 131" xfId="4793"/>
    <cellStyle name="Accent3 132" xfId="4794"/>
    <cellStyle name="Accent3 133" xfId="4795"/>
    <cellStyle name="Accent3 134" xfId="4796"/>
    <cellStyle name="Accent3 135" xfId="4797"/>
    <cellStyle name="Accent3 136" xfId="4798"/>
    <cellStyle name="Accent3 137" xfId="4799"/>
    <cellStyle name="Accent3 138" xfId="4800"/>
    <cellStyle name="Accent3 139" xfId="4801"/>
    <cellStyle name="Accent3 14" xfId="4802"/>
    <cellStyle name="Accent3 14 2" xfId="4803"/>
    <cellStyle name="Accent3 14 2 2" xfId="4804"/>
    <cellStyle name="Accent3 14 3" xfId="4805"/>
    <cellStyle name="Accent3 140" xfId="4806"/>
    <cellStyle name="Accent3 141" xfId="4807"/>
    <cellStyle name="Accent3 142" xfId="4808"/>
    <cellStyle name="Accent3 143" xfId="4809"/>
    <cellStyle name="Accent3 144" xfId="4810"/>
    <cellStyle name="Accent3 145" xfId="4811"/>
    <cellStyle name="Accent3 146" xfId="4812"/>
    <cellStyle name="Accent3 147" xfId="4813"/>
    <cellStyle name="Accent3 148" xfId="4814"/>
    <cellStyle name="Accent3 149" xfId="4815"/>
    <cellStyle name="Accent3 15" xfId="4816"/>
    <cellStyle name="Accent3 15 2" xfId="4817"/>
    <cellStyle name="Accent3 15 2 2" xfId="4818"/>
    <cellStyle name="Accent3 15 3" xfId="4819"/>
    <cellStyle name="Accent3 150" xfId="4820"/>
    <cellStyle name="Accent3 151" xfId="4821"/>
    <cellStyle name="Accent3 152" xfId="4822"/>
    <cellStyle name="Accent3 153" xfId="4823"/>
    <cellStyle name="Accent3 154" xfId="4824"/>
    <cellStyle name="Accent3 155" xfId="4825"/>
    <cellStyle name="Accent3 156" xfId="4826"/>
    <cellStyle name="Accent3 157" xfId="4827"/>
    <cellStyle name="Accent3 158" xfId="4828"/>
    <cellStyle name="Accent3 159" xfId="4829"/>
    <cellStyle name="Accent3 16" xfId="4830"/>
    <cellStyle name="Accent3 16 2" xfId="4831"/>
    <cellStyle name="Accent3 16 2 2" xfId="4832"/>
    <cellStyle name="Accent3 16 3" xfId="4833"/>
    <cellStyle name="Accent3 160" xfId="4834"/>
    <cellStyle name="Accent3 161" xfId="4835"/>
    <cellStyle name="Accent3 162" xfId="4836"/>
    <cellStyle name="Accent3 163" xfId="4837"/>
    <cellStyle name="Accent3 164" xfId="4838"/>
    <cellStyle name="Accent3 165" xfId="4839"/>
    <cellStyle name="Accent3 166" xfId="4840"/>
    <cellStyle name="Accent3 167" xfId="4841"/>
    <cellStyle name="Accent3 168" xfId="4842"/>
    <cellStyle name="Accent3 169" xfId="4843"/>
    <cellStyle name="Accent3 17" xfId="4844"/>
    <cellStyle name="Accent3 17 2" xfId="4845"/>
    <cellStyle name="Accent3 17 2 2" xfId="4846"/>
    <cellStyle name="Accent3 17 3" xfId="4847"/>
    <cellStyle name="Accent3 170" xfId="4848"/>
    <cellStyle name="Accent3 171" xfId="4849"/>
    <cellStyle name="Accent3 172" xfId="4850"/>
    <cellStyle name="Accent3 173" xfId="4851"/>
    <cellStyle name="Accent3 174" xfId="4852"/>
    <cellStyle name="Accent3 175" xfId="4853"/>
    <cellStyle name="Accent3 176" xfId="4854"/>
    <cellStyle name="Accent3 177" xfId="4855"/>
    <cellStyle name="Accent3 178" xfId="4856"/>
    <cellStyle name="Accent3 179" xfId="4857"/>
    <cellStyle name="Accent3 18" xfId="4858"/>
    <cellStyle name="Accent3 18 2" xfId="4859"/>
    <cellStyle name="Accent3 18 2 2" xfId="4860"/>
    <cellStyle name="Accent3 18 3" xfId="4861"/>
    <cellStyle name="Accent3 19" xfId="4862"/>
    <cellStyle name="Accent3 19 2" xfId="4863"/>
    <cellStyle name="Accent3 19 2 2" xfId="4864"/>
    <cellStyle name="Accent3 19 3" xfId="4865"/>
    <cellStyle name="Accent3 2" xfId="4866"/>
    <cellStyle name="Accent3 2 10" xfId="4867"/>
    <cellStyle name="Accent3 2 10 2" xfId="4868"/>
    <cellStyle name="Accent3 2 11" xfId="4869"/>
    <cellStyle name="Accent3 2 12" xfId="4870"/>
    <cellStyle name="Accent3 2 2" xfId="4871"/>
    <cellStyle name="Accent3 2 2 2" xfId="4872"/>
    <cellStyle name="Accent3 2 2 2 2" xfId="4873"/>
    <cellStyle name="Accent3 2 2 3" xfId="4874"/>
    <cellStyle name="Accent3 2 2 3 2" xfId="4875"/>
    <cellStyle name="Accent3 2 2 3 2 2" xfId="4876"/>
    <cellStyle name="Accent3 2 2 3 3" xfId="4877"/>
    <cellStyle name="Accent3 2 2 4" xfId="4878"/>
    <cellStyle name="Accent3 2 3" xfId="4879"/>
    <cellStyle name="Accent3 2 3 2" xfId="4880"/>
    <cellStyle name="Accent3 2 3 2 2" xfId="4881"/>
    <cellStyle name="Accent3 2 3 3" xfId="4882"/>
    <cellStyle name="Accent3 2 3 3 2" xfId="4883"/>
    <cellStyle name="Accent3 2 3 3 2 2" xfId="4884"/>
    <cellStyle name="Accent3 2 3 3 3" xfId="4885"/>
    <cellStyle name="Accent3 2 3 4" xfId="4886"/>
    <cellStyle name="Accent3 2 4" xfId="4887"/>
    <cellStyle name="Accent3 2 4 2" xfId="4888"/>
    <cellStyle name="Accent3 2 4 2 2" xfId="4889"/>
    <cellStyle name="Accent3 2 4 3" xfId="4890"/>
    <cellStyle name="Accent3 2 5" xfId="4891"/>
    <cellStyle name="Accent3 2 5 2" xfId="4892"/>
    <cellStyle name="Accent3 2 5 2 2" xfId="4893"/>
    <cellStyle name="Accent3 2 5 3" xfId="4894"/>
    <cellStyle name="Accent3 2 5 3 2" xfId="4895"/>
    <cellStyle name="Accent3 2 5 3 2 2" xfId="4896"/>
    <cellStyle name="Accent3 2 5 3 3" xfId="4897"/>
    <cellStyle name="Accent3 2 5 4" xfId="4898"/>
    <cellStyle name="Accent3 2 6" xfId="4899"/>
    <cellStyle name="Accent3 2 6 2" xfId="4900"/>
    <cellStyle name="Accent3 2 6 2 2" xfId="4901"/>
    <cellStyle name="Accent3 2 6 3" xfId="4902"/>
    <cellStyle name="Accent3 2 6 3 2" xfId="4903"/>
    <cellStyle name="Accent3 2 6 4" xfId="4904"/>
    <cellStyle name="Accent3 2 7" xfId="4905"/>
    <cellStyle name="Accent3 2 7 2" xfId="4906"/>
    <cellStyle name="Accent3 2 8" xfId="4907"/>
    <cellStyle name="Accent3 2 8 2" xfId="4908"/>
    <cellStyle name="Accent3 2 8 2 2" xfId="4909"/>
    <cellStyle name="Accent3 2 8 3" xfId="4910"/>
    <cellStyle name="Accent3 2 9" xfId="4911"/>
    <cellStyle name="Accent3 2 9 2" xfId="4912"/>
    <cellStyle name="Accent3 2 9 2 2" xfId="4913"/>
    <cellStyle name="Accent3 2 9 3" xfId="4914"/>
    <cellStyle name="Accent3 20" xfId="4915"/>
    <cellStyle name="Accent3 20 2" xfId="4916"/>
    <cellStyle name="Accent3 20 2 2" xfId="4917"/>
    <cellStyle name="Accent3 20 3" xfId="4918"/>
    <cellStyle name="Accent3 21" xfId="4919"/>
    <cellStyle name="Accent3 21 2" xfId="4920"/>
    <cellStyle name="Accent3 21 2 2" xfId="4921"/>
    <cellStyle name="Accent3 21 3" xfId="4922"/>
    <cellStyle name="Accent3 22" xfId="4923"/>
    <cellStyle name="Accent3 22 2" xfId="4924"/>
    <cellStyle name="Accent3 22 2 2" xfId="4925"/>
    <cellStyle name="Accent3 22 3" xfId="4926"/>
    <cellStyle name="Accent3 23" xfId="4927"/>
    <cellStyle name="Accent3 23 2" xfId="4928"/>
    <cellStyle name="Accent3 23 2 2" xfId="4929"/>
    <cellStyle name="Accent3 23 3" xfId="4930"/>
    <cellStyle name="Accent3 24" xfId="4931"/>
    <cellStyle name="Accent3 24 2" xfId="4932"/>
    <cellStyle name="Accent3 24 2 2" xfId="4933"/>
    <cellStyle name="Accent3 24 3" xfId="4934"/>
    <cellStyle name="Accent3 25" xfId="4935"/>
    <cellStyle name="Accent3 25 2" xfId="4936"/>
    <cellStyle name="Accent3 25 2 2" xfId="4937"/>
    <cellStyle name="Accent3 25 3" xfId="4938"/>
    <cellStyle name="Accent3 26" xfId="4939"/>
    <cellStyle name="Accent3 26 2" xfId="4940"/>
    <cellStyle name="Accent3 26 2 2" xfId="4941"/>
    <cellStyle name="Accent3 26 3" xfId="4942"/>
    <cellStyle name="Accent3 27" xfId="4943"/>
    <cellStyle name="Accent3 27 2" xfId="4944"/>
    <cellStyle name="Accent3 27 2 2" xfId="4945"/>
    <cellStyle name="Accent3 27 3" xfId="4946"/>
    <cellStyle name="Accent3 28" xfId="4947"/>
    <cellStyle name="Accent3 28 2" xfId="4948"/>
    <cellStyle name="Accent3 28 2 2" xfId="4949"/>
    <cellStyle name="Accent3 28 3" xfId="4950"/>
    <cellStyle name="Accent3 29" xfId="4951"/>
    <cellStyle name="Accent3 29 2" xfId="4952"/>
    <cellStyle name="Accent3 29 2 2" xfId="4953"/>
    <cellStyle name="Accent3 29 3" xfId="4954"/>
    <cellStyle name="Accent3 3" xfId="4955"/>
    <cellStyle name="Accent3 3 10" xfId="4956"/>
    <cellStyle name="Accent3 3 10 2" xfId="4957"/>
    <cellStyle name="Accent3 3 10 2 2" xfId="4958"/>
    <cellStyle name="Accent3 3 10 3" xfId="4959"/>
    <cellStyle name="Accent3 3 11" xfId="4960"/>
    <cellStyle name="Accent3 3 11 2" xfId="4961"/>
    <cellStyle name="Accent3 3 12" xfId="4962"/>
    <cellStyle name="Accent3 3 2" xfId="4963"/>
    <cellStyle name="Accent3 3 2 2" xfId="4964"/>
    <cellStyle name="Accent3 3 2 2 2" xfId="4965"/>
    <cellStyle name="Accent3 3 2 3" xfId="4966"/>
    <cellStyle name="Accent3 3 2 3 2" xfId="4967"/>
    <cellStyle name="Accent3 3 2 3 2 2" xfId="4968"/>
    <cellStyle name="Accent3 3 2 3 3" xfId="4969"/>
    <cellStyle name="Accent3 3 2 4" xfId="4970"/>
    <cellStyle name="Accent3 3 3" xfId="4971"/>
    <cellStyle name="Accent3 3 3 2" xfId="4972"/>
    <cellStyle name="Accent3 3 3 2 2" xfId="4973"/>
    <cellStyle name="Accent3 3 3 3" xfId="4974"/>
    <cellStyle name="Accent3 3 3 3 2" xfId="4975"/>
    <cellStyle name="Accent3 3 3 3 2 2" xfId="4976"/>
    <cellStyle name="Accent3 3 3 3 3" xfId="4977"/>
    <cellStyle name="Accent3 3 3 4" xfId="4978"/>
    <cellStyle name="Accent3 3 4" xfId="4979"/>
    <cellStyle name="Accent3 3 4 2" xfId="4980"/>
    <cellStyle name="Accent3 3 4 2 2" xfId="4981"/>
    <cellStyle name="Accent3 3 4 3" xfId="4982"/>
    <cellStyle name="Accent3 3 5" xfId="4983"/>
    <cellStyle name="Accent3 3 5 2" xfId="4984"/>
    <cellStyle name="Accent3 3 5 2 2" xfId="4985"/>
    <cellStyle name="Accent3 3 5 3" xfId="4986"/>
    <cellStyle name="Accent3 3 5 3 2" xfId="4987"/>
    <cellStyle name="Accent3 3 5 3 2 2" xfId="4988"/>
    <cellStyle name="Accent3 3 5 3 3" xfId="4989"/>
    <cellStyle name="Accent3 3 5 4" xfId="4990"/>
    <cellStyle name="Accent3 3 6" xfId="4991"/>
    <cellStyle name="Accent3 3 6 2" xfId="4992"/>
    <cellStyle name="Accent3 3 7" xfId="4993"/>
    <cellStyle name="Accent3 3 7 2" xfId="4994"/>
    <cellStyle name="Accent3 3 8" xfId="4995"/>
    <cellStyle name="Accent3 3 8 2" xfId="4996"/>
    <cellStyle name="Accent3 3 8 2 2" xfId="4997"/>
    <cellStyle name="Accent3 3 8 3" xfId="4998"/>
    <cellStyle name="Accent3 3 9" xfId="4999"/>
    <cellStyle name="Accent3 3 9 2" xfId="5000"/>
    <cellStyle name="Accent3 3 9 2 2" xfId="5001"/>
    <cellStyle name="Accent3 3 9 3" xfId="5002"/>
    <cellStyle name="Accent3 30" xfId="5003"/>
    <cellStyle name="Accent3 30 2" xfId="5004"/>
    <cellStyle name="Accent3 30 2 2" xfId="5005"/>
    <cellStyle name="Accent3 30 3" xfId="5006"/>
    <cellStyle name="Accent3 31" xfId="5007"/>
    <cellStyle name="Accent3 31 2" xfId="5008"/>
    <cellStyle name="Accent3 31 2 2" xfId="5009"/>
    <cellStyle name="Accent3 31 3" xfId="5010"/>
    <cellStyle name="Accent3 32" xfId="5011"/>
    <cellStyle name="Accent3 32 2" xfId="5012"/>
    <cellStyle name="Accent3 32 2 2" xfId="5013"/>
    <cellStyle name="Accent3 32 3" xfId="5014"/>
    <cellStyle name="Accent3 33" xfId="5015"/>
    <cellStyle name="Accent3 33 2" xfId="5016"/>
    <cellStyle name="Accent3 33 2 2" xfId="5017"/>
    <cellStyle name="Accent3 33 3" xfId="5018"/>
    <cellStyle name="Accent3 34" xfId="5019"/>
    <cellStyle name="Accent3 34 2" xfId="5020"/>
    <cellStyle name="Accent3 34 2 2" xfId="5021"/>
    <cellStyle name="Accent3 34 3" xfId="5022"/>
    <cellStyle name="Accent3 35" xfId="5023"/>
    <cellStyle name="Accent3 35 2" xfId="5024"/>
    <cellStyle name="Accent3 35 2 2" xfId="5025"/>
    <cellStyle name="Accent3 35 3" xfId="5026"/>
    <cellStyle name="Accent3 36" xfId="5027"/>
    <cellStyle name="Accent3 36 2" xfId="5028"/>
    <cellStyle name="Accent3 36 2 2" xfId="5029"/>
    <cellStyle name="Accent3 36 3" xfId="5030"/>
    <cellStyle name="Accent3 37" xfId="5031"/>
    <cellStyle name="Accent3 37 2" xfId="5032"/>
    <cellStyle name="Accent3 37 2 2" xfId="5033"/>
    <cellStyle name="Accent3 37 3" xfId="5034"/>
    <cellStyle name="Accent3 38" xfId="5035"/>
    <cellStyle name="Accent3 38 2" xfId="5036"/>
    <cellStyle name="Accent3 38 2 2" xfId="5037"/>
    <cellStyle name="Accent3 38 3" xfId="5038"/>
    <cellStyle name="Accent3 39" xfId="5039"/>
    <cellStyle name="Accent3 39 2" xfId="5040"/>
    <cellStyle name="Accent3 39 2 2" xfId="5041"/>
    <cellStyle name="Accent3 39 3" xfId="5042"/>
    <cellStyle name="Accent3 4" xfId="5043"/>
    <cellStyle name="Accent3 4 2" xfId="5044"/>
    <cellStyle name="Accent3 4 2 2" xfId="5045"/>
    <cellStyle name="Accent3 4 2 2 2" xfId="5046"/>
    <cellStyle name="Accent3 4 2 3" xfId="5047"/>
    <cellStyle name="Accent3 4 2 3 2" xfId="5048"/>
    <cellStyle name="Accent3 4 2 3 2 2" xfId="5049"/>
    <cellStyle name="Accent3 4 2 3 3" xfId="5050"/>
    <cellStyle name="Accent3 4 2 4" xfId="5051"/>
    <cellStyle name="Accent3 4 3" xfId="5052"/>
    <cellStyle name="Accent3 4 3 2" xfId="5053"/>
    <cellStyle name="Accent3 4 3 2 2" xfId="5054"/>
    <cellStyle name="Accent3 4 3 3" xfId="5055"/>
    <cellStyle name="Accent3 4 3 3 2" xfId="5056"/>
    <cellStyle name="Accent3 4 3 3 2 2" xfId="5057"/>
    <cellStyle name="Accent3 4 3 3 3" xfId="5058"/>
    <cellStyle name="Accent3 4 3 4" xfId="5059"/>
    <cellStyle name="Accent3 4 4" xfId="5060"/>
    <cellStyle name="Accent3 4 4 2" xfId="5061"/>
    <cellStyle name="Accent3 4 4 2 2" xfId="5062"/>
    <cellStyle name="Accent3 4 4 3" xfId="5063"/>
    <cellStyle name="Accent3 4 5" xfId="5064"/>
    <cellStyle name="Accent3 4 5 2" xfId="5065"/>
    <cellStyle name="Accent3 4 6" xfId="5066"/>
    <cellStyle name="Accent3 4 6 2" xfId="5067"/>
    <cellStyle name="Accent3 4 6 2 2" xfId="5068"/>
    <cellStyle name="Accent3 4 6 3" xfId="5069"/>
    <cellStyle name="Accent3 4 7" xfId="5070"/>
    <cellStyle name="Accent3 4 7 2" xfId="5071"/>
    <cellStyle name="Accent3 4 7 2 2" xfId="5072"/>
    <cellStyle name="Accent3 4 7 3" xfId="5073"/>
    <cellStyle name="Accent3 4 8" xfId="5074"/>
    <cellStyle name="Accent3 40" xfId="5075"/>
    <cellStyle name="Accent3 40 2" xfId="5076"/>
    <cellStyle name="Accent3 40 2 2" xfId="5077"/>
    <cellStyle name="Accent3 40 3" xfId="5078"/>
    <cellStyle name="Accent3 41" xfId="5079"/>
    <cellStyle name="Accent3 41 2" xfId="5080"/>
    <cellStyle name="Accent3 41 2 2" xfId="5081"/>
    <cellStyle name="Accent3 41 3" xfId="5082"/>
    <cellStyle name="Accent3 42" xfId="5083"/>
    <cellStyle name="Accent3 42 2" xfId="5084"/>
    <cellStyle name="Accent3 42 2 2" xfId="5085"/>
    <cellStyle name="Accent3 42 3" xfId="5086"/>
    <cellStyle name="Accent3 43" xfId="5087"/>
    <cellStyle name="Accent3 43 2" xfId="5088"/>
    <cellStyle name="Accent3 43 2 2" xfId="5089"/>
    <cellStyle name="Accent3 43 3" xfId="5090"/>
    <cellStyle name="Accent3 44" xfId="5091"/>
    <cellStyle name="Accent3 44 2" xfId="5092"/>
    <cellStyle name="Accent3 44 2 2" xfId="5093"/>
    <cellStyle name="Accent3 44 3" xfId="5094"/>
    <cellStyle name="Accent3 45" xfId="5095"/>
    <cellStyle name="Accent3 45 2" xfId="5096"/>
    <cellStyle name="Accent3 45 2 2" xfId="5097"/>
    <cellStyle name="Accent3 45 3" xfId="5098"/>
    <cellStyle name="Accent3 46" xfId="5099"/>
    <cellStyle name="Accent3 46 2" xfId="5100"/>
    <cellStyle name="Accent3 46 2 2" xfId="5101"/>
    <cellStyle name="Accent3 46 3" xfId="5102"/>
    <cellStyle name="Accent3 47" xfId="5103"/>
    <cellStyle name="Accent3 47 2" xfId="5104"/>
    <cellStyle name="Accent3 47 2 2" xfId="5105"/>
    <cellStyle name="Accent3 47 3" xfId="5106"/>
    <cellStyle name="Accent3 48" xfId="5107"/>
    <cellStyle name="Accent3 48 2" xfId="5108"/>
    <cellStyle name="Accent3 48 2 2" xfId="5109"/>
    <cellStyle name="Accent3 48 3" xfId="5110"/>
    <cellStyle name="Accent3 48 3 2" xfId="5111"/>
    <cellStyle name="Accent3 48 3 2 2" xfId="5112"/>
    <cellStyle name="Accent3 48 3 3" xfId="5113"/>
    <cellStyle name="Accent3 48 4" xfId="5114"/>
    <cellStyle name="Accent3 49" xfId="5115"/>
    <cellStyle name="Accent3 49 2" xfId="5116"/>
    <cellStyle name="Accent3 49 2 2" xfId="5117"/>
    <cellStyle name="Accent3 49 3" xfId="5118"/>
    <cellStyle name="Accent3 49 3 2" xfId="5119"/>
    <cellStyle name="Accent3 49 3 2 2" xfId="5120"/>
    <cellStyle name="Accent3 49 3 3" xfId="5121"/>
    <cellStyle name="Accent3 49 4" xfId="5122"/>
    <cellStyle name="Accent3 5" xfId="5123"/>
    <cellStyle name="Accent3 5 2" xfId="5124"/>
    <cellStyle name="Accent3 5 2 2" xfId="5125"/>
    <cellStyle name="Accent3 5 2 2 2" xfId="5126"/>
    <cellStyle name="Accent3 5 2 3" xfId="5127"/>
    <cellStyle name="Accent3 5 2 3 2" xfId="5128"/>
    <cellStyle name="Accent3 5 2 3 2 2" xfId="5129"/>
    <cellStyle name="Accent3 5 2 3 3" xfId="5130"/>
    <cellStyle name="Accent3 5 2 4" xfId="5131"/>
    <cellStyle name="Accent3 5 3" xfId="5132"/>
    <cellStyle name="Accent3 5 3 2" xfId="5133"/>
    <cellStyle name="Accent3 5 3 2 2" xfId="5134"/>
    <cellStyle name="Accent3 5 3 3" xfId="5135"/>
    <cellStyle name="Accent3 5 3 3 2" xfId="5136"/>
    <cellStyle name="Accent3 5 3 3 2 2" xfId="5137"/>
    <cellStyle name="Accent3 5 3 3 3" xfId="5138"/>
    <cellStyle name="Accent3 5 3 4" xfId="5139"/>
    <cellStyle name="Accent3 5 4" xfId="5140"/>
    <cellStyle name="Accent3 5 4 2" xfId="5141"/>
    <cellStyle name="Accent3 5 5" xfId="5142"/>
    <cellStyle name="Accent3 5 5 2" xfId="5143"/>
    <cellStyle name="Accent3 5 5 2 2" xfId="5144"/>
    <cellStyle name="Accent3 5 5 3" xfId="5145"/>
    <cellStyle name="Accent3 5 6" xfId="5146"/>
    <cellStyle name="Accent3 5 6 2" xfId="5147"/>
    <cellStyle name="Accent3 5 7" xfId="5148"/>
    <cellStyle name="Accent3 50" xfId="5149"/>
    <cellStyle name="Accent3 50 2" xfId="5150"/>
    <cellStyle name="Accent3 50 2 2" xfId="5151"/>
    <cellStyle name="Accent3 50 3" xfId="5152"/>
    <cellStyle name="Accent3 50 3 2" xfId="5153"/>
    <cellStyle name="Accent3 50 3 2 2" xfId="5154"/>
    <cellStyle name="Accent3 50 3 3" xfId="5155"/>
    <cellStyle name="Accent3 50 4" xfId="5156"/>
    <cellStyle name="Accent3 51" xfId="5157"/>
    <cellStyle name="Accent3 51 2" xfId="5158"/>
    <cellStyle name="Accent3 51 2 2" xfId="5159"/>
    <cellStyle name="Accent3 51 3" xfId="5160"/>
    <cellStyle name="Accent3 51 3 2" xfId="5161"/>
    <cellStyle name="Accent3 51 3 2 2" xfId="5162"/>
    <cellStyle name="Accent3 51 3 3" xfId="5163"/>
    <cellStyle name="Accent3 51 4" xfId="5164"/>
    <cellStyle name="Accent3 52" xfId="5165"/>
    <cellStyle name="Accent3 52 2" xfId="5166"/>
    <cellStyle name="Accent3 52 2 2" xfId="5167"/>
    <cellStyle name="Accent3 52 3" xfId="5168"/>
    <cellStyle name="Accent3 53" xfId="5169"/>
    <cellStyle name="Accent3 53 2" xfId="5170"/>
    <cellStyle name="Accent3 53 2 2" xfId="5171"/>
    <cellStyle name="Accent3 53 3" xfId="5172"/>
    <cellStyle name="Accent3 54" xfId="5173"/>
    <cellStyle name="Accent3 54 2" xfId="5174"/>
    <cellStyle name="Accent3 54 2 2" xfId="5175"/>
    <cellStyle name="Accent3 54 3" xfId="5176"/>
    <cellStyle name="Accent3 55" xfId="5177"/>
    <cellStyle name="Accent3 55 2" xfId="5178"/>
    <cellStyle name="Accent3 55 2 2" xfId="5179"/>
    <cellStyle name="Accent3 55 3" xfId="5180"/>
    <cellStyle name="Accent3 56" xfId="5181"/>
    <cellStyle name="Accent3 56 2" xfId="5182"/>
    <cellStyle name="Accent3 56 2 2" xfId="5183"/>
    <cellStyle name="Accent3 56 3" xfId="5184"/>
    <cellStyle name="Accent3 57" xfId="5185"/>
    <cellStyle name="Accent3 57 2" xfId="5186"/>
    <cellStyle name="Accent3 57 2 2" xfId="5187"/>
    <cellStyle name="Accent3 57 3" xfId="5188"/>
    <cellStyle name="Accent3 58" xfId="5189"/>
    <cellStyle name="Accent3 58 2" xfId="5190"/>
    <cellStyle name="Accent3 58 2 2" xfId="5191"/>
    <cellStyle name="Accent3 58 3" xfId="5192"/>
    <cellStyle name="Accent3 58 3 2" xfId="5193"/>
    <cellStyle name="Accent3 58 3 2 2" xfId="5194"/>
    <cellStyle name="Accent3 58 3 3" xfId="5195"/>
    <cellStyle name="Accent3 58 4" xfId="5196"/>
    <cellStyle name="Accent3 59" xfId="5197"/>
    <cellStyle name="Accent3 59 2" xfId="5198"/>
    <cellStyle name="Accent3 59 2 2" xfId="5199"/>
    <cellStyle name="Accent3 59 3" xfId="5200"/>
    <cellStyle name="Accent3 59 3 2" xfId="5201"/>
    <cellStyle name="Accent3 59 3 2 2" xfId="5202"/>
    <cellStyle name="Accent3 59 3 3" xfId="5203"/>
    <cellStyle name="Accent3 59 4" xfId="5204"/>
    <cellStyle name="Accent3 6" xfId="5205"/>
    <cellStyle name="Accent3 6 2" xfId="5206"/>
    <cellStyle name="Accent3 6 2 2" xfId="5207"/>
    <cellStyle name="Accent3 6 2 2 2" xfId="5208"/>
    <cellStyle name="Accent3 6 2 3" xfId="5209"/>
    <cellStyle name="Accent3 6 2 3 2" xfId="5210"/>
    <cellStyle name="Accent3 6 2 3 2 2" xfId="5211"/>
    <cellStyle name="Accent3 6 2 3 3" xfId="5212"/>
    <cellStyle name="Accent3 6 2 4" xfId="5213"/>
    <cellStyle name="Accent3 6 3" xfId="5214"/>
    <cellStyle name="Accent3 6 3 2" xfId="5215"/>
    <cellStyle name="Accent3 6 4" xfId="5216"/>
    <cellStyle name="Accent3 6 4 2" xfId="5217"/>
    <cellStyle name="Accent3 6 4 2 2" xfId="5218"/>
    <cellStyle name="Accent3 6 4 3" xfId="5219"/>
    <cellStyle name="Accent3 6 5" xfId="5220"/>
    <cellStyle name="Accent3 60" xfId="5221"/>
    <cellStyle name="Accent3 60 2" xfId="5222"/>
    <cellStyle name="Accent3 60 2 2" xfId="5223"/>
    <cellStyle name="Accent3 60 3" xfId="5224"/>
    <cellStyle name="Accent3 60 3 2" xfId="5225"/>
    <cellStyle name="Accent3 60 3 2 2" xfId="5226"/>
    <cellStyle name="Accent3 60 3 3" xfId="5227"/>
    <cellStyle name="Accent3 60 4" xfId="5228"/>
    <cellStyle name="Accent3 61" xfId="5229"/>
    <cellStyle name="Accent3 61 2" xfId="5230"/>
    <cellStyle name="Accent3 61 2 2" xfId="5231"/>
    <cellStyle name="Accent3 61 3" xfId="5232"/>
    <cellStyle name="Accent3 61 3 2" xfId="5233"/>
    <cellStyle name="Accent3 61 3 2 2" xfId="5234"/>
    <cellStyle name="Accent3 61 3 3" xfId="5235"/>
    <cellStyle name="Accent3 61 4" xfId="5236"/>
    <cellStyle name="Accent3 62" xfId="5237"/>
    <cellStyle name="Accent3 62 2" xfId="5238"/>
    <cellStyle name="Accent3 62 2 2" xfId="5239"/>
    <cellStyle name="Accent3 62 3" xfId="5240"/>
    <cellStyle name="Accent3 62 3 2" xfId="5241"/>
    <cellStyle name="Accent3 62 3 2 2" xfId="5242"/>
    <cellStyle name="Accent3 62 3 3" xfId="5243"/>
    <cellStyle name="Accent3 62 4" xfId="5244"/>
    <cellStyle name="Accent3 63" xfId="5245"/>
    <cellStyle name="Accent3 63 2" xfId="5246"/>
    <cellStyle name="Accent3 63 2 2" xfId="5247"/>
    <cellStyle name="Accent3 63 3" xfId="5248"/>
    <cellStyle name="Accent3 63 3 2" xfId="5249"/>
    <cellStyle name="Accent3 63 3 2 2" xfId="5250"/>
    <cellStyle name="Accent3 63 3 3" xfId="5251"/>
    <cellStyle name="Accent3 63 4" xfId="5252"/>
    <cellStyle name="Accent3 64" xfId="5253"/>
    <cellStyle name="Accent3 64 2" xfId="5254"/>
    <cellStyle name="Accent3 64 2 2" xfId="5255"/>
    <cellStyle name="Accent3 64 3" xfId="5256"/>
    <cellStyle name="Accent3 64 3 2" xfId="5257"/>
    <cellStyle name="Accent3 64 3 2 2" xfId="5258"/>
    <cellStyle name="Accent3 64 3 3" xfId="5259"/>
    <cellStyle name="Accent3 64 4" xfId="5260"/>
    <cellStyle name="Accent3 65" xfId="5261"/>
    <cellStyle name="Accent3 65 2" xfId="5262"/>
    <cellStyle name="Accent3 65 2 2" xfId="5263"/>
    <cellStyle name="Accent3 65 3" xfId="5264"/>
    <cellStyle name="Accent3 65 3 2" xfId="5265"/>
    <cellStyle name="Accent3 65 3 2 2" xfId="5266"/>
    <cellStyle name="Accent3 65 3 3" xfId="5267"/>
    <cellStyle name="Accent3 65 4" xfId="5268"/>
    <cellStyle name="Accent3 66" xfId="5269"/>
    <cellStyle name="Accent3 66 2" xfId="5270"/>
    <cellStyle name="Accent3 66 2 2" xfId="5271"/>
    <cellStyle name="Accent3 66 3" xfId="5272"/>
    <cellStyle name="Accent3 66 3 2" xfId="5273"/>
    <cellStyle name="Accent3 66 3 2 2" xfId="5274"/>
    <cellStyle name="Accent3 66 3 3" xfId="5275"/>
    <cellStyle name="Accent3 66 4" xfId="5276"/>
    <cellStyle name="Accent3 67" xfId="5277"/>
    <cellStyle name="Accent3 67 2" xfId="5278"/>
    <cellStyle name="Accent3 67 2 2" xfId="5279"/>
    <cellStyle name="Accent3 67 3" xfId="5280"/>
    <cellStyle name="Accent3 67 3 2" xfId="5281"/>
    <cellStyle name="Accent3 67 3 2 2" xfId="5282"/>
    <cellStyle name="Accent3 67 3 3" xfId="5283"/>
    <cellStyle name="Accent3 67 4" xfId="5284"/>
    <cellStyle name="Accent3 68" xfId="5285"/>
    <cellStyle name="Accent3 68 2" xfId="5286"/>
    <cellStyle name="Accent3 68 2 2" xfId="5287"/>
    <cellStyle name="Accent3 68 3" xfId="5288"/>
    <cellStyle name="Accent3 68 3 2" xfId="5289"/>
    <cellStyle name="Accent3 68 3 2 2" xfId="5290"/>
    <cellStyle name="Accent3 68 3 3" xfId="5291"/>
    <cellStyle name="Accent3 68 4" xfId="5292"/>
    <cellStyle name="Accent3 69" xfId="5293"/>
    <cellStyle name="Accent3 69 2" xfId="5294"/>
    <cellStyle name="Accent3 69 2 2" xfId="5295"/>
    <cellStyle name="Accent3 69 3" xfId="5296"/>
    <cellStyle name="Accent3 69 3 2" xfId="5297"/>
    <cellStyle name="Accent3 69 3 2 2" xfId="5298"/>
    <cellStyle name="Accent3 69 3 3" xfId="5299"/>
    <cellStyle name="Accent3 69 4" xfId="5300"/>
    <cellStyle name="Accent3 7" xfId="5301"/>
    <cellStyle name="Accent3 7 2" xfId="5302"/>
    <cellStyle name="Accent3 7 2 2" xfId="5303"/>
    <cellStyle name="Accent3 7 2 2 2" xfId="5304"/>
    <cellStyle name="Accent3 7 2 3" xfId="5305"/>
    <cellStyle name="Accent3 7 2 3 2" xfId="5306"/>
    <cellStyle name="Accent3 7 2 3 2 2" xfId="5307"/>
    <cellStyle name="Accent3 7 2 3 3" xfId="5308"/>
    <cellStyle name="Accent3 7 2 4" xfId="5309"/>
    <cellStyle name="Accent3 7 3" xfId="5310"/>
    <cellStyle name="Accent3 7 3 2" xfId="5311"/>
    <cellStyle name="Accent3 7 4" xfId="5312"/>
    <cellStyle name="Accent3 7 4 2" xfId="5313"/>
    <cellStyle name="Accent3 7 4 2 2" xfId="5314"/>
    <cellStyle name="Accent3 7 4 3" xfId="5315"/>
    <cellStyle name="Accent3 7 5" xfId="5316"/>
    <cellStyle name="Accent3 70" xfId="5317"/>
    <cellStyle name="Accent3 70 2" xfId="5318"/>
    <cellStyle name="Accent3 70 2 2" xfId="5319"/>
    <cellStyle name="Accent3 70 3" xfId="5320"/>
    <cellStyle name="Accent3 70 3 2" xfId="5321"/>
    <cellStyle name="Accent3 70 3 2 2" xfId="5322"/>
    <cellStyle name="Accent3 70 3 3" xfId="5323"/>
    <cellStyle name="Accent3 70 4" xfId="5324"/>
    <cellStyle name="Accent3 71" xfId="5325"/>
    <cellStyle name="Accent3 71 2" xfId="5326"/>
    <cellStyle name="Accent3 71 2 2" xfId="5327"/>
    <cellStyle name="Accent3 71 3" xfId="5328"/>
    <cellStyle name="Accent3 71 3 2" xfId="5329"/>
    <cellStyle name="Accent3 71 3 2 2" xfId="5330"/>
    <cellStyle name="Accent3 71 3 3" xfId="5331"/>
    <cellStyle name="Accent3 71 4" xfId="5332"/>
    <cellStyle name="Accent3 72" xfId="5333"/>
    <cellStyle name="Accent3 72 2" xfId="5334"/>
    <cellStyle name="Accent3 72 2 2" xfId="5335"/>
    <cellStyle name="Accent3 72 3" xfId="5336"/>
    <cellStyle name="Accent3 72 3 2" xfId="5337"/>
    <cellStyle name="Accent3 72 3 2 2" xfId="5338"/>
    <cellStyle name="Accent3 72 3 3" xfId="5339"/>
    <cellStyle name="Accent3 72 4" xfId="5340"/>
    <cellStyle name="Accent3 73" xfId="5341"/>
    <cellStyle name="Accent3 73 2" xfId="5342"/>
    <cellStyle name="Accent3 73 2 2" xfId="5343"/>
    <cellStyle name="Accent3 73 3" xfId="5344"/>
    <cellStyle name="Accent3 73 3 2" xfId="5345"/>
    <cellStyle name="Accent3 73 3 2 2" xfId="5346"/>
    <cellStyle name="Accent3 73 3 3" xfId="5347"/>
    <cellStyle name="Accent3 73 4" xfId="5348"/>
    <cellStyle name="Accent3 74" xfId="5349"/>
    <cellStyle name="Accent3 74 2" xfId="5350"/>
    <cellStyle name="Accent3 74 2 2" xfId="5351"/>
    <cellStyle name="Accent3 74 3" xfId="5352"/>
    <cellStyle name="Accent3 74 3 2" xfId="5353"/>
    <cellStyle name="Accent3 74 3 2 2" xfId="5354"/>
    <cellStyle name="Accent3 74 3 3" xfId="5355"/>
    <cellStyle name="Accent3 74 4" xfId="5356"/>
    <cellStyle name="Accent3 75" xfId="5357"/>
    <cellStyle name="Accent3 75 2" xfId="5358"/>
    <cellStyle name="Accent3 75 2 2" xfId="5359"/>
    <cellStyle name="Accent3 75 3" xfId="5360"/>
    <cellStyle name="Accent3 75 3 2" xfId="5361"/>
    <cellStyle name="Accent3 75 3 2 2" xfId="5362"/>
    <cellStyle name="Accent3 75 3 3" xfId="5363"/>
    <cellStyle name="Accent3 75 4" xfId="5364"/>
    <cellStyle name="Accent3 76" xfId="5365"/>
    <cellStyle name="Accent3 76 2" xfId="5366"/>
    <cellStyle name="Accent3 76 2 2" xfId="5367"/>
    <cellStyle name="Accent3 76 3" xfId="5368"/>
    <cellStyle name="Accent3 76 3 2" xfId="5369"/>
    <cellStyle name="Accent3 76 3 2 2" xfId="5370"/>
    <cellStyle name="Accent3 76 3 3" xfId="5371"/>
    <cellStyle name="Accent3 76 4" xfId="5372"/>
    <cellStyle name="Accent3 77" xfId="5373"/>
    <cellStyle name="Accent3 77 2" xfId="5374"/>
    <cellStyle name="Accent3 77 2 2" xfId="5375"/>
    <cellStyle name="Accent3 77 3" xfId="5376"/>
    <cellStyle name="Accent3 77 3 2" xfId="5377"/>
    <cellStyle name="Accent3 77 3 2 2" xfId="5378"/>
    <cellStyle name="Accent3 77 3 3" xfId="5379"/>
    <cellStyle name="Accent3 77 4" xfId="5380"/>
    <cellStyle name="Accent3 78" xfId="5381"/>
    <cellStyle name="Accent3 78 2" xfId="5382"/>
    <cellStyle name="Accent3 78 2 2" xfId="5383"/>
    <cellStyle name="Accent3 78 3" xfId="5384"/>
    <cellStyle name="Accent3 78 3 2" xfId="5385"/>
    <cellStyle name="Accent3 78 3 2 2" xfId="5386"/>
    <cellStyle name="Accent3 78 3 3" xfId="5387"/>
    <cellStyle name="Accent3 78 4" xfId="5388"/>
    <cellStyle name="Accent3 79" xfId="5389"/>
    <cellStyle name="Accent3 79 2" xfId="5390"/>
    <cellStyle name="Accent3 79 2 2" xfId="5391"/>
    <cellStyle name="Accent3 79 3" xfId="5392"/>
    <cellStyle name="Accent3 79 3 2" xfId="5393"/>
    <cellStyle name="Accent3 79 3 2 2" xfId="5394"/>
    <cellStyle name="Accent3 79 3 3" xfId="5395"/>
    <cellStyle name="Accent3 79 4" xfId="5396"/>
    <cellStyle name="Accent3 8" xfId="5397"/>
    <cellStyle name="Accent3 8 2" xfId="5398"/>
    <cellStyle name="Accent3 8 2 2" xfId="5399"/>
    <cellStyle name="Accent3 8 3" xfId="5400"/>
    <cellStyle name="Accent3 80" xfId="5401"/>
    <cellStyle name="Accent3 80 2" xfId="5402"/>
    <cellStyle name="Accent3 80 2 2" xfId="5403"/>
    <cellStyle name="Accent3 80 3" xfId="5404"/>
    <cellStyle name="Accent3 80 3 2" xfId="5405"/>
    <cellStyle name="Accent3 80 3 2 2" xfId="5406"/>
    <cellStyle name="Accent3 80 3 3" xfId="5407"/>
    <cellStyle name="Accent3 80 4" xfId="5408"/>
    <cellStyle name="Accent3 81" xfId="5409"/>
    <cellStyle name="Accent3 81 2" xfId="5410"/>
    <cellStyle name="Accent3 81 2 2" xfId="5411"/>
    <cellStyle name="Accent3 81 3" xfId="5412"/>
    <cellStyle name="Accent3 81 3 2" xfId="5413"/>
    <cellStyle name="Accent3 81 3 2 2" xfId="5414"/>
    <cellStyle name="Accent3 81 3 3" xfId="5415"/>
    <cellStyle name="Accent3 81 4" xfId="5416"/>
    <cellStyle name="Accent3 82" xfId="5417"/>
    <cellStyle name="Accent3 82 2" xfId="5418"/>
    <cellStyle name="Accent3 82 2 2" xfId="5419"/>
    <cellStyle name="Accent3 82 3" xfId="5420"/>
    <cellStyle name="Accent3 82 3 2" xfId="5421"/>
    <cellStyle name="Accent3 82 3 2 2" xfId="5422"/>
    <cellStyle name="Accent3 82 3 3" xfId="5423"/>
    <cellStyle name="Accent3 82 4" xfId="5424"/>
    <cellStyle name="Accent3 83" xfId="5425"/>
    <cellStyle name="Accent3 83 2" xfId="5426"/>
    <cellStyle name="Accent3 83 2 2" xfId="5427"/>
    <cellStyle name="Accent3 83 3" xfId="5428"/>
    <cellStyle name="Accent3 83 3 2" xfId="5429"/>
    <cellStyle name="Accent3 83 3 2 2" xfId="5430"/>
    <cellStyle name="Accent3 83 3 3" xfId="5431"/>
    <cellStyle name="Accent3 83 4" xfId="5432"/>
    <cellStyle name="Accent3 84" xfId="5433"/>
    <cellStyle name="Accent3 84 2" xfId="5434"/>
    <cellStyle name="Accent3 84 2 2" xfId="5435"/>
    <cellStyle name="Accent3 84 3" xfId="5436"/>
    <cellStyle name="Accent3 85" xfId="5437"/>
    <cellStyle name="Accent3 85 2" xfId="5438"/>
    <cellStyle name="Accent3 85 2 2" xfId="5439"/>
    <cellStyle name="Accent3 85 3" xfId="5440"/>
    <cellStyle name="Accent3 86" xfId="5441"/>
    <cellStyle name="Accent3 86 2" xfId="5442"/>
    <cellStyle name="Accent3 86 2 2" xfId="5443"/>
    <cellStyle name="Accent3 86 3" xfId="5444"/>
    <cellStyle name="Accent3 87" xfId="5445"/>
    <cellStyle name="Accent3 87 2" xfId="5446"/>
    <cellStyle name="Accent3 87 2 2" xfId="5447"/>
    <cellStyle name="Accent3 87 3" xfId="5448"/>
    <cellStyle name="Accent3 88" xfId="5449"/>
    <cellStyle name="Accent3 88 2" xfId="5450"/>
    <cellStyle name="Accent3 88 2 2" xfId="5451"/>
    <cellStyle name="Accent3 88 3" xfId="5452"/>
    <cellStyle name="Accent3 89" xfId="5453"/>
    <cellStyle name="Accent3 89 2" xfId="5454"/>
    <cellStyle name="Accent3 89 2 2" xfId="5455"/>
    <cellStyle name="Accent3 89 3" xfId="5456"/>
    <cellStyle name="Accent3 9" xfId="5457"/>
    <cellStyle name="Accent3 9 2" xfId="5458"/>
    <cellStyle name="Accent3 9 2 2" xfId="5459"/>
    <cellStyle name="Accent3 9 3" xfId="5460"/>
    <cellStyle name="Accent3 90" xfId="5461"/>
    <cellStyle name="Accent3 90 2" xfId="5462"/>
    <cellStyle name="Accent3 90 2 2" xfId="5463"/>
    <cellStyle name="Accent3 90 3" xfId="5464"/>
    <cellStyle name="Accent3 91" xfId="5465"/>
    <cellStyle name="Accent3 91 2" xfId="5466"/>
    <cellStyle name="Accent3 91 2 2" xfId="5467"/>
    <cellStyle name="Accent3 91 3" xfId="5468"/>
    <cellStyle name="Accent3 92" xfId="5469"/>
    <cellStyle name="Accent3 92 2" xfId="5470"/>
    <cellStyle name="Accent3 92 2 2" xfId="5471"/>
    <cellStyle name="Accent3 92 3" xfId="5472"/>
    <cellStyle name="Accent3 93" xfId="5473"/>
    <cellStyle name="Accent3 93 2" xfId="5474"/>
    <cellStyle name="Accent3 93 2 2" xfId="5475"/>
    <cellStyle name="Accent3 93 3" xfId="5476"/>
    <cellStyle name="Accent3 94" xfId="5477"/>
    <cellStyle name="Accent3 94 2" xfId="5478"/>
    <cellStyle name="Accent3 94 2 2" xfId="5479"/>
    <cellStyle name="Accent3 94 3" xfId="5480"/>
    <cellStyle name="Accent3 95" xfId="5481"/>
    <cellStyle name="Accent3 95 2" xfId="5482"/>
    <cellStyle name="Accent3 95 2 2" xfId="5483"/>
    <cellStyle name="Accent3 95 3" xfId="5484"/>
    <cellStyle name="Accent3 96" xfId="5485"/>
    <cellStyle name="Accent3 96 2" xfId="5486"/>
    <cellStyle name="Accent3 96 2 2" xfId="5487"/>
    <cellStyle name="Accent3 96 3" xfId="5488"/>
    <cellStyle name="Accent3 97" xfId="5489"/>
    <cellStyle name="Accent3 97 2" xfId="5490"/>
    <cellStyle name="Accent3 97 2 2" xfId="5491"/>
    <cellStyle name="Accent3 97 3" xfId="5492"/>
    <cellStyle name="Accent3 98" xfId="5493"/>
    <cellStyle name="Accent3 98 2" xfId="5494"/>
    <cellStyle name="Accent3 98 2 2" xfId="5495"/>
    <cellStyle name="Accent3 98 3" xfId="5496"/>
    <cellStyle name="Accent3 99" xfId="5497"/>
    <cellStyle name="Accent3 99 2" xfId="5498"/>
    <cellStyle name="Accent3 99 2 2" xfId="5499"/>
    <cellStyle name="Accent3 99 3" xfId="5500"/>
    <cellStyle name="Accent4 - 20%" xfId="10"/>
    <cellStyle name="Accent4 - 20% 10" xfId="5501"/>
    <cellStyle name="Accent4 - 20% 11" xfId="5502"/>
    <cellStyle name="Accent4 - 20% 2" xfId="5503"/>
    <cellStyle name="Accent4 - 20% 2 2" xfId="5504"/>
    <cellStyle name="Accent4 - 20% 2 2 2" xfId="5505"/>
    <cellStyle name="Accent4 - 20% 2 2 2 2" xfId="5506"/>
    <cellStyle name="Accent4 - 20% 2 2 3" xfId="5507"/>
    <cellStyle name="Accent4 - 20% 2 3" xfId="5508"/>
    <cellStyle name="Accent4 - 20% 2 3 2" xfId="5509"/>
    <cellStyle name="Accent4 - 20% 2 3 2 2" xfId="5510"/>
    <cellStyle name="Accent4 - 20% 2 3 2 2 2" xfId="5511"/>
    <cellStyle name="Accent4 - 20% 2 3 2 3" xfId="5512"/>
    <cellStyle name="Accent4 - 20% 2 3 3" xfId="5513"/>
    <cellStyle name="Accent4 - 20% 2 3 3 2" xfId="5514"/>
    <cellStyle name="Accent4 - 20% 2 3 4" xfId="5515"/>
    <cellStyle name="Accent4 - 20% 2 4" xfId="5516"/>
    <cellStyle name="Accent4 - 20% 2 4 2" xfId="5517"/>
    <cellStyle name="Accent4 - 20% 2 4 2 2" xfId="5518"/>
    <cellStyle name="Accent4 - 20% 2 4 2 2 2" xfId="5519"/>
    <cellStyle name="Accent4 - 20% 2 4 2 3" xfId="5520"/>
    <cellStyle name="Accent4 - 20% 2 4 3" xfId="5521"/>
    <cellStyle name="Accent4 - 20% 2 4 3 2" xfId="5522"/>
    <cellStyle name="Accent4 - 20% 2 4 4" xfId="5523"/>
    <cellStyle name="Accent4 - 20% 2 5" xfId="5524"/>
    <cellStyle name="Accent4 - 20% 2 5 2" xfId="5525"/>
    <cellStyle name="Accent4 - 20% 2 6" xfId="5526"/>
    <cellStyle name="Accent4 - 20% 2 6 2" xfId="5527"/>
    <cellStyle name="Accent4 - 20% 2 7" xfId="5528"/>
    <cellStyle name="Accent4 - 20% 3" xfId="5529"/>
    <cellStyle name="Accent4 - 20% 3 2" xfId="5530"/>
    <cellStyle name="Accent4 - 20% 3 2 2" xfId="5531"/>
    <cellStyle name="Accent4 - 20% 3 2 2 2" xfId="5532"/>
    <cellStyle name="Accent4 - 20% 3 2 3" xfId="5533"/>
    <cellStyle name="Accent4 - 20% 3 3" xfId="5534"/>
    <cellStyle name="Accent4 - 20% 3 3 2" xfId="5535"/>
    <cellStyle name="Accent4 - 20% 3 4" xfId="5536"/>
    <cellStyle name="Accent4 - 20% 4" xfId="5537"/>
    <cellStyle name="Accent4 - 20% 4 2" xfId="5538"/>
    <cellStyle name="Accent4 - 20% 4 2 2" xfId="5539"/>
    <cellStyle name="Accent4 - 20% 4 3" xfId="5540"/>
    <cellStyle name="Accent4 - 20% 5" xfId="5541"/>
    <cellStyle name="Accent4 - 20% 5 2" xfId="5542"/>
    <cellStyle name="Accent4 - 20% 5 2 2" xfId="5543"/>
    <cellStyle name="Accent4 - 20% 5 3" xfId="5544"/>
    <cellStyle name="Accent4 - 20% 6" xfId="5545"/>
    <cellStyle name="Accent4 - 20% 6 2" xfId="5546"/>
    <cellStyle name="Accent4 - 20% 7" xfId="5547"/>
    <cellStyle name="Accent4 - 20% 7 2" xfId="5548"/>
    <cellStyle name="Accent4 - 20% 8" xfId="5549"/>
    <cellStyle name="Accent4 - 20% 8 2" xfId="5550"/>
    <cellStyle name="Accent4 - 20% 9" xfId="5551"/>
    <cellStyle name="Accent4 - 20% 9 2" xfId="5552"/>
    <cellStyle name="Accent4 - 40%" xfId="11"/>
    <cellStyle name="Accent4 - 40% 10" xfId="5553"/>
    <cellStyle name="Accent4 - 40% 11" xfId="5554"/>
    <cellStyle name="Accent4 - 40% 2" xfId="5555"/>
    <cellStyle name="Accent4 - 40% 2 2" xfId="5556"/>
    <cellStyle name="Accent4 - 40% 2 2 2" xfId="5557"/>
    <cellStyle name="Accent4 - 40% 2 2 2 2" xfId="5558"/>
    <cellStyle name="Accent4 - 40% 2 2 3" xfId="5559"/>
    <cellStyle name="Accent4 - 40% 2 3" xfId="5560"/>
    <cellStyle name="Accent4 - 40% 2 3 2" xfId="5561"/>
    <cellStyle name="Accent4 - 40% 2 3 2 2" xfId="5562"/>
    <cellStyle name="Accent4 - 40% 2 3 2 2 2" xfId="5563"/>
    <cellStyle name="Accent4 - 40% 2 3 2 3" xfId="5564"/>
    <cellStyle name="Accent4 - 40% 2 3 3" xfId="5565"/>
    <cellStyle name="Accent4 - 40% 2 3 3 2" xfId="5566"/>
    <cellStyle name="Accent4 - 40% 2 3 4" xfId="5567"/>
    <cellStyle name="Accent4 - 40% 2 4" xfId="5568"/>
    <cellStyle name="Accent4 - 40% 2 4 2" xfId="5569"/>
    <cellStyle name="Accent4 - 40% 2 4 2 2" xfId="5570"/>
    <cellStyle name="Accent4 - 40% 2 4 2 2 2" xfId="5571"/>
    <cellStyle name="Accent4 - 40% 2 4 2 3" xfId="5572"/>
    <cellStyle name="Accent4 - 40% 2 4 3" xfId="5573"/>
    <cellStyle name="Accent4 - 40% 2 4 3 2" xfId="5574"/>
    <cellStyle name="Accent4 - 40% 2 4 4" xfId="5575"/>
    <cellStyle name="Accent4 - 40% 2 5" xfId="5576"/>
    <cellStyle name="Accent4 - 40% 2 5 2" xfId="5577"/>
    <cellStyle name="Accent4 - 40% 2 6" xfId="5578"/>
    <cellStyle name="Accent4 - 40% 2 6 2" xfId="5579"/>
    <cellStyle name="Accent4 - 40% 2 7" xfId="5580"/>
    <cellStyle name="Accent4 - 40% 3" xfId="5581"/>
    <cellStyle name="Accent4 - 40% 3 2" xfId="5582"/>
    <cellStyle name="Accent4 - 40% 3 2 2" xfId="5583"/>
    <cellStyle name="Accent4 - 40% 3 2 2 2" xfId="5584"/>
    <cellStyle name="Accent4 - 40% 3 2 3" xfId="5585"/>
    <cellStyle name="Accent4 - 40% 3 3" xfId="5586"/>
    <cellStyle name="Accent4 - 40% 3 3 2" xfId="5587"/>
    <cellStyle name="Accent4 - 40% 3 4" xfId="5588"/>
    <cellStyle name="Accent4 - 40% 4" xfId="5589"/>
    <cellStyle name="Accent4 - 40% 4 2" xfId="5590"/>
    <cellStyle name="Accent4 - 40% 4 2 2" xfId="5591"/>
    <cellStyle name="Accent4 - 40% 4 3" xfId="5592"/>
    <cellStyle name="Accent4 - 40% 5" xfId="5593"/>
    <cellStyle name="Accent4 - 40% 5 2" xfId="5594"/>
    <cellStyle name="Accent4 - 40% 5 2 2" xfId="5595"/>
    <cellStyle name="Accent4 - 40% 5 3" xfId="5596"/>
    <cellStyle name="Accent4 - 40% 6" xfId="5597"/>
    <cellStyle name="Accent4 - 40% 6 2" xfId="5598"/>
    <cellStyle name="Accent4 - 40% 7" xfId="5599"/>
    <cellStyle name="Accent4 - 40% 7 2" xfId="5600"/>
    <cellStyle name="Accent4 - 40% 8" xfId="5601"/>
    <cellStyle name="Accent4 - 40% 8 2" xfId="5602"/>
    <cellStyle name="Accent4 - 40% 9" xfId="5603"/>
    <cellStyle name="Accent4 - 40% 9 2" xfId="5604"/>
    <cellStyle name="Accent4 - 60%" xfId="12"/>
    <cellStyle name="Accent4 - 60% 10" xfId="5605"/>
    <cellStyle name="Accent4 - 60% 2" xfId="5606"/>
    <cellStyle name="Accent4 - 60% 2 2" xfId="5607"/>
    <cellStyle name="Accent4 - 60% 2 2 2" xfId="5608"/>
    <cellStyle name="Accent4 - 60% 2 3" xfId="5609"/>
    <cellStyle name="Accent4 - 60% 2 3 2" xfId="5610"/>
    <cellStyle name="Accent4 - 60% 2 3 2 2" xfId="5611"/>
    <cellStyle name="Accent4 - 60% 2 3 3" xfId="5612"/>
    <cellStyle name="Accent4 - 60% 2 4" xfId="5613"/>
    <cellStyle name="Accent4 - 60% 2 4 2" xfId="5614"/>
    <cellStyle name="Accent4 - 60% 2 4 2 2" xfId="5615"/>
    <cellStyle name="Accent4 - 60% 2 4 3" xfId="5616"/>
    <cellStyle name="Accent4 - 60% 2 5" xfId="5617"/>
    <cellStyle name="Accent4 - 60% 3" xfId="5618"/>
    <cellStyle name="Accent4 - 60% 3 2" xfId="5619"/>
    <cellStyle name="Accent4 - 60% 3 2 2" xfId="5620"/>
    <cellStyle name="Accent4 - 60% 3 3" xfId="5621"/>
    <cellStyle name="Accent4 - 60% 4" xfId="5622"/>
    <cellStyle name="Accent4 - 60% 4 2" xfId="5623"/>
    <cellStyle name="Accent4 - 60% 5" xfId="5624"/>
    <cellStyle name="Accent4 - 60% 5 2" xfId="5625"/>
    <cellStyle name="Accent4 - 60% 6" xfId="5626"/>
    <cellStyle name="Accent4 - 60% 6 2" xfId="5627"/>
    <cellStyle name="Accent4 - 60% 6 2 2" xfId="5628"/>
    <cellStyle name="Accent4 - 60% 6 3" xfId="5629"/>
    <cellStyle name="Accent4 - 60% 7" xfId="5630"/>
    <cellStyle name="Accent4 - 60% 7 2" xfId="5631"/>
    <cellStyle name="Accent4 - 60% 8" xfId="5632"/>
    <cellStyle name="Accent4 - 60% 8 2" xfId="5633"/>
    <cellStyle name="Accent4 - 60% 9" xfId="5634"/>
    <cellStyle name="Accent4 10" xfId="5635"/>
    <cellStyle name="Accent4 10 2" xfId="5636"/>
    <cellStyle name="Accent4 10 2 2" xfId="5637"/>
    <cellStyle name="Accent4 10 3" xfId="5638"/>
    <cellStyle name="Accent4 100" xfId="5639"/>
    <cellStyle name="Accent4 100 2" xfId="5640"/>
    <cellStyle name="Accent4 100 2 2" xfId="5641"/>
    <cellStyle name="Accent4 100 3" xfId="5642"/>
    <cellStyle name="Accent4 101" xfId="5643"/>
    <cellStyle name="Accent4 101 2" xfId="5644"/>
    <cellStyle name="Accent4 101 2 2" xfId="5645"/>
    <cellStyle name="Accent4 101 3" xfId="5646"/>
    <cellStyle name="Accent4 102" xfId="5647"/>
    <cellStyle name="Accent4 102 2" xfId="5648"/>
    <cellStyle name="Accent4 103" xfId="5649"/>
    <cellStyle name="Accent4 103 2" xfId="5650"/>
    <cellStyle name="Accent4 104" xfId="5651"/>
    <cellStyle name="Accent4 104 2" xfId="5652"/>
    <cellStyle name="Accent4 104 2 2" xfId="5653"/>
    <cellStyle name="Accent4 104 3" xfId="5654"/>
    <cellStyle name="Accent4 105" xfId="5655"/>
    <cellStyle name="Accent4 105 2" xfId="5656"/>
    <cellStyle name="Accent4 105 2 2" xfId="5657"/>
    <cellStyle name="Accent4 105 3" xfId="5658"/>
    <cellStyle name="Accent4 106" xfId="5659"/>
    <cellStyle name="Accent4 106 2" xfId="5660"/>
    <cellStyle name="Accent4 106 2 2" xfId="5661"/>
    <cellStyle name="Accent4 106 3" xfId="5662"/>
    <cellStyle name="Accent4 107" xfId="5663"/>
    <cellStyle name="Accent4 107 2" xfId="5664"/>
    <cellStyle name="Accent4 107 2 2" xfId="5665"/>
    <cellStyle name="Accent4 107 3" xfId="5666"/>
    <cellStyle name="Accent4 108" xfId="5667"/>
    <cellStyle name="Accent4 108 2" xfId="5668"/>
    <cellStyle name="Accent4 108 2 2" xfId="5669"/>
    <cellStyle name="Accent4 108 3" xfId="5670"/>
    <cellStyle name="Accent4 109" xfId="5671"/>
    <cellStyle name="Accent4 109 2" xfId="5672"/>
    <cellStyle name="Accent4 109 2 2" xfId="5673"/>
    <cellStyle name="Accent4 109 3" xfId="5674"/>
    <cellStyle name="Accent4 11" xfId="5675"/>
    <cellStyle name="Accent4 11 2" xfId="5676"/>
    <cellStyle name="Accent4 11 2 2" xfId="5677"/>
    <cellStyle name="Accent4 11 3" xfId="5678"/>
    <cellStyle name="Accent4 110" xfId="5679"/>
    <cellStyle name="Accent4 110 2" xfId="5680"/>
    <cellStyle name="Accent4 110 2 2" xfId="5681"/>
    <cellStyle name="Accent4 110 3" xfId="5682"/>
    <cellStyle name="Accent4 111" xfId="5683"/>
    <cellStyle name="Accent4 111 2" xfId="5684"/>
    <cellStyle name="Accent4 111 2 2" xfId="5685"/>
    <cellStyle name="Accent4 111 3" xfId="5686"/>
    <cellStyle name="Accent4 112" xfId="5687"/>
    <cellStyle name="Accent4 112 2" xfId="5688"/>
    <cellStyle name="Accent4 112 2 2" xfId="5689"/>
    <cellStyle name="Accent4 112 3" xfId="5690"/>
    <cellStyle name="Accent4 113" xfId="5691"/>
    <cellStyle name="Accent4 113 2" xfId="5692"/>
    <cellStyle name="Accent4 113 2 2" xfId="5693"/>
    <cellStyle name="Accent4 113 3" xfId="5694"/>
    <cellStyle name="Accent4 114" xfId="5695"/>
    <cellStyle name="Accent4 114 2" xfId="5696"/>
    <cellStyle name="Accent4 115" xfId="5697"/>
    <cellStyle name="Accent4 115 2" xfId="5698"/>
    <cellStyle name="Accent4 116" xfId="5699"/>
    <cellStyle name="Accent4 116 2" xfId="5700"/>
    <cellStyle name="Accent4 117" xfId="5701"/>
    <cellStyle name="Accent4 117 2" xfId="5702"/>
    <cellStyle name="Accent4 118" xfId="5703"/>
    <cellStyle name="Accent4 118 2" xfId="5704"/>
    <cellStyle name="Accent4 119" xfId="5705"/>
    <cellStyle name="Accent4 119 2" xfId="5706"/>
    <cellStyle name="Accent4 12" xfId="5707"/>
    <cellStyle name="Accent4 12 2" xfId="5708"/>
    <cellStyle name="Accent4 12 2 2" xfId="5709"/>
    <cellStyle name="Accent4 12 3" xfId="5710"/>
    <cellStyle name="Accent4 120" xfId="5711"/>
    <cellStyle name="Accent4 120 2" xfId="5712"/>
    <cellStyle name="Accent4 121" xfId="5713"/>
    <cellStyle name="Accent4 121 2" xfId="5714"/>
    <cellStyle name="Accent4 122" xfId="5715"/>
    <cellStyle name="Accent4 122 2" xfId="5716"/>
    <cellStyle name="Accent4 123" xfId="5717"/>
    <cellStyle name="Accent4 123 2" xfId="5718"/>
    <cellStyle name="Accent4 124" xfId="5719"/>
    <cellStyle name="Accent4 124 2" xfId="5720"/>
    <cellStyle name="Accent4 125" xfId="5721"/>
    <cellStyle name="Accent4 125 2" xfId="5722"/>
    <cellStyle name="Accent4 126" xfId="5723"/>
    <cellStyle name="Accent4 127" xfId="5724"/>
    <cellStyle name="Accent4 128" xfId="5725"/>
    <cellStyle name="Accent4 129" xfId="5726"/>
    <cellStyle name="Accent4 13" xfId="5727"/>
    <cellStyle name="Accent4 13 2" xfId="5728"/>
    <cellStyle name="Accent4 13 2 2" xfId="5729"/>
    <cellStyle name="Accent4 13 3" xfId="5730"/>
    <cellStyle name="Accent4 130" xfId="5731"/>
    <cellStyle name="Accent4 131" xfId="5732"/>
    <cellStyle name="Accent4 132" xfId="5733"/>
    <cellStyle name="Accent4 133" xfId="5734"/>
    <cellStyle name="Accent4 134" xfId="5735"/>
    <cellStyle name="Accent4 135" xfId="5736"/>
    <cellStyle name="Accent4 136" xfId="5737"/>
    <cellStyle name="Accent4 137" xfId="5738"/>
    <cellStyle name="Accent4 138" xfId="5739"/>
    <cellStyle name="Accent4 139" xfId="5740"/>
    <cellStyle name="Accent4 14" xfId="5741"/>
    <cellStyle name="Accent4 14 2" xfId="5742"/>
    <cellStyle name="Accent4 14 2 2" xfId="5743"/>
    <cellStyle name="Accent4 14 3" xfId="5744"/>
    <cellStyle name="Accent4 140" xfId="5745"/>
    <cellStyle name="Accent4 141" xfId="5746"/>
    <cellStyle name="Accent4 142" xfId="5747"/>
    <cellStyle name="Accent4 143" xfId="5748"/>
    <cellStyle name="Accent4 144" xfId="5749"/>
    <cellStyle name="Accent4 145" xfId="5750"/>
    <cellStyle name="Accent4 146" xfId="5751"/>
    <cellStyle name="Accent4 147" xfId="5752"/>
    <cellStyle name="Accent4 148" xfId="5753"/>
    <cellStyle name="Accent4 149" xfId="5754"/>
    <cellStyle name="Accent4 15" xfId="5755"/>
    <cellStyle name="Accent4 15 2" xfId="5756"/>
    <cellStyle name="Accent4 15 2 2" xfId="5757"/>
    <cellStyle name="Accent4 15 3" xfId="5758"/>
    <cellStyle name="Accent4 150" xfId="5759"/>
    <cellStyle name="Accent4 151" xfId="5760"/>
    <cellStyle name="Accent4 152" xfId="5761"/>
    <cellStyle name="Accent4 153" xfId="5762"/>
    <cellStyle name="Accent4 154" xfId="5763"/>
    <cellStyle name="Accent4 155" xfId="5764"/>
    <cellStyle name="Accent4 156" xfId="5765"/>
    <cellStyle name="Accent4 157" xfId="5766"/>
    <cellStyle name="Accent4 158" xfId="5767"/>
    <cellStyle name="Accent4 159" xfId="5768"/>
    <cellStyle name="Accent4 16" xfId="5769"/>
    <cellStyle name="Accent4 16 2" xfId="5770"/>
    <cellStyle name="Accent4 16 2 2" xfId="5771"/>
    <cellStyle name="Accent4 16 3" xfId="5772"/>
    <cellStyle name="Accent4 160" xfId="5773"/>
    <cellStyle name="Accent4 161" xfId="5774"/>
    <cellStyle name="Accent4 162" xfId="5775"/>
    <cellStyle name="Accent4 163" xfId="5776"/>
    <cellStyle name="Accent4 164" xfId="5777"/>
    <cellStyle name="Accent4 165" xfId="5778"/>
    <cellStyle name="Accent4 166" xfId="5779"/>
    <cellStyle name="Accent4 167" xfId="5780"/>
    <cellStyle name="Accent4 168" xfId="5781"/>
    <cellStyle name="Accent4 169" xfId="5782"/>
    <cellStyle name="Accent4 17" xfId="5783"/>
    <cellStyle name="Accent4 17 2" xfId="5784"/>
    <cellStyle name="Accent4 17 2 2" xfId="5785"/>
    <cellStyle name="Accent4 17 3" xfId="5786"/>
    <cellStyle name="Accent4 170" xfId="5787"/>
    <cellStyle name="Accent4 171" xfId="5788"/>
    <cellStyle name="Accent4 172" xfId="5789"/>
    <cellStyle name="Accent4 173" xfId="5790"/>
    <cellStyle name="Accent4 174" xfId="5791"/>
    <cellStyle name="Accent4 175" xfId="5792"/>
    <cellStyle name="Accent4 176" xfId="5793"/>
    <cellStyle name="Accent4 177" xfId="5794"/>
    <cellStyle name="Accent4 178" xfId="5795"/>
    <cellStyle name="Accent4 179" xfId="5796"/>
    <cellStyle name="Accent4 18" xfId="5797"/>
    <cellStyle name="Accent4 18 2" xfId="5798"/>
    <cellStyle name="Accent4 18 2 2" xfId="5799"/>
    <cellStyle name="Accent4 18 3" xfId="5800"/>
    <cellStyle name="Accent4 19" xfId="5801"/>
    <cellStyle name="Accent4 19 2" xfId="5802"/>
    <cellStyle name="Accent4 19 2 2" xfId="5803"/>
    <cellStyle name="Accent4 19 3" xfId="5804"/>
    <cellStyle name="Accent4 2" xfId="5805"/>
    <cellStyle name="Accent4 2 10" xfId="5806"/>
    <cellStyle name="Accent4 2 10 2" xfId="5807"/>
    <cellStyle name="Accent4 2 11" xfId="5808"/>
    <cellStyle name="Accent4 2 12" xfId="5809"/>
    <cellStyle name="Accent4 2 2" xfId="5810"/>
    <cellStyle name="Accent4 2 2 2" xfId="5811"/>
    <cellStyle name="Accent4 2 2 2 2" xfId="5812"/>
    <cellStyle name="Accent4 2 2 3" xfId="5813"/>
    <cellStyle name="Accent4 2 2 3 2" xfId="5814"/>
    <cellStyle name="Accent4 2 2 3 2 2" xfId="5815"/>
    <cellStyle name="Accent4 2 2 3 3" xfId="5816"/>
    <cellStyle name="Accent4 2 2 4" xfId="5817"/>
    <cellStyle name="Accent4 2 3" xfId="5818"/>
    <cellStyle name="Accent4 2 3 2" xfId="5819"/>
    <cellStyle name="Accent4 2 3 2 2" xfId="5820"/>
    <cellStyle name="Accent4 2 3 3" xfId="5821"/>
    <cellStyle name="Accent4 2 3 3 2" xfId="5822"/>
    <cellStyle name="Accent4 2 3 3 2 2" xfId="5823"/>
    <cellStyle name="Accent4 2 3 3 3" xfId="5824"/>
    <cellStyle name="Accent4 2 3 4" xfId="5825"/>
    <cellStyle name="Accent4 2 4" xfId="5826"/>
    <cellStyle name="Accent4 2 4 2" xfId="5827"/>
    <cellStyle name="Accent4 2 4 2 2" xfId="5828"/>
    <cellStyle name="Accent4 2 4 3" xfId="5829"/>
    <cellStyle name="Accent4 2 5" xfId="5830"/>
    <cellStyle name="Accent4 2 5 2" xfId="5831"/>
    <cellStyle name="Accent4 2 5 2 2" xfId="5832"/>
    <cellStyle name="Accent4 2 5 3" xfId="5833"/>
    <cellStyle name="Accent4 2 5 3 2" xfId="5834"/>
    <cellStyle name="Accent4 2 5 3 2 2" xfId="5835"/>
    <cellStyle name="Accent4 2 5 3 3" xfId="5836"/>
    <cellStyle name="Accent4 2 5 4" xfId="5837"/>
    <cellStyle name="Accent4 2 6" xfId="5838"/>
    <cellStyle name="Accent4 2 6 2" xfId="5839"/>
    <cellStyle name="Accent4 2 6 2 2" xfId="5840"/>
    <cellStyle name="Accent4 2 6 3" xfId="5841"/>
    <cellStyle name="Accent4 2 6 3 2" xfId="5842"/>
    <cellStyle name="Accent4 2 6 4" xfId="5843"/>
    <cellStyle name="Accent4 2 7" xfId="5844"/>
    <cellStyle name="Accent4 2 7 2" xfId="5845"/>
    <cellStyle name="Accent4 2 8" xfId="5846"/>
    <cellStyle name="Accent4 2 8 2" xfId="5847"/>
    <cellStyle name="Accent4 2 8 2 2" xfId="5848"/>
    <cellStyle name="Accent4 2 8 3" xfId="5849"/>
    <cellStyle name="Accent4 2 9" xfId="5850"/>
    <cellStyle name="Accent4 2 9 2" xfId="5851"/>
    <cellStyle name="Accent4 2 9 2 2" xfId="5852"/>
    <cellStyle name="Accent4 2 9 3" xfId="5853"/>
    <cellStyle name="Accent4 20" xfId="5854"/>
    <cellStyle name="Accent4 20 2" xfId="5855"/>
    <cellStyle name="Accent4 20 2 2" xfId="5856"/>
    <cellStyle name="Accent4 20 3" xfId="5857"/>
    <cellStyle name="Accent4 21" xfId="5858"/>
    <cellStyle name="Accent4 21 2" xfId="5859"/>
    <cellStyle name="Accent4 21 2 2" xfId="5860"/>
    <cellStyle name="Accent4 21 3" xfId="5861"/>
    <cellStyle name="Accent4 22" xfId="5862"/>
    <cellStyle name="Accent4 22 2" xfId="5863"/>
    <cellStyle name="Accent4 22 2 2" xfId="5864"/>
    <cellStyle name="Accent4 22 3" xfId="5865"/>
    <cellStyle name="Accent4 23" xfId="5866"/>
    <cellStyle name="Accent4 23 2" xfId="5867"/>
    <cellStyle name="Accent4 23 2 2" xfId="5868"/>
    <cellStyle name="Accent4 23 3" xfId="5869"/>
    <cellStyle name="Accent4 24" xfId="5870"/>
    <cellStyle name="Accent4 24 2" xfId="5871"/>
    <cellStyle name="Accent4 24 2 2" xfId="5872"/>
    <cellStyle name="Accent4 24 3" xfId="5873"/>
    <cellStyle name="Accent4 25" xfId="5874"/>
    <cellStyle name="Accent4 25 2" xfId="5875"/>
    <cellStyle name="Accent4 25 2 2" xfId="5876"/>
    <cellStyle name="Accent4 25 3" xfId="5877"/>
    <cellStyle name="Accent4 26" xfId="5878"/>
    <cellStyle name="Accent4 26 2" xfId="5879"/>
    <cellStyle name="Accent4 26 2 2" xfId="5880"/>
    <cellStyle name="Accent4 26 3" xfId="5881"/>
    <cellStyle name="Accent4 27" xfId="5882"/>
    <cellStyle name="Accent4 27 2" xfId="5883"/>
    <cellStyle name="Accent4 27 2 2" xfId="5884"/>
    <cellStyle name="Accent4 27 3" xfId="5885"/>
    <cellStyle name="Accent4 28" xfId="5886"/>
    <cellStyle name="Accent4 28 2" xfId="5887"/>
    <cellStyle name="Accent4 28 2 2" xfId="5888"/>
    <cellStyle name="Accent4 28 3" xfId="5889"/>
    <cellStyle name="Accent4 29" xfId="5890"/>
    <cellStyle name="Accent4 29 2" xfId="5891"/>
    <cellStyle name="Accent4 29 2 2" xfId="5892"/>
    <cellStyle name="Accent4 29 3" xfId="5893"/>
    <cellStyle name="Accent4 3" xfId="5894"/>
    <cellStyle name="Accent4 3 10" xfId="5895"/>
    <cellStyle name="Accent4 3 10 2" xfId="5896"/>
    <cellStyle name="Accent4 3 10 2 2" xfId="5897"/>
    <cellStyle name="Accent4 3 10 3" xfId="5898"/>
    <cellStyle name="Accent4 3 11" xfId="5899"/>
    <cellStyle name="Accent4 3 11 2" xfId="5900"/>
    <cellStyle name="Accent4 3 12" xfId="5901"/>
    <cellStyle name="Accent4 3 2" xfId="5902"/>
    <cellStyle name="Accent4 3 2 2" xfId="5903"/>
    <cellStyle name="Accent4 3 2 2 2" xfId="5904"/>
    <cellStyle name="Accent4 3 2 3" xfId="5905"/>
    <cellStyle name="Accent4 3 2 3 2" xfId="5906"/>
    <cellStyle name="Accent4 3 2 3 2 2" xfId="5907"/>
    <cellStyle name="Accent4 3 2 3 3" xfId="5908"/>
    <cellStyle name="Accent4 3 2 4" xfId="5909"/>
    <cellStyle name="Accent4 3 3" xfId="5910"/>
    <cellStyle name="Accent4 3 3 2" xfId="5911"/>
    <cellStyle name="Accent4 3 3 2 2" xfId="5912"/>
    <cellStyle name="Accent4 3 3 3" xfId="5913"/>
    <cellStyle name="Accent4 3 3 3 2" xfId="5914"/>
    <cellStyle name="Accent4 3 3 3 2 2" xfId="5915"/>
    <cellStyle name="Accent4 3 3 3 3" xfId="5916"/>
    <cellStyle name="Accent4 3 3 4" xfId="5917"/>
    <cellStyle name="Accent4 3 4" xfId="5918"/>
    <cellStyle name="Accent4 3 4 2" xfId="5919"/>
    <cellStyle name="Accent4 3 4 2 2" xfId="5920"/>
    <cellStyle name="Accent4 3 4 3" xfId="5921"/>
    <cellStyle name="Accent4 3 5" xfId="5922"/>
    <cellStyle name="Accent4 3 5 2" xfId="5923"/>
    <cellStyle name="Accent4 3 5 2 2" xfId="5924"/>
    <cellStyle name="Accent4 3 5 3" xfId="5925"/>
    <cellStyle name="Accent4 3 5 3 2" xfId="5926"/>
    <cellStyle name="Accent4 3 5 3 2 2" xfId="5927"/>
    <cellStyle name="Accent4 3 5 3 3" xfId="5928"/>
    <cellStyle name="Accent4 3 5 4" xfId="5929"/>
    <cellStyle name="Accent4 3 6" xfId="5930"/>
    <cellStyle name="Accent4 3 6 2" xfId="5931"/>
    <cellStyle name="Accent4 3 7" xfId="5932"/>
    <cellStyle name="Accent4 3 7 2" xfId="5933"/>
    <cellStyle name="Accent4 3 8" xfId="5934"/>
    <cellStyle name="Accent4 3 8 2" xfId="5935"/>
    <cellStyle name="Accent4 3 8 2 2" xfId="5936"/>
    <cellStyle name="Accent4 3 8 3" xfId="5937"/>
    <cellStyle name="Accent4 3 9" xfId="5938"/>
    <cellStyle name="Accent4 3 9 2" xfId="5939"/>
    <cellStyle name="Accent4 3 9 2 2" xfId="5940"/>
    <cellStyle name="Accent4 3 9 3" xfId="5941"/>
    <cellStyle name="Accent4 30" xfId="5942"/>
    <cellStyle name="Accent4 30 2" xfId="5943"/>
    <cellStyle name="Accent4 30 2 2" xfId="5944"/>
    <cellStyle name="Accent4 30 3" xfId="5945"/>
    <cellStyle name="Accent4 31" xfId="5946"/>
    <cellStyle name="Accent4 31 2" xfId="5947"/>
    <cellStyle name="Accent4 31 2 2" xfId="5948"/>
    <cellStyle name="Accent4 31 3" xfId="5949"/>
    <cellStyle name="Accent4 32" xfId="5950"/>
    <cellStyle name="Accent4 32 2" xfId="5951"/>
    <cellStyle name="Accent4 32 2 2" xfId="5952"/>
    <cellStyle name="Accent4 32 3" xfId="5953"/>
    <cellStyle name="Accent4 33" xfId="5954"/>
    <cellStyle name="Accent4 33 2" xfId="5955"/>
    <cellStyle name="Accent4 33 2 2" xfId="5956"/>
    <cellStyle name="Accent4 33 3" xfId="5957"/>
    <cellStyle name="Accent4 34" xfId="5958"/>
    <cellStyle name="Accent4 34 2" xfId="5959"/>
    <cellStyle name="Accent4 34 2 2" xfId="5960"/>
    <cellStyle name="Accent4 34 3" xfId="5961"/>
    <cellStyle name="Accent4 35" xfId="5962"/>
    <cellStyle name="Accent4 35 2" xfId="5963"/>
    <cellStyle name="Accent4 35 2 2" xfId="5964"/>
    <cellStyle name="Accent4 35 3" xfId="5965"/>
    <cellStyle name="Accent4 36" xfId="5966"/>
    <cellStyle name="Accent4 36 2" xfId="5967"/>
    <cellStyle name="Accent4 36 2 2" xfId="5968"/>
    <cellStyle name="Accent4 36 3" xfId="5969"/>
    <cellStyle name="Accent4 37" xfId="5970"/>
    <cellStyle name="Accent4 37 2" xfId="5971"/>
    <cellStyle name="Accent4 37 2 2" xfId="5972"/>
    <cellStyle name="Accent4 37 3" xfId="5973"/>
    <cellStyle name="Accent4 38" xfId="5974"/>
    <cellStyle name="Accent4 38 2" xfId="5975"/>
    <cellStyle name="Accent4 38 2 2" xfId="5976"/>
    <cellStyle name="Accent4 38 3" xfId="5977"/>
    <cellStyle name="Accent4 39" xfId="5978"/>
    <cellStyle name="Accent4 39 2" xfId="5979"/>
    <cellStyle name="Accent4 39 2 2" xfId="5980"/>
    <cellStyle name="Accent4 39 3" xfId="5981"/>
    <cellStyle name="Accent4 4" xfId="5982"/>
    <cellStyle name="Accent4 4 2" xfId="5983"/>
    <cellStyle name="Accent4 4 2 2" xfId="5984"/>
    <cellStyle name="Accent4 4 2 2 2" xfId="5985"/>
    <cellStyle name="Accent4 4 2 3" xfId="5986"/>
    <cellStyle name="Accent4 4 2 3 2" xfId="5987"/>
    <cellStyle name="Accent4 4 2 3 2 2" xfId="5988"/>
    <cellStyle name="Accent4 4 2 3 3" xfId="5989"/>
    <cellStyle name="Accent4 4 2 4" xfId="5990"/>
    <cellStyle name="Accent4 4 3" xfId="5991"/>
    <cellStyle name="Accent4 4 3 2" xfId="5992"/>
    <cellStyle name="Accent4 4 3 2 2" xfId="5993"/>
    <cellStyle name="Accent4 4 3 3" xfId="5994"/>
    <cellStyle name="Accent4 4 3 3 2" xfId="5995"/>
    <cellStyle name="Accent4 4 3 3 2 2" xfId="5996"/>
    <cellStyle name="Accent4 4 3 3 3" xfId="5997"/>
    <cellStyle name="Accent4 4 3 4" xfId="5998"/>
    <cellStyle name="Accent4 4 4" xfId="5999"/>
    <cellStyle name="Accent4 4 4 2" xfId="6000"/>
    <cellStyle name="Accent4 4 4 2 2" xfId="6001"/>
    <cellStyle name="Accent4 4 4 3" xfId="6002"/>
    <cellStyle name="Accent4 4 5" xfId="6003"/>
    <cellStyle name="Accent4 4 5 2" xfId="6004"/>
    <cellStyle name="Accent4 4 6" xfId="6005"/>
    <cellStyle name="Accent4 4 6 2" xfId="6006"/>
    <cellStyle name="Accent4 4 6 2 2" xfId="6007"/>
    <cellStyle name="Accent4 4 6 3" xfId="6008"/>
    <cellStyle name="Accent4 4 7" xfId="6009"/>
    <cellStyle name="Accent4 4 7 2" xfId="6010"/>
    <cellStyle name="Accent4 4 7 2 2" xfId="6011"/>
    <cellStyle name="Accent4 4 7 3" xfId="6012"/>
    <cellStyle name="Accent4 4 8" xfId="6013"/>
    <cellStyle name="Accent4 40" xfId="6014"/>
    <cellStyle name="Accent4 40 2" xfId="6015"/>
    <cellStyle name="Accent4 40 2 2" xfId="6016"/>
    <cellStyle name="Accent4 40 3" xfId="6017"/>
    <cellStyle name="Accent4 41" xfId="6018"/>
    <cellStyle name="Accent4 41 2" xfId="6019"/>
    <cellStyle name="Accent4 41 2 2" xfId="6020"/>
    <cellStyle name="Accent4 41 3" xfId="6021"/>
    <cellStyle name="Accent4 42" xfId="6022"/>
    <cellStyle name="Accent4 42 2" xfId="6023"/>
    <cellStyle name="Accent4 42 2 2" xfId="6024"/>
    <cellStyle name="Accent4 42 3" xfId="6025"/>
    <cellStyle name="Accent4 43" xfId="6026"/>
    <cellStyle name="Accent4 43 2" xfId="6027"/>
    <cellStyle name="Accent4 43 2 2" xfId="6028"/>
    <cellStyle name="Accent4 43 3" xfId="6029"/>
    <cellStyle name="Accent4 44" xfId="6030"/>
    <cellStyle name="Accent4 44 2" xfId="6031"/>
    <cellStyle name="Accent4 44 2 2" xfId="6032"/>
    <cellStyle name="Accent4 44 3" xfId="6033"/>
    <cellStyle name="Accent4 45" xfId="6034"/>
    <cellStyle name="Accent4 45 2" xfId="6035"/>
    <cellStyle name="Accent4 45 2 2" xfId="6036"/>
    <cellStyle name="Accent4 45 3" xfId="6037"/>
    <cellStyle name="Accent4 46" xfId="6038"/>
    <cellStyle name="Accent4 46 2" xfId="6039"/>
    <cellStyle name="Accent4 46 2 2" xfId="6040"/>
    <cellStyle name="Accent4 46 3" xfId="6041"/>
    <cellStyle name="Accent4 47" xfId="6042"/>
    <cellStyle name="Accent4 47 2" xfId="6043"/>
    <cellStyle name="Accent4 47 2 2" xfId="6044"/>
    <cellStyle name="Accent4 47 3" xfId="6045"/>
    <cellStyle name="Accent4 48" xfId="6046"/>
    <cellStyle name="Accent4 48 2" xfId="6047"/>
    <cellStyle name="Accent4 48 2 2" xfId="6048"/>
    <cellStyle name="Accent4 48 3" xfId="6049"/>
    <cellStyle name="Accent4 48 3 2" xfId="6050"/>
    <cellStyle name="Accent4 48 3 2 2" xfId="6051"/>
    <cellStyle name="Accent4 48 3 3" xfId="6052"/>
    <cellStyle name="Accent4 48 4" xfId="6053"/>
    <cellStyle name="Accent4 49" xfId="6054"/>
    <cellStyle name="Accent4 49 2" xfId="6055"/>
    <cellStyle name="Accent4 49 2 2" xfId="6056"/>
    <cellStyle name="Accent4 49 3" xfId="6057"/>
    <cellStyle name="Accent4 49 3 2" xfId="6058"/>
    <cellStyle name="Accent4 49 3 2 2" xfId="6059"/>
    <cellStyle name="Accent4 49 3 3" xfId="6060"/>
    <cellStyle name="Accent4 49 4" xfId="6061"/>
    <cellStyle name="Accent4 5" xfId="6062"/>
    <cellStyle name="Accent4 5 2" xfId="6063"/>
    <cellStyle name="Accent4 5 2 2" xfId="6064"/>
    <cellStyle name="Accent4 5 2 2 2" xfId="6065"/>
    <cellStyle name="Accent4 5 2 3" xfId="6066"/>
    <cellStyle name="Accent4 5 2 3 2" xfId="6067"/>
    <cellStyle name="Accent4 5 2 3 2 2" xfId="6068"/>
    <cellStyle name="Accent4 5 2 3 3" xfId="6069"/>
    <cellStyle name="Accent4 5 2 4" xfId="6070"/>
    <cellStyle name="Accent4 5 3" xfId="6071"/>
    <cellStyle name="Accent4 5 3 2" xfId="6072"/>
    <cellStyle name="Accent4 5 3 2 2" xfId="6073"/>
    <cellStyle name="Accent4 5 3 3" xfId="6074"/>
    <cellStyle name="Accent4 5 3 3 2" xfId="6075"/>
    <cellStyle name="Accent4 5 3 3 2 2" xfId="6076"/>
    <cellStyle name="Accent4 5 3 3 3" xfId="6077"/>
    <cellStyle name="Accent4 5 3 4" xfId="6078"/>
    <cellStyle name="Accent4 5 4" xfId="6079"/>
    <cellStyle name="Accent4 5 4 2" xfId="6080"/>
    <cellStyle name="Accent4 5 5" xfId="6081"/>
    <cellStyle name="Accent4 5 5 2" xfId="6082"/>
    <cellStyle name="Accent4 5 5 2 2" xfId="6083"/>
    <cellStyle name="Accent4 5 5 3" xfId="6084"/>
    <cellStyle name="Accent4 5 6" xfId="6085"/>
    <cellStyle name="Accent4 5 6 2" xfId="6086"/>
    <cellStyle name="Accent4 5 7" xfId="6087"/>
    <cellStyle name="Accent4 50" xfId="6088"/>
    <cellStyle name="Accent4 50 2" xfId="6089"/>
    <cellStyle name="Accent4 50 2 2" xfId="6090"/>
    <cellStyle name="Accent4 50 3" xfId="6091"/>
    <cellStyle name="Accent4 50 3 2" xfId="6092"/>
    <cellStyle name="Accent4 50 3 2 2" xfId="6093"/>
    <cellStyle name="Accent4 50 3 3" xfId="6094"/>
    <cellStyle name="Accent4 50 4" xfId="6095"/>
    <cellStyle name="Accent4 51" xfId="6096"/>
    <cellStyle name="Accent4 51 2" xfId="6097"/>
    <cellStyle name="Accent4 51 2 2" xfId="6098"/>
    <cellStyle name="Accent4 51 3" xfId="6099"/>
    <cellStyle name="Accent4 51 3 2" xfId="6100"/>
    <cellStyle name="Accent4 51 3 2 2" xfId="6101"/>
    <cellStyle name="Accent4 51 3 3" xfId="6102"/>
    <cellStyle name="Accent4 51 4" xfId="6103"/>
    <cellStyle name="Accent4 52" xfId="6104"/>
    <cellStyle name="Accent4 52 2" xfId="6105"/>
    <cellStyle name="Accent4 52 2 2" xfId="6106"/>
    <cellStyle name="Accent4 52 3" xfId="6107"/>
    <cellStyle name="Accent4 53" xfId="6108"/>
    <cellStyle name="Accent4 53 2" xfId="6109"/>
    <cellStyle name="Accent4 53 2 2" xfId="6110"/>
    <cellStyle name="Accent4 53 3" xfId="6111"/>
    <cellStyle name="Accent4 54" xfId="6112"/>
    <cellStyle name="Accent4 54 2" xfId="6113"/>
    <cellStyle name="Accent4 54 2 2" xfId="6114"/>
    <cellStyle name="Accent4 54 3" xfId="6115"/>
    <cellStyle name="Accent4 55" xfId="6116"/>
    <cellStyle name="Accent4 55 2" xfId="6117"/>
    <cellStyle name="Accent4 55 2 2" xfId="6118"/>
    <cellStyle name="Accent4 55 3" xfId="6119"/>
    <cellStyle name="Accent4 56" xfId="6120"/>
    <cellStyle name="Accent4 56 2" xfId="6121"/>
    <cellStyle name="Accent4 56 2 2" xfId="6122"/>
    <cellStyle name="Accent4 56 3" xfId="6123"/>
    <cellStyle name="Accent4 57" xfId="6124"/>
    <cellStyle name="Accent4 57 2" xfId="6125"/>
    <cellStyle name="Accent4 57 2 2" xfId="6126"/>
    <cellStyle name="Accent4 57 3" xfId="6127"/>
    <cellStyle name="Accent4 58" xfId="6128"/>
    <cellStyle name="Accent4 58 2" xfId="6129"/>
    <cellStyle name="Accent4 58 2 2" xfId="6130"/>
    <cellStyle name="Accent4 58 3" xfId="6131"/>
    <cellStyle name="Accent4 58 3 2" xfId="6132"/>
    <cellStyle name="Accent4 58 3 2 2" xfId="6133"/>
    <cellStyle name="Accent4 58 3 3" xfId="6134"/>
    <cellStyle name="Accent4 58 4" xfId="6135"/>
    <cellStyle name="Accent4 59" xfId="6136"/>
    <cellStyle name="Accent4 59 2" xfId="6137"/>
    <cellStyle name="Accent4 59 2 2" xfId="6138"/>
    <cellStyle name="Accent4 59 3" xfId="6139"/>
    <cellStyle name="Accent4 59 3 2" xfId="6140"/>
    <cellStyle name="Accent4 59 3 2 2" xfId="6141"/>
    <cellStyle name="Accent4 59 3 3" xfId="6142"/>
    <cellStyle name="Accent4 59 4" xfId="6143"/>
    <cellStyle name="Accent4 6" xfId="6144"/>
    <cellStyle name="Accent4 6 2" xfId="6145"/>
    <cellStyle name="Accent4 6 2 2" xfId="6146"/>
    <cellStyle name="Accent4 6 2 2 2" xfId="6147"/>
    <cellStyle name="Accent4 6 2 3" xfId="6148"/>
    <cellStyle name="Accent4 6 2 3 2" xfId="6149"/>
    <cellStyle name="Accent4 6 2 3 2 2" xfId="6150"/>
    <cellStyle name="Accent4 6 2 3 3" xfId="6151"/>
    <cellStyle name="Accent4 6 2 4" xfId="6152"/>
    <cellStyle name="Accent4 6 3" xfId="6153"/>
    <cellStyle name="Accent4 6 3 2" xfId="6154"/>
    <cellStyle name="Accent4 6 4" xfId="6155"/>
    <cellStyle name="Accent4 6 4 2" xfId="6156"/>
    <cellStyle name="Accent4 6 4 2 2" xfId="6157"/>
    <cellStyle name="Accent4 6 4 3" xfId="6158"/>
    <cellStyle name="Accent4 6 5" xfId="6159"/>
    <cellStyle name="Accent4 60" xfId="6160"/>
    <cellStyle name="Accent4 60 2" xfId="6161"/>
    <cellStyle name="Accent4 60 2 2" xfId="6162"/>
    <cellStyle name="Accent4 60 3" xfId="6163"/>
    <cellStyle name="Accent4 60 3 2" xfId="6164"/>
    <cellStyle name="Accent4 60 3 2 2" xfId="6165"/>
    <cellStyle name="Accent4 60 3 3" xfId="6166"/>
    <cellStyle name="Accent4 60 4" xfId="6167"/>
    <cellStyle name="Accent4 61" xfId="6168"/>
    <cellStyle name="Accent4 61 2" xfId="6169"/>
    <cellStyle name="Accent4 61 2 2" xfId="6170"/>
    <cellStyle name="Accent4 61 3" xfId="6171"/>
    <cellStyle name="Accent4 61 3 2" xfId="6172"/>
    <cellStyle name="Accent4 61 3 2 2" xfId="6173"/>
    <cellStyle name="Accent4 61 3 3" xfId="6174"/>
    <cellStyle name="Accent4 61 4" xfId="6175"/>
    <cellStyle name="Accent4 62" xfId="6176"/>
    <cellStyle name="Accent4 62 2" xfId="6177"/>
    <cellStyle name="Accent4 62 2 2" xfId="6178"/>
    <cellStyle name="Accent4 62 3" xfId="6179"/>
    <cellStyle name="Accent4 62 3 2" xfId="6180"/>
    <cellStyle name="Accent4 62 3 2 2" xfId="6181"/>
    <cellStyle name="Accent4 62 3 3" xfId="6182"/>
    <cellStyle name="Accent4 62 4" xfId="6183"/>
    <cellStyle name="Accent4 63" xfId="6184"/>
    <cellStyle name="Accent4 63 2" xfId="6185"/>
    <cellStyle name="Accent4 63 2 2" xfId="6186"/>
    <cellStyle name="Accent4 63 3" xfId="6187"/>
    <cellStyle name="Accent4 63 3 2" xfId="6188"/>
    <cellStyle name="Accent4 63 3 2 2" xfId="6189"/>
    <cellStyle name="Accent4 63 3 3" xfId="6190"/>
    <cellStyle name="Accent4 63 4" xfId="6191"/>
    <cellStyle name="Accent4 64" xfId="6192"/>
    <cellStyle name="Accent4 64 2" xfId="6193"/>
    <cellStyle name="Accent4 64 2 2" xfId="6194"/>
    <cellStyle name="Accent4 64 3" xfId="6195"/>
    <cellStyle name="Accent4 64 3 2" xfId="6196"/>
    <cellStyle name="Accent4 64 3 2 2" xfId="6197"/>
    <cellStyle name="Accent4 64 3 3" xfId="6198"/>
    <cellStyle name="Accent4 64 4" xfId="6199"/>
    <cellStyle name="Accent4 65" xfId="6200"/>
    <cellStyle name="Accent4 65 2" xfId="6201"/>
    <cellStyle name="Accent4 65 2 2" xfId="6202"/>
    <cellStyle name="Accent4 65 3" xfId="6203"/>
    <cellStyle name="Accent4 65 3 2" xfId="6204"/>
    <cellStyle name="Accent4 65 3 2 2" xfId="6205"/>
    <cellStyle name="Accent4 65 3 3" xfId="6206"/>
    <cellStyle name="Accent4 65 4" xfId="6207"/>
    <cellStyle name="Accent4 66" xfId="6208"/>
    <cellStyle name="Accent4 66 2" xfId="6209"/>
    <cellStyle name="Accent4 66 2 2" xfId="6210"/>
    <cellStyle name="Accent4 66 3" xfId="6211"/>
    <cellStyle name="Accent4 66 3 2" xfId="6212"/>
    <cellStyle name="Accent4 66 3 2 2" xfId="6213"/>
    <cellStyle name="Accent4 66 3 3" xfId="6214"/>
    <cellStyle name="Accent4 66 4" xfId="6215"/>
    <cellStyle name="Accent4 67" xfId="6216"/>
    <cellStyle name="Accent4 67 2" xfId="6217"/>
    <cellStyle name="Accent4 67 2 2" xfId="6218"/>
    <cellStyle name="Accent4 67 3" xfId="6219"/>
    <cellStyle name="Accent4 67 3 2" xfId="6220"/>
    <cellStyle name="Accent4 67 3 2 2" xfId="6221"/>
    <cellStyle name="Accent4 67 3 3" xfId="6222"/>
    <cellStyle name="Accent4 67 4" xfId="6223"/>
    <cellStyle name="Accent4 68" xfId="6224"/>
    <cellStyle name="Accent4 68 2" xfId="6225"/>
    <cellStyle name="Accent4 68 2 2" xfId="6226"/>
    <cellStyle name="Accent4 68 3" xfId="6227"/>
    <cellStyle name="Accent4 68 3 2" xfId="6228"/>
    <cellStyle name="Accent4 68 3 2 2" xfId="6229"/>
    <cellStyle name="Accent4 68 3 3" xfId="6230"/>
    <cellStyle name="Accent4 68 4" xfId="6231"/>
    <cellStyle name="Accent4 69" xfId="6232"/>
    <cellStyle name="Accent4 69 2" xfId="6233"/>
    <cellStyle name="Accent4 69 2 2" xfId="6234"/>
    <cellStyle name="Accent4 69 3" xfId="6235"/>
    <cellStyle name="Accent4 69 3 2" xfId="6236"/>
    <cellStyle name="Accent4 69 3 2 2" xfId="6237"/>
    <cellStyle name="Accent4 69 3 3" xfId="6238"/>
    <cellStyle name="Accent4 69 4" xfId="6239"/>
    <cellStyle name="Accent4 7" xfId="6240"/>
    <cellStyle name="Accent4 7 2" xfId="6241"/>
    <cellStyle name="Accent4 7 2 2" xfId="6242"/>
    <cellStyle name="Accent4 7 2 2 2" xfId="6243"/>
    <cellStyle name="Accent4 7 2 3" xfId="6244"/>
    <cellStyle name="Accent4 7 2 3 2" xfId="6245"/>
    <cellStyle name="Accent4 7 2 3 2 2" xfId="6246"/>
    <cellStyle name="Accent4 7 2 3 3" xfId="6247"/>
    <cellStyle name="Accent4 7 2 4" xfId="6248"/>
    <cellStyle name="Accent4 7 3" xfId="6249"/>
    <cellStyle name="Accent4 7 3 2" xfId="6250"/>
    <cellStyle name="Accent4 7 4" xfId="6251"/>
    <cellStyle name="Accent4 7 4 2" xfId="6252"/>
    <cellStyle name="Accent4 7 4 2 2" xfId="6253"/>
    <cellStyle name="Accent4 7 4 3" xfId="6254"/>
    <cellStyle name="Accent4 7 5" xfId="6255"/>
    <cellStyle name="Accent4 70" xfId="6256"/>
    <cellStyle name="Accent4 70 2" xfId="6257"/>
    <cellStyle name="Accent4 70 2 2" xfId="6258"/>
    <cellStyle name="Accent4 70 3" xfId="6259"/>
    <cellStyle name="Accent4 70 3 2" xfId="6260"/>
    <cellStyle name="Accent4 70 3 2 2" xfId="6261"/>
    <cellStyle name="Accent4 70 3 3" xfId="6262"/>
    <cellStyle name="Accent4 70 4" xfId="6263"/>
    <cellStyle name="Accent4 71" xfId="6264"/>
    <cellStyle name="Accent4 71 2" xfId="6265"/>
    <cellStyle name="Accent4 71 2 2" xfId="6266"/>
    <cellStyle name="Accent4 71 3" xfId="6267"/>
    <cellStyle name="Accent4 71 3 2" xfId="6268"/>
    <cellStyle name="Accent4 71 3 2 2" xfId="6269"/>
    <cellStyle name="Accent4 71 3 3" xfId="6270"/>
    <cellStyle name="Accent4 71 4" xfId="6271"/>
    <cellStyle name="Accent4 72" xfId="6272"/>
    <cellStyle name="Accent4 72 2" xfId="6273"/>
    <cellStyle name="Accent4 72 2 2" xfId="6274"/>
    <cellStyle name="Accent4 72 3" xfId="6275"/>
    <cellStyle name="Accent4 72 3 2" xfId="6276"/>
    <cellStyle name="Accent4 72 3 2 2" xfId="6277"/>
    <cellStyle name="Accent4 72 3 3" xfId="6278"/>
    <cellStyle name="Accent4 72 4" xfId="6279"/>
    <cellStyle name="Accent4 73" xfId="6280"/>
    <cellStyle name="Accent4 73 2" xfId="6281"/>
    <cellStyle name="Accent4 73 2 2" xfId="6282"/>
    <cellStyle name="Accent4 73 3" xfId="6283"/>
    <cellStyle name="Accent4 73 3 2" xfId="6284"/>
    <cellStyle name="Accent4 73 3 2 2" xfId="6285"/>
    <cellStyle name="Accent4 73 3 3" xfId="6286"/>
    <cellStyle name="Accent4 73 4" xfId="6287"/>
    <cellStyle name="Accent4 74" xfId="6288"/>
    <cellStyle name="Accent4 74 2" xfId="6289"/>
    <cellStyle name="Accent4 74 2 2" xfId="6290"/>
    <cellStyle name="Accent4 74 3" xfId="6291"/>
    <cellStyle name="Accent4 74 3 2" xfId="6292"/>
    <cellStyle name="Accent4 74 3 2 2" xfId="6293"/>
    <cellStyle name="Accent4 74 3 3" xfId="6294"/>
    <cellStyle name="Accent4 74 4" xfId="6295"/>
    <cellStyle name="Accent4 75" xfId="6296"/>
    <cellStyle name="Accent4 75 2" xfId="6297"/>
    <cellStyle name="Accent4 75 2 2" xfId="6298"/>
    <cellStyle name="Accent4 75 3" xfId="6299"/>
    <cellStyle name="Accent4 75 3 2" xfId="6300"/>
    <cellStyle name="Accent4 75 3 2 2" xfId="6301"/>
    <cellStyle name="Accent4 75 3 3" xfId="6302"/>
    <cellStyle name="Accent4 75 4" xfId="6303"/>
    <cellStyle name="Accent4 76" xfId="6304"/>
    <cellStyle name="Accent4 76 2" xfId="6305"/>
    <cellStyle name="Accent4 76 2 2" xfId="6306"/>
    <cellStyle name="Accent4 76 3" xfId="6307"/>
    <cellStyle name="Accent4 76 3 2" xfId="6308"/>
    <cellStyle name="Accent4 76 3 2 2" xfId="6309"/>
    <cellStyle name="Accent4 76 3 3" xfId="6310"/>
    <cellStyle name="Accent4 76 4" xfId="6311"/>
    <cellStyle name="Accent4 77" xfId="6312"/>
    <cellStyle name="Accent4 77 2" xfId="6313"/>
    <cellStyle name="Accent4 77 2 2" xfId="6314"/>
    <cellStyle name="Accent4 77 3" xfId="6315"/>
    <cellStyle name="Accent4 77 3 2" xfId="6316"/>
    <cellStyle name="Accent4 77 3 2 2" xfId="6317"/>
    <cellStyle name="Accent4 77 3 3" xfId="6318"/>
    <cellStyle name="Accent4 77 4" xfId="6319"/>
    <cellStyle name="Accent4 78" xfId="6320"/>
    <cellStyle name="Accent4 78 2" xfId="6321"/>
    <cellStyle name="Accent4 78 2 2" xfId="6322"/>
    <cellStyle name="Accent4 78 3" xfId="6323"/>
    <cellStyle name="Accent4 78 3 2" xfId="6324"/>
    <cellStyle name="Accent4 78 3 2 2" xfId="6325"/>
    <cellStyle name="Accent4 78 3 3" xfId="6326"/>
    <cellStyle name="Accent4 78 4" xfId="6327"/>
    <cellStyle name="Accent4 79" xfId="6328"/>
    <cellStyle name="Accent4 79 2" xfId="6329"/>
    <cellStyle name="Accent4 79 2 2" xfId="6330"/>
    <cellStyle name="Accent4 79 3" xfId="6331"/>
    <cellStyle name="Accent4 79 3 2" xfId="6332"/>
    <cellStyle name="Accent4 79 3 2 2" xfId="6333"/>
    <cellStyle name="Accent4 79 3 3" xfId="6334"/>
    <cellStyle name="Accent4 79 4" xfId="6335"/>
    <cellStyle name="Accent4 8" xfId="6336"/>
    <cellStyle name="Accent4 8 2" xfId="6337"/>
    <cellStyle name="Accent4 8 2 2" xfId="6338"/>
    <cellStyle name="Accent4 8 3" xfId="6339"/>
    <cellStyle name="Accent4 80" xfId="6340"/>
    <cellStyle name="Accent4 80 2" xfId="6341"/>
    <cellStyle name="Accent4 80 2 2" xfId="6342"/>
    <cellStyle name="Accent4 80 3" xfId="6343"/>
    <cellStyle name="Accent4 80 3 2" xfId="6344"/>
    <cellStyle name="Accent4 80 3 2 2" xfId="6345"/>
    <cellStyle name="Accent4 80 3 3" xfId="6346"/>
    <cellStyle name="Accent4 80 4" xfId="6347"/>
    <cellStyle name="Accent4 81" xfId="6348"/>
    <cellStyle name="Accent4 81 2" xfId="6349"/>
    <cellStyle name="Accent4 81 2 2" xfId="6350"/>
    <cellStyle name="Accent4 81 3" xfId="6351"/>
    <cellStyle name="Accent4 81 3 2" xfId="6352"/>
    <cellStyle name="Accent4 81 3 2 2" xfId="6353"/>
    <cellStyle name="Accent4 81 3 3" xfId="6354"/>
    <cellStyle name="Accent4 81 4" xfId="6355"/>
    <cellStyle name="Accent4 82" xfId="6356"/>
    <cellStyle name="Accent4 82 2" xfId="6357"/>
    <cellStyle name="Accent4 82 2 2" xfId="6358"/>
    <cellStyle name="Accent4 82 3" xfId="6359"/>
    <cellStyle name="Accent4 82 3 2" xfId="6360"/>
    <cellStyle name="Accent4 82 3 2 2" xfId="6361"/>
    <cellStyle name="Accent4 82 3 3" xfId="6362"/>
    <cellStyle name="Accent4 82 4" xfId="6363"/>
    <cellStyle name="Accent4 83" xfId="6364"/>
    <cellStyle name="Accent4 83 2" xfId="6365"/>
    <cellStyle name="Accent4 83 2 2" xfId="6366"/>
    <cellStyle name="Accent4 83 3" xfId="6367"/>
    <cellStyle name="Accent4 83 3 2" xfId="6368"/>
    <cellStyle name="Accent4 83 3 2 2" xfId="6369"/>
    <cellStyle name="Accent4 83 3 3" xfId="6370"/>
    <cellStyle name="Accent4 83 4" xfId="6371"/>
    <cellStyle name="Accent4 84" xfId="6372"/>
    <cellStyle name="Accent4 84 2" xfId="6373"/>
    <cellStyle name="Accent4 84 2 2" xfId="6374"/>
    <cellStyle name="Accent4 84 3" xfId="6375"/>
    <cellStyle name="Accent4 85" xfId="6376"/>
    <cellStyle name="Accent4 85 2" xfId="6377"/>
    <cellStyle name="Accent4 85 2 2" xfId="6378"/>
    <cellStyle name="Accent4 85 3" xfId="6379"/>
    <cellStyle name="Accent4 86" xfId="6380"/>
    <cellStyle name="Accent4 86 2" xfId="6381"/>
    <cellStyle name="Accent4 86 2 2" xfId="6382"/>
    <cellStyle name="Accent4 86 3" xfId="6383"/>
    <cellStyle name="Accent4 87" xfId="6384"/>
    <cellStyle name="Accent4 87 2" xfId="6385"/>
    <cellStyle name="Accent4 87 2 2" xfId="6386"/>
    <cellStyle name="Accent4 87 3" xfId="6387"/>
    <cellStyle name="Accent4 88" xfId="6388"/>
    <cellStyle name="Accent4 88 2" xfId="6389"/>
    <cellStyle name="Accent4 88 2 2" xfId="6390"/>
    <cellStyle name="Accent4 88 3" xfId="6391"/>
    <cellStyle name="Accent4 89" xfId="6392"/>
    <cellStyle name="Accent4 89 2" xfId="6393"/>
    <cellStyle name="Accent4 89 2 2" xfId="6394"/>
    <cellStyle name="Accent4 89 3" xfId="6395"/>
    <cellStyle name="Accent4 9" xfId="6396"/>
    <cellStyle name="Accent4 9 2" xfId="6397"/>
    <cellStyle name="Accent4 9 2 2" xfId="6398"/>
    <cellStyle name="Accent4 9 3" xfId="6399"/>
    <cellStyle name="Accent4 90" xfId="6400"/>
    <cellStyle name="Accent4 90 2" xfId="6401"/>
    <cellStyle name="Accent4 90 2 2" xfId="6402"/>
    <cellStyle name="Accent4 90 3" xfId="6403"/>
    <cellStyle name="Accent4 91" xfId="6404"/>
    <cellStyle name="Accent4 91 2" xfId="6405"/>
    <cellStyle name="Accent4 91 2 2" xfId="6406"/>
    <cellStyle name="Accent4 91 3" xfId="6407"/>
    <cellStyle name="Accent4 92" xfId="6408"/>
    <cellStyle name="Accent4 92 2" xfId="6409"/>
    <cellStyle name="Accent4 92 2 2" xfId="6410"/>
    <cellStyle name="Accent4 92 3" xfId="6411"/>
    <cellStyle name="Accent4 93" xfId="6412"/>
    <cellStyle name="Accent4 93 2" xfId="6413"/>
    <cellStyle name="Accent4 93 2 2" xfId="6414"/>
    <cellStyle name="Accent4 93 3" xfId="6415"/>
    <cellStyle name="Accent4 94" xfId="6416"/>
    <cellStyle name="Accent4 94 2" xfId="6417"/>
    <cellStyle name="Accent4 94 2 2" xfId="6418"/>
    <cellStyle name="Accent4 94 3" xfId="6419"/>
    <cellStyle name="Accent4 95" xfId="6420"/>
    <cellStyle name="Accent4 95 2" xfId="6421"/>
    <cellStyle name="Accent4 95 2 2" xfId="6422"/>
    <cellStyle name="Accent4 95 3" xfId="6423"/>
    <cellStyle name="Accent4 96" xfId="6424"/>
    <cellStyle name="Accent4 96 2" xfId="6425"/>
    <cellStyle name="Accent4 96 2 2" xfId="6426"/>
    <cellStyle name="Accent4 96 3" xfId="6427"/>
    <cellStyle name="Accent4 97" xfId="6428"/>
    <cellStyle name="Accent4 97 2" xfId="6429"/>
    <cellStyle name="Accent4 97 2 2" xfId="6430"/>
    <cellStyle name="Accent4 97 3" xfId="6431"/>
    <cellStyle name="Accent4 98" xfId="6432"/>
    <cellStyle name="Accent4 98 2" xfId="6433"/>
    <cellStyle name="Accent4 98 2 2" xfId="6434"/>
    <cellStyle name="Accent4 98 3" xfId="6435"/>
    <cellStyle name="Accent4 99" xfId="6436"/>
    <cellStyle name="Accent4 99 2" xfId="6437"/>
    <cellStyle name="Accent4 99 2 2" xfId="6438"/>
    <cellStyle name="Accent4 99 3" xfId="6439"/>
    <cellStyle name="Accent5 - 20%" xfId="13"/>
    <cellStyle name="Accent5 - 20% 10" xfId="6440"/>
    <cellStyle name="Accent5 - 20% 11" xfId="6441"/>
    <cellStyle name="Accent5 - 20% 2" xfId="6442"/>
    <cellStyle name="Accent5 - 20% 2 2" xfId="6443"/>
    <cellStyle name="Accent5 - 20% 2 2 2" xfId="6444"/>
    <cellStyle name="Accent5 - 20% 2 2 2 2" xfId="6445"/>
    <cellStyle name="Accent5 - 20% 2 2 3" xfId="6446"/>
    <cellStyle name="Accent5 - 20% 2 3" xfId="6447"/>
    <cellStyle name="Accent5 - 20% 2 3 2" xfId="6448"/>
    <cellStyle name="Accent5 - 20% 2 3 2 2" xfId="6449"/>
    <cellStyle name="Accent5 - 20% 2 3 2 2 2" xfId="6450"/>
    <cellStyle name="Accent5 - 20% 2 3 2 3" xfId="6451"/>
    <cellStyle name="Accent5 - 20% 2 3 3" xfId="6452"/>
    <cellStyle name="Accent5 - 20% 2 3 3 2" xfId="6453"/>
    <cellStyle name="Accent5 - 20% 2 3 4" xfId="6454"/>
    <cellStyle name="Accent5 - 20% 2 4" xfId="6455"/>
    <cellStyle name="Accent5 - 20% 2 4 2" xfId="6456"/>
    <cellStyle name="Accent5 - 20% 2 4 2 2" xfId="6457"/>
    <cellStyle name="Accent5 - 20% 2 4 2 2 2" xfId="6458"/>
    <cellStyle name="Accent5 - 20% 2 4 2 3" xfId="6459"/>
    <cellStyle name="Accent5 - 20% 2 4 3" xfId="6460"/>
    <cellStyle name="Accent5 - 20% 2 4 3 2" xfId="6461"/>
    <cellStyle name="Accent5 - 20% 2 4 4" xfId="6462"/>
    <cellStyle name="Accent5 - 20% 2 5" xfId="6463"/>
    <cellStyle name="Accent5 - 20% 2 5 2" xfId="6464"/>
    <cellStyle name="Accent5 - 20% 2 6" xfId="6465"/>
    <cellStyle name="Accent5 - 20% 2 6 2" xfId="6466"/>
    <cellStyle name="Accent5 - 20% 2 7" xfId="6467"/>
    <cellStyle name="Accent5 - 20% 3" xfId="6468"/>
    <cellStyle name="Accent5 - 20% 3 2" xfId="6469"/>
    <cellStyle name="Accent5 - 20% 3 2 2" xfId="6470"/>
    <cellStyle name="Accent5 - 20% 3 2 2 2" xfId="6471"/>
    <cellStyle name="Accent5 - 20% 3 2 3" xfId="6472"/>
    <cellStyle name="Accent5 - 20% 3 3" xfId="6473"/>
    <cellStyle name="Accent5 - 20% 3 3 2" xfId="6474"/>
    <cellStyle name="Accent5 - 20% 3 4" xfId="6475"/>
    <cellStyle name="Accent5 - 20% 4" xfId="6476"/>
    <cellStyle name="Accent5 - 20% 4 2" xfId="6477"/>
    <cellStyle name="Accent5 - 20% 4 2 2" xfId="6478"/>
    <cellStyle name="Accent5 - 20% 4 3" xfId="6479"/>
    <cellStyle name="Accent5 - 20% 5" xfId="6480"/>
    <cellStyle name="Accent5 - 20% 5 2" xfId="6481"/>
    <cellStyle name="Accent5 - 20% 5 2 2" xfId="6482"/>
    <cellStyle name="Accent5 - 20% 5 3" xfId="6483"/>
    <cellStyle name="Accent5 - 20% 6" xfId="6484"/>
    <cellStyle name="Accent5 - 20% 6 2" xfId="6485"/>
    <cellStyle name="Accent5 - 20% 7" xfId="6486"/>
    <cellStyle name="Accent5 - 20% 7 2" xfId="6487"/>
    <cellStyle name="Accent5 - 20% 8" xfId="6488"/>
    <cellStyle name="Accent5 - 20% 8 2" xfId="6489"/>
    <cellStyle name="Accent5 - 20% 9" xfId="6490"/>
    <cellStyle name="Accent5 - 20% 9 2" xfId="6491"/>
    <cellStyle name="Accent5 - 40%" xfId="14"/>
    <cellStyle name="Accent5 - 40% 2" xfId="6492"/>
    <cellStyle name="Accent5 - 40% 2 2" xfId="6493"/>
    <cellStyle name="Accent5 - 40% 2 2 2" xfId="6494"/>
    <cellStyle name="Accent5 - 40% 2 2 2 2" xfId="6495"/>
    <cellStyle name="Accent5 - 40% 2 2 3" xfId="6496"/>
    <cellStyle name="Accent5 - 40% 2 3" xfId="6497"/>
    <cellStyle name="Accent5 - 40% 2 3 2" xfId="6498"/>
    <cellStyle name="Accent5 - 40% 2 3 2 2" xfId="6499"/>
    <cellStyle name="Accent5 - 40% 2 3 2 2 2" xfId="6500"/>
    <cellStyle name="Accent5 - 40% 2 3 2 3" xfId="6501"/>
    <cellStyle name="Accent5 - 40% 2 3 3" xfId="6502"/>
    <cellStyle name="Accent5 - 40% 2 3 3 2" xfId="6503"/>
    <cellStyle name="Accent5 - 40% 2 3 4" xfId="6504"/>
    <cellStyle name="Accent5 - 40% 2 4" xfId="6505"/>
    <cellStyle name="Accent5 - 40% 2 4 2" xfId="6506"/>
    <cellStyle name="Accent5 - 40% 2 5" xfId="6507"/>
    <cellStyle name="Accent5 - 40% 2 5 2" xfId="6508"/>
    <cellStyle name="Accent5 - 40% 2 6" xfId="6509"/>
    <cellStyle name="Accent5 - 40% 3" xfId="6510"/>
    <cellStyle name="Accent5 - 40% 3 2" xfId="6511"/>
    <cellStyle name="Accent5 - 40% 3 2 2" xfId="6512"/>
    <cellStyle name="Accent5 - 40% 3 2 2 2" xfId="6513"/>
    <cellStyle name="Accent5 - 40% 3 2 3" xfId="6514"/>
    <cellStyle name="Accent5 - 40% 3 3" xfId="6515"/>
    <cellStyle name="Accent5 - 40% 3 3 2" xfId="6516"/>
    <cellStyle name="Accent5 - 40% 3 4" xfId="6517"/>
    <cellStyle name="Accent5 - 40% 4" xfId="6518"/>
    <cellStyle name="Accent5 - 40% 4 2" xfId="6519"/>
    <cellStyle name="Accent5 - 40% 4 2 2" xfId="6520"/>
    <cellStyle name="Accent5 - 40% 4 3" xfId="6521"/>
    <cellStyle name="Accent5 - 40% 5" xfId="6522"/>
    <cellStyle name="Accent5 - 40% 5 2" xfId="6523"/>
    <cellStyle name="Accent5 - 40% 6" xfId="6524"/>
    <cellStyle name="Accent5 - 40% 6 2" xfId="6525"/>
    <cellStyle name="Accent5 - 40% 7" xfId="6526"/>
    <cellStyle name="Accent5 - 40% 8" xfId="6527"/>
    <cellStyle name="Accent5 - 60%" xfId="15"/>
    <cellStyle name="Accent5 - 60% 10" xfId="6528"/>
    <cellStyle name="Accent5 - 60% 2" xfId="6529"/>
    <cellStyle name="Accent5 - 60% 2 2" xfId="6530"/>
    <cellStyle name="Accent5 - 60% 2 2 2" xfId="6531"/>
    <cellStyle name="Accent5 - 60% 2 3" xfId="6532"/>
    <cellStyle name="Accent5 - 60% 2 3 2" xfId="6533"/>
    <cellStyle name="Accent5 - 60% 2 3 2 2" xfId="6534"/>
    <cellStyle name="Accent5 - 60% 2 3 3" xfId="6535"/>
    <cellStyle name="Accent5 - 60% 2 4" xfId="6536"/>
    <cellStyle name="Accent5 - 60% 2 4 2" xfId="6537"/>
    <cellStyle name="Accent5 - 60% 2 4 2 2" xfId="6538"/>
    <cellStyle name="Accent5 - 60% 2 4 3" xfId="6539"/>
    <cellStyle name="Accent5 - 60% 2 5" xfId="6540"/>
    <cellStyle name="Accent5 - 60% 3" xfId="6541"/>
    <cellStyle name="Accent5 - 60% 3 2" xfId="6542"/>
    <cellStyle name="Accent5 - 60% 3 2 2" xfId="6543"/>
    <cellStyle name="Accent5 - 60% 3 3" xfId="6544"/>
    <cellStyle name="Accent5 - 60% 4" xfId="6545"/>
    <cellStyle name="Accent5 - 60% 4 2" xfId="6546"/>
    <cellStyle name="Accent5 - 60% 5" xfId="6547"/>
    <cellStyle name="Accent5 - 60% 5 2" xfId="6548"/>
    <cellStyle name="Accent5 - 60% 6" xfId="6549"/>
    <cellStyle name="Accent5 - 60% 6 2" xfId="6550"/>
    <cellStyle name="Accent5 - 60% 6 2 2" xfId="6551"/>
    <cellStyle name="Accent5 - 60% 6 3" xfId="6552"/>
    <cellStyle name="Accent5 - 60% 7" xfId="6553"/>
    <cellStyle name="Accent5 - 60% 7 2" xfId="6554"/>
    <cellStyle name="Accent5 - 60% 8" xfId="6555"/>
    <cellStyle name="Accent5 - 60% 8 2" xfId="6556"/>
    <cellStyle name="Accent5 - 60% 9" xfId="6557"/>
    <cellStyle name="Accent5 10" xfId="6558"/>
    <cellStyle name="Accent5 10 2" xfId="6559"/>
    <cellStyle name="Accent5 10 2 2" xfId="6560"/>
    <cellStyle name="Accent5 10 3" xfId="6561"/>
    <cellStyle name="Accent5 100" xfId="6562"/>
    <cellStyle name="Accent5 100 2" xfId="6563"/>
    <cellStyle name="Accent5 100 2 2" xfId="6564"/>
    <cellStyle name="Accent5 100 3" xfId="6565"/>
    <cellStyle name="Accent5 101" xfId="6566"/>
    <cellStyle name="Accent5 101 2" xfId="6567"/>
    <cellStyle name="Accent5 101 2 2" xfId="6568"/>
    <cellStyle name="Accent5 101 3" xfId="6569"/>
    <cellStyle name="Accent5 102" xfId="6570"/>
    <cellStyle name="Accent5 102 2" xfId="6571"/>
    <cellStyle name="Accent5 103" xfId="6572"/>
    <cellStyle name="Accent5 103 2" xfId="6573"/>
    <cellStyle name="Accent5 104" xfId="6574"/>
    <cellStyle name="Accent5 104 2" xfId="6575"/>
    <cellStyle name="Accent5 104 2 2" xfId="6576"/>
    <cellStyle name="Accent5 104 3" xfId="6577"/>
    <cellStyle name="Accent5 105" xfId="6578"/>
    <cellStyle name="Accent5 105 2" xfId="6579"/>
    <cellStyle name="Accent5 105 2 2" xfId="6580"/>
    <cellStyle name="Accent5 105 3" xfId="6581"/>
    <cellStyle name="Accent5 106" xfId="6582"/>
    <cellStyle name="Accent5 106 2" xfId="6583"/>
    <cellStyle name="Accent5 106 2 2" xfId="6584"/>
    <cellStyle name="Accent5 106 3" xfId="6585"/>
    <cellStyle name="Accent5 107" xfId="6586"/>
    <cellStyle name="Accent5 107 2" xfId="6587"/>
    <cellStyle name="Accent5 107 2 2" xfId="6588"/>
    <cellStyle name="Accent5 107 3" xfId="6589"/>
    <cellStyle name="Accent5 108" xfId="6590"/>
    <cellStyle name="Accent5 108 2" xfId="6591"/>
    <cellStyle name="Accent5 108 2 2" xfId="6592"/>
    <cellStyle name="Accent5 108 3" xfId="6593"/>
    <cellStyle name="Accent5 109" xfId="6594"/>
    <cellStyle name="Accent5 109 2" xfId="6595"/>
    <cellStyle name="Accent5 109 2 2" xfId="6596"/>
    <cellStyle name="Accent5 109 3" xfId="6597"/>
    <cellStyle name="Accent5 11" xfId="6598"/>
    <cellStyle name="Accent5 11 2" xfId="6599"/>
    <cellStyle name="Accent5 11 2 2" xfId="6600"/>
    <cellStyle name="Accent5 11 3" xfId="6601"/>
    <cellStyle name="Accent5 110" xfId="6602"/>
    <cellStyle name="Accent5 110 2" xfId="6603"/>
    <cellStyle name="Accent5 110 2 2" xfId="6604"/>
    <cellStyle name="Accent5 110 3" xfId="6605"/>
    <cellStyle name="Accent5 111" xfId="6606"/>
    <cellStyle name="Accent5 111 2" xfId="6607"/>
    <cellStyle name="Accent5 111 2 2" xfId="6608"/>
    <cellStyle name="Accent5 111 3" xfId="6609"/>
    <cellStyle name="Accent5 112" xfId="6610"/>
    <cellStyle name="Accent5 112 2" xfId="6611"/>
    <cellStyle name="Accent5 112 2 2" xfId="6612"/>
    <cellStyle name="Accent5 112 3" xfId="6613"/>
    <cellStyle name="Accent5 113" xfId="6614"/>
    <cellStyle name="Accent5 113 2" xfId="6615"/>
    <cellStyle name="Accent5 113 2 2" xfId="6616"/>
    <cellStyle name="Accent5 113 3" xfId="6617"/>
    <cellStyle name="Accent5 114" xfId="6618"/>
    <cellStyle name="Accent5 114 2" xfId="6619"/>
    <cellStyle name="Accent5 115" xfId="6620"/>
    <cellStyle name="Accent5 115 2" xfId="6621"/>
    <cellStyle name="Accent5 116" xfId="6622"/>
    <cellStyle name="Accent5 116 2" xfId="6623"/>
    <cellStyle name="Accent5 117" xfId="6624"/>
    <cellStyle name="Accent5 117 2" xfId="6625"/>
    <cellStyle name="Accent5 118" xfId="6626"/>
    <cellStyle name="Accent5 118 2" xfId="6627"/>
    <cellStyle name="Accent5 119" xfId="6628"/>
    <cellStyle name="Accent5 119 2" xfId="6629"/>
    <cellStyle name="Accent5 12" xfId="6630"/>
    <cellStyle name="Accent5 12 2" xfId="6631"/>
    <cellStyle name="Accent5 12 2 2" xfId="6632"/>
    <cellStyle name="Accent5 12 3" xfId="6633"/>
    <cellStyle name="Accent5 120" xfId="6634"/>
    <cellStyle name="Accent5 120 2" xfId="6635"/>
    <cellStyle name="Accent5 121" xfId="6636"/>
    <cellStyle name="Accent5 121 2" xfId="6637"/>
    <cellStyle name="Accent5 122" xfId="6638"/>
    <cellStyle name="Accent5 122 2" xfId="6639"/>
    <cellStyle name="Accent5 123" xfId="6640"/>
    <cellStyle name="Accent5 123 2" xfId="6641"/>
    <cellStyle name="Accent5 124" xfId="6642"/>
    <cellStyle name="Accent5 124 2" xfId="6643"/>
    <cellStyle name="Accent5 125" xfId="6644"/>
    <cellStyle name="Accent5 125 2" xfId="6645"/>
    <cellStyle name="Accent5 126" xfId="6646"/>
    <cellStyle name="Accent5 127" xfId="6647"/>
    <cellStyle name="Accent5 128" xfId="6648"/>
    <cellStyle name="Accent5 129" xfId="6649"/>
    <cellStyle name="Accent5 13" xfId="6650"/>
    <cellStyle name="Accent5 13 2" xfId="6651"/>
    <cellStyle name="Accent5 13 2 2" xfId="6652"/>
    <cellStyle name="Accent5 13 3" xfId="6653"/>
    <cellStyle name="Accent5 130" xfId="6654"/>
    <cellStyle name="Accent5 131" xfId="6655"/>
    <cellStyle name="Accent5 132" xfId="6656"/>
    <cellStyle name="Accent5 133" xfId="6657"/>
    <cellStyle name="Accent5 134" xfId="6658"/>
    <cellStyle name="Accent5 135" xfId="6659"/>
    <cellStyle name="Accent5 136" xfId="6660"/>
    <cellStyle name="Accent5 137" xfId="6661"/>
    <cellStyle name="Accent5 138" xfId="6662"/>
    <cellStyle name="Accent5 139" xfId="6663"/>
    <cellStyle name="Accent5 14" xfId="6664"/>
    <cellStyle name="Accent5 14 2" xfId="6665"/>
    <cellStyle name="Accent5 14 2 2" xfId="6666"/>
    <cellStyle name="Accent5 14 3" xfId="6667"/>
    <cellStyle name="Accent5 140" xfId="6668"/>
    <cellStyle name="Accent5 141" xfId="6669"/>
    <cellStyle name="Accent5 142" xfId="6670"/>
    <cellStyle name="Accent5 143" xfId="6671"/>
    <cellStyle name="Accent5 144" xfId="6672"/>
    <cellStyle name="Accent5 145" xfId="6673"/>
    <cellStyle name="Accent5 146" xfId="6674"/>
    <cellStyle name="Accent5 147" xfId="6675"/>
    <cellStyle name="Accent5 148" xfId="6676"/>
    <cellStyle name="Accent5 149" xfId="6677"/>
    <cellStyle name="Accent5 15" xfId="6678"/>
    <cellStyle name="Accent5 15 2" xfId="6679"/>
    <cellStyle name="Accent5 15 2 2" xfId="6680"/>
    <cellStyle name="Accent5 15 3" xfId="6681"/>
    <cellStyle name="Accent5 150" xfId="6682"/>
    <cellStyle name="Accent5 151" xfId="6683"/>
    <cellStyle name="Accent5 152" xfId="6684"/>
    <cellStyle name="Accent5 153" xfId="6685"/>
    <cellStyle name="Accent5 154" xfId="6686"/>
    <cellStyle name="Accent5 155" xfId="6687"/>
    <cellStyle name="Accent5 156" xfId="6688"/>
    <cellStyle name="Accent5 157" xfId="6689"/>
    <cellStyle name="Accent5 158" xfId="6690"/>
    <cellStyle name="Accent5 159" xfId="6691"/>
    <cellStyle name="Accent5 16" xfId="6692"/>
    <cellStyle name="Accent5 16 2" xfId="6693"/>
    <cellStyle name="Accent5 16 2 2" xfId="6694"/>
    <cellStyle name="Accent5 16 3" xfId="6695"/>
    <cellStyle name="Accent5 160" xfId="6696"/>
    <cellStyle name="Accent5 161" xfId="6697"/>
    <cellStyle name="Accent5 162" xfId="6698"/>
    <cellStyle name="Accent5 163" xfId="6699"/>
    <cellStyle name="Accent5 164" xfId="6700"/>
    <cellStyle name="Accent5 165" xfId="6701"/>
    <cellStyle name="Accent5 166" xfId="6702"/>
    <cellStyle name="Accent5 167" xfId="6703"/>
    <cellStyle name="Accent5 168" xfId="6704"/>
    <cellStyle name="Accent5 169" xfId="6705"/>
    <cellStyle name="Accent5 17" xfId="6706"/>
    <cellStyle name="Accent5 17 2" xfId="6707"/>
    <cellStyle name="Accent5 17 2 2" xfId="6708"/>
    <cellStyle name="Accent5 17 3" xfId="6709"/>
    <cellStyle name="Accent5 170" xfId="6710"/>
    <cellStyle name="Accent5 171" xfId="6711"/>
    <cellStyle name="Accent5 172" xfId="6712"/>
    <cellStyle name="Accent5 173" xfId="6713"/>
    <cellStyle name="Accent5 174" xfId="6714"/>
    <cellStyle name="Accent5 175" xfId="6715"/>
    <cellStyle name="Accent5 176" xfId="6716"/>
    <cellStyle name="Accent5 177" xfId="6717"/>
    <cellStyle name="Accent5 178" xfId="6718"/>
    <cellStyle name="Accent5 179" xfId="6719"/>
    <cellStyle name="Accent5 18" xfId="6720"/>
    <cellStyle name="Accent5 18 2" xfId="6721"/>
    <cellStyle name="Accent5 18 2 2" xfId="6722"/>
    <cellStyle name="Accent5 18 3" xfId="6723"/>
    <cellStyle name="Accent5 19" xfId="6724"/>
    <cellStyle name="Accent5 19 2" xfId="6725"/>
    <cellStyle name="Accent5 19 2 2" xfId="6726"/>
    <cellStyle name="Accent5 19 3" xfId="6727"/>
    <cellStyle name="Accent5 2" xfId="6728"/>
    <cellStyle name="Accent5 2 10" xfId="6729"/>
    <cellStyle name="Accent5 2 10 2" xfId="6730"/>
    <cellStyle name="Accent5 2 11" xfId="6731"/>
    <cellStyle name="Accent5 2 12" xfId="6732"/>
    <cellStyle name="Accent5 2 2" xfId="6733"/>
    <cellStyle name="Accent5 2 2 2" xfId="6734"/>
    <cellStyle name="Accent5 2 2 2 2" xfId="6735"/>
    <cellStyle name="Accent5 2 2 3" xfId="6736"/>
    <cellStyle name="Accent5 2 2 3 2" xfId="6737"/>
    <cellStyle name="Accent5 2 2 3 2 2" xfId="6738"/>
    <cellStyle name="Accent5 2 2 3 3" xfId="6739"/>
    <cellStyle name="Accent5 2 2 4" xfId="6740"/>
    <cellStyle name="Accent5 2 2 4 2" xfId="6741"/>
    <cellStyle name="Accent5 2 2 5" xfId="6742"/>
    <cellStyle name="Accent5 2 3" xfId="6743"/>
    <cellStyle name="Accent5 2 3 2" xfId="6744"/>
    <cellStyle name="Accent5 2 3 2 2" xfId="6745"/>
    <cellStyle name="Accent5 2 3 3" xfId="6746"/>
    <cellStyle name="Accent5 2 3 3 2" xfId="6747"/>
    <cellStyle name="Accent5 2 3 3 2 2" xfId="6748"/>
    <cellStyle name="Accent5 2 3 3 3" xfId="6749"/>
    <cellStyle name="Accent5 2 3 4" xfId="6750"/>
    <cellStyle name="Accent5 2 4" xfId="6751"/>
    <cellStyle name="Accent5 2 4 2" xfId="6752"/>
    <cellStyle name="Accent5 2 4 2 2" xfId="6753"/>
    <cellStyle name="Accent5 2 4 3" xfId="6754"/>
    <cellStyle name="Accent5 2 5" xfId="6755"/>
    <cellStyle name="Accent5 2 5 2" xfId="6756"/>
    <cellStyle name="Accent5 2 5 2 2" xfId="6757"/>
    <cellStyle name="Accent5 2 5 3" xfId="6758"/>
    <cellStyle name="Accent5 2 5 3 2" xfId="6759"/>
    <cellStyle name="Accent5 2 5 3 2 2" xfId="6760"/>
    <cellStyle name="Accent5 2 5 3 3" xfId="6761"/>
    <cellStyle name="Accent5 2 5 4" xfId="6762"/>
    <cellStyle name="Accent5 2 6" xfId="6763"/>
    <cellStyle name="Accent5 2 6 2" xfId="6764"/>
    <cellStyle name="Accent5 2 6 2 2" xfId="6765"/>
    <cellStyle name="Accent5 2 6 3" xfId="6766"/>
    <cellStyle name="Accent5 2 6 3 2" xfId="6767"/>
    <cellStyle name="Accent5 2 6 4" xfId="6768"/>
    <cellStyle name="Accent5 2 7" xfId="6769"/>
    <cellStyle name="Accent5 2 7 2" xfId="6770"/>
    <cellStyle name="Accent5 2 8" xfId="6771"/>
    <cellStyle name="Accent5 2 8 2" xfId="6772"/>
    <cellStyle name="Accent5 2 8 2 2" xfId="6773"/>
    <cellStyle name="Accent5 2 8 3" xfId="6774"/>
    <cellStyle name="Accent5 2 9" xfId="6775"/>
    <cellStyle name="Accent5 2 9 2" xfId="6776"/>
    <cellStyle name="Accent5 2 9 2 2" xfId="6777"/>
    <cellStyle name="Accent5 2 9 3" xfId="6778"/>
    <cellStyle name="Accent5 20" xfId="6779"/>
    <cellStyle name="Accent5 20 2" xfId="6780"/>
    <cellStyle name="Accent5 20 2 2" xfId="6781"/>
    <cellStyle name="Accent5 20 3" xfId="6782"/>
    <cellStyle name="Accent5 21" xfId="6783"/>
    <cellStyle name="Accent5 21 2" xfId="6784"/>
    <cellStyle name="Accent5 21 2 2" xfId="6785"/>
    <cellStyle name="Accent5 21 3" xfId="6786"/>
    <cellStyle name="Accent5 22" xfId="6787"/>
    <cellStyle name="Accent5 22 2" xfId="6788"/>
    <cellStyle name="Accent5 22 2 2" xfId="6789"/>
    <cellStyle name="Accent5 22 3" xfId="6790"/>
    <cellStyle name="Accent5 23" xfId="6791"/>
    <cellStyle name="Accent5 23 2" xfId="6792"/>
    <cellStyle name="Accent5 23 2 2" xfId="6793"/>
    <cellStyle name="Accent5 23 3" xfId="6794"/>
    <cellStyle name="Accent5 24" xfId="6795"/>
    <cellStyle name="Accent5 24 2" xfId="6796"/>
    <cellStyle name="Accent5 24 2 2" xfId="6797"/>
    <cellStyle name="Accent5 24 3" xfId="6798"/>
    <cellStyle name="Accent5 25" xfId="6799"/>
    <cellStyle name="Accent5 25 2" xfId="6800"/>
    <cellStyle name="Accent5 25 2 2" xfId="6801"/>
    <cellStyle name="Accent5 25 3" xfId="6802"/>
    <cellStyle name="Accent5 26" xfId="6803"/>
    <cellStyle name="Accent5 26 2" xfId="6804"/>
    <cellStyle name="Accent5 26 2 2" xfId="6805"/>
    <cellStyle name="Accent5 26 3" xfId="6806"/>
    <cellStyle name="Accent5 27" xfId="6807"/>
    <cellStyle name="Accent5 27 2" xfId="6808"/>
    <cellStyle name="Accent5 27 2 2" xfId="6809"/>
    <cellStyle name="Accent5 27 3" xfId="6810"/>
    <cellStyle name="Accent5 28" xfId="6811"/>
    <cellStyle name="Accent5 28 2" xfId="6812"/>
    <cellStyle name="Accent5 28 2 2" xfId="6813"/>
    <cellStyle name="Accent5 28 3" xfId="6814"/>
    <cellStyle name="Accent5 29" xfId="6815"/>
    <cellStyle name="Accent5 29 2" xfId="6816"/>
    <cellStyle name="Accent5 29 2 2" xfId="6817"/>
    <cellStyle name="Accent5 29 3" xfId="6818"/>
    <cellStyle name="Accent5 3" xfId="6819"/>
    <cellStyle name="Accent5 3 10" xfId="6820"/>
    <cellStyle name="Accent5 3 10 2" xfId="6821"/>
    <cellStyle name="Accent5 3 10 2 2" xfId="6822"/>
    <cellStyle name="Accent5 3 10 3" xfId="6823"/>
    <cellStyle name="Accent5 3 11" xfId="6824"/>
    <cellStyle name="Accent5 3 11 2" xfId="6825"/>
    <cellStyle name="Accent5 3 12" xfId="6826"/>
    <cellStyle name="Accent5 3 2" xfId="6827"/>
    <cellStyle name="Accent5 3 2 2" xfId="6828"/>
    <cellStyle name="Accent5 3 2 2 2" xfId="6829"/>
    <cellStyle name="Accent5 3 2 3" xfId="6830"/>
    <cellStyle name="Accent5 3 2 3 2" xfId="6831"/>
    <cellStyle name="Accent5 3 2 3 2 2" xfId="6832"/>
    <cellStyle name="Accent5 3 2 3 3" xfId="6833"/>
    <cellStyle name="Accent5 3 2 4" xfId="6834"/>
    <cellStyle name="Accent5 3 3" xfId="6835"/>
    <cellStyle name="Accent5 3 3 2" xfId="6836"/>
    <cellStyle name="Accent5 3 3 2 2" xfId="6837"/>
    <cellStyle name="Accent5 3 3 3" xfId="6838"/>
    <cellStyle name="Accent5 3 3 3 2" xfId="6839"/>
    <cellStyle name="Accent5 3 3 3 2 2" xfId="6840"/>
    <cellStyle name="Accent5 3 3 3 3" xfId="6841"/>
    <cellStyle name="Accent5 3 3 4" xfId="6842"/>
    <cellStyle name="Accent5 3 4" xfId="6843"/>
    <cellStyle name="Accent5 3 4 2" xfId="6844"/>
    <cellStyle name="Accent5 3 4 2 2" xfId="6845"/>
    <cellStyle name="Accent5 3 4 3" xfId="6846"/>
    <cellStyle name="Accent5 3 5" xfId="6847"/>
    <cellStyle name="Accent5 3 5 2" xfId="6848"/>
    <cellStyle name="Accent5 3 5 2 2" xfId="6849"/>
    <cellStyle name="Accent5 3 5 3" xfId="6850"/>
    <cellStyle name="Accent5 3 5 3 2" xfId="6851"/>
    <cellStyle name="Accent5 3 5 3 2 2" xfId="6852"/>
    <cellStyle name="Accent5 3 5 3 3" xfId="6853"/>
    <cellStyle name="Accent5 3 5 4" xfId="6854"/>
    <cellStyle name="Accent5 3 6" xfId="6855"/>
    <cellStyle name="Accent5 3 6 2" xfId="6856"/>
    <cellStyle name="Accent5 3 7" xfId="6857"/>
    <cellStyle name="Accent5 3 7 2" xfId="6858"/>
    <cellStyle name="Accent5 3 8" xfId="6859"/>
    <cellStyle name="Accent5 3 8 2" xfId="6860"/>
    <cellStyle name="Accent5 3 8 2 2" xfId="6861"/>
    <cellStyle name="Accent5 3 8 3" xfId="6862"/>
    <cellStyle name="Accent5 3 9" xfId="6863"/>
    <cellStyle name="Accent5 3 9 2" xfId="6864"/>
    <cellStyle name="Accent5 3 9 2 2" xfId="6865"/>
    <cellStyle name="Accent5 3 9 3" xfId="6866"/>
    <cellStyle name="Accent5 30" xfId="6867"/>
    <cellStyle name="Accent5 30 2" xfId="6868"/>
    <cellStyle name="Accent5 30 2 2" xfId="6869"/>
    <cellStyle name="Accent5 30 3" xfId="6870"/>
    <cellStyle name="Accent5 31" xfId="6871"/>
    <cellStyle name="Accent5 31 2" xfId="6872"/>
    <cellStyle name="Accent5 31 2 2" xfId="6873"/>
    <cellStyle name="Accent5 31 3" xfId="6874"/>
    <cellStyle name="Accent5 32" xfId="6875"/>
    <cellStyle name="Accent5 32 2" xfId="6876"/>
    <cellStyle name="Accent5 32 2 2" xfId="6877"/>
    <cellStyle name="Accent5 32 3" xfId="6878"/>
    <cellStyle name="Accent5 33" xfId="6879"/>
    <cellStyle name="Accent5 33 2" xfId="6880"/>
    <cellStyle name="Accent5 33 2 2" xfId="6881"/>
    <cellStyle name="Accent5 33 3" xfId="6882"/>
    <cellStyle name="Accent5 34" xfId="6883"/>
    <cellStyle name="Accent5 34 2" xfId="6884"/>
    <cellStyle name="Accent5 34 2 2" xfId="6885"/>
    <cellStyle name="Accent5 34 3" xfId="6886"/>
    <cellStyle name="Accent5 35" xfId="6887"/>
    <cellStyle name="Accent5 35 2" xfId="6888"/>
    <cellStyle name="Accent5 35 2 2" xfId="6889"/>
    <cellStyle name="Accent5 35 3" xfId="6890"/>
    <cellStyle name="Accent5 36" xfId="6891"/>
    <cellStyle name="Accent5 36 2" xfId="6892"/>
    <cellStyle name="Accent5 36 2 2" xfId="6893"/>
    <cellStyle name="Accent5 36 3" xfId="6894"/>
    <cellStyle name="Accent5 37" xfId="6895"/>
    <cellStyle name="Accent5 37 2" xfId="6896"/>
    <cellStyle name="Accent5 37 2 2" xfId="6897"/>
    <cellStyle name="Accent5 37 3" xfId="6898"/>
    <cellStyle name="Accent5 38" xfId="6899"/>
    <cellStyle name="Accent5 38 2" xfId="6900"/>
    <cellStyle name="Accent5 38 2 2" xfId="6901"/>
    <cellStyle name="Accent5 38 3" xfId="6902"/>
    <cellStyle name="Accent5 39" xfId="6903"/>
    <cellStyle name="Accent5 39 2" xfId="6904"/>
    <cellStyle name="Accent5 39 2 2" xfId="6905"/>
    <cellStyle name="Accent5 39 3" xfId="6906"/>
    <cellStyle name="Accent5 4" xfId="6907"/>
    <cellStyle name="Accent5 4 2" xfId="6908"/>
    <cellStyle name="Accent5 4 2 2" xfId="6909"/>
    <cellStyle name="Accent5 4 2 2 2" xfId="6910"/>
    <cellStyle name="Accent5 4 2 3" xfId="6911"/>
    <cellStyle name="Accent5 4 2 3 2" xfId="6912"/>
    <cellStyle name="Accent5 4 2 3 2 2" xfId="6913"/>
    <cellStyle name="Accent5 4 2 3 3" xfId="6914"/>
    <cellStyle name="Accent5 4 2 4" xfId="6915"/>
    <cellStyle name="Accent5 4 3" xfId="6916"/>
    <cellStyle name="Accent5 4 3 2" xfId="6917"/>
    <cellStyle name="Accent5 4 3 2 2" xfId="6918"/>
    <cellStyle name="Accent5 4 3 3" xfId="6919"/>
    <cellStyle name="Accent5 4 3 3 2" xfId="6920"/>
    <cellStyle name="Accent5 4 3 3 2 2" xfId="6921"/>
    <cellStyle name="Accent5 4 3 3 3" xfId="6922"/>
    <cellStyle name="Accent5 4 3 4" xfId="6923"/>
    <cellStyle name="Accent5 4 4" xfId="6924"/>
    <cellStyle name="Accent5 4 4 2" xfId="6925"/>
    <cellStyle name="Accent5 4 4 2 2" xfId="6926"/>
    <cellStyle name="Accent5 4 4 3" xfId="6927"/>
    <cellStyle name="Accent5 4 5" xfId="6928"/>
    <cellStyle name="Accent5 4 5 2" xfId="6929"/>
    <cellStyle name="Accent5 4 6" xfId="6930"/>
    <cellStyle name="Accent5 4 6 2" xfId="6931"/>
    <cellStyle name="Accent5 4 6 2 2" xfId="6932"/>
    <cellStyle name="Accent5 4 6 3" xfId="6933"/>
    <cellStyle name="Accent5 4 7" xfId="6934"/>
    <cellStyle name="Accent5 4 7 2" xfId="6935"/>
    <cellStyle name="Accent5 4 7 2 2" xfId="6936"/>
    <cellStyle name="Accent5 4 7 3" xfId="6937"/>
    <cellStyle name="Accent5 4 8" xfId="6938"/>
    <cellStyle name="Accent5 40" xfId="6939"/>
    <cellStyle name="Accent5 40 2" xfId="6940"/>
    <cellStyle name="Accent5 40 2 2" xfId="6941"/>
    <cellStyle name="Accent5 40 3" xfId="6942"/>
    <cellStyle name="Accent5 41" xfId="6943"/>
    <cellStyle name="Accent5 41 2" xfId="6944"/>
    <cellStyle name="Accent5 41 2 2" xfId="6945"/>
    <cellStyle name="Accent5 41 3" xfId="6946"/>
    <cellStyle name="Accent5 42" xfId="6947"/>
    <cellStyle name="Accent5 42 2" xfId="6948"/>
    <cellStyle name="Accent5 42 2 2" xfId="6949"/>
    <cellStyle name="Accent5 42 3" xfId="6950"/>
    <cellStyle name="Accent5 43" xfId="6951"/>
    <cellStyle name="Accent5 43 2" xfId="6952"/>
    <cellStyle name="Accent5 43 2 2" xfId="6953"/>
    <cellStyle name="Accent5 43 3" xfId="6954"/>
    <cellStyle name="Accent5 44" xfId="6955"/>
    <cellStyle name="Accent5 44 2" xfId="6956"/>
    <cellStyle name="Accent5 44 2 2" xfId="6957"/>
    <cellStyle name="Accent5 44 3" xfId="6958"/>
    <cellStyle name="Accent5 45" xfId="6959"/>
    <cellStyle name="Accent5 45 2" xfId="6960"/>
    <cellStyle name="Accent5 45 2 2" xfId="6961"/>
    <cellStyle name="Accent5 45 3" xfId="6962"/>
    <cellStyle name="Accent5 46" xfId="6963"/>
    <cellStyle name="Accent5 46 2" xfId="6964"/>
    <cellStyle name="Accent5 46 2 2" xfId="6965"/>
    <cellStyle name="Accent5 46 3" xfId="6966"/>
    <cellStyle name="Accent5 47" xfId="6967"/>
    <cellStyle name="Accent5 47 2" xfId="6968"/>
    <cellStyle name="Accent5 47 2 2" xfId="6969"/>
    <cellStyle name="Accent5 47 3" xfId="6970"/>
    <cellStyle name="Accent5 48" xfId="6971"/>
    <cellStyle name="Accent5 48 2" xfId="6972"/>
    <cellStyle name="Accent5 48 2 2" xfId="6973"/>
    <cellStyle name="Accent5 48 3" xfId="6974"/>
    <cellStyle name="Accent5 48 3 2" xfId="6975"/>
    <cellStyle name="Accent5 48 3 2 2" xfId="6976"/>
    <cellStyle name="Accent5 48 3 3" xfId="6977"/>
    <cellStyle name="Accent5 48 4" xfId="6978"/>
    <cellStyle name="Accent5 49" xfId="6979"/>
    <cellStyle name="Accent5 49 2" xfId="6980"/>
    <cellStyle name="Accent5 49 2 2" xfId="6981"/>
    <cellStyle name="Accent5 49 3" xfId="6982"/>
    <cellStyle name="Accent5 49 3 2" xfId="6983"/>
    <cellStyle name="Accent5 49 3 2 2" xfId="6984"/>
    <cellStyle name="Accent5 49 3 3" xfId="6985"/>
    <cellStyle name="Accent5 49 4" xfId="6986"/>
    <cellStyle name="Accent5 5" xfId="6987"/>
    <cellStyle name="Accent5 5 2" xfId="6988"/>
    <cellStyle name="Accent5 5 2 2" xfId="6989"/>
    <cellStyle name="Accent5 5 2 2 2" xfId="6990"/>
    <cellStyle name="Accent5 5 2 3" xfId="6991"/>
    <cellStyle name="Accent5 5 2 3 2" xfId="6992"/>
    <cellStyle name="Accent5 5 2 3 2 2" xfId="6993"/>
    <cellStyle name="Accent5 5 2 3 3" xfId="6994"/>
    <cellStyle name="Accent5 5 2 4" xfId="6995"/>
    <cellStyle name="Accent5 5 3" xfId="6996"/>
    <cellStyle name="Accent5 5 3 2" xfId="6997"/>
    <cellStyle name="Accent5 5 3 2 2" xfId="6998"/>
    <cellStyle name="Accent5 5 3 3" xfId="6999"/>
    <cellStyle name="Accent5 5 3 3 2" xfId="7000"/>
    <cellStyle name="Accent5 5 3 3 2 2" xfId="7001"/>
    <cellStyle name="Accent5 5 3 3 3" xfId="7002"/>
    <cellStyle name="Accent5 5 3 4" xfId="7003"/>
    <cellStyle name="Accent5 5 4" xfId="7004"/>
    <cellStyle name="Accent5 5 4 2" xfId="7005"/>
    <cellStyle name="Accent5 5 5" xfId="7006"/>
    <cellStyle name="Accent5 5 5 2" xfId="7007"/>
    <cellStyle name="Accent5 5 5 2 2" xfId="7008"/>
    <cellStyle name="Accent5 5 5 3" xfId="7009"/>
    <cellStyle name="Accent5 5 6" xfId="7010"/>
    <cellStyle name="Accent5 5 6 2" xfId="7011"/>
    <cellStyle name="Accent5 5 7" xfId="7012"/>
    <cellStyle name="Accent5 50" xfId="7013"/>
    <cellStyle name="Accent5 50 2" xfId="7014"/>
    <cellStyle name="Accent5 50 2 2" xfId="7015"/>
    <cellStyle name="Accent5 50 3" xfId="7016"/>
    <cellStyle name="Accent5 50 3 2" xfId="7017"/>
    <cellStyle name="Accent5 50 3 2 2" xfId="7018"/>
    <cellStyle name="Accent5 50 3 3" xfId="7019"/>
    <cellStyle name="Accent5 50 4" xfId="7020"/>
    <cellStyle name="Accent5 51" xfId="7021"/>
    <cellStyle name="Accent5 51 2" xfId="7022"/>
    <cellStyle name="Accent5 51 2 2" xfId="7023"/>
    <cellStyle name="Accent5 51 3" xfId="7024"/>
    <cellStyle name="Accent5 51 3 2" xfId="7025"/>
    <cellStyle name="Accent5 51 3 2 2" xfId="7026"/>
    <cellStyle name="Accent5 51 3 3" xfId="7027"/>
    <cellStyle name="Accent5 51 4" xfId="7028"/>
    <cellStyle name="Accent5 52" xfId="7029"/>
    <cellStyle name="Accent5 52 2" xfId="7030"/>
    <cellStyle name="Accent5 52 2 2" xfId="7031"/>
    <cellStyle name="Accent5 52 3" xfId="7032"/>
    <cellStyle name="Accent5 53" xfId="7033"/>
    <cellStyle name="Accent5 53 2" xfId="7034"/>
    <cellStyle name="Accent5 53 2 2" xfId="7035"/>
    <cellStyle name="Accent5 53 3" xfId="7036"/>
    <cellStyle name="Accent5 54" xfId="7037"/>
    <cellStyle name="Accent5 54 2" xfId="7038"/>
    <cellStyle name="Accent5 54 2 2" xfId="7039"/>
    <cellStyle name="Accent5 54 3" xfId="7040"/>
    <cellStyle name="Accent5 55" xfId="7041"/>
    <cellStyle name="Accent5 55 2" xfId="7042"/>
    <cellStyle name="Accent5 55 2 2" xfId="7043"/>
    <cellStyle name="Accent5 55 3" xfId="7044"/>
    <cellStyle name="Accent5 56" xfId="7045"/>
    <cellStyle name="Accent5 56 2" xfId="7046"/>
    <cellStyle name="Accent5 56 2 2" xfId="7047"/>
    <cellStyle name="Accent5 56 3" xfId="7048"/>
    <cellStyle name="Accent5 57" xfId="7049"/>
    <cellStyle name="Accent5 57 2" xfId="7050"/>
    <cellStyle name="Accent5 57 2 2" xfId="7051"/>
    <cellStyle name="Accent5 57 3" xfId="7052"/>
    <cellStyle name="Accent5 58" xfId="7053"/>
    <cellStyle name="Accent5 58 2" xfId="7054"/>
    <cellStyle name="Accent5 58 2 2" xfId="7055"/>
    <cellStyle name="Accent5 58 3" xfId="7056"/>
    <cellStyle name="Accent5 58 3 2" xfId="7057"/>
    <cellStyle name="Accent5 58 3 2 2" xfId="7058"/>
    <cellStyle name="Accent5 58 3 3" xfId="7059"/>
    <cellStyle name="Accent5 58 4" xfId="7060"/>
    <cellStyle name="Accent5 59" xfId="7061"/>
    <cellStyle name="Accent5 59 2" xfId="7062"/>
    <cellStyle name="Accent5 59 2 2" xfId="7063"/>
    <cellStyle name="Accent5 59 3" xfId="7064"/>
    <cellStyle name="Accent5 59 3 2" xfId="7065"/>
    <cellStyle name="Accent5 59 3 2 2" xfId="7066"/>
    <cellStyle name="Accent5 59 3 3" xfId="7067"/>
    <cellStyle name="Accent5 59 4" xfId="7068"/>
    <cellStyle name="Accent5 6" xfId="7069"/>
    <cellStyle name="Accent5 6 2" xfId="7070"/>
    <cellStyle name="Accent5 6 2 2" xfId="7071"/>
    <cellStyle name="Accent5 6 2 2 2" xfId="7072"/>
    <cellStyle name="Accent5 6 2 3" xfId="7073"/>
    <cellStyle name="Accent5 6 2 3 2" xfId="7074"/>
    <cellStyle name="Accent5 6 2 3 2 2" xfId="7075"/>
    <cellStyle name="Accent5 6 2 3 3" xfId="7076"/>
    <cellStyle name="Accent5 6 2 4" xfId="7077"/>
    <cellStyle name="Accent5 6 3" xfId="7078"/>
    <cellStyle name="Accent5 6 3 2" xfId="7079"/>
    <cellStyle name="Accent5 6 4" xfId="7080"/>
    <cellStyle name="Accent5 6 4 2" xfId="7081"/>
    <cellStyle name="Accent5 6 4 2 2" xfId="7082"/>
    <cellStyle name="Accent5 6 4 3" xfId="7083"/>
    <cellStyle name="Accent5 6 5" xfId="7084"/>
    <cellStyle name="Accent5 60" xfId="7085"/>
    <cellStyle name="Accent5 60 2" xfId="7086"/>
    <cellStyle name="Accent5 60 2 2" xfId="7087"/>
    <cellStyle name="Accent5 60 3" xfId="7088"/>
    <cellStyle name="Accent5 60 3 2" xfId="7089"/>
    <cellStyle name="Accent5 60 3 2 2" xfId="7090"/>
    <cellStyle name="Accent5 60 3 3" xfId="7091"/>
    <cellStyle name="Accent5 60 4" xfId="7092"/>
    <cellStyle name="Accent5 61" xfId="7093"/>
    <cellStyle name="Accent5 61 2" xfId="7094"/>
    <cellStyle name="Accent5 61 2 2" xfId="7095"/>
    <cellStyle name="Accent5 61 3" xfId="7096"/>
    <cellStyle name="Accent5 61 3 2" xfId="7097"/>
    <cellStyle name="Accent5 61 3 2 2" xfId="7098"/>
    <cellStyle name="Accent5 61 3 3" xfId="7099"/>
    <cellStyle name="Accent5 61 4" xfId="7100"/>
    <cellStyle name="Accent5 62" xfId="7101"/>
    <cellStyle name="Accent5 62 2" xfId="7102"/>
    <cellStyle name="Accent5 62 2 2" xfId="7103"/>
    <cellStyle name="Accent5 62 3" xfId="7104"/>
    <cellStyle name="Accent5 62 3 2" xfId="7105"/>
    <cellStyle name="Accent5 62 3 2 2" xfId="7106"/>
    <cellStyle name="Accent5 62 3 3" xfId="7107"/>
    <cellStyle name="Accent5 62 4" xfId="7108"/>
    <cellStyle name="Accent5 63" xfId="7109"/>
    <cellStyle name="Accent5 63 2" xfId="7110"/>
    <cellStyle name="Accent5 63 2 2" xfId="7111"/>
    <cellStyle name="Accent5 63 3" xfId="7112"/>
    <cellStyle name="Accent5 63 3 2" xfId="7113"/>
    <cellStyle name="Accent5 63 3 2 2" xfId="7114"/>
    <cellStyle name="Accent5 63 3 3" xfId="7115"/>
    <cellStyle name="Accent5 63 4" xfId="7116"/>
    <cellStyle name="Accent5 64" xfId="7117"/>
    <cellStyle name="Accent5 64 2" xfId="7118"/>
    <cellStyle name="Accent5 64 2 2" xfId="7119"/>
    <cellStyle name="Accent5 64 3" xfId="7120"/>
    <cellStyle name="Accent5 64 3 2" xfId="7121"/>
    <cellStyle name="Accent5 64 3 2 2" xfId="7122"/>
    <cellStyle name="Accent5 64 3 3" xfId="7123"/>
    <cellStyle name="Accent5 64 4" xfId="7124"/>
    <cellStyle name="Accent5 65" xfId="7125"/>
    <cellStyle name="Accent5 65 2" xfId="7126"/>
    <cellStyle name="Accent5 65 2 2" xfId="7127"/>
    <cellStyle name="Accent5 65 3" xfId="7128"/>
    <cellStyle name="Accent5 65 3 2" xfId="7129"/>
    <cellStyle name="Accent5 65 3 2 2" xfId="7130"/>
    <cellStyle name="Accent5 65 3 3" xfId="7131"/>
    <cellStyle name="Accent5 65 4" xfId="7132"/>
    <cellStyle name="Accent5 66" xfId="7133"/>
    <cellStyle name="Accent5 66 2" xfId="7134"/>
    <cellStyle name="Accent5 66 2 2" xfId="7135"/>
    <cellStyle name="Accent5 66 3" xfId="7136"/>
    <cellStyle name="Accent5 66 3 2" xfId="7137"/>
    <cellStyle name="Accent5 66 3 2 2" xfId="7138"/>
    <cellStyle name="Accent5 66 3 3" xfId="7139"/>
    <cellStyle name="Accent5 66 4" xfId="7140"/>
    <cellStyle name="Accent5 67" xfId="7141"/>
    <cellStyle name="Accent5 67 2" xfId="7142"/>
    <cellStyle name="Accent5 67 2 2" xfId="7143"/>
    <cellStyle name="Accent5 67 3" xfId="7144"/>
    <cellStyle name="Accent5 67 3 2" xfId="7145"/>
    <cellStyle name="Accent5 67 3 2 2" xfId="7146"/>
    <cellStyle name="Accent5 67 3 3" xfId="7147"/>
    <cellStyle name="Accent5 67 4" xfId="7148"/>
    <cellStyle name="Accent5 68" xfId="7149"/>
    <cellStyle name="Accent5 68 2" xfId="7150"/>
    <cellStyle name="Accent5 68 2 2" xfId="7151"/>
    <cellStyle name="Accent5 68 3" xfId="7152"/>
    <cellStyle name="Accent5 68 3 2" xfId="7153"/>
    <cellStyle name="Accent5 68 3 2 2" xfId="7154"/>
    <cellStyle name="Accent5 68 3 3" xfId="7155"/>
    <cellStyle name="Accent5 68 4" xfId="7156"/>
    <cellStyle name="Accent5 69" xfId="7157"/>
    <cellStyle name="Accent5 69 2" xfId="7158"/>
    <cellStyle name="Accent5 69 2 2" xfId="7159"/>
    <cellStyle name="Accent5 69 3" xfId="7160"/>
    <cellStyle name="Accent5 69 3 2" xfId="7161"/>
    <cellStyle name="Accent5 69 3 2 2" xfId="7162"/>
    <cellStyle name="Accent5 69 3 3" xfId="7163"/>
    <cellStyle name="Accent5 69 4" xfId="7164"/>
    <cellStyle name="Accent5 7" xfId="7165"/>
    <cellStyle name="Accent5 7 2" xfId="7166"/>
    <cellStyle name="Accent5 7 2 2" xfId="7167"/>
    <cellStyle name="Accent5 7 2 2 2" xfId="7168"/>
    <cellStyle name="Accent5 7 2 3" xfId="7169"/>
    <cellStyle name="Accent5 7 2 3 2" xfId="7170"/>
    <cellStyle name="Accent5 7 2 3 2 2" xfId="7171"/>
    <cellStyle name="Accent5 7 2 3 3" xfId="7172"/>
    <cellStyle name="Accent5 7 2 4" xfId="7173"/>
    <cellStyle name="Accent5 7 3" xfId="7174"/>
    <cellStyle name="Accent5 7 3 2" xfId="7175"/>
    <cellStyle name="Accent5 7 4" xfId="7176"/>
    <cellStyle name="Accent5 7 4 2" xfId="7177"/>
    <cellStyle name="Accent5 7 4 2 2" xfId="7178"/>
    <cellStyle name="Accent5 7 4 3" xfId="7179"/>
    <cellStyle name="Accent5 7 5" xfId="7180"/>
    <cellStyle name="Accent5 70" xfId="7181"/>
    <cellStyle name="Accent5 70 2" xfId="7182"/>
    <cellStyle name="Accent5 70 2 2" xfId="7183"/>
    <cellStyle name="Accent5 70 3" xfId="7184"/>
    <cellStyle name="Accent5 70 3 2" xfId="7185"/>
    <cellStyle name="Accent5 70 3 2 2" xfId="7186"/>
    <cellStyle name="Accent5 70 3 3" xfId="7187"/>
    <cellStyle name="Accent5 70 4" xfId="7188"/>
    <cellStyle name="Accent5 71" xfId="7189"/>
    <cellStyle name="Accent5 71 2" xfId="7190"/>
    <cellStyle name="Accent5 71 2 2" xfId="7191"/>
    <cellStyle name="Accent5 71 3" xfId="7192"/>
    <cellStyle name="Accent5 71 3 2" xfId="7193"/>
    <cellStyle name="Accent5 71 3 2 2" xfId="7194"/>
    <cellStyle name="Accent5 71 3 3" xfId="7195"/>
    <cellStyle name="Accent5 71 4" xfId="7196"/>
    <cellStyle name="Accent5 72" xfId="7197"/>
    <cellStyle name="Accent5 72 2" xfId="7198"/>
    <cellStyle name="Accent5 72 2 2" xfId="7199"/>
    <cellStyle name="Accent5 72 3" xfId="7200"/>
    <cellStyle name="Accent5 72 3 2" xfId="7201"/>
    <cellStyle name="Accent5 72 3 2 2" xfId="7202"/>
    <cellStyle name="Accent5 72 3 3" xfId="7203"/>
    <cellStyle name="Accent5 72 4" xfId="7204"/>
    <cellStyle name="Accent5 73" xfId="7205"/>
    <cellStyle name="Accent5 73 2" xfId="7206"/>
    <cellStyle name="Accent5 73 2 2" xfId="7207"/>
    <cellStyle name="Accent5 73 3" xfId="7208"/>
    <cellStyle name="Accent5 73 3 2" xfId="7209"/>
    <cellStyle name="Accent5 73 3 2 2" xfId="7210"/>
    <cellStyle name="Accent5 73 3 3" xfId="7211"/>
    <cellStyle name="Accent5 73 4" xfId="7212"/>
    <cellStyle name="Accent5 74" xfId="7213"/>
    <cellStyle name="Accent5 74 2" xfId="7214"/>
    <cellStyle name="Accent5 74 2 2" xfId="7215"/>
    <cellStyle name="Accent5 74 3" xfId="7216"/>
    <cellStyle name="Accent5 74 3 2" xfId="7217"/>
    <cellStyle name="Accent5 74 3 2 2" xfId="7218"/>
    <cellStyle name="Accent5 74 3 3" xfId="7219"/>
    <cellStyle name="Accent5 74 4" xfId="7220"/>
    <cellStyle name="Accent5 75" xfId="7221"/>
    <cellStyle name="Accent5 75 2" xfId="7222"/>
    <cellStyle name="Accent5 75 2 2" xfId="7223"/>
    <cellStyle name="Accent5 75 3" xfId="7224"/>
    <cellStyle name="Accent5 75 3 2" xfId="7225"/>
    <cellStyle name="Accent5 75 3 2 2" xfId="7226"/>
    <cellStyle name="Accent5 75 3 3" xfId="7227"/>
    <cellStyle name="Accent5 75 4" xfId="7228"/>
    <cellStyle name="Accent5 76" xfId="7229"/>
    <cellStyle name="Accent5 76 2" xfId="7230"/>
    <cellStyle name="Accent5 76 2 2" xfId="7231"/>
    <cellStyle name="Accent5 76 3" xfId="7232"/>
    <cellStyle name="Accent5 76 3 2" xfId="7233"/>
    <cellStyle name="Accent5 76 3 2 2" xfId="7234"/>
    <cellStyle name="Accent5 76 3 3" xfId="7235"/>
    <cellStyle name="Accent5 76 4" xfId="7236"/>
    <cellStyle name="Accent5 77" xfId="7237"/>
    <cellStyle name="Accent5 77 2" xfId="7238"/>
    <cellStyle name="Accent5 77 2 2" xfId="7239"/>
    <cellStyle name="Accent5 77 3" xfId="7240"/>
    <cellStyle name="Accent5 77 3 2" xfId="7241"/>
    <cellStyle name="Accent5 77 3 2 2" xfId="7242"/>
    <cellStyle name="Accent5 77 3 3" xfId="7243"/>
    <cellStyle name="Accent5 77 4" xfId="7244"/>
    <cellStyle name="Accent5 78" xfId="7245"/>
    <cellStyle name="Accent5 78 2" xfId="7246"/>
    <cellStyle name="Accent5 78 2 2" xfId="7247"/>
    <cellStyle name="Accent5 78 3" xfId="7248"/>
    <cellStyle name="Accent5 78 3 2" xfId="7249"/>
    <cellStyle name="Accent5 78 3 2 2" xfId="7250"/>
    <cellStyle name="Accent5 78 3 3" xfId="7251"/>
    <cellStyle name="Accent5 78 4" xfId="7252"/>
    <cellStyle name="Accent5 79" xfId="7253"/>
    <cellStyle name="Accent5 79 2" xfId="7254"/>
    <cellStyle name="Accent5 79 2 2" xfId="7255"/>
    <cellStyle name="Accent5 79 3" xfId="7256"/>
    <cellStyle name="Accent5 79 3 2" xfId="7257"/>
    <cellStyle name="Accent5 79 3 2 2" xfId="7258"/>
    <cellStyle name="Accent5 79 3 3" xfId="7259"/>
    <cellStyle name="Accent5 79 4" xfId="7260"/>
    <cellStyle name="Accent5 8" xfId="7261"/>
    <cellStyle name="Accent5 8 2" xfId="7262"/>
    <cellStyle name="Accent5 8 2 2" xfId="7263"/>
    <cellStyle name="Accent5 8 3" xfId="7264"/>
    <cellStyle name="Accent5 80" xfId="7265"/>
    <cellStyle name="Accent5 80 2" xfId="7266"/>
    <cellStyle name="Accent5 80 2 2" xfId="7267"/>
    <cellStyle name="Accent5 80 3" xfId="7268"/>
    <cellStyle name="Accent5 80 3 2" xfId="7269"/>
    <cellStyle name="Accent5 80 3 2 2" xfId="7270"/>
    <cellStyle name="Accent5 80 3 3" xfId="7271"/>
    <cellStyle name="Accent5 80 4" xfId="7272"/>
    <cellStyle name="Accent5 81" xfId="7273"/>
    <cellStyle name="Accent5 81 2" xfId="7274"/>
    <cellStyle name="Accent5 81 2 2" xfId="7275"/>
    <cellStyle name="Accent5 81 3" xfId="7276"/>
    <cellStyle name="Accent5 81 3 2" xfId="7277"/>
    <cellStyle name="Accent5 81 3 2 2" xfId="7278"/>
    <cellStyle name="Accent5 81 3 3" xfId="7279"/>
    <cellStyle name="Accent5 81 4" xfId="7280"/>
    <cellStyle name="Accent5 82" xfId="7281"/>
    <cellStyle name="Accent5 82 2" xfId="7282"/>
    <cellStyle name="Accent5 82 2 2" xfId="7283"/>
    <cellStyle name="Accent5 82 3" xfId="7284"/>
    <cellStyle name="Accent5 82 3 2" xfId="7285"/>
    <cellStyle name="Accent5 82 3 2 2" xfId="7286"/>
    <cellStyle name="Accent5 82 3 3" xfId="7287"/>
    <cellStyle name="Accent5 82 4" xfId="7288"/>
    <cellStyle name="Accent5 83" xfId="7289"/>
    <cellStyle name="Accent5 83 2" xfId="7290"/>
    <cellStyle name="Accent5 83 2 2" xfId="7291"/>
    <cellStyle name="Accent5 83 3" xfId="7292"/>
    <cellStyle name="Accent5 83 3 2" xfId="7293"/>
    <cellStyle name="Accent5 83 3 2 2" xfId="7294"/>
    <cellStyle name="Accent5 83 3 3" xfId="7295"/>
    <cellStyle name="Accent5 83 4" xfId="7296"/>
    <cellStyle name="Accent5 84" xfId="7297"/>
    <cellStyle name="Accent5 84 2" xfId="7298"/>
    <cellStyle name="Accent5 84 2 2" xfId="7299"/>
    <cellStyle name="Accent5 84 3" xfId="7300"/>
    <cellStyle name="Accent5 85" xfId="7301"/>
    <cellStyle name="Accent5 85 2" xfId="7302"/>
    <cellStyle name="Accent5 85 2 2" xfId="7303"/>
    <cellStyle name="Accent5 85 3" xfId="7304"/>
    <cellStyle name="Accent5 86" xfId="7305"/>
    <cellStyle name="Accent5 86 2" xfId="7306"/>
    <cellStyle name="Accent5 86 2 2" xfId="7307"/>
    <cellStyle name="Accent5 86 3" xfId="7308"/>
    <cellStyle name="Accent5 87" xfId="7309"/>
    <cellStyle name="Accent5 87 2" xfId="7310"/>
    <cellStyle name="Accent5 87 2 2" xfId="7311"/>
    <cellStyle name="Accent5 87 3" xfId="7312"/>
    <cellStyle name="Accent5 88" xfId="7313"/>
    <cellStyle name="Accent5 88 2" xfId="7314"/>
    <cellStyle name="Accent5 88 2 2" xfId="7315"/>
    <cellStyle name="Accent5 88 3" xfId="7316"/>
    <cellStyle name="Accent5 89" xfId="7317"/>
    <cellStyle name="Accent5 89 2" xfId="7318"/>
    <cellStyle name="Accent5 89 2 2" xfId="7319"/>
    <cellStyle name="Accent5 89 3" xfId="7320"/>
    <cellStyle name="Accent5 9" xfId="7321"/>
    <cellStyle name="Accent5 9 2" xfId="7322"/>
    <cellStyle name="Accent5 9 2 2" xfId="7323"/>
    <cellStyle name="Accent5 9 3" xfId="7324"/>
    <cellStyle name="Accent5 90" xfId="7325"/>
    <cellStyle name="Accent5 90 2" xfId="7326"/>
    <cellStyle name="Accent5 90 2 2" xfId="7327"/>
    <cellStyle name="Accent5 90 3" xfId="7328"/>
    <cellStyle name="Accent5 91" xfId="7329"/>
    <cellStyle name="Accent5 91 2" xfId="7330"/>
    <cellStyle name="Accent5 91 2 2" xfId="7331"/>
    <cellStyle name="Accent5 91 3" xfId="7332"/>
    <cellStyle name="Accent5 92" xfId="7333"/>
    <cellStyle name="Accent5 92 2" xfId="7334"/>
    <cellStyle name="Accent5 92 2 2" xfId="7335"/>
    <cellStyle name="Accent5 92 3" xfId="7336"/>
    <cellStyle name="Accent5 93" xfId="7337"/>
    <cellStyle name="Accent5 93 2" xfId="7338"/>
    <cellStyle name="Accent5 93 2 2" xfId="7339"/>
    <cellStyle name="Accent5 93 3" xfId="7340"/>
    <cellStyle name="Accent5 94" xfId="7341"/>
    <cellStyle name="Accent5 94 2" xfId="7342"/>
    <cellStyle name="Accent5 94 2 2" xfId="7343"/>
    <cellStyle name="Accent5 94 3" xfId="7344"/>
    <cellStyle name="Accent5 95" xfId="7345"/>
    <cellStyle name="Accent5 95 2" xfId="7346"/>
    <cellStyle name="Accent5 95 2 2" xfId="7347"/>
    <cellStyle name="Accent5 95 3" xfId="7348"/>
    <cellStyle name="Accent5 96" xfId="7349"/>
    <cellStyle name="Accent5 96 2" xfId="7350"/>
    <cellStyle name="Accent5 96 2 2" xfId="7351"/>
    <cellStyle name="Accent5 96 3" xfId="7352"/>
    <cellStyle name="Accent5 97" xfId="7353"/>
    <cellStyle name="Accent5 97 2" xfId="7354"/>
    <cellStyle name="Accent5 97 2 2" xfId="7355"/>
    <cellStyle name="Accent5 97 3" xfId="7356"/>
    <cellStyle name="Accent5 98" xfId="7357"/>
    <cellStyle name="Accent5 98 2" xfId="7358"/>
    <cellStyle name="Accent5 98 2 2" xfId="7359"/>
    <cellStyle name="Accent5 98 3" xfId="7360"/>
    <cellStyle name="Accent5 99" xfId="7361"/>
    <cellStyle name="Accent5 99 2" xfId="7362"/>
    <cellStyle name="Accent5 99 2 2" xfId="7363"/>
    <cellStyle name="Accent5 99 3" xfId="7364"/>
    <cellStyle name="Accent6 - 20%" xfId="16"/>
    <cellStyle name="Accent6 - 20% 2" xfId="7365"/>
    <cellStyle name="Accent6 - 20% 2 2" xfId="7366"/>
    <cellStyle name="Accent6 - 20% 2 2 2" xfId="7367"/>
    <cellStyle name="Accent6 - 20% 2 2 2 2" xfId="7368"/>
    <cellStyle name="Accent6 - 20% 2 2 3" xfId="7369"/>
    <cellStyle name="Accent6 - 20% 2 3" xfId="7370"/>
    <cellStyle name="Accent6 - 20% 2 3 2" xfId="7371"/>
    <cellStyle name="Accent6 - 20% 2 3 2 2" xfId="7372"/>
    <cellStyle name="Accent6 - 20% 2 3 2 2 2" xfId="7373"/>
    <cellStyle name="Accent6 - 20% 2 3 2 3" xfId="7374"/>
    <cellStyle name="Accent6 - 20% 2 3 3" xfId="7375"/>
    <cellStyle name="Accent6 - 20% 2 3 3 2" xfId="7376"/>
    <cellStyle name="Accent6 - 20% 2 3 4" xfId="7377"/>
    <cellStyle name="Accent6 - 20% 2 4" xfId="7378"/>
    <cellStyle name="Accent6 - 20% 2 4 2" xfId="7379"/>
    <cellStyle name="Accent6 - 20% 2 5" xfId="7380"/>
    <cellStyle name="Accent6 - 20% 2 5 2" xfId="7381"/>
    <cellStyle name="Accent6 - 20% 2 6" xfId="7382"/>
    <cellStyle name="Accent6 - 20% 3" xfId="7383"/>
    <cellStyle name="Accent6 - 20% 3 2" xfId="7384"/>
    <cellStyle name="Accent6 - 20% 3 2 2" xfId="7385"/>
    <cellStyle name="Accent6 - 20% 3 2 2 2" xfId="7386"/>
    <cellStyle name="Accent6 - 20% 3 2 3" xfId="7387"/>
    <cellStyle name="Accent6 - 20% 3 3" xfId="7388"/>
    <cellStyle name="Accent6 - 20% 3 3 2" xfId="7389"/>
    <cellStyle name="Accent6 - 20% 3 4" xfId="7390"/>
    <cellStyle name="Accent6 - 20% 4" xfId="7391"/>
    <cellStyle name="Accent6 - 20% 4 2" xfId="7392"/>
    <cellStyle name="Accent6 - 20% 4 2 2" xfId="7393"/>
    <cellStyle name="Accent6 - 20% 4 3" xfId="7394"/>
    <cellStyle name="Accent6 - 20% 5" xfId="7395"/>
    <cellStyle name="Accent6 - 20% 5 2" xfId="7396"/>
    <cellStyle name="Accent6 - 20% 6" xfId="7397"/>
    <cellStyle name="Accent6 - 20% 6 2" xfId="7398"/>
    <cellStyle name="Accent6 - 20% 7" xfId="7399"/>
    <cellStyle name="Accent6 - 20% 8" xfId="7400"/>
    <cellStyle name="Accent6 - 40%" xfId="17"/>
    <cellStyle name="Accent6 - 40% 10" xfId="7401"/>
    <cellStyle name="Accent6 - 40% 11" xfId="7402"/>
    <cellStyle name="Accent6 - 40% 2" xfId="7403"/>
    <cellStyle name="Accent6 - 40% 2 2" xfId="7404"/>
    <cellStyle name="Accent6 - 40% 2 2 2" xfId="7405"/>
    <cellStyle name="Accent6 - 40% 2 2 2 2" xfId="7406"/>
    <cellStyle name="Accent6 - 40% 2 2 3" xfId="7407"/>
    <cellStyle name="Accent6 - 40% 2 3" xfId="7408"/>
    <cellStyle name="Accent6 - 40% 2 3 2" xfId="7409"/>
    <cellStyle name="Accent6 - 40% 2 3 2 2" xfId="7410"/>
    <cellStyle name="Accent6 - 40% 2 3 2 2 2" xfId="7411"/>
    <cellStyle name="Accent6 - 40% 2 3 2 3" xfId="7412"/>
    <cellStyle name="Accent6 - 40% 2 3 3" xfId="7413"/>
    <cellStyle name="Accent6 - 40% 2 3 3 2" xfId="7414"/>
    <cellStyle name="Accent6 - 40% 2 3 4" xfId="7415"/>
    <cellStyle name="Accent6 - 40% 2 4" xfId="7416"/>
    <cellStyle name="Accent6 - 40% 2 4 2" xfId="7417"/>
    <cellStyle name="Accent6 - 40% 2 4 2 2" xfId="7418"/>
    <cellStyle name="Accent6 - 40% 2 4 2 2 2" xfId="7419"/>
    <cellStyle name="Accent6 - 40% 2 4 2 3" xfId="7420"/>
    <cellStyle name="Accent6 - 40% 2 4 3" xfId="7421"/>
    <cellStyle name="Accent6 - 40% 2 4 3 2" xfId="7422"/>
    <cellStyle name="Accent6 - 40% 2 4 4" xfId="7423"/>
    <cellStyle name="Accent6 - 40% 2 5" xfId="7424"/>
    <cellStyle name="Accent6 - 40% 2 5 2" xfId="7425"/>
    <cellStyle name="Accent6 - 40% 2 6" xfId="7426"/>
    <cellStyle name="Accent6 - 40% 2 6 2" xfId="7427"/>
    <cellStyle name="Accent6 - 40% 2 7" xfId="7428"/>
    <cellStyle name="Accent6 - 40% 3" xfId="7429"/>
    <cellStyle name="Accent6 - 40% 3 2" xfId="7430"/>
    <cellStyle name="Accent6 - 40% 3 2 2" xfId="7431"/>
    <cellStyle name="Accent6 - 40% 3 2 2 2" xfId="7432"/>
    <cellStyle name="Accent6 - 40% 3 2 3" xfId="7433"/>
    <cellStyle name="Accent6 - 40% 3 3" xfId="7434"/>
    <cellStyle name="Accent6 - 40% 3 3 2" xfId="7435"/>
    <cellStyle name="Accent6 - 40% 3 4" xfId="7436"/>
    <cellStyle name="Accent6 - 40% 4" xfId="7437"/>
    <cellStyle name="Accent6 - 40% 4 2" xfId="7438"/>
    <cellStyle name="Accent6 - 40% 4 2 2" xfId="7439"/>
    <cellStyle name="Accent6 - 40% 4 3" xfId="7440"/>
    <cellStyle name="Accent6 - 40% 5" xfId="7441"/>
    <cellStyle name="Accent6 - 40% 5 2" xfId="7442"/>
    <cellStyle name="Accent6 - 40% 5 2 2" xfId="7443"/>
    <cellStyle name="Accent6 - 40% 5 3" xfId="7444"/>
    <cellStyle name="Accent6 - 40% 6" xfId="7445"/>
    <cellStyle name="Accent6 - 40% 6 2" xfId="7446"/>
    <cellStyle name="Accent6 - 40% 7" xfId="7447"/>
    <cellStyle name="Accent6 - 40% 7 2" xfId="7448"/>
    <cellStyle name="Accent6 - 40% 8" xfId="7449"/>
    <cellStyle name="Accent6 - 40% 8 2" xfId="7450"/>
    <cellStyle name="Accent6 - 40% 9" xfId="7451"/>
    <cellStyle name="Accent6 - 40% 9 2" xfId="7452"/>
    <cellStyle name="Accent6 - 60%" xfId="18"/>
    <cellStyle name="Accent6 - 60% 10" xfId="7453"/>
    <cellStyle name="Accent6 - 60% 2" xfId="7454"/>
    <cellStyle name="Accent6 - 60% 2 2" xfId="7455"/>
    <cellStyle name="Accent6 - 60% 2 2 2" xfId="7456"/>
    <cellStyle name="Accent6 - 60% 2 3" xfId="7457"/>
    <cellStyle name="Accent6 - 60% 2 3 2" xfId="7458"/>
    <cellStyle name="Accent6 - 60% 2 3 2 2" xfId="7459"/>
    <cellStyle name="Accent6 - 60% 2 3 3" xfId="7460"/>
    <cellStyle name="Accent6 - 60% 2 4" xfId="7461"/>
    <cellStyle name="Accent6 - 60% 2 4 2" xfId="7462"/>
    <cellStyle name="Accent6 - 60% 2 4 2 2" xfId="7463"/>
    <cellStyle name="Accent6 - 60% 2 4 3" xfId="7464"/>
    <cellStyle name="Accent6 - 60% 2 5" xfId="7465"/>
    <cellStyle name="Accent6 - 60% 3" xfId="7466"/>
    <cellStyle name="Accent6 - 60% 3 2" xfId="7467"/>
    <cellStyle name="Accent6 - 60% 3 2 2" xfId="7468"/>
    <cellStyle name="Accent6 - 60% 3 3" xfId="7469"/>
    <cellStyle name="Accent6 - 60% 4" xfId="7470"/>
    <cellStyle name="Accent6 - 60% 4 2" xfId="7471"/>
    <cellStyle name="Accent6 - 60% 5" xfId="7472"/>
    <cellStyle name="Accent6 - 60% 5 2" xfId="7473"/>
    <cellStyle name="Accent6 - 60% 6" xfId="7474"/>
    <cellStyle name="Accent6 - 60% 6 2" xfId="7475"/>
    <cellStyle name="Accent6 - 60% 6 2 2" xfId="7476"/>
    <cellStyle name="Accent6 - 60% 6 3" xfId="7477"/>
    <cellStyle name="Accent6 - 60% 7" xfId="7478"/>
    <cellStyle name="Accent6 - 60% 7 2" xfId="7479"/>
    <cellStyle name="Accent6 - 60% 8" xfId="7480"/>
    <cellStyle name="Accent6 - 60% 8 2" xfId="7481"/>
    <cellStyle name="Accent6 - 60% 9" xfId="7482"/>
    <cellStyle name="Accent6 10" xfId="7483"/>
    <cellStyle name="Accent6 10 2" xfId="7484"/>
    <cellStyle name="Accent6 10 2 2" xfId="7485"/>
    <cellStyle name="Accent6 10 3" xfId="7486"/>
    <cellStyle name="Accent6 100" xfId="7487"/>
    <cellStyle name="Accent6 100 2" xfId="7488"/>
    <cellStyle name="Accent6 100 2 2" xfId="7489"/>
    <cellStyle name="Accent6 100 3" xfId="7490"/>
    <cellStyle name="Accent6 101" xfId="7491"/>
    <cellStyle name="Accent6 101 2" xfId="7492"/>
    <cellStyle name="Accent6 101 2 2" xfId="7493"/>
    <cellStyle name="Accent6 101 3" xfId="7494"/>
    <cellStyle name="Accent6 102" xfId="7495"/>
    <cellStyle name="Accent6 102 2" xfId="7496"/>
    <cellStyle name="Accent6 103" xfId="7497"/>
    <cellStyle name="Accent6 103 2" xfId="7498"/>
    <cellStyle name="Accent6 104" xfId="7499"/>
    <cellStyle name="Accent6 104 2" xfId="7500"/>
    <cellStyle name="Accent6 104 2 2" xfId="7501"/>
    <cellStyle name="Accent6 104 3" xfId="7502"/>
    <cellStyle name="Accent6 105" xfId="7503"/>
    <cellStyle name="Accent6 105 2" xfId="7504"/>
    <cellStyle name="Accent6 105 2 2" xfId="7505"/>
    <cellStyle name="Accent6 105 3" xfId="7506"/>
    <cellStyle name="Accent6 106" xfId="7507"/>
    <cellStyle name="Accent6 106 2" xfId="7508"/>
    <cellStyle name="Accent6 106 2 2" xfId="7509"/>
    <cellStyle name="Accent6 106 3" xfId="7510"/>
    <cellStyle name="Accent6 107" xfId="7511"/>
    <cellStyle name="Accent6 107 2" xfId="7512"/>
    <cellStyle name="Accent6 107 2 2" xfId="7513"/>
    <cellStyle name="Accent6 107 3" xfId="7514"/>
    <cellStyle name="Accent6 108" xfId="7515"/>
    <cellStyle name="Accent6 108 2" xfId="7516"/>
    <cellStyle name="Accent6 108 2 2" xfId="7517"/>
    <cellStyle name="Accent6 108 3" xfId="7518"/>
    <cellStyle name="Accent6 109" xfId="7519"/>
    <cellStyle name="Accent6 109 2" xfId="7520"/>
    <cellStyle name="Accent6 109 2 2" xfId="7521"/>
    <cellStyle name="Accent6 109 3" xfId="7522"/>
    <cellStyle name="Accent6 11" xfId="7523"/>
    <cellStyle name="Accent6 11 2" xfId="7524"/>
    <cellStyle name="Accent6 11 2 2" xfId="7525"/>
    <cellStyle name="Accent6 11 3" xfId="7526"/>
    <cellStyle name="Accent6 110" xfId="7527"/>
    <cellStyle name="Accent6 110 2" xfId="7528"/>
    <cellStyle name="Accent6 110 2 2" xfId="7529"/>
    <cellStyle name="Accent6 110 3" xfId="7530"/>
    <cellStyle name="Accent6 111" xfId="7531"/>
    <cellStyle name="Accent6 111 2" xfId="7532"/>
    <cellStyle name="Accent6 111 2 2" xfId="7533"/>
    <cellStyle name="Accent6 111 3" xfId="7534"/>
    <cellStyle name="Accent6 112" xfId="7535"/>
    <cellStyle name="Accent6 112 2" xfId="7536"/>
    <cellStyle name="Accent6 112 2 2" xfId="7537"/>
    <cellStyle name="Accent6 112 3" xfId="7538"/>
    <cellStyle name="Accent6 113" xfId="7539"/>
    <cellStyle name="Accent6 113 2" xfId="7540"/>
    <cellStyle name="Accent6 113 2 2" xfId="7541"/>
    <cellStyle name="Accent6 113 3" xfId="7542"/>
    <cellStyle name="Accent6 114" xfId="7543"/>
    <cellStyle name="Accent6 114 2" xfId="7544"/>
    <cellStyle name="Accent6 115" xfId="7545"/>
    <cellStyle name="Accent6 115 2" xfId="7546"/>
    <cellStyle name="Accent6 116" xfId="7547"/>
    <cellStyle name="Accent6 116 2" xfId="7548"/>
    <cellStyle name="Accent6 117" xfId="7549"/>
    <cellStyle name="Accent6 117 2" xfId="7550"/>
    <cellStyle name="Accent6 118" xfId="7551"/>
    <cellStyle name="Accent6 118 2" xfId="7552"/>
    <cellStyle name="Accent6 119" xfId="7553"/>
    <cellStyle name="Accent6 119 2" xfId="7554"/>
    <cellStyle name="Accent6 12" xfId="7555"/>
    <cellStyle name="Accent6 12 2" xfId="7556"/>
    <cellStyle name="Accent6 12 2 2" xfId="7557"/>
    <cellStyle name="Accent6 12 3" xfId="7558"/>
    <cellStyle name="Accent6 120" xfId="7559"/>
    <cellStyle name="Accent6 120 2" xfId="7560"/>
    <cellStyle name="Accent6 121" xfId="7561"/>
    <cellStyle name="Accent6 121 2" xfId="7562"/>
    <cellStyle name="Accent6 122" xfId="7563"/>
    <cellStyle name="Accent6 122 2" xfId="7564"/>
    <cellStyle name="Accent6 123" xfId="7565"/>
    <cellStyle name="Accent6 123 2" xfId="7566"/>
    <cellStyle name="Accent6 124" xfId="7567"/>
    <cellStyle name="Accent6 124 2" xfId="7568"/>
    <cellStyle name="Accent6 125" xfId="7569"/>
    <cellStyle name="Accent6 125 2" xfId="7570"/>
    <cellStyle name="Accent6 126" xfId="7571"/>
    <cellStyle name="Accent6 127" xfId="7572"/>
    <cellStyle name="Accent6 128" xfId="7573"/>
    <cellStyle name="Accent6 129" xfId="7574"/>
    <cellStyle name="Accent6 13" xfId="7575"/>
    <cellStyle name="Accent6 13 2" xfId="7576"/>
    <cellStyle name="Accent6 13 2 2" xfId="7577"/>
    <cellStyle name="Accent6 13 3" xfId="7578"/>
    <cellStyle name="Accent6 130" xfId="7579"/>
    <cellStyle name="Accent6 131" xfId="7580"/>
    <cellStyle name="Accent6 132" xfId="7581"/>
    <cellStyle name="Accent6 133" xfId="7582"/>
    <cellStyle name="Accent6 134" xfId="7583"/>
    <cellStyle name="Accent6 135" xfId="7584"/>
    <cellStyle name="Accent6 136" xfId="7585"/>
    <cellStyle name="Accent6 137" xfId="7586"/>
    <cellStyle name="Accent6 138" xfId="7587"/>
    <cellStyle name="Accent6 139" xfId="7588"/>
    <cellStyle name="Accent6 14" xfId="7589"/>
    <cellStyle name="Accent6 14 2" xfId="7590"/>
    <cellStyle name="Accent6 14 2 2" xfId="7591"/>
    <cellStyle name="Accent6 14 3" xfId="7592"/>
    <cellStyle name="Accent6 140" xfId="7593"/>
    <cellStyle name="Accent6 141" xfId="7594"/>
    <cellStyle name="Accent6 142" xfId="7595"/>
    <cellStyle name="Accent6 143" xfId="7596"/>
    <cellStyle name="Accent6 144" xfId="7597"/>
    <cellStyle name="Accent6 145" xfId="7598"/>
    <cellStyle name="Accent6 146" xfId="7599"/>
    <cellStyle name="Accent6 147" xfId="7600"/>
    <cellStyle name="Accent6 148" xfId="7601"/>
    <cellStyle name="Accent6 149" xfId="7602"/>
    <cellStyle name="Accent6 15" xfId="7603"/>
    <cellStyle name="Accent6 15 2" xfId="7604"/>
    <cellStyle name="Accent6 15 2 2" xfId="7605"/>
    <cellStyle name="Accent6 15 3" xfId="7606"/>
    <cellStyle name="Accent6 150" xfId="7607"/>
    <cellStyle name="Accent6 151" xfId="7608"/>
    <cellStyle name="Accent6 152" xfId="7609"/>
    <cellStyle name="Accent6 153" xfId="7610"/>
    <cellStyle name="Accent6 154" xfId="7611"/>
    <cellStyle name="Accent6 155" xfId="7612"/>
    <cellStyle name="Accent6 156" xfId="7613"/>
    <cellStyle name="Accent6 157" xfId="7614"/>
    <cellStyle name="Accent6 158" xfId="7615"/>
    <cellStyle name="Accent6 159" xfId="7616"/>
    <cellStyle name="Accent6 16" xfId="7617"/>
    <cellStyle name="Accent6 16 2" xfId="7618"/>
    <cellStyle name="Accent6 16 2 2" xfId="7619"/>
    <cellStyle name="Accent6 16 3" xfId="7620"/>
    <cellStyle name="Accent6 160" xfId="7621"/>
    <cellStyle name="Accent6 161" xfId="7622"/>
    <cellStyle name="Accent6 162" xfId="7623"/>
    <cellStyle name="Accent6 163" xfId="7624"/>
    <cellStyle name="Accent6 164" xfId="7625"/>
    <cellStyle name="Accent6 165" xfId="7626"/>
    <cellStyle name="Accent6 166" xfId="7627"/>
    <cellStyle name="Accent6 167" xfId="7628"/>
    <cellStyle name="Accent6 168" xfId="7629"/>
    <cellStyle name="Accent6 169" xfId="7630"/>
    <cellStyle name="Accent6 17" xfId="7631"/>
    <cellStyle name="Accent6 17 2" xfId="7632"/>
    <cellStyle name="Accent6 17 2 2" xfId="7633"/>
    <cellStyle name="Accent6 17 3" xfId="7634"/>
    <cellStyle name="Accent6 170" xfId="7635"/>
    <cellStyle name="Accent6 171" xfId="7636"/>
    <cellStyle name="Accent6 172" xfId="7637"/>
    <cellStyle name="Accent6 173" xfId="7638"/>
    <cellStyle name="Accent6 174" xfId="7639"/>
    <cellStyle name="Accent6 175" xfId="7640"/>
    <cellStyle name="Accent6 176" xfId="7641"/>
    <cellStyle name="Accent6 177" xfId="7642"/>
    <cellStyle name="Accent6 178" xfId="7643"/>
    <cellStyle name="Accent6 179" xfId="7644"/>
    <cellStyle name="Accent6 18" xfId="7645"/>
    <cellStyle name="Accent6 18 2" xfId="7646"/>
    <cellStyle name="Accent6 18 2 2" xfId="7647"/>
    <cellStyle name="Accent6 18 3" xfId="7648"/>
    <cellStyle name="Accent6 19" xfId="7649"/>
    <cellStyle name="Accent6 19 2" xfId="7650"/>
    <cellStyle name="Accent6 19 2 2" xfId="7651"/>
    <cellStyle name="Accent6 19 3" xfId="7652"/>
    <cellStyle name="Accent6 2" xfId="7653"/>
    <cellStyle name="Accent6 2 10" xfId="7654"/>
    <cellStyle name="Accent6 2 10 2" xfId="7655"/>
    <cellStyle name="Accent6 2 11" xfId="7656"/>
    <cellStyle name="Accent6 2 12" xfId="7657"/>
    <cellStyle name="Accent6 2 2" xfId="7658"/>
    <cellStyle name="Accent6 2 2 2" xfId="7659"/>
    <cellStyle name="Accent6 2 2 2 2" xfId="7660"/>
    <cellStyle name="Accent6 2 2 3" xfId="7661"/>
    <cellStyle name="Accent6 2 2 3 2" xfId="7662"/>
    <cellStyle name="Accent6 2 2 3 2 2" xfId="7663"/>
    <cellStyle name="Accent6 2 2 3 3" xfId="7664"/>
    <cellStyle name="Accent6 2 2 4" xfId="7665"/>
    <cellStyle name="Accent6 2 3" xfId="7666"/>
    <cellStyle name="Accent6 2 3 2" xfId="7667"/>
    <cellStyle name="Accent6 2 3 2 2" xfId="7668"/>
    <cellStyle name="Accent6 2 3 3" xfId="7669"/>
    <cellStyle name="Accent6 2 3 3 2" xfId="7670"/>
    <cellStyle name="Accent6 2 3 3 2 2" xfId="7671"/>
    <cellStyle name="Accent6 2 3 3 3" xfId="7672"/>
    <cellStyle name="Accent6 2 3 4" xfId="7673"/>
    <cellStyle name="Accent6 2 4" xfId="7674"/>
    <cellStyle name="Accent6 2 4 2" xfId="7675"/>
    <cellStyle name="Accent6 2 4 2 2" xfId="7676"/>
    <cellStyle name="Accent6 2 4 3" xfId="7677"/>
    <cellStyle name="Accent6 2 5" xfId="7678"/>
    <cellStyle name="Accent6 2 5 2" xfId="7679"/>
    <cellStyle name="Accent6 2 5 2 2" xfId="7680"/>
    <cellStyle name="Accent6 2 5 3" xfId="7681"/>
    <cellStyle name="Accent6 2 5 3 2" xfId="7682"/>
    <cellStyle name="Accent6 2 5 3 2 2" xfId="7683"/>
    <cellStyle name="Accent6 2 5 3 3" xfId="7684"/>
    <cellStyle name="Accent6 2 5 4" xfId="7685"/>
    <cellStyle name="Accent6 2 6" xfId="7686"/>
    <cellStyle name="Accent6 2 6 2" xfId="7687"/>
    <cellStyle name="Accent6 2 6 2 2" xfId="7688"/>
    <cellStyle name="Accent6 2 6 3" xfId="7689"/>
    <cellStyle name="Accent6 2 6 3 2" xfId="7690"/>
    <cellStyle name="Accent6 2 6 4" xfId="7691"/>
    <cellStyle name="Accent6 2 7" xfId="7692"/>
    <cellStyle name="Accent6 2 7 2" xfId="7693"/>
    <cellStyle name="Accent6 2 8" xfId="7694"/>
    <cellStyle name="Accent6 2 8 2" xfId="7695"/>
    <cellStyle name="Accent6 2 8 2 2" xfId="7696"/>
    <cellStyle name="Accent6 2 8 3" xfId="7697"/>
    <cellStyle name="Accent6 2 9" xfId="7698"/>
    <cellStyle name="Accent6 2 9 2" xfId="7699"/>
    <cellStyle name="Accent6 2 9 2 2" xfId="7700"/>
    <cellStyle name="Accent6 2 9 3" xfId="7701"/>
    <cellStyle name="Accent6 20" xfId="7702"/>
    <cellStyle name="Accent6 20 2" xfId="7703"/>
    <cellStyle name="Accent6 20 2 2" xfId="7704"/>
    <cellStyle name="Accent6 20 3" xfId="7705"/>
    <cellStyle name="Accent6 21" xfId="7706"/>
    <cellStyle name="Accent6 21 2" xfId="7707"/>
    <cellStyle name="Accent6 21 2 2" xfId="7708"/>
    <cellStyle name="Accent6 21 3" xfId="7709"/>
    <cellStyle name="Accent6 22" xfId="7710"/>
    <cellStyle name="Accent6 22 2" xfId="7711"/>
    <cellStyle name="Accent6 22 2 2" xfId="7712"/>
    <cellStyle name="Accent6 22 3" xfId="7713"/>
    <cellStyle name="Accent6 23" xfId="7714"/>
    <cellStyle name="Accent6 23 2" xfId="7715"/>
    <cellStyle name="Accent6 23 2 2" xfId="7716"/>
    <cellStyle name="Accent6 23 3" xfId="7717"/>
    <cellStyle name="Accent6 24" xfId="7718"/>
    <cellStyle name="Accent6 24 2" xfId="7719"/>
    <cellStyle name="Accent6 24 2 2" xfId="7720"/>
    <cellStyle name="Accent6 24 3" xfId="7721"/>
    <cellStyle name="Accent6 25" xfId="7722"/>
    <cellStyle name="Accent6 25 2" xfId="7723"/>
    <cellStyle name="Accent6 25 2 2" xfId="7724"/>
    <cellStyle name="Accent6 25 3" xfId="7725"/>
    <cellStyle name="Accent6 26" xfId="7726"/>
    <cellStyle name="Accent6 26 2" xfId="7727"/>
    <cellStyle name="Accent6 26 2 2" xfId="7728"/>
    <cellStyle name="Accent6 26 3" xfId="7729"/>
    <cellStyle name="Accent6 27" xfId="7730"/>
    <cellStyle name="Accent6 27 2" xfId="7731"/>
    <cellStyle name="Accent6 27 2 2" xfId="7732"/>
    <cellStyle name="Accent6 27 3" xfId="7733"/>
    <cellStyle name="Accent6 28" xfId="7734"/>
    <cellStyle name="Accent6 28 2" xfId="7735"/>
    <cellStyle name="Accent6 28 2 2" xfId="7736"/>
    <cellStyle name="Accent6 28 3" xfId="7737"/>
    <cellStyle name="Accent6 29" xfId="7738"/>
    <cellStyle name="Accent6 29 2" xfId="7739"/>
    <cellStyle name="Accent6 29 2 2" xfId="7740"/>
    <cellStyle name="Accent6 29 3" xfId="7741"/>
    <cellStyle name="Accent6 3" xfId="7742"/>
    <cellStyle name="Accent6 3 10" xfId="7743"/>
    <cellStyle name="Accent6 3 10 2" xfId="7744"/>
    <cellStyle name="Accent6 3 10 2 2" xfId="7745"/>
    <cellStyle name="Accent6 3 10 3" xfId="7746"/>
    <cellStyle name="Accent6 3 11" xfId="7747"/>
    <cellStyle name="Accent6 3 11 2" xfId="7748"/>
    <cellStyle name="Accent6 3 12" xfId="7749"/>
    <cellStyle name="Accent6 3 2" xfId="7750"/>
    <cellStyle name="Accent6 3 2 2" xfId="7751"/>
    <cellStyle name="Accent6 3 2 2 2" xfId="7752"/>
    <cellStyle name="Accent6 3 2 3" xfId="7753"/>
    <cellStyle name="Accent6 3 2 3 2" xfId="7754"/>
    <cellStyle name="Accent6 3 2 3 2 2" xfId="7755"/>
    <cellStyle name="Accent6 3 2 3 3" xfId="7756"/>
    <cellStyle name="Accent6 3 2 4" xfId="7757"/>
    <cellStyle name="Accent6 3 3" xfId="7758"/>
    <cellStyle name="Accent6 3 3 2" xfId="7759"/>
    <cellStyle name="Accent6 3 3 2 2" xfId="7760"/>
    <cellStyle name="Accent6 3 3 3" xfId="7761"/>
    <cellStyle name="Accent6 3 3 3 2" xfId="7762"/>
    <cellStyle name="Accent6 3 3 3 2 2" xfId="7763"/>
    <cellStyle name="Accent6 3 3 3 3" xfId="7764"/>
    <cellStyle name="Accent6 3 3 4" xfId="7765"/>
    <cellStyle name="Accent6 3 4" xfId="7766"/>
    <cellStyle name="Accent6 3 4 2" xfId="7767"/>
    <cellStyle name="Accent6 3 4 2 2" xfId="7768"/>
    <cellStyle name="Accent6 3 4 3" xfId="7769"/>
    <cellStyle name="Accent6 3 5" xfId="7770"/>
    <cellStyle name="Accent6 3 5 2" xfId="7771"/>
    <cellStyle name="Accent6 3 5 2 2" xfId="7772"/>
    <cellStyle name="Accent6 3 5 3" xfId="7773"/>
    <cellStyle name="Accent6 3 5 3 2" xfId="7774"/>
    <cellStyle name="Accent6 3 5 3 2 2" xfId="7775"/>
    <cellStyle name="Accent6 3 5 3 3" xfId="7776"/>
    <cellStyle name="Accent6 3 5 4" xfId="7777"/>
    <cellStyle name="Accent6 3 6" xfId="7778"/>
    <cellStyle name="Accent6 3 6 2" xfId="7779"/>
    <cellStyle name="Accent6 3 7" xfId="7780"/>
    <cellStyle name="Accent6 3 7 2" xfId="7781"/>
    <cellStyle name="Accent6 3 8" xfId="7782"/>
    <cellStyle name="Accent6 3 8 2" xfId="7783"/>
    <cellStyle name="Accent6 3 8 2 2" xfId="7784"/>
    <cellStyle name="Accent6 3 8 3" xfId="7785"/>
    <cellStyle name="Accent6 3 9" xfId="7786"/>
    <cellStyle name="Accent6 3 9 2" xfId="7787"/>
    <cellStyle name="Accent6 3 9 2 2" xfId="7788"/>
    <cellStyle name="Accent6 3 9 3" xfId="7789"/>
    <cellStyle name="Accent6 30" xfId="7790"/>
    <cellStyle name="Accent6 30 2" xfId="7791"/>
    <cellStyle name="Accent6 30 2 2" xfId="7792"/>
    <cellStyle name="Accent6 30 3" xfId="7793"/>
    <cellStyle name="Accent6 31" xfId="7794"/>
    <cellStyle name="Accent6 31 2" xfId="7795"/>
    <cellStyle name="Accent6 31 2 2" xfId="7796"/>
    <cellStyle name="Accent6 31 3" xfId="7797"/>
    <cellStyle name="Accent6 32" xfId="7798"/>
    <cellStyle name="Accent6 32 2" xfId="7799"/>
    <cellStyle name="Accent6 32 2 2" xfId="7800"/>
    <cellStyle name="Accent6 32 3" xfId="7801"/>
    <cellStyle name="Accent6 33" xfId="7802"/>
    <cellStyle name="Accent6 33 2" xfId="7803"/>
    <cellStyle name="Accent6 33 2 2" xfId="7804"/>
    <cellStyle name="Accent6 33 3" xfId="7805"/>
    <cellStyle name="Accent6 34" xfId="7806"/>
    <cellStyle name="Accent6 34 2" xfId="7807"/>
    <cellStyle name="Accent6 34 2 2" xfId="7808"/>
    <cellStyle name="Accent6 34 3" xfId="7809"/>
    <cellStyle name="Accent6 35" xfId="7810"/>
    <cellStyle name="Accent6 35 2" xfId="7811"/>
    <cellStyle name="Accent6 35 2 2" xfId="7812"/>
    <cellStyle name="Accent6 35 3" xfId="7813"/>
    <cellStyle name="Accent6 36" xfId="7814"/>
    <cellStyle name="Accent6 36 2" xfId="7815"/>
    <cellStyle name="Accent6 36 2 2" xfId="7816"/>
    <cellStyle name="Accent6 36 3" xfId="7817"/>
    <cellStyle name="Accent6 37" xfId="7818"/>
    <cellStyle name="Accent6 37 2" xfId="7819"/>
    <cellStyle name="Accent6 37 2 2" xfId="7820"/>
    <cellStyle name="Accent6 37 3" xfId="7821"/>
    <cellStyle name="Accent6 38" xfId="7822"/>
    <cellStyle name="Accent6 38 2" xfId="7823"/>
    <cellStyle name="Accent6 38 2 2" xfId="7824"/>
    <cellStyle name="Accent6 38 3" xfId="7825"/>
    <cellStyle name="Accent6 39" xfId="7826"/>
    <cellStyle name="Accent6 39 2" xfId="7827"/>
    <cellStyle name="Accent6 39 2 2" xfId="7828"/>
    <cellStyle name="Accent6 39 3" xfId="7829"/>
    <cellStyle name="Accent6 4" xfId="7830"/>
    <cellStyle name="Accent6 4 2" xfId="7831"/>
    <cellStyle name="Accent6 4 2 2" xfId="7832"/>
    <cellStyle name="Accent6 4 2 2 2" xfId="7833"/>
    <cellStyle name="Accent6 4 2 3" xfId="7834"/>
    <cellStyle name="Accent6 4 2 3 2" xfId="7835"/>
    <cellStyle name="Accent6 4 2 3 2 2" xfId="7836"/>
    <cellStyle name="Accent6 4 2 3 3" xfId="7837"/>
    <cellStyle name="Accent6 4 2 4" xfId="7838"/>
    <cellStyle name="Accent6 4 3" xfId="7839"/>
    <cellStyle name="Accent6 4 3 2" xfId="7840"/>
    <cellStyle name="Accent6 4 3 2 2" xfId="7841"/>
    <cellStyle name="Accent6 4 3 3" xfId="7842"/>
    <cellStyle name="Accent6 4 3 3 2" xfId="7843"/>
    <cellStyle name="Accent6 4 3 3 2 2" xfId="7844"/>
    <cellStyle name="Accent6 4 3 3 3" xfId="7845"/>
    <cellStyle name="Accent6 4 3 4" xfId="7846"/>
    <cellStyle name="Accent6 4 4" xfId="7847"/>
    <cellStyle name="Accent6 4 4 2" xfId="7848"/>
    <cellStyle name="Accent6 4 4 2 2" xfId="7849"/>
    <cellStyle name="Accent6 4 4 3" xfId="7850"/>
    <cellStyle name="Accent6 4 5" xfId="7851"/>
    <cellStyle name="Accent6 4 5 2" xfId="7852"/>
    <cellStyle name="Accent6 4 6" xfId="7853"/>
    <cellStyle name="Accent6 4 6 2" xfId="7854"/>
    <cellStyle name="Accent6 4 6 2 2" xfId="7855"/>
    <cellStyle name="Accent6 4 6 3" xfId="7856"/>
    <cellStyle name="Accent6 4 7" xfId="7857"/>
    <cellStyle name="Accent6 4 7 2" xfId="7858"/>
    <cellStyle name="Accent6 4 7 2 2" xfId="7859"/>
    <cellStyle name="Accent6 4 7 3" xfId="7860"/>
    <cellStyle name="Accent6 4 8" xfId="7861"/>
    <cellStyle name="Accent6 40" xfId="7862"/>
    <cellStyle name="Accent6 40 2" xfId="7863"/>
    <cellStyle name="Accent6 40 2 2" xfId="7864"/>
    <cellStyle name="Accent6 40 3" xfId="7865"/>
    <cellStyle name="Accent6 41" xfId="7866"/>
    <cellStyle name="Accent6 41 2" xfId="7867"/>
    <cellStyle name="Accent6 41 2 2" xfId="7868"/>
    <cellStyle name="Accent6 41 3" xfId="7869"/>
    <cellStyle name="Accent6 42" xfId="7870"/>
    <cellStyle name="Accent6 42 2" xfId="7871"/>
    <cellStyle name="Accent6 42 2 2" xfId="7872"/>
    <cellStyle name="Accent6 42 3" xfId="7873"/>
    <cellStyle name="Accent6 43" xfId="7874"/>
    <cellStyle name="Accent6 43 2" xfId="7875"/>
    <cellStyle name="Accent6 43 2 2" xfId="7876"/>
    <cellStyle name="Accent6 43 3" xfId="7877"/>
    <cellStyle name="Accent6 44" xfId="7878"/>
    <cellStyle name="Accent6 44 2" xfId="7879"/>
    <cellStyle name="Accent6 44 2 2" xfId="7880"/>
    <cellStyle name="Accent6 44 3" xfId="7881"/>
    <cellStyle name="Accent6 45" xfId="7882"/>
    <cellStyle name="Accent6 45 2" xfId="7883"/>
    <cellStyle name="Accent6 45 2 2" xfId="7884"/>
    <cellStyle name="Accent6 45 3" xfId="7885"/>
    <cellStyle name="Accent6 46" xfId="7886"/>
    <cellStyle name="Accent6 46 2" xfId="7887"/>
    <cellStyle name="Accent6 46 2 2" xfId="7888"/>
    <cellStyle name="Accent6 46 3" xfId="7889"/>
    <cellStyle name="Accent6 47" xfId="7890"/>
    <cellStyle name="Accent6 47 2" xfId="7891"/>
    <cellStyle name="Accent6 47 2 2" xfId="7892"/>
    <cellStyle name="Accent6 47 3" xfId="7893"/>
    <cellStyle name="Accent6 48" xfId="7894"/>
    <cellStyle name="Accent6 48 2" xfId="7895"/>
    <cellStyle name="Accent6 48 2 2" xfId="7896"/>
    <cellStyle name="Accent6 48 3" xfId="7897"/>
    <cellStyle name="Accent6 48 3 2" xfId="7898"/>
    <cellStyle name="Accent6 48 3 2 2" xfId="7899"/>
    <cellStyle name="Accent6 48 3 3" xfId="7900"/>
    <cellStyle name="Accent6 48 4" xfId="7901"/>
    <cellStyle name="Accent6 49" xfId="7902"/>
    <cellStyle name="Accent6 49 2" xfId="7903"/>
    <cellStyle name="Accent6 49 2 2" xfId="7904"/>
    <cellStyle name="Accent6 49 3" xfId="7905"/>
    <cellStyle name="Accent6 49 3 2" xfId="7906"/>
    <cellStyle name="Accent6 49 3 2 2" xfId="7907"/>
    <cellStyle name="Accent6 49 3 3" xfId="7908"/>
    <cellStyle name="Accent6 49 4" xfId="7909"/>
    <cellStyle name="Accent6 5" xfId="7910"/>
    <cellStyle name="Accent6 5 2" xfId="7911"/>
    <cellStyle name="Accent6 5 2 2" xfId="7912"/>
    <cellStyle name="Accent6 5 2 2 2" xfId="7913"/>
    <cellStyle name="Accent6 5 2 3" xfId="7914"/>
    <cellStyle name="Accent6 5 2 3 2" xfId="7915"/>
    <cellStyle name="Accent6 5 2 3 2 2" xfId="7916"/>
    <cellStyle name="Accent6 5 2 3 3" xfId="7917"/>
    <cellStyle name="Accent6 5 2 4" xfId="7918"/>
    <cellStyle name="Accent6 5 3" xfId="7919"/>
    <cellStyle name="Accent6 5 3 2" xfId="7920"/>
    <cellStyle name="Accent6 5 3 2 2" xfId="7921"/>
    <cellStyle name="Accent6 5 3 3" xfId="7922"/>
    <cellStyle name="Accent6 5 3 3 2" xfId="7923"/>
    <cellStyle name="Accent6 5 3 3 2 2" xfId="7924"/>
    <cellStyle name="Accent6 5 3 3 3" xfId="7925"/>
    <cellStyle name="Accent6 5 3 4" xfId="7926"/>
    <cellStyle name="Accent6 5 4" xfId="7927"/>
    <cellStyle name="Accent6 5 4 2" xfId="7928"/>
    <cellStyle name="Accent6 5 5" xfId="7929"/>
    <cellStyle name="Accent6 5 5 2" xfId="7930"/>
    <cellStyle name="Accent6 5 5 2 2" xfId="7931"/>
    <cellStyle name="Accent6 5 5 3" xfId="7932"/>
    <cellStyle name="Accent6 5 6" xfId="7933"/>
    <cellStyle name="Accent6 5 6 2" xfId="7934"/>
    <cellStyle name="Accent6 5 7" xfId="7935"/>
    <cellStyle name="Accent6 50" xfId="7936"/>
    <cellStyle name="Accent6 50 2" xfId="7937"/>
    <cellStyle name="Accent6 50 2 2" xfId="7938"/>
    <cellStyle name="Accent6 50 3" xfId="7939"/>
    <cellStyle name="Accent6 50 3 2" xfId="7940"/>
    <cellStyle name="Accent6 50 3 2 2" xfId="7941"/>
    <cellStyle name="Accent6 50 3 3" xfId="7942"/>
    <cellStyle name="Accent6 50 4" xfId="7943"/>
    <cellStyle name="Accent6 51" xfId="7944"/>
    <cellStyle name="Accent6 51 2" xfId="7945"/>
    <cellStyle name="Accent6 51 2 2" xfId="7946"/>
    <cellStyle name="Accent6 51 3" xfId="7947"/>
    <cellStyle name="Accent6 51 3 2" xfId="7948"/>
    <cellStyle name="Accent6 51 3 2 2" xfId="7949"/>
    <cellStyle name="Accent6 51 3 3" xfId="7950"/>
    <cellStyle name="Accent6 51 4" xfId="7951"/>
    <cellStyle name="Accent6 52" xfId="7952"/>
    <cellStyle name="Accent6 52 2" xfId="7953"/>
    <cellStyle name="Accent6 52 2 2" xfId="7954"/>
    <cellStyle name="Accent6 52 3" xfId="7955"/>
    <cellStyle name="Accent6 53" xfId="7956"/>
    <cellStyle name="Accent6 53 2" xfId="7957"/>
    <cellStyle name="Accent6 53 2 2" xfId="7958"/>
    <cellStyle name="Accent6 53 3" xfId="7959"/>
    <cellStyle name="Accent6 54" xfId="7960"/>
    <cellStyle name="Accent6 54 2" xfId="7961"/>
    <cellStyle name="Accent6 54 2 2" xfId="7962"/>
    <cellStyle name="Accent6 54 3" xfId="7963"/>
    <cellStyle name="Accent6 55" xfId="7964"/>
    <cellStyle name="Accent6 55 2" xfId="7965"/>
    <cellStyle name="Accent6 55 2 2" xfId="7966"/>
    <cellStyle name="Accent6 55 3" xfId="7967"/>
    <cellStyle name="Accent6 56" xfId="7968"/>
    <cellStyle name="Accent6 56 2" xfId="7969"/>
    <cellStyle name="Accent6 56 2 2" xfId="7970"/>
    <cellStyle name="Accent6 56 3" xfId="7971"/>
    <cellStyle name="Accent6 57" xfId="7972"/>
    <cellStyle name="Accent6 57 2" xfId="7973"/>
    <cellStyle name="Accent6 57 2 2" xfId="7974"/>
    <cellStyle name="Accent6 57 3" xfId="7975"/>
    <cellStyle name="Accent6 58" xfId="7976"/>
    <cellStyle name="Accent6 58 2" xfId="7977"/>
    <cellStyle name="Accent6 58 2 2" xfId="7978"/>
    <cellStyle name="Accent6 58 3" xfId="7979"/>
    <cellStyle name="Accent6 58 3 2" xfId="7980"/>
    <cellStyle name="Accent6 58 3 2 2" xfId="7981"/>
    <cellStyle name="Accent6 58 3 3" xfId="7982"/>
    <cellStyle name="Accent6 58 4" xfId="7983"/>
    <cellStyle name="Accent6 59" xfId="7984"/>
    <cellStyle name="Accent6 59 2" xfId="7985"/>
    <cellStyle name="Accent6 59 2 2" xfId="7986"/>
    <cellStyle name="Accent6 59 3" xfId="7987"/>
    <cellStyle name="Accent6 59 3 2" xfId="7988"/>
    <cellStyle name="Accent6 59 3 2 2" xfId="7989"/>
    <cellStyle name="Accent6 59 3 3" xfId="7990"/>
    <cellStyle name="Accent6 59 4" xfId="7991"/>
    <cellStyle name="Accent6 6" xfId="7992"/>
    <cellStyle name="Accent6 6 2" xfId="7993"/>
    <cellStyle name="Accent6 6 2 2" xfId="7994"/>
    <cellStyle name="Accent6 6 2 2 2" xfId="7995"/>
    <cellStyle name="Accent6 6 2 3" xfId="7996"/>
    <cellStyle name="Accent6 6 2 3 2" xfId="7997"/>
    <cellStyle name="Accent6 6 2 3 2 2" xfId="7998"/>
    <cellStyle name="Accent6 6 2 3 3" xfId="7999"/>
    <cellStyle name="Accent6 6 2 4" xfId="8000"/>
    <cellStyle name="Accent6 6 3" xfId="8001"/>
    <cellStyle name="Accent6 6 3 2" xfId="8002"/>
    <cellStyle name="Accent6 6 4" xfId="8003"/>
    <cellStyle name="Accent6 6 4 2" xfId="8004"/>
    <cellStyle name="Accent6 6 4 2 2" xfId="8005"/>
    <cellStyle name="Accent6 6 4 3" xfId="8006"/>
    <cellStyle name="Accent6 6 5" xfId="8007"/>
    <cellStyle name="Accent6 60" xfId="8008"/>
    <cellStyle name="Accent6 60 2" xfId="8009"/>
    <cellStyle name="Accent6 60 2 2" xfId="8010"/>
    <cellStyle name="Accent6 60 3" xfId="8011"/>
    <cellStyle name="Accent6 60 3 2" xfId="8012"/>
    <cellStyle name="Accent6 60 3 2 2" xfId="8013"/>
    <cellStyle name="Accent6 60 3 3" xfId="8014"/>
    <cellStyle name="Accent6 60 4" xfId="8015"/>
    <cellStyle name="Accent6 61" xfId="8016"/>
    <cellStyle name="Accent6 61 2" xfId="8017"/>
    <cellStyle name="Accent6 61 2 2" xfId="8018"/>
    <cellStyle name="Accent6 61 3" xfId="8019"/>
    <cellStyle name="Accent6 61 3 2" xfId="8020"/>
    <cellStyle name="Accent6 61 3 2 2" xfId="8021"/>
    <cellStyle name="Accent6 61 3 3" xfId="8022"/>
    <cellStyle name="Accent6 61 4" xfId="8023"/>
    <cellStyle name="Accent6 62" xfId="8024"/>
    <cellStyle name="Accent6 62 2" xfId="8025"/>
    <cellStyle name="Accent6 62 2 2" xfId="8026"/>
    <cellStyle name="Accent6 62 3" xfId="8027"/>
    <cellStyle name="Accent6 62 3 2" xfId="8028"/>
    <cellStyle name="Accent6 62 3 2 2" xfId="8029"/>
    <cellStyle name="Accent6 62 3 3" xfId="8030"/>
    <cellStyle name="Accent6 62 4" xfId="8031"/>
    <cellStyle name="Accent6 63" xfId="8032"/>
    <cellStyle name="Accent6 63 2" xfId="8033"/>
    <cellStyle name="Accent6 63 2 2" xfId="8034"/>
    <cellStyle name="Accent6 63 3" xfId="8035"/>
    <cellStyle name="Accent6 63 3 2" xfId="8036"/>
    <cellStyle name="Accent6 63 3 2 2" xfId="8037"/>
    <cellStyle name="Accent6 63 3 3" xfId="8038"/>
    <cellStyle name="Accent6 63 4" xfId="8039"/>
    <cellStyle name="Accent6 64" xfId="8040"/>
    <cellStyle name="Accent6 64 2" xfId="8041"/>
    <cellStyle name="Accent6 64 2 2" xfId="8042"/>
    <cellStyle name="Accent6 64 3" xfId="8043"/>
    <cellStyle name="Accent6 64 3 2" xfId="8044"/>
    <cellStyle name="Accent6 64 3 2 2" xfId="8045"/>
    <cellStyle name="Accent6 64 3 3" xfId="8046"/>
    <cellStyle name="Accent6 64 4" xfId="8047"/>
    <cellStyle name="Accent6 65" xfId="8048"/>
    <cellStyle name="Accent6 65 2" xfId="8049"/>
    <cellStyle name="Accent6 65 2 2" xfId="8050"/>
    <cellStyle name="Accent6 65 3" xfId="8051"/>
    <cellStyle name="Accent6 65 3 2" xfId="8052"/>
    <cellStyle name="Accent6 65 3 2 2" xfId="8053"/>
    <cellStyle name="Accent6 65 3 3" xfId="8054"/>
    <cellStyle name="Accent6 65 4" xfId="8055"/>
    <cellStyle name="Accent6 66" xfId="8056"/>
    <cellStyle name="Accent6 66 2" xfId="8057"/>
    <cellStyle name="Accent6 66 2 2" xfId="8058"/>
    <cellStyle name="Accent6 66 3" xfId="8059"/>
    <cellStyle name="Accent6 66 3 2" xfId="8060"/>
    <cellStyle name="Accent6 66 3 2 2" xfId="8061"/>
    <cellStyle name="Accent6 66 3 3" xfId="8062"/>
    <cellStyle name="Accent6 66 4" xfId="8063"/>
    <cellStyle name="Accent6 67" xfId="8064"/>
    <cellStyle name="Accent6 67 2" xfId="8065"/>
    <cellStyle name="Accent6 67 2 2" xfId="8066"/>
    <cellStyle name="Accent6 67 3" xfId="8067"/>
    <cellStyle name="Accent6 67 3 2" xfId="8068"/>
    <cellStyle name="Accent6 67 3 2 2" xfId="8069"/>
    <cellStyle name="Accent6 67 3 3" xfId="8070"/>
    <cellStyle name="Accent6 67 4" xfId="8071"/>
    <cellStyle name="Accent6 68" xfId="8072"/>
    <cellStyle name="Accent6 68 2" xfId="8073"/>
    <cellStyle name="Accent6 68 2 2" xfId="8074"/>
    <cellStyle name="Accent6 68 3" xfId="8075"/>
    <cellStyle name="Accent6 68 3 2" xfId="8076"/>
    <cellStyle name="Accent6 68 3 2 2" xfId="8077"/>
    <cellStyle name="Accent6 68 3 3" xfId="8078"/>
    <cellStyle name="Accent6 68 4" xfId="8079"/>
    <cellStyle name="Accent6 69" xfId="8080"/>
    <cellStyle name="Accent6 69 2" xfId="8081"/>
    <cellStyle name="Accent6 69 2 2" xfId="8082"/>
    <cellStyle name="Accent6 69 3" xfId="8083"/>
    <cellStyle name="Accent6 69 3 2" xfId="8084"/>
    <cellStyle name="Accent6 69 3 2 2" xfId="8085"/>
    <cellStyle name="Accent6 69 3 3" xfId="8086"/>
    <cellStyle name="Accent6 69 4" xfId="8087"/>
    <cellStyle name="Accent6 7" xfId="8088"/>
    <cellStyle name="Accent6 7 2" xfId="8089"/>
    <cellStyle name="Accent6 7 2 2" xfId="8090"/>
    <cellStyle name="Accent6 7 2 2 2" xfId="8091"/>
    <cellStyle name="Accent6 7 2 3" xfId="8092"/>
    <cellStyle name="Accent6 7 2 3 2" xfId="8093"/>
    <cellStyle name="Accent6 7 2 3 2 2" xfId="8094"/>
    <cellStyle name="Accent6 7 2 3 3" xfId="8095"/>
    <cellStyle name="Accent6 7 2 4" xfId="8096"/>
    <cellStyle name="Accent6 7 3" xfId="8097"/>
    <cellStyle name="Accent6 7 3 2" xfId="8098"/>
    <cellStyle name="Accent6 7 4" xfId="8099"/>
    <cellStyle name="Accent6 7 4 2" xfId="8100"/>
    <cellStyle name="Accent6 7 4 2 2" xfId="8101"/>
    <cellStyle name="Accent6 7 4 3" xfId="8102"/>
    <cellStyle name="Accent6 7 5" xfId="8103"/>
    <cellStyle name="Accent6 70" xfId="8104"/>
    <cellStyle name="Accent6 70 2" xfId="8105"/>
    <cellStyle name="Accent6 70 2 2" xfId="8106"/>
    <cellStyle name="Accent6 70 3" xfId="8107"/>
    <cellStyle name="Accent6 70 3 2" xfId="8108"/>
    <cellStyle name="Accent6 70 3 2 2" xfId="8109"/>
    <cellStyle name="Accent6 70 3 3" xfId="8110"/>
    <cellStyle name="Accent6 70 4" xfId="8111"/>
    <cellStyle name="Accent6 71" xfId="8112"/>
    <cellStyle name="Accent6 71 2" xfId="8113"/>
    <cellStyle name="Accent6 71 2 2" xfId="8114"/>
    <cellStyle name="Accent6 71 3" xfId="8115"/>
    <cellStyle name="Accent6 71 3 2" xfId="8116"/>
    <cellStyle name="Accent6 71 3 2 2" xfId="8117"/>
    <cellStyle name="Accent6 71 3 3" xfId="8118"/>
    <cellStyle name="Accent6 71 4" xfId="8119"/>
    <cellStyle name="Accent6 72" xfId="8120"/>
    <cellStyle name="Accent6 72 2" xfId="8121"/>
    <cellStyle name="Accent6 72 2 2" xfId="8122"/>
    <cellStyle name="Accent6 72 3" xfId="8123"/>
    <cellStyle name="Accent6 72 3 2" xfId="8124"/>
    <cellStyle name="Accent6 72 3 2 2" xfId="8125"/>
    <cellStyle name="Accent6 72 3 3" xfId="8126"/>
    <cellStyle name="Accent6 72 4" xfId="8127"/>
    <cellStyle name="Accent6 73" xfId="8128"/>
    <cellStyle name="Accent6 73 2" xfId="8129"/>
    <cellStyle name="Accent6 73 2 2" xfId="8130"/>
    <cellStyle name="Accent6 73 3" xfId="8131"/>
    <cellStyle name="Accent6 73 3 2" xfId="8132"/>
    <cellStyle name="Accent6 73 3 2 2" xfId="8133"/>
    <cellStyle name="Accent6 73 3 3" xfId="8134"/>
    <cellStyle name="Accent6 73 4" xfId="8135"/>
    <cellStyle name="Accent6 74" xfId="8136"/>
    <cellStyle name="Accent6 74 2" xfId="8137"/>
    <cellStyle name="Accent6 74 2 2" xfId="8138"/>
    <cellStyle name="Accent6 74 3" xfId="8139"/>
    <cellStyle name="Accent6 74 3 2" xfId="8140"/>
    <cellStyle name="Accent6 74 3 2 2" xfId="8141"/>
    <cellStyle name="Accent6 74 3 3" xfId="8142"/>
    <cellStyle name="Accent6 74 4" xfId="8143"/>
    <cellStyle name="Accent6 75" xfId="8144"/>
    <cellStyle name="Accent6 75 2" xfId="8145"/>
    <cellStyle name="Accent6 75 2 2" xfId="8146"/>
    <cellStyle name="Accent6 75 3" xfId="8147"/>
    <cellStyle name="Accent6 75 3 2" xfId="8148"/>
    <cellStyle name="Accent6 75 3 2 2" xfId="8149"/>
    <cellStyle name="Accent6 75 3 3" xfId="8150"/>
    <cellStyle name="Accent6 75 4" xfId="8151"/>
    <cellStyle name="Accent6 76" xfId="8152"/>
    <cellStyle name="Accent6 76 2" xfId="8153"/>
    <cellStyle name="Accent6 76 2 2" xfId="8154"/>
    <cellStyle name="Accent6 76 3" xfId="8155"/>
    <cellStyle name="Accent6 76 3 2" xfId="8156"/>
    <cellStyle name="Accent6 76 3 2 2" xfId="8157"/>
    <cellStyle name="Accent6 76 3 3" xfId="8158"/>
    <cellStyle name="Accent6 76 4" xfId="8159"/>
    <cellStyle name="Accent6 77" xfId="8160"/>
    <cellStyle name="Accent6 77 2" xfId="8161"/>
    <cellStyle name="Accent6 77 2 2" xfId="8162"/>
    <cellStyle name="Accent6 77 3" xfId="8163"/>
    <cellStyle name="Accent6 77 3 2" xfId="8164"/>
    <cellStyle name="Accent6 77 3 2 2" xfId="8165"/>
    <cellStyle name="Accent6 77 3 3" xfId="8166"/>
    <cellStyle name="Accent6 77 4" xfId="8167"/>
    <cellStyle name="Accent6 78" xfId="8168"/>
    <cellStyle name="Accent6 78 2" xfId="8169"/>
    <cellStyle name="Accent6 78 2 2" xfId="8170"/>
    <cellStyle name="Accent6 78 3" xfId="8171"/>
    <cellStyle name="Accent6 78 3 2" xfId="8172"/>
    <cellStyle name="Accent6 78 3 2 2" xfId="8173"/>
    <cellStyle name="Accent6 78 3 3" xfId="8174"/>
    <cellStyle name="Accent6 78 4" xfId="8175"/>
    <cellStyle name="Accent6 79" xfId="8176"/>
    <cellStyle name="Accent6 79 2" xfId="8177"/>
    <cellStyle name="Accent6 79 2 2" xfId="8178"/>
    <cellStyle name="Accent6 79 3" xfId="8179"/>
    <cellStyle name="Accent6 79 3 2" xfId="8180"/>
    <cellStyle name="Accent6 79 3 2 2" xfId="8181"/>
    <cellStyle name="Accent6 79 3 3" xfId="8182"/>
    <cellStyle name="Accent6 79 4" xfId="8183"/>
    <cellStyle name="Accent6 8" xfId="8184"/>
    <cellStyle name="Accent6 8 2" xfId="8185"/>
    <cellStyle name="Accent6 8 2 2" xfId="8186"/>
    <cellStyle name="Accent6 8 3" xfId="8187"/>
    <cellStyle name="Accent6 80" xfId="8188"/>
    <cellStyle name="Accent6 80 2" xfId="8189"/>
    <cellStyle name="Accent6 80 2 2" xfId="8190"/>
    <cellStyle name="Accent6 80 3" xfId="8191"/>
    <cellStyle name="Accent6 80 3 2" xfId="8192"/>
    <cellStyle name="Accent6 80 3 2 2" xfId="8193"/>
    <cellStyle name="Accent6 80 3 3" xfId="8194"/>
    <cellStyle name="Accent6 80 4" xfId="8195"/>
    <cellStyle name="Accent6 81" xfId="8196"/>
    <cellStyle name="Accent6 81 2" xfId="8197"/>
    <cellStyle name="Accent6 81 2 2" xfId="8198"/>
    <cellStyle name="Accent6 81 3" xfId="8199"/>
    <cellStyle name="Accent6 81 3 2" xfId="8200"/>
    <cellStyle name="Accent6 81 3 2 2" xfId="8201"/>
    <cellStyle name="Accent6 81 3 3" xfId="8202"/>
    <cellStyle name="Accent6 81 4" xfId="8203"/>
    <cellStyle name="Accent6 82" xfId="8204"/>
    <cellStyle name="Accent6 82 2" xfId="8205"/>
    <cellStyle name="Accent6 82 2 2" xfId="8206"/>
    <cellStyle name="Accent6 82 3" xfId="8207"/>
    <cellStyle name="Accent6 82 3 2" xfId="8208"/>
    <cellStyle name="Accent6 82 3 2 2" xfId="8209"/>
    <cellStyle name="Accent6 82 3 3" xfId="8210"/>
    <cellStyle name="Accent6 82 4" xfId="8211"/>
    <cellStyle name="Accent6 83" xfId="8212"/>
    <cellStyle name="Accent6 83 2" xfId="8213"/>
    <cellStyle name="Accent6 83 2 2" xfId="8214"/>
    <cellStyle name="Accent6 83 3" xfId="8215"/>
    <cellStyle name="Accent6 83 3 2" xfId="8216"/>
    <cellStyle name="Accent6 83 3 2 2" xfId="8217"/>
    <cellStyle name="Accent6 83 3 3" xfId="8218"/>
    <cellStyle name="Accent6 83 4" xfId="8219"/>
    <cellStyle name="Accent6 84" xfId="8220"/>
    <cellStyle name="Accent6 84 2" xfId="8221"/>
    <cellStyle name="Accent6 84 2 2" xfId="8222"/>
    <cellStyle name="Accent6 84 3" xfId="8223"/>
    <cellStyle name="Accent6 85" xfId="8224"/>
    <cellStyle name="Accent6 85 2" xfId="8225"/>
    <cellStyle name="Accent6 85 2 2" xfId="8226"/>
    <cellStyle name="Accent6 85 3" xfId="8227"/>
    <cellStyle name="Accent6 86" xfId="8228"/>
    <cellStyle name="Accent6 86 2" xfId="8229"/>
    <cellStyle name="Accent6 86 2 2" xfId="8230"/>
    <cellStyle name="Accent6 86 3" xfId="8231"/>
    <cellStyle name="Accent6 87" xfId="8232"/>
    <cellStyle name="Accent6 87 2" xfId="8233"/>
    <cellStyle name="Accent6 87 2 2" xfId="8234"/>
    <cellStyle name="Accent6 87 3" xfId="8235"/>
    <cellStyle name="Accent6 88" xfId="8236"/>
    <cellStyle name="Accent6 88 2" xfId="8237"/>
    <cellStyle name="Accent6 88 2 2" xfId="8238"/>
    <cellStyle name="Accent6 88 3" xfId="8239"/>
    <cellStyle name="Accent6 89" xfId="8240"/>
    <cellStyle name="Accent6 89 2" xfId="8241"/>
    <cellStyle name="Accent6 89 2 2" xfId="8242"/>
    <cellStyle name="Accent6 89 3" xfId="8243"/>
    <cellStyle name="Accent6 9" xfId="8244"/>
    <cellStyle name="Accent6 9 2" xfId="8245"/>
    <cellStyle name="Accent6 9 2 2" xfId="8246"/>
    <cellStyle name="Accent6 9 3" xfId="8247"/>
    <cellStyle name="Accent6 90" xfId="8248"/>
    <cellStyle name="Accent6 90 2" xfId="8249"/>
    <cellStyle name="Accent6 90 2 2" xfId="8250"/>
    <cellStyle name="Accent6 90 3" xfId="8251"/>
    <cellStyle name="Accent6 91" xfId="8252"/>
    <cellStyle name="Accent6 91 2" xfId="8253"/>
    <cellStyle name="Accent6 91 2 2" xfId="8254"/>
    <cellStyle name="Accent6 91 3" xfId="8255"/>
    <cellStyle name="Accent6 92" xfId="8256"/>
    <cellStyle name="Accent6 92 2" xfId="8257"/>
    <cellStyle name="Accent6 92 2 2" xfId="8258"/>
    <cellStyle name="Accent6 92 3" xfId="8259"/>
    <cellStyle name="Accent6 93" xfId="8260"/>
    <cellStyle name="Accent6 93 2" xfId="8261"/>
    <cellStyle name="Accent6 93 2 2" xfId="8262"/>
    <cellStyle name="Accent6 93 3" xfId="8263"/>
    <cellStyle name="Accent6 94" xfId="8264"/>
    <cellStyle name="Accent6 94 2" xfId="8265"/>
    <cellStyle name="Accent6 94 2 2" xfId="8266"/>
    <cellStyle name="Accent6 94 3" xfId="8267"/>
    <cellStyle name="Accent6 95" xfId="8268"/>
    <cellStyle name="Accent6 95 2" xfId="8269"/>
    <cellStyle name="Accent6 95 2 2" xfId="8270"/>
    <cellStyle name="Accent6 95 3" xfId="8271"/>
    <cellStyle name="Accent6 96" xfId="8272"/>
    <cellStyle name="Accent6 96 2" xfId="8273"/>
    <cellStyle name="Accent6 96 2 2" xfId="8274"/>
    <cellStyle name="Accent6 96 3" xfId="8275"/>
    <cellStyle name="Accent6 97" xfId="8276"/>
    <cellStyle name="Accent6 97 2" xfId="8277"/>
    <cellStyle name="Accent6 97 2 2" xfId="8278"/>
    <cellStyle name="Accent6 97 3" xfId="8279"/>
    <cellStyle name="Accent6 98" xfId="8280"/>
    <cellStyle name="Accent6 98 2" xfId="8281"/>
    <cellStyle name="Accent6 98 2 2" xfId="8282"/>
    <cellStyle name="Accent6 98 3" xfId="8283"/>
    <cellStyle name="Accent6 99" xfId="8284"/>
    <cellStyle name="Accent6 99 2" xfId="8285"/>
    <cellStyle name="Accent6 99 2 2" xfId="8286"/>
    <cellStyle name="Accent6 99 3" xfId="8287"/>
    <cellStyle name="active" xfId="8288"/>
    <cellStyle name="active 2" xfId="8289"/>
    <cellStyle name="active 2 2" xfId="8290"/>
    <cellStyle name="active 2 2 2" xfId="8291"/>
    <cellStyle name="active 2 3" xfId="8292"/>
    <cellStyle name="active 2 3 2" xfId="8293"/>
    <cellStyle name="active 2 3 2 2" xfId="8294"/>
    <cellStyle name="active 2 3 3" xfId="8295"/>
    <cellStyle name="active 2 4" xfId="8296"/>
    <cellStyle name="active 3" xfId="8297"/>
    <cellStyle name="active 3 2" xfId="8298"/>
    <cellStyle name="active 3 2 2" xfId="8299"/>
    <cellStyle name="active 3 3" xfId="8300"/>
    <cellStyle name="active 4" xfId="8301"/>
    <cellStyle name="active 4 2" xfId="8302"/>
    <cellStyle name="active 5" xfId="8303"/>
    <cellStyle name="active 5 2" xfId="8304"/>
    <cellStyle name="active 6" xfId="8305"/>
    <cellStyle name="Actual Date" xfId="8306"/>
    <cellStyle name="Actual Date 2" xfId="8307"/>
    <cellStyle name="Actual Date 2 2" xfId="8308"/>
    <cellStyle name="args.style" xfId="8309"/>
    <cellStyle name="args.style 2" xfId="8310"/>
    <cellStyle name="args.style 2 2" xfId="8311"/>
    <cellStyle name="args.style 2 2 2" xfId="8312"/>
    <cellStyle name="args.style 2 3" xfId="8313"/>
    <cellStyle name="args.style 2 3 2" xfId="8314"/>
    <cellStyle name="args.style 2 3 2 2" xfId="8315"/>
    <cellStyle name="args.style 2 3 3" xfId="8316"/>
    <cellStyle name="args.style 2 4" xfId="8317"/>
    <cellStyle name="args.style 3" xfId="8318"/>
    <cellStyle name="args.style 3 2" xfId="8319"/>
    <cellStyle name="args.style 3 2 2" xfId="8320"/>
    <cellStyle name="args.style 3 3" xfId="8321"/>
    <cellStyle name="args.style 4" xfId="8322"/>
    <cellStyle name="args.style 4 2" xfId="8323"/>
    <cellStyle name="args.style 4 2 2" xfId="8324"/>
    <cellStyle name="args.style 4 3" xfId="8325"/>
    <cellStyle name="args.style 5" xfId="8326"/>
    <cellStyle name="args.style 5 2" xfId="8327"/>
    <cellStyle name="args.style 6" xfId="8328"/>
    <cellStyle name="args.style 6 2" xfId="8329"/>
    <cellStyle name="args.style 7" xfId="8330"/>
    <cellStyle name="Bad 2" xfId="8331"/>
    <cellStyle name="Bad 2 10" xfId="8332"/>
    <cellStyle name="Bad 2 10 2" xfId="8333"/>
    <cellStyle name="Bad 2 11" xfId="8334"/>
    <cellStyle name="Bad 2 12" xfId="8335"/>
    <cellStyle name="Bad 2 2" xfId="8336"/>
    <cellStyle name="Bad 2 2 2" xfId="8337"/>
    <cellStyle name="Bad 2 2 2 2" xfId="8338"/>
    <cellStyle name="Bad 2 2 3" xfId="8339"/>
    <cellStyle name="Bad 2 2 3 2" xfId="8340"/>
    <cellStyle name="Bad 2 2 3 2 2" xfId="8341"/>
    <cellStyle name="Bad 2 2 3 3" xfId="8342"/>
    <cellStyle name="Bad 2 2 4" xfId="8343"/>
    <cellStyle name="Bad 2 2 4 2" xfId="8344"/>
    <cellStyle name="Bad 2 2 5" xfId="8345"/>
    <cellStyle name="Bad 2 3" xfId="8346"/>
    <cellStyle name="Bad 2 3 2" xfId="8347"/>
    <cellStyle name="Bad 2 3 2 2" xfId="8348"/>
    <cellStyle name="Bad 2 3 3" xfId="8349"/>
    <cellStyle name="Bad 2 3 3 2" xfId="8350"/>
    <cellStyle name="Bad 2 3 3 2 2" xfId="8351"/>
    <cellStyle name="Bad 2 3 3 3" xfId="8352"/>
    <cellStyle name="Bad 2 3 4" xfId="8353"/>
    <cellStyle name="Bad 2 4" xfId="8354"/>
    <cellStyle name="Bad 2 4 2" xfId="8355"/>
    <cellStyle name="Bad 2 4 2 2" xfId="8356"/>
    <cellStyle name="Bad 2 4 3" xfId="8357"/>
    <cellStyle name="Bad 2 5" xfId="8358"/>
    <cellStyle name="Bad 2 5 2" xfId="8359"/>
    <cellStyle name="Bad 2 5 2 2" xfId="8360"/>
    <cellStyle name="Bad 2 5 3" xfId="8361"/>
    <cellStyle name="Bad 2 5 3 2" xfId="8362"/>
    <cellStyle name="Bad 2 5 3 2 2" xfId="8363"/>
    <cellStyle name="Bad 2 5 3 3" xfId="8364"/>
    <cellStyle name="Bad 2 5 4" xfId="8365"/>
    <cellStyle name="Bad 2 6" xfId="8366"/>
    <cellStyle name="Bad 2 6 2" xfId="8367"/>
    <cellStyle name="Bad 2 6 2 2" xfId="8368"/>
    <cellStyle name="Bad 2 6 3" xfId="8369"/>
    <cellStyle name="Bad 2 6 3 2" xfId="8370"/>
    <cellStyle name="Bad 2 6 4" xfId="8371"/>
    <cellStyle name="Bad 2 7" xfId="8372"/>
    <cellStyle name="Bad 2 7 2" xfId="8373"/>
    <cellStyle name="Bad 2 8" xfId="8374"/>
    <cellStyle name="Bad 2 8 2" xfId="8375"/>
    <cellStyle name="Bad 2 8 2 2" xfId="8376"/>
    <cellStyle name="Bad 2 8 3" xfId="8377"/>
    <cellStyle name="Bad 2 9" xfId="8378"/>
    <cellStyle name="Bad 2 9 2" xfId="8379"/>
    <cellStyle name="Bad 2 9 2 2" xfId="8380"/>
    <cellStyle name="Bad 2 9 3" xfId="8381"/>
    <cellStyle name="Bad 3" xfId="8382"/>
    <cellStyle name="Bad 3 2" xfId="8383"/>
    <cellStyle name="Bad 3 2 2" xfId="8384"/>
    <cellStyle name="Bad 3 3" xfId="8385"/>
    <cellStyle name="Bad 3 3 2" xfId="8386"/>
    <cellStyle name="Bad 3 4" xfId="8387"/>
    <cellStyle name="Bad 3 4 2" xfId="8388"/>
    <cellStyle name="Bad 3 4 2 2" xfId="8389"/>
    <cellStyle name="Bad 3 4 3" xfId="8390"/>
    <cellStyle name="Bad 3 5" xfId="8391"/>
    <cellStyle name="Bad 4" xfId="8392"/>
    <cellStyle name="Bad 4 2" xfId="8393"/>
    <cellStyle name="Bad 4 2 2" xfId="8394"/>
    <cellStyle name="Bad 4 3" xfId="8395"/>
    <cellStyle name="Bad 4 3 2" xfId="8396"/>
    <cellStyle name="Bad 4 3 2 2" xfId="8397"/>
    <cellStyle name="Bad 4 3 3" xfId="8398"/>
    <cellStyle name="Bad 4 4" xfId="8399"/>
    <cellStyle name="Bad 5" xfId="8400"/>
    <cellStyle name="Bad 5 2" xfId="8401"/>
    <cellStyle name="Bad 5 2 2" xfId="8402"/>
    <cellStyle name="Bad 5 2 2 2" xfId="8403"/>
    <cellStyle name="Bad 5 2 2 2 2" xfId="8404"/>
    <cellStyle name="Bad 5 2 2 3" xfId="8405"/>
    <cellStyle name="Bad 5 2 2 3 2" xfId="8406"/>
    <cellStyle name="Bad 5 2 2 3 2 2" xfId="8407"/>
    <cellStyle name="Bad 5 2 2 3 3" xfId="8408"/>
    <cellStyle name="Bad 5 2 2 4" xfId="8409"/>
    <cellStyle name="Bad 5 2 3" xfId="8410"/>
    <cellStyle name="Bad 5 2 3 2" xfId="8411"/>
    <cellStyle name="Bad 5 2 4" xfId="8412"/>
    <cellStyle name="Bad 5 2 4 2" xfId="8413"/>
    <cellStyle name="Bad 5 2 4 2 2" xfId="8414"/>
    <cellStyle name="Bad 5 2 4 3" xfId="8415"/>
    <cellStyle name="Bad 5 2 5" xfId="8416"/>
    <cellStyle name="Bad 5 3" xfId="8417"/>
    <cellStyle name="Bad 5 3 2" xfId="8418"/>
    <cellStyle name="Bad 5 3 2 2" xfId="8419"/>
    <cellStyle name="Bad 5 3 3" xfId="8420"/>
    <cellStyle name="Bad 5 4" xfId="8421"/>
    <cellStyle name="Bad 5 4 2" xfId="8422"/>
    <cellStyle name="Bad 5 5" xfId="8423"/>
    <cellStyle name="Bad 5 5 2" xfId="8424"/>
    <cellStyle name="Bad 5 5 2 2" xfId="8425"/>
    <cellStyle name="Bad 5 5 3" xfId="8426"/>
    <cellStyle name="Bad 5 6" xfId="8427"/>
    <cellStyle name="Bad 6" xfId="8428"/>
    <cellStyle name="Bad 6 2" xfId="8429"/>
    <cellStyle name="Bad 6 2 2" xfId="8430"/>
    <cellStyle name="Bad 6 3" xfId="8431"/>
    <cellStyle name="Bad 7" xfId="8432"/>
    <cellStyle name="Bad 7 2" xfId="8433"/>
    <cellStyle name="Bad 8" xfId="8434"/>
    <cellStyle name="Bad 9" xfId="8435"/>
    <cellStyle name="Body" xfId="8436"/>
    <cellStyle name="Body 2" xfId="8437"/>
    <cellStyle name="Body 2 2" xfId="8438"/>
    <cellStyle name="Body 2 2 2" xfId="8439"/>
    <cellStyle name="Body 2 3" xfId="8440"/>
    <cellStyle name="Body 2 3 2" xfId="8441"/>
    <cellStyle name="Body 2 3 2 2" xfId="8442"/>
    <cellStyle name="Body 2 3 3" xfId="8443"/>
    <cellStyle name="Body 2 4" xfId="8444"/>
    <cellStyle name="Body 3" xfId="8445"/>
    <cellStyle name="Body 3 2" xfId="8446"/>
    <cellStyle name="Body 3 2 2" xfId="8447"/>
    <cellStyle name="Body 3 3" xfId="8448"/>
    <cellStyle name="Body 4" xfId="8449"/>
    <cellStyle name="Body 4 2" xfId="8450"/>
    <cellStyle name="Body 5" xfId="8451"/>
    <cellStyle name="Body 5 2" xfId="8452"/>
    <cellStyle name="Body 6" xfId="8453"/>
    <cellStyle name="BorderedPercent" xfId="8454"/>
    <cellStyle name="Boxed Integer" xfId="8455"/>
    <cellStyle name="Calc" xfId="8456"/>
    <cellStyle name="Calc Currency (0)" xfId="8457"/>
    <cellStyle name="Calc Currency (0) 2" xfId="8458"/>
    <cellStyle name="Calc Currency (0) 2 2" xfId="8459"/>
    <cellStyle name="Calc Currency (0) 3" xfId="8460"/>
    <cellStyle name="Calculation 10" xfId="8461"/>
    <cellStyle name="Calculation 2" xfId="8462"/>
    <cellStyle name="Calculation 2 10" xfId="8463"/>
    <cellStyle name="Calculation 2 10 2" xfId="8464"/>
    <cellStyle name="Calculation 2 10 3" xfId="8465"/>
    <cellStyle name="Calculation 2 11" xfId="8466"/>
    <cellStyle name="Calculation 2 11 2" xfId="8467"/>
    <cellStyle name="Calculation 2 12" xfId="8468"/>
    <cellStyle name="Calculation 2 13" xfId="8469"/>
    <cellStyle name="Calculation 2 2" xfId="8470"/>
    <cellStyle name="Calculation 2 2 2" xfId="8471"/>
    <cellStyle name="Calculation 2 2 2 2" xfId="8472"/>
    <cellStyle name="Calculation 2 2 3" xfId="8473"/>
    <cellStyle name="Calculation 2 2 3 2" xfId="8474"/>
    <cellStyle name="Calculation 2 2 3 2 2" xfId="8475"/>
    <cellStyle name="Calculation 2 2 3 3" xfId="8476"/>
    <cellStyle name="Calculation 2 2 4" xfId="8477"/>
    <cellStyle name="Calculation 2 3" xfId="8478"/>
    <cellStyle name="Calculation 2 3 2" xfId="8479"/>
    <cellStyle name="Calculation 2 3 2 2" xfId="8480"/>
    <cellStyle name="Calculation 2 3 2 2 2" xfId="8481"/>
    <cellStyle name="Calculation 2 3 2 3" xfId="8482"/>
    <cellStyle name="Calculation 2 3 3" xfId="8483"/>
    <cellStyle name="Calculation 2 3 3 2" xfId="8484"/>
    <cellStyle name="Calculation 2 3 3 2 2" xfId="8485"/>
    <cellStyle name="Calculation 2 3 3 2 2 2" xfId="8486"/>
    <cellStyle name="Calculation 2 3 3 2 3" xfId="8487"/>
    <cellStyle name="Calculation 2 3 3 3" xfId="8488"/>
    <cellStyle name="Calculation 2 3 3 3 2" xfId="8489"/>
    <cellStyle name="Calculation 2 3 3 4" xfId="8490"/>
    <cellStyle name="Calculation 2 3 4" xfId="8491"/>
    <cellStyle name="Calculation 2 3 4 2" xfId="8492"/>
    <cellStyle name="Calculation 2 3 5" xfId="8493"/>
    <cellStyle name="Calculation 2 4" xfId="8494"/>
    <cellStyle name="Calculation 2 4 2" xfId="8495"/>
    <cellStyle name="Calculation 2 4 2 2" xfId="8496"/>
    <cellStyle name="Calculation 2 4 2 2 2" xfId="8497"/>
    <cellStyle name="Calculation 2 4 2 3" xfId="8498"/>
    <cellStyle name="Calculation 2 4 3" xfId="8499"/>
    <cellStyle name="Calculation 2 4 3 2" xfId="8500"/>
    <cellStyle name="Calculation 2 4 4" xfId="8501"/>
    <cellStyle name="Calculation 2 5" xfId="8502"/>
    <cellStyle name="Calculation 2 5 2" xfId="8503"/>
    <cellStyle name="Calculation 2 5 2 2" xfId="8504"/>
    <cellStyle name="Calculation 2 5 2 2 2" xfId="8505"/>
    <cellStyle name="Calculation 2 5 2 3" xfId="8506"/>
    <cellStyle name="Calculation 2 5 3" xfId="8507"/>
    <cellStyle name="Calculation 2 5 3 2" xfId="8508"/>
    <cellStyle name="Calculation 2 5 3 2 2" xfId="8509"/>
    <cellStyle name="Calculation 2 5 3 2 2 2" xfId="8510"/>
    <cellStyle name="Calculation 2 5 3 2 3" xfId="8511"/>
    <cellStyle name="Calculation 2 5 3 3" xfId="8512"/>
    <cellStyle name="Calculation 2 5 3 3 2" xfId="8513"/>
    <cellStyle name="Calculation 2 5 3 4" xfId="8514"/>
    <cellStyle name="Calculation 2 5 4" xfId="8515"/>
    <cellStyle name="Calculation 2 5 4 2" xfId="8516"/>
    <cellStyle name="Calculation 2 5 5" xfId="8517"/>
    <cellStyle name="Calculation 2 6" xfId="8518"/>
    <cellStyle name="Calculation 2 6 2" xfId="8519"/>
    <cellStyle name="Calculation 2 6 2 2" xfId="8520"/>
    <cellStyle name="Calculation 2 6 2 2 2" xfId="8521"/>
    <cellStyle name="Calculation 2 6 2 3" xfId="8522"/>
    <cellStyle name="Calculation 2 6 3" xfId="8523"/>
    <cellStyle name="Calculation 2 6 3 2" xfId="8524"/>
    <cellStyle name="Calculation 2 6 3 2 2" xfId="8525"/>
    <cellStyle name="Calculation 2 6 3 2 2 2" xfId="8526"/>
    <cellStyle name="Calculation 2 6 3 2 2 2 2" xfId="8527"/>
    <cellStyle name="Calculation 2 6 3 2 2 3" xfId="8528"/>
    <cellStyle name="Calculation 2 6 3 2 3" xfId="8529"/>
    <cellStyle name="Calculation 2 6 3 2 3 2" xfId="8530"/>
    <cellStyle name="Calculation 2 6 3 2 4" xfId="8531"/>
    <cellStyle name="Calculation 2 6 3 3" xfId="8532"/>
    <cellStyle name="Calculation 2 6 3 3 2" xfId="8533"/>
    <cellStyle name="Calculation 2 6 3 3 2 2" xfId="8534"/>
    <cellStyle name="Calculation 2 6 3 3 3" xfId="8535"/>
    <cellStyle name="Calculation 2 6 3 4" xfId="8536"/>
    <cellStyle name="Calculation 2 6 3 4 2" xfId="8537"/>
    <cellStyle name="Calculation 2 6 3 5" xfId="8538"/>
    <cellStyle name="Calculation 2 6 4" xfId="8539"/>
    <cellStyle name="Calculation 2 6 4 2" xfId="8540"/>
    <cellStyle name="Calculation 2 6 4 2 2" xfId="8541"/>
    <cellStyle name="Calculation 2 6 4 2 2 2" xfId="8542"/>
    <cellStyle name="Calculation 2 6 4 2 3" xfId="8543"/>
    <cellStyle name="Calculation 2 6 4 3" xfId="8544"/>
    <cellStyle name="Calculation 2 6 4 3 2" xfId="8545"/>
    <cellStyle name="Calculation 2 6 4 4" xfId="8546"/>
    <cellStyle name="Calculation 2 6 5" xfId="8547"/>
    <cellStyle name="Calculation 2 6 5 2" xfId="8548"/>
    <cellStyle name="Calculation 2 6 5 2 2" xfId="8549"/>
    <cellStyle name="Calculation 2 6 5 3" xfId="8550"/>
    <cellStyle name="Calculation 2 6 6" xfId="8551"/>
    <cellStyle name="Calculation 2 6 6 2" xfId="8552"/>
    <cellStyle name="Calculation 2 6 7" xfId="8553"/>
    <cellStyle name="Calculation 2 7" xfId="8554"/>
    <cellStyle name="Calculation 2 7 2" xfId="8555"/>
    <cellStyle name="Calculation 2 7 2 2" xfId="8556"/>
    <cellStyle name="Calculation 2 7 3" xfId="8557"/>
    <cellStyle name="Calculation 2 8" xfId="8558"/>
    <cellStyle name="Calculation 2 8 2" xfId="8559"/>
    <cellStyle name="Calculation 2 8 2 2" xfId="8560"/>
    <cellStyle name="Calculation 2 8 2 2 2" xfId="8561"/>
    <cellStyle name="Calculation 2 8 2 3" xfId="8562"/>
    <cellStyle name="Calculation 2 8 3" xfId="8563"/>
    <cellStyle name="Calculation 2 8 3 2" xfId="8564"/>
    <cellStyle name="Calculation 2 8 4" xfId="8565"/>
    <cellStyle name="Calculation 2 9" xfId="8566"/>
    <cellStyle name="Calculation 2 9 2" xfId="8567"/>
    <cellStyle name="Calculation 2 9 2 2" xfId="8568"/>
    <cellStyle name="Calculation 2 9 2 2 2" xfId="8569"/>
    <cellStyle name="Calculation 2 9 2 3" xfId="8570"/>
    <cellStyle name="Calculation 2 9 3" xfId="8571"/>
    <cellStyle name="Calculation 2 9 3 2" xfId="8572"/>
    <cellStyle name="Calculation 2 9 4" xfId="8573"/>
    <cellStyle name="Calculation 2 9 4 2" xfId="8574"/>
    <cellStyle name="Calculation 2 9 5" xfId="8575"/>
    <cellStyle name="Calculation 3" xfId="8576"/>
    <cellStyle name="Calculation 3 2" xfId="8577"/>
    <cellStyle name="Calculation 3 2 2" xfId="8578"/>
    <cellStyle name="Calculation 3 2 2 2" xfId="8579"/>
    <cellStyle name="Calculation 3 2 3" xfId="8580"/>
    <cellStyle name="Calculation 3 3" xfId="8581"/>
    <cellStyle name="Calculation 3 3 2" xfId="8582"/>
    <cellStyle name="Calculation 3 4" xfId="8583"/>
    <cellStyle name="Calculation 3 4 2" xfId="8584"/>
    <cellStyle name="Calculation 3 4 2 2" xfId="8585"/>
    <cellStyle name="Calculation 3 4 3" xfId="8586"/>
    <cellStyle name="Calculation 3 5" xfId="8587"/>
    <cellStyle name="Calculation 4" xfId="8588"/>
    <cellStyle name="Calculation 4 2" xfId="8589"/>
    <cellStyle name="Calculation 4 2 2" xfId="8590"/>
    <cellStyle name="Calculation 4 3" xfId="8591"/>
    <cellStyle name="Calculation 4 3 2" xfId="8592"/>
    <cellStyle name="Calculation 4 3 2 2" xfId="8593"/>
    <cellStyle name="Calculation 4 3 3" xfId="8594"/>
    <cellStyle name="Calculation 4 4" xfId="8595"/>
    <cellStyle name="Calculation 5" xfId="8596"/>
    <cellStyle name="Calculation 5 2" xfId="8597"/>
    <cellStyle name="Calculation 5 2 2" xfId="8598"/>
    <cellStyle name="Calculation 5 2 2 2" xfId="8599"/>
    <cellStyle name="Calculation 5 2 3" xfId="8600"/>
    <cellStyle name="Calculation 5 3" xfId="8601"/>
    <cellStyle name="Calculation 5 3 2" xfId="8602"/>
    <cellStyle name="Calculation 5 3 2 2" xfId="8603"/>
    <cellStyle name="Calculation 5 3 2 2 2" xfId="8604"/>
    <cellStyle name="Calculation 5 3 2 3" xfId="8605"/>
    <cellStyle name="Calculation 5 3 3" xfId="8606"/>
    <cellStyle name="Calculation 5 3 3 2" xfId="8607"/>
    <cellStyle name="Calculation 5 3 4" xfId="8608"/>
    <cellStyle name="Calculation 5 4" xfId="8609"/>
    <cellStyle name="Calculation 5 4 2" xfId="8610"/>
    <cellStyle name="Calculation 5 5" xfId="8611"/>
    <cellStyle name="Calculation 6" xfId="8612"/>
    <cellStyle name="Calculation 6 2" xfId="8613"/>
    <cellStyle name="Calculation 6 2 2" xfId="8614"/>
    <cellStyle name="Calculation 6 2 2 2" xfId="8615"/>
    <cellStyle name="Calculation 6 2 3" xfId="8616"/>
    <cellStyle name="Calculation 6 3" xfId="8617"/>
    <cellStyle name="Calculation 6 3 2" xfId="8618"/>
    <cellStyle name="Calculation 6 4" xfId="8619"/>
    <cellStyle name="Calculation 7" xfId="8620"/>
    <cellStyle name="Calculation 7 2" xfId="8621"/>
    <cellStyle name="Calculation 8" xfId="8622"/>
    <cellStyle name="Calculation 8 2" xfId="8623"/>
    <cellStyle name="Calculation 9" xfId="8624"/>
    <cellStyle name="Center" xfId="8625"/>
    <cellStyle name="Center 2" xfId="8626"/>
    <cellStyle name="Center 2 2" xfId="8627"/>
    <cellStyle name="Center 3" xfId="8628"/>
    <cellStyle name="Center 3 2" xfId="8629"/>
    <cellStyle name="Center 3 2 2" xfId="8630"/>
    <cellStyle name="Center 3 3" xfId="8631"/>
    <cellStyle name="Center 4" xfId="8632"/>
    <cellStyle name="CenterWrap" xfId="8633"/>
    <cellStyle name="Cents" xfId="8634"/>
    <cellStyle name="Check Cell 2" xfId="8635"/>
    <cellStyle name="Check Cell 2 10" xfId="8636"/>
    <cellStyle name="Check Cell 2 10 2" xfId="8637"/>
    <cellStyle name="Check Cell 2 11" xfId="8638"/>
    <cellStyle name="Check Cell 2 12" xfId="8639"/>
    <cellStyle name="Check Cell 2 2" xfId="8640"/>
    <cellStyle name="Check Cell 2 2 2" xfId="8641"/>
    <cellStyle name="Check Cell 2 2 2 2" xfId="8642"/>
    <cellStyle name="Check Cell 2 2 3" xfId="8643"/>
    <cellStyle name="Check Cell 2 2 3 2" xfId="8644"/>
    <cellStyle name="Check Cell 2 2 3 2 2" xfId="8645"/>
    <cellStyle name="Check Cell 2 2 3 3" xfId="8646"/>
    <cellStyle name="Check Cell 2 2 4" xfId="8647"/>
    <cellStyle name="Check Cell 2 3" xfId="8648"/>
    <cellStyle name="Check Cell 2 3 2" xfId="8649"/>
    <cellStyle name="Check Cell 2 3 2 2" xfId="8650"/>
    <cellStyle name="Check Cell 2 3 3" xfId="8651"/>
    <cellStyle name="Check Cell 2 3 3 2" xfId="8652"/>
    <cellStyle name="Check Cell 2 3 3 2 2" xfId="8653"/>
    <cellStyle name="Check Cell 2 3 3 3" xfId="8654"/>
    <cellStyle name="Check Cell 2 3 4" xfId="8655"/>
    <cellStyle name="Check Cell 2 4" xfId="8656"/>
    <cellStyle name="Check Cell 2 4 2" xfId="8657"/>
    <cellStyle name="Check Cell 2 4 2 2" xfId="8658"/>
    <cellStyle name="Check Cell 2 4 3" xfId="8659"/>
    <cellStyle name="Check Cell 2 5" xfId="8660"/>
    <cellStyle name="Check Cell 2 5 2" xfId="8661"/>
    <cellStyle name="Check Cell 2 5 2 2" xfId="8662"/>
    <cellStyle name="Check Cell 2 5 3" xfId="8663"/>
    <cellStyle name="Check Cell 2 5 3 2" xfId="8664"/>
    <cellStyle name="Check Cell 2 5 3 2 2" xfId="8665"/>
    <cellStyle name="Check Cell 2 5 3 3" xfId="8666"/>
    <cellStyle name="Check Cell 2 5 4" xfId="8667"/>
    <cellStyle name="Check Cell 2 6" xfId="8668"/>
    <cellStyle name="Check Cell 2 6 2" xfId="8669"/>
    <cellStyle name="Check Cell 2 6 2 2" xfId="8670"/>
    <cellStyle name="Check Cell 2 6 3" xfId="8671"/>
    <cellStyle name="Check Cell 2 6 3 2" xfId="8672"/>
    <cellStyle name="Check Cell 2 6 4" xfId="8673"/>
    <cellStyle name="Check Cell 2 7" xfId="8674"/>
    <cellStyle name="Check Cell 2 7 2" xfId="8675"/>
    <cellStyle name="Check Cell 2 8" xfId="8676"/>
    <cellStyle name="Check Cell 2 8 2" xfId="8677"/>
    <cellStyle name="Check Cell 2 8 2 2" xfId="8678"/>
    <cellStyle name="Check Cell 2 8 3" xfId="8679"/>
    <cellStyle name="Check Cell 2 9" xfId="8680"/>
    <cellStyle name="Check Cell 2 9 2" xfId="8681"/>
    <cellStyle name="Check Cell 2 9 2 2" xfId="8682"/>
    <cellStyle name="Check Cell 2 9 3" xfId="8683"/>
    <cellStyle name="Check Cell 3" xfId="8684"/>
    <cellStyle name="Check Cell 3 2" xfId="8685"/>
    <cellStyle name="Check Cell 3 2 2" xfId="8686"/>
    <cellStyle name="Check Cell 3 3" xfId="8687"/>
    <cellStyle name="Check Cell 3 3 2" xfId="8688"/>
    <cellStyle name="Check Cell 3 4" xfId="8689"/>
    <cellStyle name="Check Cell 3 4 2" xfId="8690"/>
    <cellStyle name="Check Cell 3 4 2 2" xfId="8691"/>
    <cellStyle name="Check Cell 3 4 3" xfId="8692"/>
    <cellStyle name="Check Cell 3 5" xfId="8693"/>
    <cellStyle name="Check Cell 4" xfId="8694"/>
    <cellStyle name="Check Cell 4 2" xfId="8695"/>
    <cellStyle name="Check Cell 4 2 2" xfId="8696"/>
    <cellStyle name="Check Cell 4 3" xfId="8697"/>
    <cellStyle name="Check Cell 4 3 2" xfId="8698"/>
    <cellStyle name="Check Cell 4 3 2 2" xfId="8699"/>
    <cellStyle name="Check Cell 4 3 3" xfId="8700"/>
    <cellStyle name="Check Cell 4 4" xfId="8701"/>
    <cellStyle name="Check Cell 5" xfId="8702"/>
    <cellStyle name="Check Cell 5 2" xfId="8703"/>
    <cellStyle name="Check Cell 5 2 2" xfId="8704"/>
    <cellStyle name="Check Cell 5 3" xfId="8705"/>
    <cellStyle name="Check Cell 5 3 2" xfId="8706"/>
    <cellStyle name="Check Cell 5 3 2 2" xfId="8707"/>
    <cellStyle name="Check Cell 5 3 3" xfId="8708"/>
    <cellStyle name="Check Cell 5 4" xfId="8709"/>
    <cellStyle name="Check Cell 6" xfId="8710"/>
    <cellStyle name="Check Cell 6 2" xfId="8711"/>
    <cellStyle name="Check Cell 6 2 2" xfId="8712"/>
    <cellStyle name="Check Cell 6 3" xfId="8713"/>
    <cellStyle name="Check Cell 7" xfId="8714"/>
    <cellStyle name="Check Cell 7 2" xfId="8715"/>
    <cellStyle name="Check Cell 8" xfId="8716"/>
    <cellStyle name="Check Cell 9" xfId="8717"/>
    <cellStyle name="Comma" xfId="19" builtinId="3"/>
    <cellStyle name="Comma [0] 2" xfId="8718"/>
    <cellStyle name="Comma [0] 3" xfId="8719"/>
    <cellStyle name="Comma [0] 4" xfId="53888"/>
    <cellStyle name="Comma 10" xfId="8720"/>
    <cellStyle name="Comma 11" xfId="8721"/>
    <cellStyle name="Comma 12" xfId="8722"/>
    <cellStyle name="Comma 13" xfId="8723"/>
    <cellStyle name="Comma 14" xfId="8724"/>
    <cellStyle name="Comma 15" xfId="8725"/>
    <cellStyle name="Comma 16" xfId="8726"/>
    <cellStyle name="Comma 17" xfId="8727"/>
    <cellStyle name="Comma 176" xfId="8728"/>
    <cellStyle name="Comma 18" xfId="8729"/>
    <cellStyle name="Comma 19" xfId="8730"/>
    <cellStyle name="Comma 2" xfId="20"/>
    <cellStyle name="Comma 2 2" xfId="21"/>
    <cellStyle name="Comma 2 2 2" xfId="96"/>
    <cellStyle name="Comma 2 2 2 2" xfId="8731"/>
    <cellStyle name="Comma 2 2 3" xfId="8732"/>
    <cellStyle name="Comma 2 3" xfId="95"/>
    <cellStyle name="Comma 2 3 2" xfId="8734"/>
    <cellStyle name="Comma 2 3 3" xfId="8733"/>
    <cellStyle name="Comma 2 4" xfId="83"/>
    <cellStyle name="Comma 2 4 2" xfId="8736"/>
    <cellStyle name="Comma 2 4 3" xfId="8737"/>
    <cellStyle name="Comma 2 4 3 2" xfId="8738"/>
    <cellStyle name="Comma 2 4 4" xfId="8735"/>
    <cellStyle name="Comma 2 5" xfId="8739"/>
    <cellStyle name="Comma 20" xfId="8740"/>
    <cellStyle name="Comma 21" xfId="8741"/>
    <cellStyle name="Comma 22" xfId="8742"/>
    <cellStyle name="Comma 23" xfId="668"/>
    <cellStyle name="Comma 24" xfId="53871"/>
    <cellStyle name="Comma 25" xfId="53875"/>
    <cellStyle name="Comma 26" xfId="53878"/>
    <cellStyle name="Comma 27" xfId="53881"/>
    <cellStyle name="Comma 28" xfId="53884"/>
    <cellStyle name="Comma 29" xfId="53887"/>
    <cellStyle name="Comma 3" xfId="22"/>
    <cellStyle name="Comma 3 2" xfId="97"/>
    <cellStyle name="Comma 3 2 2" xfId="8744"/>
    <cellStyle name="Comma 3 2 2 2" xfId="8745"/>
    <cellStyle name="Comma 3 2 2 3" xfId="8746"/>
    <cellStyle name="Comma 3 2 2 3 2" xfId="8747"/>
    <cellStyle name="Comma 3 2 2 4" xfId="8748"/>
    <cellStyle name="Comma 3 2 2 4 2" xfId="8749"/>
    <cellStyle name="Comma 3 2 3" xfId="8750"/>
    <cellStyle name="Comma 3 2 3 2" xfId="8751"/>
    <cellStyle name="Comma 3 2 4" xfId="8752"/>
    <cellStyle name="Comma 3 2 5" xfId="8743"/>
    <cellStyle name="Comma 3 3" xfId="8753"/>
    <cellStyle name="Comma 3 3 2" xfId="8754"/>
    <cellStyle name="Comma 3 4" xfId="8755"/>
    <cellStyle name="Comma 3 4 2" xfId="8756"/>
    <cellStyle name="Comma 3 5" xfId="8757"/>
    <cellStyle name="Comma 3 5 2" xfId="8758"/>
    <cellStyle name="Comma 3 5 3" xfId="8759"/>
    <cellStyle name="Comma 3 5 3 2" xfId="8760"/>
    <cellStyle name="Comma 3 5 4" xfId="8761"/>
    <cellStyle name="Comma 3 5 4 2" xfId="8762"/>
    <cellStyle name="Comma 3 6" xfId="8763"/>
    <cellStyle name="Comma 3 6 2" xfId="8764"/>
    <cellStyle name="Comma 3 7" xfId="8765"/>
    <cellStyle name="Comma 3 8" xfId="671"/>
    <cellStyle name="Comma 30" xfId="53891"/>
    <cellStyle name="Comma 4" xfId="94"/>
    <cellStyle name="Comma 4 2" xfId="8767"/>
    <cellStyle name="Comma 4 2 2" xfId="8768"/>
    <cellStyle name="Comma 4 3" xfId="8766"/>
    <cellStyle name="Comma 5" xfId="139"/>
    <cellStyle name="Comma 5 2" xfId="8769"/>
    <cellStyle name="Comma 5 2 2" xfId="8770"/>
    <cellStyle name="Comma 6" xfId="245"/>
    <cellStyle name="Comma 6 2" xfId="254"/>
    <cellStyle name="Comma 6 3" xfId="8771"/>
    <cellStyle name="Comma 7" xfId="8772"/>
    <cellStyle name="Comma 7 2" xfId="8773"/>
    <cellStyle name="Comma 7 3" xfId="8774"/>
    <cellStyle name="Comma 7 3 2" xfId="8775"/>
    <cellStyle name="Comma 7 4" xfId="8776"/>
    <cellStyle name="Comma 7 4 2" xfId="8777"/>
    <cellStyle name="Comma 8" xfId="133"/>
    <cellStyle name="Comma 8 2" xfId="8779"/>
    <cellStyle name="Comma 8 2 2" xfId="8780"/>
    <cellStyle name="Comma 8 3" xfId="8781"/>
    <cellStyle name="Comma 8 4" xfId="8782"/>
    <cellStyle name="Comma 8 4 2" xfId="8783"/>
    <cellStyle name="Comma 8 5" xfId="8784"/>
    <cellStyle name="Comma 8 6" xfId="8778"/>
    <cellStyle name="Comma 9" xfId="8785"/>
    <cellStyle name="Comma 9 2" xfId="8786"/>
    <cellStyle name="Comma 9 3" xfId="8787"/>
    <cellStyle name="Comma 9 3 2" xfId="8788"/>
    <cellStyle name="Comma 9 4" xfId="8789"/>
    <cellStyle name="Comma 9 4 2" xfId="8790"/>
    <cellStyle name="Copied" xfId="8791"/>
    <cellStyle name="Copied 2" xfId="8792"/>
    <cellStyle name="Copied 2 2" xfId="8793"/>
    <cellStyle name="Copied 2 2 2" xfId="8794"/>
    <cellStyle name="Copied 2 3" xfId="8795"/>
    <cellStyle name="Copied 2 3 2" xfId="8796"/>
    <cellStyle name="Copied 2 3 2 2" xfId="8797"/>
    <cellStyle name="Copied 2 3 3" xfId="8798"/>
    <cellStyle name="Copied 2 4" xfId="8799"/>
    <cellStyle name="Copied 3" xfId="8800"/>
    <cellStyle name="Copied 3 2" xfId="8801"/>
    <cellStyle name="Copied 3 2 2" xfId="8802"/>
    <cellStyle name="Copied 3 3" xfId="8803"/>
    <cellStyle name="Copied 4" xfId="8804"/>
    <cellStyle name="Copied 4 2" xfId="8805"/>
    <cellStyle name="Copied 4 2 2" xfId="8806"/>
    <cellStyle name="Copied 4 3" xfId="8807"/>
    <cellStyle name="Copied 5" xfId="8808"/>
    <cellStyle name="Copied 5 2" xfId="8809"/>
    <cellStyle name="Copied 6" xfId="8810"/>
    <cellStyle name="Copied 6 2" xfId="8811"/>
    <cellStyle name="Copied 7" xfId="8812"/>
    <cellStyle name="CostNoZero" xfId="8813"/>
    <cellStyle name="Currency" xfId="23" builtinId="4"/>
    <cellStyle name="Currency 10" xfId="53703"/>
    <cellStyle name="Currency 11" xfId="53873"/>
    <cellStyle name="Currency 2" xfId="98"/>
    <cellStyle name="Currency 2 2" xfId="8815"/>
    <cellStyle name="Currency 2 2 2" xfId="8816"/>
    <cellStyle name="Currency 2 2 2 2" xfId="8817"/>
    <cellStyle name="Currency 2 2 2 3" xfId="8818"/>
    <cellStyle name="Currency 2 2 2 3 2" xfId="8819"/>
    <cellStyle name="Currency 2 2 2 4" xfId="8820"/>
    <cellStyle name="Currency 2 2 2 4 2" xfId="8821"/>
    <cellStyle name="Currency 2 2 3" xfId="8822"/>
    <cellStyle name="Currency 2 2 3 2" xfId="8823"/>
    <cellStyle name="Currency 2 2 4" xfId="8824"/>
    <cellStyle name="Currency 2 3" xfId="8825"/>
    <cellStyle name="Currency 2 3 2" xfId="8826"/>
    <cellStyle name="Currency 2 3 3" xfId="8827"/>
    <cellStyle name="Currency 2 3 3 2" xfId="8828"/>
    <cellStyle name="Currency 2 3 4" xfId="8829"/>
    <cellStyle name="Currency 2 3 4 2" xfId="8830"/>
    <cellStyle name="Currency 2 4" xfId="8831"/>
    <cellStyle name="Currency 2 4 2" xfId="8832"/>
    <cellStyle name="Currency 2 5" xfId="8833"/>
    <cellStyle name="Currency 2 6" xfId="8834"/>
    <cellStyle name="Currency 2 7" xfId="8814"/>
    <cellStyle name="Currency 3" xfId="140"/>
    <cellStyle name="Currency 3 2" xfId="8836"/>
    <cellStyle name="Currency 3 2 2" xfId="8837"/>
    <cellStyle name="Currency 3 3" xfId="8838"/>
    <cellStyle name="Currency 3 3 2" xfId="8839"/>
    <cellStyle name="Currency 3 3 3" xfId="8840"/>
    <cellStyle name="Currency 3 3 3 2" xfId="8841"/>
    <cellStyle name="Currency 3 3 4" xfId="8842"/>
    <cellStyle name="Currency 3 3 4 2" xfId="8843"/>
    <cellStyle name="Currency 3 4" xfId="8844"/>
    <cellStyle name="Currency 3 5" xfId="8835"/>
    <cellStyle name="Currency 4" xfId="255"/>
    <cellStyle name="Currency 4 2" xfId="8846"/>
    <cellStyle name="Currency 4 2 2" xfId="8847"/>
    <cellStyle name="Currency 4 3" xfId="8848"/>
    <cellStyle name="Currency 4 3 2" xfId="8849"/>
    <cellStyle name="Currency 4 4" xfId="8845"/>
    <cellStyle name="Currency 5" xfId="8850"/>
    <cellStyle name="Currency 5 2" xfId="8851"/>
    <cellStyle name="Currency 6" xfId="8852"/>
    <cellStyle name="Currency 6 2" xfId="8853"/>
    <cellStyle name="Currency 6 2 2" xfId="8854"/>
    <cellStyle name="Currency 6 3" xfId="8855"/>
    <cellStyle name="Currency 6 3 2" xfId="8856"/>
    <cellStyle name="Currency 6 4" xfId="8857"/>
    <cellStyle name="Currency 7" xfId="8858"/>
    <cellStyle name="Currency 7 2" xfId="8859"/>
    <cellStyle name="Currency 8" xfId="8860"/>
    <cellStyle name="Currency 9" xfId="8861"/>
    <cellStyle name="Currency.00" xfId="8862"/>
    <cellStyle name="Date" xfId="8863"/>
    <cellStyle name="Date (m/d/yy)" xfId="8864"/>
    <cellStyle name="Date (m/d/yy) 2" xfId="8865"/>
    <cellStyle name="Date_~6497230" xfId="8866"/>
    <cellStyle name="Decimal" xfId="8867"/>
    <cellStyle name="Emphasis 1" xfId="24"/>
    <cellStyle name="Emphasis 1 10" xfId="8868"/>
    <cellStyle name="Emphasis 1 2" xfId="8869"/>
    <cellStyle name="Emphasis 1 2 2" xfId="8870"/>
    <cellStyle name="Emphasis 1 2 2 2" xfId="8871"/>
    <cellStyle name="Emphasis 1 2 3" xfId="8872"/>
    <cellStyle name="Emphasis 1 2 3 2" xfId="8873"/>
    <cellStyle name="Emphasis 1 2 3 2 2" xfId="8874"/>
    <cellStyle name="Emphasis 1 2 3 3" xfId="8875"/>
    <cellStyle name="Emphasis 1 2 4" xfId="8876"/>
    <cellStyle name="Emphasis 1 2 4 2" xfId="8877"/>
    <cellStyle name="Emphasis 1 2 4 2 2" xfId="8878"/>
    <cellStyle name="Emphasis 1 2 4 3" xfId="8879"/>
    <cellStyle name="Emphasis 1 2 5" xfId="8880"/>
    <cellStyle name="Emphasis 1 3" xfId="8881"/>
    <cellStyle name="Emphasis 1 3 2" xfId="8882"/>
    <cellStyle name="Emphasis 1 3 2 2" xfId="8883"/>
    <cellStyle name="Emphasis 1 3 3" xfId="8884"/>
    <cellStyle name="Emphasis 1 4" xfId="8885"/>
    <cellStyle name="Emphasis 1 4 2" xfId="8886"/>
    <cellStyle name="Emphasis 1 5" xfId="8887"/>
    <cellStyle name="Emphasis 1 5 2" xfId="8888"/>
    <cellStyle name="Emphasis 1 6" xfId="8889"/>
    <cellStyle name="Emphasis 1 6 2" xfId="8890"/>
    <cellStyle name="Emphasis 1 6 2 2" xfId="8891"/>
    <cellStyle name="Emphasis 1 6 3" xfId="8892"/>
    <cellStyle name="Emphasis 1 7" xfId="8893"/>
    <cellStyle name="Emphasis 1 7 2" xfId="8894"/>
    <cellStyle name="Emphasis 1 8" xfId="8895"/>
    <cellStyle name="Emphasis 1 8 2" xfId="8896"/>
    <cellStyle name="Emphasis 1 9" xfId="8897"/>
    <cellStyle name="Emphasis 2" xfId="25"/>
    <cellStyle name="Emphasis 2 10" xfId="8898"/>
    <cellStyle name="Emphasis 2 2" xfId="8899"/>
    <cellStyle name="Emphasis 2 2 2" xfId="8900"/>
    <cellStyle name="Emphasis 2 2 2 2" xfId="8901"/>
    <cellStyle name="Emphasis 2 2 3" xfId="8902"/>
    <cellStyle name="Emphasis 2 2 3 2" xfId="8903"/>
    <cellStyle name="Emphasis 2 2 3 2 2" xfId="8904"/>
    <cellStyle name="Emphasis 2 2 3 3" xfId="8905"/>
    <cellStyle name="Emphasis 2 2 4" xfId="8906"/>
    <cellStyle name="Emphasis 2 2 4 2" xfId="8907"/>
    <cellStyle name="Emphasis 2 2 4 2 2" xfId="8908"/>
    <cellStyle name="Emphasis 2 2 4 3" xfId="8909"/>
    <cellStyle name="Emphasis 2 2 5" xfId="8910"/>
    <cellStyle name="Emphasis 2 3" xfId="8911"/>
    <cellStyle name="Emphasis 2 3 2" xfId="8912"/>
    <cellStyle name="Emphasis 2 3 2 2" xfId="8913"/>
    <cellStyle name="Emphasis 2 3 3" xfId="8914"/>
    <cellStyle name="Emphasis 2 4" xfId="8915"/>
    <cellStyle name="Emphasis 2 4 2" xfId="8916"/>
    <cellStyle name="Emphasis 2 5" xfId="8917"/>
    <cellStyle name="Emphasis 2 5 2" xfId="8918"/>
    <cellStyle name="Emphasis 2 6" xfId="8919"/>
    <cellStyle name="Emphasis 2 6 2" xfId="8920"/>
    <cellStyle name="Emphasis 2 6 2 2" xfId="8921"/>
    <cellStyle name="Emphasis 2 6 3" xfId="8922"/>
    <cellStyle name="Emphasis 2 7" xfId="8923"/>
    <cellStyle name="Emphasis 2 7 2" xfId="8924"/>
    <cellStyle name="Emphasis 2 8" xfId="8925"/>
    <cellStyle name="Emphasis 2 8 2" xfId="8926"/>
    <cellStyle name="Emphasis 2 9" xfId="8927"/>
    <cellStyle name="Emphasis 3" xfId="26"/>
    <cellStyle name="Emphasis 3 2" xfId="8928"/>
    <cellStyle name="Emphasis 3 2 2" xfId="8929"/>
    <cellStyle name="Emphasis 3 2 2 2" xfId="8930"/>
    <cellStyle name="Emphasis 3 2 3" xfId="8931"/>
    <cellStyle name="Emphasis 3 2 3 2" xfId="8932"/>
    <cellStyle name="Emphasis 3 2 3 2 2" xfId="8933"/>
    <cellStyle name="Emphasis 3 2 3 3" xfId="8934"/>
    <cellStyle name="Emphasis 3 2 4" xfId="8935"/>
    <cellStyle name="Emphasis 3 3" xfId="8936"/>
    <cellStyle name="Emphasis 3 3 2" xfId="8937"/>
    <cellStyle name="Emphasis 3 3 2 2" xfId="8938"/>
    <cellStyle name="Emphasis 3 3 3" xfId="8939"/>
    <cellStyle name="Emphasis 3 4" xfId="8940"/>
    <cellStyle name="Emphasis 3 4 2" xfId="8941"/>
    <cellStyle name="Emphasis 3 5" xfId="8942"/>
    <cellStyle name="Emphasis 3 5 2" xfId="8943"/>
    <cellStyle name="Emphasis 3 6" xfId="8944"/>
    <cellStyle name="Emphasis 3 7" xfId="8945"/>
    <cellStyle name="Entered" xfId="8946"/>
    <cellStyle name="Entered 2" xfId="8947"/>
    <cellStyle name="Entered 2 2" xfId="8948"/>
    <cellStyle name="Entered 2 2 2" xfId="8949"/>
    <cellStyle name="Entered 2 3" xfId="8950"/>
    <cellStyle name="Entered 2 3 2" xfId="8951"/>
    <cellStyle name="Entered 2 3 2 2" xfId="8952"/>
    <cellStyle name="Entered 2 3 3" xfId="8953"/>
    <cellStyle name="Entered 2 4" xfId="8954"/>
    <cellStyle name="Entered 3" xfId="8955"/>
    <cellStyle name="Entered 3 2" xfId="8956"/>
    <cellStyle name="Entered 3 2 2" xfId="8957"/>
    <cellStyle name="Entered 3 3" xfId="8958"/>
    <cellStyle name="Entered 4" xfId="8959"/>
    <cellStyle name="Entered 4 2" xfId="8960"/>
    <cellStyle name="Entered 4 2 2" xfId="8961"/>
    <cellStyle name="Entered 4 3" xfId="8962"/>
    <cellStyle name="Entered 5" xfId="8963"/>
    <cellStyle name="Entered 5 2" xfId="8964"/>
    <cellStyle name="Entered 6" xfId="8965"/>
    <cellStyle name="Entered 6 2" xfId="8966"/>
    <cellStyle name="Entered 7" xfId="8967"/>
    <cellStyle name="Euro" xfId="8968"/>
    <cellStyle name="Euro 2" xfId="8969"/>
    <cellStyle name="Euro 2 2" xfId="8970"/>
    <cellStyle name="Euro 2 2 2" xfId="8971"/>
    <cellStyle name="Euro 2 2 2 2" xfId="8972"/>
    <cellStyle name="Euro 2 2 3" xfId="8973"/>
    <cellStyle name="Euro 2 3" xfId="8974"/>
    <cellStyle name="Euro 2 3 2" xfId="8975"/>
    <cellStyle name="Euro 2 3 2 2" xfId="8976"/>
    <cellStyle name="Euro 2 3 3" xfId="8977"/>
    <cellStyle name="Euro 2 4" xfId="8978"/>
    <cellStyle name="Euro 3" xfId="8979"/>
    <cellStyle name="Euro 3 2" xfId="8980"/>
    <cellStyle name="Euro 3 2 2" xfId="8981"/>
    <cellStyle name="Euro 3 3" xfId="8982"/>
    <cellStyle name="Euro 4" xfId="8983"/>
    <cellStyle name="Euro 4 2" xfId="8984"/>
    <cellStyle name="Euro 4 2 2" xfId="8985"/>
    <cellStyle name="Euro 4 3" xfId="8986"/>
    <cellStyle name="Euro 5" xfId="8987"/>
    <cellStyle name="Euro 5 2" xfId="8988"/>
    <cellStyle name="Euro 6" xfId="8989"/>
    <cellStyle name="Explanatory Text 2" xfId="8990"/>
    <cellStyle name="Explanatory Text 2 10" xfId="8991"/>
    <cellStyle name="Explanatory Text 2 2" xfId="8992"/>
    <cellStyle name="Explanatory Text 2 2 2" xfId="8993"/>
    <cellStyle name="Explanatory Text 2 2 2 2" xfId="8994"/>
    <cellStyle name="Explanatory Text 2 2 3" xfId="8995"/>
    <cellStyle name="Explanatory Text 2 2 3 2" xfId="8996"/>
    <cellStyle name="Explanatory Text 2 2 3 2 2" xfId="8997"/>
    <cellStyle name="Explanatory Text 2 2 3 3" xfId="8998"/>
    <cellStyle name="Explanatory Text 2 2 4" xfId="8999"/>
    <cellStyle name="Explanatory Text 2 3" xfId="9000"/>
    <cellStyle name="Explanatory Text 2 3 2" xfId="9001"/>
    <cellStyle name="Explanatory Text 2 3 2 2" xfId="9002"/>
    <cellStyle name="Explanatory Text 2 3 3" xfId="9003"/>
    <cellStyle name="Explanatory Text 2 3 3 2" xfId="9004"/>
    <cellStyle name="Explanatory Text 2 3 3 2 2" xfId="9005"/>
    <cellStyle name="Explanatory Text 2 3 3 3" xfId="9006"/>
    <cellStyle name="Explanatory Text 2 3 4" xfId="9007"/>
    <cellStyle name="Explanatory Text 2 4" xfId="9008"/>
    <cellStyle name="Explanatory Text 2 4 2" xfId="9009"/>
    <cellStyle name="Explanatory Text 2 4 2 2" xfId="9010"/>
    <cellStyle name="Explanatory Text 2 4 3" xfId="9011"/>
    <cellStyle name="Explanatory Text 2 5" xfId="9012"/>
    <cellStyle name="Explanatory Text 2 5 2" xfId="9013"/>
    <cellStyle name="Explanatory Text 2 5 2 2" xfId="9014"/>
    <cellStyle name="Explanatory Text 2 5 3" xfId="9015"/>
    <cellStyle name="Explanatory Text 2 5 3 2" xfId="9016"/>
    <cellStyle name="Explanatory Text 2 5 3 2 2" xfId="9017"/>
    <cellStyle name="Explanatory Text 2 5 3 3" xfId="9018"/>
    <cellStyle name="Explanatory Text 2 5 4" xfId="9019"/>
    <cellStyle name="Explanatory Text 2 6" xfId="9020"/>
    <cellStyle name="Explanatory Text 2 6 2" xfId="9021"/>
    <cellStyle name="Explanatory Text 2 7" xfId="9022"/>
    <cellStyle name="Explanatory Text 2 7 2" xfId="9023"/>
    <cellStyle name="Explanatory Text 2 8" xfId="9024"/>
    <cellStyle name="Explanatory Text 2 8 2" xfId="9025"/>
    <cellStyle name="Explanatory Text 2 8 2 2" xfId="9026"/>
    <cellStyle name="Explanatory Text 2 8 3" xfId="9027"/>
    <cellStyle name="Explanatory Text 2 9" xfId="9028"/>
    <cellStyle name="Explanatory Text 2 9 2" xfId="9029"/>
    <cellStyle name="Explanatory Text 2 9 2 2" xfId="9030"/>
    <cellStyle name="Explanatory Text 2 9 3" xfId="9031"/>
    <cellStyle name="Explanatory Text 3" xfId="9032"/>
    <cellStyle name="Explanatory Text 3 2" xfId="9033"/>
    <cellStyle name="Explanatory Text 3 2 2" xfId="9034"/>
    <cellStyle name="Explanatory Text 3 3" xfId="9035"/>
    <cellStyle name="Explanatory Text 3 3 2" xfId="9036"/>
    <cellStyle name="Explanatory Text 3 4" xfId="9037"/>
    <cellStyle name="Explanatory Text 3 4 2" xfId="9038"/>
    <cellStyle name="Explanatory Text 3 4 2 2" xfId="9039"/>
    <cellStyle name="Explanatory Text 3 4 3" xfId="9040"/>
    <cellStyle name="Explanatory Text 3 5" xfId="9041"/>
    <cellStyle name="Explanatory Text 4" xfId="9042"/>
    <cellStyle name="Explanatory Text 4 2" xfId="9043"/>
    <cellStyle name="Explanatory Text 4 2 2" xfId="9044"/>
    <cellStyle name="Explanatory Text 4 3" xfId="9045"/>
    <cellStyle name="Explanatory Text 4 3 2" xfId="9046"/>
    <cellStyle name="Explanatory Text 4 3 2 2" xfId="9047"/>
    <cellStyle name="Explanatory Text 4 3 3" xfId="9048"/>
    <cellStyle name="Explanatory Text 4 4" xfId="9049"/>
    <cellStyle name="Explanatory Text 5" xfId="9050"/>
    <cellStyle name="Explanatory Text 5 2" xfId="9051"/>
    <cellStyle name="Explanatory Text 5 2 2" xfId="9052"/>
    <cellStyle name="Explanatory Text 5 3" xfId="9053"/>
    <cellStyle name="Explanatory Text 5 3 2" xfId="9054"/>
    <cellStyle name="Explanatory Text 5 3 2 2" xfId="9055"/>
    <cellStyle name="Explanatory Text 5 3 3" xfId="9056"/>
    <cellStyle name="Explanatory Text 5 4" xfId="9057"/>
    <cellStyle name="Explanatory Text 6" xfId="9058"/>
    <cellStyle name="Explanatory Text 6 2" xfId="9059"/>
    <cellStyle name="Explanatory Text 6 2 2" xfId="9060"/>
    <cellStyle name="Explanatory Text 6 3" xfId="9061"/>
    <cellStyle name="Explanatory Text 7" xfId="9062"/>
    <cellStyle name="Explanatory Text 8" xfId="9063"/>
    <cellStyle name="Fixed" xfId="9064"/>
    <cellStyle name="Fixed 2" xfId="9065"/>
    <cellStyle name="Fixed 2 2" xfId="9066"/>
    <cellStyle name="Fixed 3" xfId="9067"/>
    <cellStyle name="Floating" xfId="9068"/>
    <cellStyle name="General" xfId="9069"/>
    <cellStyle name="General 2" xfId="9070"/>
    <cellStyle name="General 2 2" xfId="9071"/>
    <cellStyle name="General 2 2 2" xfId="9072"/>
    <cellStyle name="General 2 3" xfId="9073"/>
    <cellStyle name="General 3" xfId="9074"/>
    <cellStyle name="General 3 2" xfId="9075"/>
    <cellStyle name="General 3 2 2" xfId="9076"/>
    <cellStyle name="General 3 3" xfId="9077"/>
    <cellStyle name="General 3 3 2" xfId="9078"/>
    <cellStyle name="General 3 3 2 2" xfId="9079"/>
    <cellStyle name="General 3 3 3" xfId="9080"/>
    <cellStyle name="General 3 4" xfId="9081"/>
    <cellStyle name="General 4" xfId="9082"/>
    <cellStyle name="General 4 2" xfId="9083"/>
    <cellStyle name="General 4 2 2" xfId="9084"/>
    <cellStyle name="General 4 3" xfId="9085"/>
    <cellStyle name="General 5" xfId="9086"/>
    <cellStyle name="General2" xfId="9087"/>
    <cellStyle name="Good 2" xfId="9088"/>
    <cellStyle name="Good 2 10" xfId="9089"/>
    <cellStyle name="Good 2 10 2" xfId="9090"/>
    <cellStyle name="Good 2 11" xfId="9091"/>
    <cellStyle name="Good 2 12" xfId="9092"/>
    <cellStyle name="Good 2 2" xfId="9093"/>
    <cellStyle name="Good 2 2 2" xfId="9094"/>
    <cellStyle name="Good 2 2 2 2" xfId="9095"/>
    <cellStyle name="Good 2 2 3" xfId="9096"/>
    <cellStyle name="Good 2 2 3 2" xfId="9097"/>
    <cellStyle name="Good 2 2 3 2 2" xfId="9098"/>
    <cellStyle name="Good 2 2 3 3" xfId="9099"/>
    <cellStyle name="Good 2 2 4" xfId="9100"/>
    <cellStyle name="Good 2 2 4 2" xfId="9101"/>
    <cellStyle name="Good 2 2 5" xfId="9102"/>
    <cellStyle name="Good 2 3" xfId="9103"/>
    <cellStyle name="Good 2 3 2" xfId="9104"/>
    <cellStyle name="Good 2 3 2 2" xfId="9105"/>
    <cellStyle name="Good 2 3 3" xfId="9106"/>
    <cellStyle name="Good 2 3 3 2" xfId="9107"/>
    <cellStyle name="Good 2 3 3 2 2" xfId="9108"/>
    <cellStyle name="Good 2 3 3 3" xfId="9109"/>
    <cellStyle name="Good 2 3 4" xfId="9110"/>
    <cellStyle name="Good 2 4" xfId="9111"/>
    <cellStyle name="Good 2 4 2" xfId="9112"/>
    <cellStyle name="Good 2 4 2 2" xfId="9113"/>
    <cellStyle name="Good 2 4 3" xfId="9114"/>
    <cellStyle name="Good 2 5" xfId="9115"/>
    <cellStyle name="Good 2 5 2" xfId="9116"/>
    <cellStyle name="Good 2 5 2 2" xfId="9117"/>
    <cellStyle name="Good 2 5 3" xfId="9118"/>
    <cellStyle name="Good 2 5 3 2" xfId="9119"/>
    <cellStyle name="Good 2 5 3 2 2" xfId="9120"/>
    <cellStyle name="Good 2 5 3 3" xfId="9121"/>
    <cellStyle name="Good 2 5 4" xfId="9122"/>
    <cellStyle name="Good 2 6" xfId="9123"/>
    <cellStyle name="Good 2 6 2" xfId="9124"/>
    <cellStyle name="Good 2 6 2 2" xfId="9125"/>
    <cellStyle name="Good 2 6 3" xfId="9126"/>
    <cellStyle name="Good 2 6 3 2" xfId="9127"/>
    <cellStyle name="Good 2 6 3 2 2" xfId="9128"/>
    <cellStyle name="Good 2 6 3 3" xfId="9129"/>
    <cellStyle name="Good 2 6 4" xfId="9130"/>
    <cellStyle name="Good 2 6 4 2" xfId="9131"/>
    <cellStyle name="Good 2 6 5" xfId="9132"/>
    <cellStyle name="Good 2 7" xfId="9133"/>
    <cellStyle name="Good 2 7 2" xfId="9134"/>
    <cellStyle name="Good 2 8" xfId="9135"/>
    <cellStyle name="Good 2 8 2" xfId="9136"/>
    <cellStyle name="Good 2 8 2 2" xfId="9137"/>
    <cellStyle name="Good 2 8 3" xfId="9138"/>
    <cellStyle name="Good 2 9" xfId="9139"/>
    <cellStyle name="Good 2 9 2" xfId="9140"/>
    <cellStyle name="Good 2 9 2 2" xfId="9141"/>
    <cellStyle name="Good 2 9 3" xfId="9142"/>
    <cellStyle name="Good 3" xfId="9143"/>
    <cellStyle name="Good 3 2" xfId="9144"/>
    <cellStyle name="Good 3 2 2" xfId="9145"/>
    <cellStyle name="Good 3 3" xfId="9146"/>
    <cellStyle name="Good 3 3 2" xfId="9147"/>
    <cellStyle name="Good 3 4" xfId="9148"/>
    <cellStyle name="Good 3 4 2" xfId="9149"/>
    <cellStyle name="Good 3 4 2 2" xfId="9150"/>
    <cellStyle name="Good 3 4 3" xfId="9151"/>
    <cellStyle name="Good 3 5" xfId="9152"/>
    <cellStyle name="Good 4" xfId="9153"/>
    <cellStyle name="Good 4 2" xfId="9154"/>
    <cellStyle name="Good 4 2 2" xfId="9155"/>
    <cellStyle name="Good 4 3" xfId="9156"/>
    <cellStyle name="Good 4 3 2" xfId="9157"/>
    <cellStyle name="Good 4 3 2 2" xfId="9158"/>
    <cellStyle name="Good 4 3 3" xfId="9159"/>
    <cellStyle name="Good 4 4" xfId="9160"/>
    <cellStyle name="Good 5" xfId="9161"/>
    <cellStyle name="Good 5 2" xfId="9162"/>
    <cellStyle name="Good 5 2 2" xfId="9163"/>
    <cellStyle name="Good 5 3" xfId="9164"/>
    <cellStyle name="Good 5 3 2" xfId="9165"/>
    <cellStyle name="Good 5 3 2 2" xfId="9166"/>
    <cellStyle name="Good 5 3 3" xfId="9167"/>
    <cellStyle name="Good 5 4" xfId="9168"/>
    <cellStyle name="Good 6" xfId="9169"/>
    <cellStyle name="Good 6 2" xfId="9170"/>
    <cellStyle name="Good 6 2 2" xfId="9171"/>
    <cellStyle name="Good 6 3" xfId="9172"/>
    <cellStyle name="Good 7" xfId="9173"/>
    <cellStyle name="Good 7 2" xfId="9174"/>
    <cellStyle name="Good 8" xfId="9175"/>
    <cellStyle name="Good 9" xfId="9176"/>
    <cellStyle name="Grey" xfId="9177"/>
    <cellStyle name="Grey 2" xfId="9178"/>
    <cellStyle name="HEADER" xfId="9179"/>
    <cellStyle name="HEADER 2" xfId="9180"/>
    <cellStyle name="HEADER 2 2" xfId="9181"/>
    <cellStyle name="HEADER 2 2 2" xfId="9182"/>
    <cellStyle name="HEADER 2 2 2 2" xfId="9183"/>
    <cellStyle name="HEADER 2 2 3" xfId="9184"/>
    <cellStyle name="HEADER 2 2 3 2" xfId="9185"/>
    <cellStyle name="HEADER 2 2 3 2 2" xfId="9186"/>
    <cellStyle name="HEADER 2 2 3 3" xfId="9187"/>
    <cellStyle name="HEADER 2 2 4" xfId="9188"/>
    <cellStyle name="HEADER 2 3" xfId="9189"/>
    <cellStyle name="HEADER 2 3 2" xfId="9190"/>
    <cellStyle name="HEADER 2 4" xfId="9191"/>
    <cellStyle name="HEADER 3" xfId="9192"/>
    <cellStyle name="HEADER 3 2" xfId="9193"/>
    <cellStyle name="HEADER 4" xfId="9194"/>
    <cellStyle name="HEADER 4 2" xfId="9195"/>
    <cellStyle name="HEADER 5" xfId="9196"/>
    <cellStyle name="Header1" xfId="9197"/>
    <cellStyle name="Header1 2" xfId="9198"/>
    <cellStyle name="Header1 2 2" xfId="9199"/>
    <cellStyle name="Header1 2 2 2" xfId="9200"/>
    <cellStyle name="Header1 2 3" xfId="9201"/>
    <cellStyle name="Header1 2 3 2" xfId="9202"/>
    <cellStyle name="Header1 2 3 2 2" xfId="9203"/>
    <cellStyle name="Header1 2 3 3" xfId="9204"/>
    <cellStyle name="Header1 2 4" xfId="9205"/>
    <cellStyle name="Header1 3" xfId="9206"/>
    <cellStyle name="Header1 3 2" xfId="9207"/>
    <cellStyle name="Header1 3 2 2" xfId="9208"/>
    <cellStyle name="Header1 3 3" xfId="9209"/>
    <cellStyle name="Header1 4" xfId="9210"/>
    <cellStyle name="Header1 4 2" xfId="9211"/>
    <cellStyle name="Header1 5" xfId="9212"/>
    <cellStyle name="Header1 5 2" xfId="9213"/>
    <cellStyle name="Header1 6" xfId="9214"/>
    <cellStyle name="Header2" xfId="9215"/>
    <cellStyle name="Header2 2" xfId="9216"/>
    <cellStyle name="Header2 2 2" xfId="9217"/>
    <cellStyle name="Header2 2 2 2" xfId="9218"/>
    <cellStyle name="Header2 2 2 2 2" xfId="9219"/>
    <cellStyle name="Header2 2 2 2 2 2" xfId="9220"/>
    <cellStyle name="Header2 2 2 2 2 2 2" xfId="9221"/>
    <cellStyle name="Header2 2 2 2 2 2 2 2" xfId="9222"/>
    <cellStyle name="Header2 2 2 2 2 2 2 3" xfId="9223"/>
    <cellStyle name="Header2 2 2 2 2 2 3" xfId="9224"/>
    <cellStyle name="Header2 2 2 2 2 3" xfId="9225"/>
    <cellStyle name="Header2 2 2 2 3" xfId="9226"/>
    <cellStyle name="Header2 2 2 2 3 2" xfId="9227"/>
    <cellStyle name="Header2 2 2 2 3 2 2" xfId="9228"/>
    <cellStyle name="Header2 2 2 2 3 2 2 2" xfId="9229"/>
    <cellStyle name="Header2 2 2 2 3 2 2 3" xfId="9230"/>
    <cellStyle name="Header2 2 2 2 3 2 3" xfId="9231"/>
    <cellStyle name="Header2 2 2 2 3 3" xfId="9232"/>
    <cellStyle name="Header2 2 2 2 3 3 2" xfId="9233"/>
    <cellStyle name="Header2 2 2 2 3 3 3" xfId="9234"/>
    <cellStyle name="Header2 2 2 2 3 4" xfId="9235"/>
    <cellStyle name="Header2 2 2 2 4" xfId="9236"/>
    <cellStyle name="Header2 2 2 2 4 2" xfId="9237"/>
    <cellStyle name="Header2 2 2 2 4 2 2" xfId="9238"/>
    <cellStyle name="Header2 2 2 2 4 2 3" xfId="9239"/>
    <cellStyle name="Header2 2 2 2 4 3" xfId="9240"/>
    <cellStyle name="Header2 2 2 2 5" xfId="9241"/>
    <cellStyle name="Header2 2 2 2 5 2" xfId="9242"/>
    <cellStyle name="Header2 2 2 2 5 3" xfId="9243"/>
    <cellStyle name="Header2 2 2 2 6" xfId="9244"/>
    <cellStyle name="Header2 2 2 3" xfId="9245"/>
    <cellStyle name="Header2 2 3" xfId="9246"/>
    <cellStyle name="Header2 2 3 2" xfId="9247"/>
    <cellStyle name="Header2 2 3 2 2" xfId="9248"/>
    <cellStyle name="Header2 2 3 2 2 2" xfId="9249"/>
    <cellStyle name="Header2 2 3 2 2 2 2" xfId="9250"/>
    <cellStyle name="Header2 2 3 2 2 2 2 2" xfId="9251"/>
    <cellStyle name="Header2 2 3 2 2 2 2 2 2" xfId="9252"/>
    <cellStyle name="Header2 2 3 2 2 2 2 2 3" xfId="9253"/>
    <cellStyle name="Header2 2 3 2 2 2 2 3" xfId="9254"/>
    <cellStyle name="Header2 2 3 2 2 2 3" xfId="9255"/>
    <cellStyle name="Header2 2 3 2 2 3" xfId="9256"/>
    <cellStyle name="Header2 2 3 2 2 3 2" xfId="9257"/>
    <cellStyle name="Header2 2 3 2 2 3 2 2" xfId="9258"/>
    <cellStyle name="Header2 2 3 2 2 3 2 2 2" xfId="9259"/>
    <cellStyle name="Header2 2 3 2 2 3 2 2 3" xfId="9260"/>
    <cellStyle name="Header2 2 3 2 2 3 2 3" xfId="9261"/>
    <cellStyle name="Header2 2 3 2 2 3 3" xfId="9262"/>
    <cellStyle name="Header2 2 3 2 2 3 3 2" xfId="9263"/>
    <cellStyle name="Header2 2 3 2 2 3 3 3" xfId="9264"/>
    <cellStyle name="Header2 2 3 2 2 3 4" xfId="9265"/>
    <cellStyle name="Header2 2 3 2 2 4" xfId="9266"/>
    <cellStyle name="Header2 2 3 2 2 4 2" xfId="9267"/>
    <cellStyle name="Header2 2 3 2 2 4 2 2" xfId="9268"/>
    <cellStyle name="Header2 2 3 2 2 4 2 3" xfId="9269"/>
    <cellStyle name="Header2 2 3 2 2 4 3" xfId="9270"/>
    <cellStyle name="Header2 2 3 2 2 5" xfId="9271"/>
    <cellStyle name="Header2 2 3 2 2 5 2" xfId="9272"/>
    <cellStyle name="Header2 2 3 2 2 5 3" xfId="9273"/>
    <cellStyle name="Header2 2 3 2 2 6" xfId="9274"/>
    <cellStyle name="Header2 2 3 2 3" xfId="9275"/>
    <cellStyle name="Header2 2 3 3" xfId="9276"/>
    <cellStyle name="Header2 2 3 3 2" xfId="9277"/>
    <cellStyle name="Header2 2 3 3 2 2" xfId="9278"/>
    <cellStyle name="Header2 2 3 3 2 2 2" xfId="9279"/>
    <cellStyle name="Header2 2 3 3 2 2 2 2" xfId="9280"/>
    <cellStyle name="Header2 2 3 3 2 2 2 3" xfId="9281"/>
    <cellStyle name="Header2 2 3 3 2 2 3" xfId="9282"/>
    <cellStyle name="Header2 2 3 3 2 3" xfId="9283"/>
    <cellStyle name="Header2 2 3 3 3" xfId="9284"/>
    <cellStyle name="Header2 2 3 3 3 2" xfId="9285"/>
    <cellStyle name="Header2 2 3 3 3 2 2" xfId="9286"/>
    <cellStyle name="Header2 2 3 3 3 2 2 2" xfId="9287"/>
    <cellStyle name="Header2 2 3 3 3 2 2 3" xfId="9288"/>
    <cellStyle name="Header2 2 3 3 3 2 3" xfId="9289"/>
    <cellStyle name="Header2 2 3 3 3 3" xfId="9290"/>
    <cellStyle name="Header2 2 3 3 3 3 2" xfId="9291"/>
    <cellStyle name="Header2 2 3 3 3 3 3" xfId="9292"/>
    <cellStyle name="Header2 2 3 3 3 4" xfId="9293"/>
    <cellStyle name="Header2 2 3 3 4" xfId="9294"/>
    <cellStyle name="Header2 2 3 3 4 2" xfId="9295"/>
    <cellStyle name="Header2 2 3 3 4 2 2" xfId="9296"/>
    <cellStyle name="Header2 2 3 3 4 2 3" xfId="9297"/>
    <cellStyle name="Header2 2 3 3 4 3" xfId="9298"/>
    <cellStyle name="Header2 2 3 3 5" xfId="9299"/>
    <cellStyle name="Header2 2 3 3 5 2" xfId="9300"/>
    <cellStyle name="Header2 2 3 3 5 3" xfId="9301"/>
    <cellStyle name="Header2 2 3 3 6" xfId="9302"/>
    <cellStyle name="Header2 2 3 4" xfId="9303"/>
    <cellStyle name="Header2 2 4" xfId="9304"/>
    <cellStyle name="Header2 2 4 2" xfId="9305"/>
    <cellStyle name="Header2 2 4 2 2" xfId="9306"/>
    <cellStyle name="Header2 2 4 2 2 2" xfId="9307"/>
    <cellStyle name="Header2 2 4 2 2 2 2" xfId="9308"/>
    <cellStyle name="Header2 2 4 2 2 2 3" xfId="9309"/>
    <cellStyle name="Header2 2 4 2 2 3" xfId="9310"/>
    <cellStyle name="Header2 2 4 2 3" xfId="9311"/>
    <cellStyle name="Header2 2 4 3" xfId="9312"/>
    <cellStyle name="Header2 2 4 3 2" xfId="9313"/>
    <cellStyle name="Header2 2 4 3 2 2" xfId="9314"/>
    <cellStyle name="Header2 2 4 3 2 2 2" xfId="9315"/>
    <cellStyle name="Header2 2 4 3 2 2 3" xfId="9316"/>
    <cellStyle name="Header2 2 4 3 2 3" xfId="9317"/>
    <cellStyle name="Header2 2 4 3 3" xfId="9318"/>
    <cellStyle name="Header2 2 4 3 3 2" xfId="9319"/>
    <cellStyle name="Header2 2 4 3 3 3" xfId="9320"/>
    <cellStyle name="Header2 2 4 3 4" xfId="9321"/>
    <cellStyle name="Header2 2 4 4" xfId="9322"/>
    <cellStyle name="Header2 2 4 4 2" xfId="9323"/>
    <cellStyle name="Header2 2 4 4 2 2" xfId="9324"/>
    <cellStyle name="Header2 2 4 4 2 3" xfId="9325"/>
    <cellStyle name="Header2 2 4 4 3" xfId="9326"/>
    <cellStyle name="Header2 2 4 5" xfId="9327"/>
    <cellStyle name="Header2 2 4 5 2" xfId="9328"/>
    <cellStyle name="Header2 2 4 5 3" xfId="9329"/>
    <cellStyle name="Header2 2 4 6" xfId="9330"/>
    <cellStyle name="Header2 2 5" xfId="9331"/>
    <cellStyle name="Header2 3" xfId="9332"/>
    <cellStyle name="Header2 3 2" xfId="9333"/>
    <cellStyle name="Header2 3 2 2" xfId="9334"/>
    <cellStyle name="Header2 3 2 2 2" xfId="9335"/>
    <cellStyle name="Header2 3 2 2 2 2" xfId="9336"/>
    <cellStyle name="Header2 3 2 2 2 2 2" xfId="9337"/>
    <cellStyle name="Header2 3 2 2 2 2 2 2" xfId="9338"/>
    <cellStyle name="Header2 3 2 2 2 2 2 3" xfId="9339"/>
    <cellStyle name="Header2 3 2 2 2 2 3" xfId="9340"/>
    <cellStyle name="Header2 3 2 2 2 3" xfId="9341"/>
    <cellStyle name="Header2 3 2 2 3" xfId="9342"/>
    <cellStyle name="Header2 3 2 2 3 2" xfId="9343"/>
    <cellStyle name="Header2 3 2 2 3 2 2" xfId="9344"/>
    <cellStyle name="Header2 3 2 2 3 2 2 2" xfId="9345"/>
    <cellStyle name="Header2 3 2 2 3 2 2 3" xfId="9346"/>
    <cellStyle name="Header2 3 2 2 3 2 3" xfId="9347"/>
    <cellStyle name="Header2 3 2 2 3 3" xfId="9348"/>
    <cellStyle name="Header2 3 2 2 3 3 2" xfId="9349"/>
    <cellStyle name="Header2 3 2 2 3 3 3" xfId="9350"/>
    <cellStyle name="Header2 3 2 2 3 4" xfId="9351"/>
    <cellStyle name="Header2 3 2 2 4" xfId="9352"/>
    <cellStyle name="Header2 3 2 2 4 2" xfId="9353"/>
    <cellStyle name="Header2 3 2 2 4 2 2" xfId="9354"/>
    <cellStyle name="Header2 3 2 2 4 2 3" xfId="9355"/>
    <cellStyle name="Header2 3 2 2 4 3" xfId="9356"/>
    <cellStyle name="Header2 3 2 2 5" xfId="9357"/>
    <cellStyle name="Header2 3 2 2 5 2" xfId="9358"/>
    <cellStyle name="Header2 3 2 2 5 3" xfId="9359"/>
    <cellStyle name="Header2 3 2 2 6" xfId="9360"/>
    <cellStyle name="Header2 3 2 3" xfId="9361"/>
    <cellStyle name="Header2 3 3" xfId="9362"/>
    <cellStyle name="Header2 3 3 2" xfId="9363"/>
    <cellStyle name="Header2 3 3 2 2" xfId="9364"/>
    <cellStyle name="Header2 3 3 2 2 2" xfId="9365"/>
    <cellStyle name="Header2 3 3 2 2 2 2" xfId="9366"/>
    <cellStyle name="Header2 3 3 2 2 2 3" xfId="9367"/>
    <cellStyle name="Header2 3 3 2 2 3" xfId="9368"/>
    <cellStyle name="Header2 3 3 2 3" xfId="9369"/>
    <cellStyle name="Header2 3 3 3" xfId="9370"/>
    <cellStyle name="Header2 3 3 3 2" xfId="9371"/>
    <cellStyle name="Header2 3 3 3 2 2" xfId="9372"/>
    <cellStyle name="Header2 3 3 3 2 2 2" xfId="9373"/>
    <cellStyle name="Header2 3 3 3 2 2 3" xfId="9374"/>
    <cellStyle name="Header2 3 3 3 2 3" xfId="9375"/>
    <cellStyle name="Header2 3 3 3 3" xfId="9376"/>
    <cellStyle name="Header2 3 3 3 3 2" xfId="9377"/>
    <cellStyle name="Header2 3 3 3 3 3" xfId="9378"/>
    <cellStyle name="Header2 3 3 3 4" xfId="9379"/>
    <cellStyle name="Header2 3 3 4" xfId="9380"/>
    <cellStyle name="Header2 3 3 4 2" xfId="9381"/>
    <cellStyle name="Header2 3 3 4 2 2" xfId="9382"/>
    <cellStyle name="Header2 3 3 4 2 3" xfId="9383"/>
    <cellStyle name="Header2 3 3 4 3" xfId="9384"/>
    <cellStyle name="Header2 3 3 5" xfId="9385"/>
    <cellStyle name="Header2 3 3 5 2" xfId="9386"/>
    <cellStyle name="Header2 3 3 5 3" xfId="9387"/>
    <cellStyle name="Header2 3 3 6" xfId="9388"/>
    <cellStyle name="Header2 3 4" xfId="9389"/>
    <cellStyle name="Header2 4" xfId="9390"/>
    <cellStyle name="Header2 4 2" xfId="9391"/>
    <cellStyle name="Header2 4 2 2" xfId="9392"/>
    <cellStyle name="Header2 4 2 2 2" xfId="9393"/>
    <cellStyle name="Header2 4 2 2 2 2" xfId="9394"/>
    <cellStyle name="Header2 4 2 2 2 2 2" xfId="9395"/>
    <cellStyle name="Header2 4 2 2 2 2 3" xfId="9396"/>
    <cellStyle name="Header2 4 2 2 2 3" xfId="9397"/>
    <cellStyle name="Header2 4 2 2 3" xfId="9398"/>
    <cellStyle name="Header2 4 2 3" xfId="9399"/>
    <cellStyle name="Header2 4 2 3 2" xfId="9400"/>
    <cellStyle name="Header2 4 2 3 2 2" xfId="9401"/>
    <cellStyle name="Header2 4 2 3 2 2 2" xfId="9402"/>
    <cellStyle name="Header2 4 2 3 2 2 3" xfId="9403"/>
    <cellStyle name="Header2 4 2 3 2 3" xfId="9404"/>
    <cellStyle name="Header2 4 2 3 3" xfId="9405"/>
    <cellStyle name="Header2 4 2 3 3 2" xfId="9406"/>
    <cellStyle name="Header2 4 2 3 3 3" xfId="9407"/>
    <cellStyle name="Header2 4 2 3 4" xfId="9408"/>
    <cellStyle name="Header2 4 2 4" xfId="9409"/>
    <cellStyle name="Header2 4 2 4 2" xfId="9410"/>
    <cellStyle name="Header2 4 2 4 2 2" xfId="9411"/>
    <cellStyle name="Header2 4 2 4 2 3" xfId="9412"/>
    <cellStyle name="Header2 4 2 4 3" xfId="9413"/>
    <cellStyle name="Header2 4 2 5" xfId="9414"/>
    <cellStyle name="Header2 4 2 5 2" xfId="9415"/>
    <cellStyle name="Header2 4 2 5 3" xfId="9416"/>
    <cellStyle name="Header2 4 2 6" xfId="9417"/>
    <cellStyle name="Header2 4 3" xfId="9418"/>
    <cellStyle name="Header2 5" xfId="9419"/>
    <cellStyle name="Header2 5 2" xfId="9420"/>
    <cellStyle name="Header2 5 2 2" xfId="9421"/>
    <cellStyle name="Header2 5 2 2 2" xfId="9422"/>
    <cellStyle name="Header2 5 2 2 3" xfId="9423"/>
    <cellStyle name="Header2 5 2 3" xfId="9424"/>
    <cellStyle name="Header2 5 3" xfId="9425"/>
    <cellStyle name="Header2 6" xfId="9426"/>
    <cellStyle name="Header2 6 2" xfId="9427"/>
    <cellStyle name="Header2 6 2 2" xfId="9428"/>
    <cellStyle name="Header2 6 2 2 2" xfId="9429"/>
    <cellStyle name="Header2 6 2 2 2 2" xfId="9430"/>
    <cellStyle name="Header2 6 2 2 2 3" xfId="9431"/>
    <cellStyle name="Header2 6 2 2 3" xfId="9432"/>
    <cellStyle name="Header2 6 2 3" xfId="9433"/>
    <cellStyle name="Header2 6 3" xfId="9434"/>
    <cellStyle name="Header2 6 3 2" xfId="9435"/>
    <cellStyle name="Header2 6 3 2 2" xfId="9436"/>
    <cellStyle name="Header2 6 3 2 2 2" xfId="9437"/>
    <cellStyle name="Header2 6 3 2 2 3" xfId="9438"/>
    <cellStyle name="Header2 6 3 2 3" xfId="9439"/>
    <cellStyle name="Header2 6 3 3" xfId="9440"/>
    <cellStyle name="Header2 6 3 3 2" xfId="9441"/>
    <cellStyle name="Header2 6 3 3 3" xfId="9442"/>
    <cellStyle name="Header2 6 3 4" xfId="9443"/>
    <cellStyle name="Header2 6 4" xfId="9444"/>
    <cellStyle name="Header2 6 4 2" xfId="9445"/>
    <cellStyle name="Header2 6 4 2 2" xfId="9446"/>
    <cellStyle name="Header2 6 4 2 3" xfId="9447"/>
    <cellStyle name="Header2 6 4 3" xfId="9448"/>
    <cellStyle name="Header2 6 5" xfId="9449"/>
    <cellStyle name="Header2 6 5 2" xfId="9450"/>
    <cellStyle name="Header2 6 5 3" xfId="9451"/>
    <cellStyle name="Header2 6 6" xfId="9452"/>
    <cellStyle name="Header2 7" xfId="9453"/>
    <cellStyle name="Heading 1 2" xfId="9454"/>
    <cellStyle name="Heading 1 2 10" xfId="9455"/>
    <cellStyle name="Heading 1 2 10 2" xfId="9456"/>
    <cellStyle name="Heading 1 2 11" xfId="9457"/>
    <cellStyle name="Heading 1 2 12" xfId="9458"/>
    <cellStyle name="Heading 1 2 2" xfId="9459"/>
    <cellStyle name="Heading 1 2 2 2" xfId="9460"/>
    <cellStyle name="Heading 1 2 2 2 2" xfId="9461"/>
    <cellStyle name="Heading 1 2 2 3" xfId="9462"/>
    <cellStyle name="Heading 1 2 2 3 2" xfId="9463"/>
    <cellStyle name="Heading 1 2 2 3 2 2" xfId="9464"/>
    <cellStyle name="Heading 1 2 2 3 3" xfId="9465"/>
    <cellStyle name="Heading 1 2 2 4" xfId="9466"/>
    <cellStyle name="Heading 1 2 3" xfId="9467"/>
    <cellStyle name="Heading 1 2 3 2" xfId="9468"/>
    <cellStyle name="Heading 1 2 3 2 2" xfId="9469"/>
    <cellStyle name="Heading 1 2 3 3" xfId="9470"/>
    <cellStyle name="Heading 1 2 3 3 2" xfId="9471"/>
    <cellStyle name="Heading 1 2 3 3 2 2" xfId="9472"/>
    <cellStyle name="Heading 1 2 3 3 3" xfId="9473"/>
    <cellStyle name="Heading 1 2 3 4" xfId="9474"/>
    <cellStyle name="Heading 1 2 4" xfId="9475"/>
    <cellStyle name="Heading 1 2 4 2" xfId="9476"/>
    <cellStyle name="Heading 1 2 4 2 2" xfId="9477"/>
    <cellStyle name="Heading 1 2 4 3" xfId="9478"/>
    <cellStyle name="Heading 1 2 5" xfId="9479"/>
    <cellStyle name="Heading 1 2 5 2" xfId="9480"/>
    <cellStyle name="Heading 1 2 5 2 2" xfId="9481"/>
    <cellStyle name="Heading 1 2 5 3" xfId="9482"/>
    <cellStyle name="Heading 1 2 5 3 2" xfId="9483"/>
    <cellStyle name="Heading 1 2 5 3 2 2" xfId="9484"/>
    <cellStyle name="Heading 1 2 5 3 3" xfId="9485"/>
    <cellStyle name="Heading 1 2 5 4" xfId="9486"/>
    <cellStyle name="Heading 1 2 6" xfId="9487"/>
    <cellStyle name="Heading 1 2 6 2" xfId="9488"/>
    <cellStyle name="Heading 1 2 7" xfId="9489"/>
    <cellStyle name="Heading 1 2 7 2" xfId="9490"/>
    <cellStyle name="Heading 1 2 8" xfId="9491"/>
    <cellStyle name="Heading 1 2 8 2" xfId="9492"/>
    <cellStyle name="Heading 1 2 8 2 2" xfId="9493"/>
    <cellStyle name="Heading 1 2 8 3" xfId="9494"/>
    <cellStyle name="Heading 1 2 9" xfId="9495"/>
    <cellStyle name="Heading 1 2 9 2" xfId="9496"/>
    <cellStyle name="Heading 1 2 9 2 2" xfId="9497"/>
    <cellStyle name="Heading 1 2 9 3" xfId="9498"/>
    <cellStyle name="Heading 1 3" xfId="9499"/>
    <cellStyle name="Heading 1 3 2" xfId="9500"/>
    <cellStyle name="Heading 1 3 2 2" xfId="9501"/>
    <cellStyle name="Heading 1 3 3" xfId="9502"/>
    <cellStyle name="Heading 1 3 3 2" xfId="9503"/>
    <cellStyle name="Heading 1 3 4" xfId="9504"/>
    <cellStyle name="Heading 1 3 4 2" xfId="9505"/>
    <cellStyle name="Heading 1 3 4 2 2" xfId="9506"/>
    <cellStyle name="Heading 1 3 4 3" xfId="9507"/>
    <cellStyle name="Heading 1 3 5" xfId="9508"/>
    <cellStyle name="Heading 1 4" xfId="9509"/>
    <cellStyle name="Heading 1 4 2" xfId="9510"/>
    <cellStyle name="Heading 1 4 2 2" xfId="9511"/>
    <cellStyle name="Heading 1 4 3" xfId="9512"/>
    <cellStyle name="Heading 1 4 3 2" xfId="9513"/>
    <cellStyle name="Heading 1 4 3 2 2" xfId="9514"/>
    <cellStyle name="Heading 1 4 3 3" xfId="9515"/>
    <cellStyle name="Heading 1 4 4" xfId="9516"/>
    <cellStyle name="Heading 1 5" xfId="9517"/>
    <cellStyle name="Heading 1 5 2" xfId="9518"/>
    <cellStyle name="Heading 1 5 2 2" xfId="9519"/>
    <cellStyle name="Heading 1 5 3" xfId="9520"/>
    <cellStyle name="Heading 1 5 3 2" xfId="9521"/>
    <cellStyle name="Heading 1 5 3 2 2" xfId="9522"/>
    <cellStyle name="Heading 1 5 3 3" xfId="9523"/>
    <cellStyle name="Heading 1 5 4" xfId="9524"/>
    <cellStyle name="Heading 1 6" xfId="9525"/>
    <cellStyle name="Heading 1 6 2" xfId="9526"/>
    <cellStyle name="Heading 1 6 2 2" xfId="9527"/>
    <cellStyle name="Heading 1 6 3" xfId="9528"/>
    <cellStyle name="Heading 1 7" xfId="9529"/>
    <cellStyle name="Heading 1 7 2" xfId="9530"/>
    <cellStyle name="Heading 1 8" xfId="9531"/>
    <cellStyle name="Heading 1 9" xfId="9532"/>
    <cellStyle name="Heading 2 2" xfId="9533"/>
    <cellStyle name="Heading 2 2 10" xfId="9534"/>
    <cellStyle name="Heading 2 2 10 2" xfId="9535"/>
    <cellStyle name="Heading 2 2 11" xfId="9536"/>
    <cellStyle name="Heading 2 2 12" xfId="9537"/>
    <cellStyle name="Heading 2 2 2" xfId="9538"/>
    <cellStyle name="Heading 2 2 2 2" xfId="9539"/>
    <cellStyle name="Heading 2 2 2 2 2" xfId="9540"/>
    <cellStyle name="Heading 2 2 2 3" xfId="9541"/>
    <cellStyle name="Heading 2 2 2 3 2" xfId="9542"/>
    <cellStyle name="Heading 2 2 2 3 2 2" xfId="9543"/>
    <cellStyle name="Heading 2 2 2 3 3" xfId="9544"/>
    <cellStyle name="Heading 2 2 2 4" xfId="9545"/>
    <cellStyle name="Heading 2 2 3" xfId="9546"/>
    <cellStyle name="Heading 2 2 3 2" xfId="9547"/>
    <cellStyle name="Heading 2 2 3 2 2" xfId="9548"/>
    <cellStyle name="Heading 2 2 3 3" xfId="9549"/>
    <cellStyle name="Heading 2 2 3 3 2" xfId="9550"/>
    <cellStyle name="Heading 2 2 3 3 2 2" xfId="9551"/>
    <cellStyle name="Heading 2 2 3 3 3" xfId="9552"/>
    <cellStyle name="Heading 2 2 3 4" xfId="9553"/>
    <cellStyle name="Heading 2 2 4" xfId="9554"/>
    <cellStyle name="Heading 2 2 4 2" xfId="9555"/>
    <cellStyle name="Heading 2 2 4 2 2" xfId="9556"/>
    <cellStyle name="Heading 2 2 4 3" xfId="9557"/>
    <cellStyle name="Heading 2 2 5" xfId="9558"/>
    <cellStyle name="Heading 2 2 5 2" xfId="9559"/>
    <cellStyle name="Heading 2 2 5 2 2" xfId="9560"/>
    <cellStyle name="Heading 2 2 5 3" xfId="9561"/>
    <cellStyle name="Heading 2 2 5 3 2" xfId="9562"/>
    <cellStyle name="Heading 2 2 5 3 2 2" xfId="9563"/>
    <cellStyle name="Heading 2 2 5 3 3" xfId="9564"/>
    <cellStyle name="Heading 2 2 5 4" xfId="9565"/>
    <cellStyle name="Heading 2 2 6" xfId="9566"/>
    <cellStyle name="Heading 2 2 6 2" xfId="9567"/>
    <cellStyle name="Heading 2 2 6 2 2" xfId="9568"/>
    <cellStyle name="Heading 2 2 6 3" xfId="9569"/>
    <cellStyle name="Heading 2 2 6 3 2" xfId="9570"/>
    <cellStyle name="Heading 2 2 6 4" xfId="9571"/>
    <cellStyle name="Heading 2 2 7" xfId="9572"/>
    <cellStyle name="Heading 2 2 7 2" xfId="9573"/>
    <cellStyle name="Heading 2 2 8" xfId="9574"/>
    <cellStyle name="Heading 2 2 8 2" xfId="9575"/>
    <cellStyle name="Heading 2 2 8 2 2" xfId="9576"/>
    <cellStyle name="Heading 2 2 8 3" xfId="9577"/>
    <cellStyle name="Heading 2 2 9" xfId="9578"/>
    <cellStyle name="Heading 2 2 9 2" xfId="9579"/>
    <cellStyle name="Heading 2 2 9 2 2" xfId="9580"/>
    <cellStyle name="Heading 2 2 9 3" xfId="9581"/>
    <cellStyle name="Heading 2 3" xfId="9582"/>
    <cellStyle name="Heading 2 3 2" xfId="9583"/>
    <cellStyle name="Heading 2 3 2 2" xfId="9584"/>
    <cellStyle name="Heading 2 3 3" xfId="9585"/>
    <cellStyle name="Heading 2 3 3 2" xfId="9586"/>
    <cellStyle name="Heading 2 3 4" xfId="9587"/>
    <cellStyle name="Heading 2 3 4 2" xfId="9588"/>
    <cellStyle name="Heading 2 3 4 2 2" xfId="9589"/>
    <cellStyle name="Heading 2 3 4 3" xfId="9590"/>
    <cellStyle name="Heading 2 3 5" xfId="9591"/>
    <cellStyle name="Heading 2 4" xfId="9592"/>
    <cellStyle name="Heading 2 4 2" xfId="9593"/>
    <cellStyle name="Heading 2 4 2 2" xfId="9594"/>
    <cellStyle name="Heading 2 4 3" xfId="9595"/>
    <cellStyle name="Heading 2 4 3 2" xfId="9596"/>
    <cellStyle name="Heading 2 4 3 2 2" xfId="9597"/>
    <cellStyle name="Heading 2 4 3 3" xfId="9598"/>
    <cellStyle name="Heading 2 4 4" xfId="9599"/>
    <cellStyle name="Heading 2 5" xfId="9600"/>
    <cellStyle name="Heading 2 5 2" xfId="9601"/>
    <cellStyle name="Heading 2 5 2 2" xfId="9602"/>
    <cellStyle name="Heading 2 5 3" xfId="9603"/>
    <cellStyle name="Heading 2 5 3 2" xfId="9604"/>
    <cellStyle name="Heading 2 5 3 2 2" xfId="9605"/>
    <cellStyle name="Heading 2 5 3 3" xfId="9606"/>
    <cellStyle name="Heading 2 5 4" xfId="9607"/>
    <cellStyle name="Heading 2 6" xfId="9608"/>
    <cellStyle name="Heading 2 6 2" xfId="9609"/>
    <cellStyle name="Heading 2 6 2 2" xfId="9610"/>
    <cellStyle name="Heading 2 6 3" xfId="9611"/>
    <cellStyle name="Heading 2 7" xfId="9612"/>
    <cellStyle name="Heading 2 7 2" xfId="9613"/>
    <cellStyle name="Heading 2 8" xfId="9614"/>
    <cellStyle name="Heading 2 9" xfId="9615"/>
    <cellStyle name="Heading 3 2" xfId="9616"/>
    <cellStyle name="Heading 3 2 10" xfId="9617"/>
    <cellStyle name="Heading 3 2 10 2" xfId="9618"/>
    <cellStyle name="Heading 3 2 11" xfId="9619"/>
    <cellStyle name="Heading 3 2 12" xfId="9620"/>
    <cellStyle name="Heading 3 2 2" xfId="9621"/>
    <cellStyle name="Heading 3 2 2 2" xfId="9622"/>
    <cellStyle name="Heading 3 2 2 2 2" xfId="9623"/>
    <cellStyle name="Heading 3 2 2 3" xfId="9624"/>
    <cellStyle name="Heading 3 2 2 3 2" xfId="9625"/>
    <cellStyle name="Heading 3 2 2 3 2 2" xfId="9626"/>
    <cellStyle name="Heading 3 2 2 3 3" xfId="9627"/>
    <cellStyle name="Heading 3 2 2 4" xfId="9628"/>
    <cellStyle name="Heading 3 2 3" xfId="9629"/>
    <cellStyle name="Heading 3 2 3 2" xfId="9630"/>
    <cellStyle name="Heading 3 2 3 2 2" xfId="9631"/>
    <cellStyle name="Heading 3 2 3 3" xfId="9632"/>
    <cellStyle name="Heading 3 2 3 3 2" xfId="9633"/>
    <cellStyle name="Heading 3 2 3 3 2 2" xfId="9634"/>
    <cellStyle name="Heading 3 2 3 3 3" xfId="9635"/>
    <cellStyle name="Heading 3 2 3 4" xfId="9636"/>
    <cellStyle name="Heading 3 2 4" xfId="9637"/>
    <cellStyle name="Heading 3 2 4 2" xfId="9638"/>
    <cellStyle name="Heading 3 2 4 2 2" xfId="9639"/>
    <cellStyle name="Heading 3 2 4 3" xfId="9640"/>
    <cellStyle name="Heading 3 2 5" xfId="9641"/>
    <cellStyle name="Heading 3 2 5 2" xfId="9642"/>
    <cellStyle name="Heading 3 2 5 2 2" xfId="9643"/>
    <cellStyle name="Heading 3 2 5 3" xfId="9644"/>
    <cellStyle name="Heading 3 2 5 3 2" xfId="9645"/>
    <cellStyle name="Heading 3 2 5 3 2 2" xfId="9646"/>
    <cellStyle name="Heading 3 2 5 3 3" xfId="9647"/>
    <cellStyle name="Heading 3 2 5 4" xfId="9648"/>
    <cellStyle name="Heading 3 2 6" xfId="9649"/>
    <cellStyle name="Heading 3 2 6 2" xfId="9650"/>
    <cellStyle name="Heading 3 2 6 2 2" xfId="9651"/>
    <cellStyle name="Heading 3 2 6 3" xfId="9652"/>
    <cellStyle name="Heading 3 2 6 3 2" xfId="9653"/>
    <cellStyle name="Heading 3 2 6 4" xfId="9654"/>
    <cellStyle name="Heading 3 2 7" xfId="9655"/>
    <cellStyle name="Heading 3 2 7 2" xfId="9656"/>
    <cellStyle name="Heading 3 2 8" xfId="9657"/>
    <cellStyle name="Heading 3 2 8 2" xfId="9658"/>
    <cellStyle name="Heading 3 2 8 2 2" xfId="9659"/>
    <cellStyle name="Heading 3 2 8 3" xfId="9660"/>
    <cellStyle name="Heading 3 2 9" xfId="9661"/>
    <cellStyle name="Heading 3 2 9 2" xfId="9662"/>
    <cellStyle name="Heading 3 2 9 2 2" xfId="9663"/>
    <cellStyle name="Heading 3 2 9 3" xfId="9664"/>
    <cellStyle name="Heading 3 3" xfId="9665"/>
    <cellStyle name="Heading 3 3 2" xfId="9666"/>
    <cellStyle name="Heading 3 3 2 2" xfId="9667"/>
    <cellStyle name="Heading 3 3 3" xfId="9668"/>
    <cellStyle name="Heading 3 3 3 2" xfId="9669"/>
    <cellStyle name="Heading 3 3 4" xfId="9670"/>
    <cellStyle name="Heading 3 3 4 2" xfId="9671"/>
    <cellStyle name="Heading 3 3 4 2 2" xfId="9672"/>
    <cellStyle name="Heading 3 3 4 3" xfId="9673"/>
    <cellStyle name="Heading 3 3 5" xfId="9674"/>
    <cellStyle name="Heading 3 4" xfId="9675"/>
    <cellStyle name="Heading 3 4 2" xfId="9676"/>
    <cellStyle name="Heading 3 4 2 2" xfId="9677"/>
    <cellStyle name="Heading 3 4 3" xfId="9678"/>
    <cellStyle name="Heading 3 4 3 2" xfId="9679"/>
    <cellStyle name="Heading 3 4 3 2 2" xfId="9680"/>
    <cellStyle name="Heading 3 4 3 3" xfId="9681"/>
    <cellStyle name="Heading 3 4 4" xfId="9682"/>
    <cellStyle name="Heading 3 5" xfId="9683"/>
    <cellStyle name="Heading 3 5 2" xfId="9684"/>
    <cellStyle name="Heading 3 5 2 2" xfId="9685"/>
    <cellStyle name="Heading 3 5 3" xfId="9686"/>
    <cellStyle name="Heading 3 5 3 2" xfId="9687"/>
    <cellStyle name="Heading 3 5 3 2 2" xfId="9688"/>
    <cellStyle name="Heading 3 5 3 3" xfId="9689"/>
    <cellStyle name="Heading 3 5 4" xfId="9690"/>
    <cellStyle name="Heading 3 6" xfId="9691"/>
    <cellStyle name="Heading 3 6 2" xfId="9692"/>
    <cellStyle name="Heading 3 6 2 2" xfId="9693"/>
    <cellStyle name="Heading 3 6 3" xfId="9694"/>
    <cellStyle name="Heading 3 7" xfId="9695"/>
    <cellStyle name="Heading 3 7 2" xfId="9696"/>
    <cellStyle name="Heading 3 8" xfId="9697"/>
    <cellStyle name="Heading 3 9" xfId="9698"/>
    <cellStyle name="Heading 4 2" xfId="9699"/>
    <cellStyle name="Heading 4 2 10" xfId="9700"/>
    <cellStyle name="Heading 4 2 10 2" xfId="9701"/>
    <cellStyle name="Heading 4 2 11" xfId="9702"/>
    <cellStyle name="Heading 4 2 12" xfId="9703"/>
    <cellStyle name="Heading 4 2 2" xfId="9704"/>
    <cellStyle name="Heading 4 2 2 2" xfId="9705"/>
    <cellStyle name="Heading 4 2 2 2 2" xfId="9706"/>
    <cellStyle name="Heading 4 2 2 3" xfId="9707"/>
    <cellStyle name="Heading 4 2 2 3 2" xfId="9708"/>
    <cellStyle name="Heading 4 2 2 3 2 2" xfId="9709"/>
    <cellStyle name="Heading 4 2 2 3 3" xfId="9710"/>
    <cellStyle name="Heading 4 2 2 4" xfId="9711"/>
    <cellStyle name="Heading 4 2 3" xfId="9712"/>
    <cellStyle name="Heading 4 2 3 2" xfId="9713"/>
    <cellStyle name="Heading 4 2 3 2 2" xfId="9714"/>
    <cellStyle name="Heading 4 2 3 3" xfId="9715"/>
    <cellStyle name="Heading 4 2 3 3 2" xfId="9716"/>
    <cellStyle name="Heading 4 2 3 3 2 2" xfId="9717"/>
    <cellStyle name="Heading 4 2 3 3 3" xfId="9718"/>
    <cellStyle name="Heading 4 2 3 4" xfId="9719"/>
    <cellStyle name="Heading 4 2 4" xfId="9720"/>
    <cellStyle name="Heading 4 2 4 2" xfId="9721"/>
    <cellStyle name="Heading 4 2 4 2 2" xfId="9722"/>
    <cellStyle name="Heading 4 2 4 3" xfId="9723"/>
    <cellStyle name="Heading 4 2 5" xfId="9724"/>
    <cellStyle name="Heading 4 2 5 2" xfId="9725"/>
    <cellStyle name="Heading 4 2 5 2 2" xfId="9726"/>
    <cellStyle name="Heading 4 2 5 3" xfId="9727"/>
    <cellStyle name="Heading 4 2 5 3 2" xfId="9728"/>
    <cellStyle name="Heading 4 2 5 3 2 2" xfId="9729"/>
    <cellStyle name="Heading 4 2 5 3 3" xfId="9730"/>
    <cellStyle name="Heading 4 2 5 4" xfId="9731"/>
    <cellStyle name="Heading 4 2 6" xfId="9732"/>
    <cellStyle name="Heading 4 2 6 2" xfId="9733"/>
    <cellStyle name="Heading 4 2 7" xfId="9734"/>
    <cellStyle name="Heading 4 2 7 2" xfId="9735"/>
    <cellStyle name="Heading 4 2 8" xfId="9736"/>
    <cellStyle name="Heading 4 2 8 2" xfId="9737"/>
    <cellStyle name="Heading 4 2 8 2 2" xfId="9738"/>
    <cellStyle name="Heading 4 2 8 3" xfId="9739"/>
    <cellStyle name="Heading 4 2 9" xfId="9740"/>
    <cellStyle name="Heading 4 2 9 2" xfId="9741"/>
    <cellStyle name="Heading 4 2 9 2 2" xfId="9742"/>
    <cellStyle name="Heading 4 2 9 3" xfId="9743"/>
    <cellStyle name="Heading 4 3" xfId="9744"/>
    <cellStyle name="Heading 4 3 2" xfId="9745"/>
    <cellStyle name="Heading 4 3 2 2" xfId="9746"/>
    <cellStyle name="Heading 4 3 3" xfId="9747"/>
    <cellStyle name="Heading 4 3 3 2" xfId="9748"/>
    <cellStyle name="Heading 4 3 4" xfId="9749"/>
    <cellStyle name="Heading 4 3 4 2" xfId="9750"/>
    <cellStyle name="Heading 4 3 4 2 2" xfId="9751"/>
    <cellStyle name="Heading 4 3 4 3" xfId="9752"/>
    <cellStyle name="Heading 4 3 5" xfId="9753"/>
    <cellStyle name="Heading 4 4" xfId="9754"/>
    <cellStyle name="Heading 4 4 2" xfId="9755"/>
    <cellStyle name="Heading 4 4 2 2" xfId="9756"/>
    <cellStyle name="Heading 4 4 3" xfId="9757"/>
    <cellStyle name="Heading 4 4 3 2" xfId="9758"/>
    <cellStyle name="Heading 4 4 3 2 2" xfId="9759"/>
    <cellStyle name="Heading 4 4 3 3" xfId="9760"/>
    <cellStyle name="Heading 4 4 4" xfId="9761"/>
    <cellStyle name="Heading 4 5" xfId="9762"/>
    <cellStyle name="Heading 4 5 2" xfId="9763"/>
    <cellStyle name="Heading 4 5 2 2" xfId="9764"/>
    <cellStyle name="Heading 4 5 3" xfId="9765"/>
    <cellStyle name="Heading 4 5 3 2" xfId="9766"/>
    <cellStyle name="Heading 4 5 3 2 2" xfId="9767"/>
    <cellStyle name="Heading 4 5 3 3" xfId="9768"/>
    <cellStyle name="Heading 4 5 4" xfId="9769"/>
    <cellStyle name="Heading 4 6" xfId="9770"/>
    <cellStyle name="Heading 4 6 2" xfId="9771"/>
    <cellStyle name="Heading 4 6 2 2" xfId="9772"/>
    <cellStyle name="Heading 4 6 3" xfId="9773"/>
    <cellStyle name="Heading 4 7" xfId="9774"/>
    <cellStyle name="Heading 4 7 2" xfId="9775"/>
    <cellStyle name="Heading 4 8" xfId="9776"/>
    <cellStyle name="Heading 4 9" xfId="9777"/>
    <cellStyle name="Heading1" xfId="9778"/>
    <cellStyle name="Heading1 2" xfId="9779"/>
    <cellStyle name="Heading1 2 2" xfId="9780"/>
    <cellStyle name="Heading1 3" xfId="9781"/>
    <cellStyle name="Heading2" xfId="9782"/>
    <cellStyle name="Heading2 2" xfId="9783"/>
    <cellStyle name="Heading2 2 2" xfId="9784"/>
    <cellStyle name="Heading2 3" xfId="9785"/>
    <cellStyle name="HEADINGS" xfId="9786"/>
    <cellStyle name="HEADINGS 2" xfId="9787"/>
    <cellStyle name="HEADINGS 2 2" xfId="9788"/>
    <cellStyle name="HEADINGS 2 2 2" xfId="9789"/>
    <cellStyle name="HEADINGS 2 3" xfId="9790"/>
    <cellStyle name="HEADINGS 2 3 2" xfId="9791"/>
    <cellStyle name="HEADINGS 2 3 2 2" xfId="9792"/>
    <cellStyle name="HEADINGS 2 3 3" xfId="9793"/>
    <cellStyle name="HEADINGS 2 4" xfId="9794"/>
    <cellStyle name="HEADINGS 3" xfId="9795"/>
    <cellStyle name="HEADINGS 3 2" xfId="9796"/>
    <cellStyle name="HEADINGS 3 2 2" xfId="9797"/>
    <cellStyle name="HEADINGS 3 3" xfId="9798"/>
    <cellStyle name="HEADINGS 4" xfId="9799"/>
    <cellStyle name="HEADINGS 4 2" xfId="9800"/>
    <cellStyle name="HEADINGS 4 2 2" xfId="9801"/>
    <cellStyle name="HEADINGS 4 3" xfId="9802"/>
    <cellStyle name="HEADINGS 5" xfId="9803"/>
    <cellStyle name="HEADINGS 5 2" xfId="9804"/>
    <cellStyle name="HEADINGS 6" xfId="9805"/>
    <cellStyle name="HEADINGS 6 2" xfId="9806"/>
    <cellStyle name="HEADINGS 7" xfId="9807"/>
    <cellStyle name="HEADINGSTOP" xfId="9808"/>
    <cellStyle name="HEADINGSTOP 2" xfId="9809"/>
    <cellStyle name="HEADINGSTOP 2 2" xfId="9810"/>
    <cellStyle name="HEADINGSTOP 2 2 2" xfId="9811"/>
    <cellStyle name="HEADINGSTOP 2 3" xfId="9812"/>
    <cellStyle name="HEADINGSTOP 2 3 2" xfId="9813"/>
    <cellStyle name="HEADINGSTOP 2 3 2 2" xfId="9814"/>
    <cellStyle name="HEADINGSTOP 2 3 3" xfId="9815"/>
    <cellStyle name="HEADINGSTOP 2 4" xfId="9816"/>
    <cellStyle name="HEADINGSTOP 3" xfId="9817"/>
    <cellStyle name="HEADINGSTOP 3 2" xfId="9818"/>
    <cellStyle name="HEADINGSTOP 3 2 2" xfId="9819"/>
    <cellStyle name="HEADINGSTOP 3 3" xfId="9820"/>
    <cellStyle name="HEADINGSTOP 4" xfId="9821"/>
    <cellStyle name="HEADINGSTOP 4 2" xfId="9822"/>
    <cellStyle name="HEADINGSTOP 4 2 2" xfId="9823"/>
    <cellStyle name="HEADINGSTOP 4 3" xfId="9824"/>
    <cellStyle name="HEADINGSTOP 5" xfId="9825"/>
    <cellStyle name="HEADINGSTOP 5 2" xfId="9826"/>
    <cellStyle name="HEADINGSTOP 6" xfId="9827"/>
    <cellStyle name="HEADINGSTOP 6 2" xfId="9828"/>
    <cellStyle name="HEADINGSTOP 7" xfId="9829"/>
    <cellStyle name="Helvetica 12" xfId="9830"/>
    <cellStyle name="Helvetica 12 2" xfId="9831"/>
    <cellStyle name="Helvetica 12 2 2" xfId="9832"/>
    <cellStyle name="Helvetica 12 2 2 2" xfId="9833"/>
    <cellStyle name="Helvetica 12 2 3" xfId="9834"/>
    <cellStyle name="Helvetica 12 2 3 2" xfId="9835"/>
    <cellStyle name="Helvetica 12 2 3 2 2" xfId="9836"/>
    <cellStyle name="Helvetica 12 2 3 3" xfId="9837"/>
    <cellStyle name="Helvetica 12 2 4" xfId="9838"/>
    <cellStyle name="Helvetica 12 3" xfId="9839"/>
    <cellStyle name="Helvetica 12 3 2" xfId="9840"/>
    <cellStyle name="Helvetica 12 3 2 2" xfId="9841"/>
    <cellStyle name="Helvetica 12 3 3" xfId="9842"/>
    <cellStyle name="Helvetica 12 4" xfId="9843"/>
    <cellStyle name="Helvetica 12 4 2" xfId="9844"/>
    <cellStyle name="Helvetica 12 5" xfId="9845"/>
    <cellStyle name="Helvetica 12 5 2" xfId="9846"/>
    <cellStyle name="Helvetica 12 6" xfId="9847"/>
    <cellStyle name="Hidden" xfId="9848"/>
    <cellStyle name="Hidden 2" xfId="9849"/>
    <cellStyle name="HIGHLIGHT" xfId="9850"/>
    <cellStyle name="HIGHLIGHT 2" xfId="9851"/>
    <cellStyle name="HIGHLIGHT 2 2" xfId="9852"/>
    <cellStyle name="HIGHLIGHT 2 2 2" xfId="9853"/>
    <cellStyle name="HIGHLIGHT 2 2 2 2" xfId="9854"/>
    <cellStyle name="HIGHLIGHT 2 2 3" xfId="9855"/>
    <cellStyle name="HIGHLIGHT 2 2 3 2" xfId="9856"/>
    <cellStyle name="HIGHLIGHT 2 2 3 2 2" xfId="9857"/>
    <cellStyle name="HIGHLIGHT 2 2 3 3" xfId="9858"/>
    <cellStyle name="HIGHLIGHT 2 2 4" xfId="9859"/>
    <cellStyle name="HIGHLIGHT 2 3" xfId="9860"/>
    <cellStyle name="HIGHLIGHT 2 3 2" xfId="9861"/>
    <cellStyle name="HIGHLIGHT 2 4" xfId="9862"/>
    <cellStyle name="HIGHLIGHT 3" xfId="9863"/>
    <cellStyle name="HIGHLIGHT 3 2" xfId="9864"/>
    <cellStyle name="HIGHLIGHT 4" xfId="9865"/>
    <cellStyle name="HIGHLIGHT 4 2" xfId="9866"/>
    <cellStyle name="HIGHLIGHT 5" xfId="9867"/>
    <cellStyle name="Hyperlink" xfId="27" builtinId="8"/>
    <cellStyle name="Initial Inputs" xfId="9868"/>
    <cellStyle name="Initial Inputs 2" xfId="9869"/>
    <cellStyle name="Input [yellow]" xfId="9870"/>
    <cellStyle name="Input [yellow] 2" xfId="9871"/>
    <cellStyle name="Input 10" xfId="9872"/>
    <cellStyle name="Input 10 2" xfId="9873"/>
    <cellStyle name="Input 10 2 2" xfId="9874"/>
    <cellStyle name="Input 10 2 2 2" xfId="9875"/>
    <cellStyle name="Input 10 2 3" xfId="9876"/>
    <cellStyle name="Input 10 3" xfId="9877"/>
    <cellStyle name="Input 10 3 2" xfId="9878"/>
    <cellStyle name="Input 10 4" xfId="9879"/>
    <cellStyle name="Input 100" xfId="9880"/>
    <cellStyle name="Input 100 2" xfId="9881"/>
    <cellStyle name="Input 100 2 2" xfId="9882"/>
    <cellStyle name="Input 100 2 2 2" xfId="9883"/>
    <cellStyle name="Input 100 2 3" xfId="9884"/>
    <cellStyle name="Input 100 3" xfId="9885"/>
    <cellStyle name="Input 100 3 2" xfId="9886"/>
    <cellStyle name="Input 100 4" xfId="9887"/>
    <cellStyle name="Input 101" xfId="9888"/>
    <cellStyle name="Input 101 2" xfId="9889"/>
    <cellStyle name="Input 101 2 2" xfId="9890"/>
    <cellStyle name="Input 101 2 2 2" xfId="9891"/>
    <cellStyle name="Input 101 2 3" xfId="9892"/>
    <cellStyle name="Input 101 3" xfId="9893"/>
    <cellStyle name="Input 101 3 2" xfId="9894"/>
    <cellStyle name="Input 101 4" xfId="9895"/>
    <cellStyle name="Input 102" xfId="9896"/>
    <cellStyle name="Input 102 2" xfId="9897"/>
    <cellStyle name="Input 102 2 2" xfId="9898"/>
    <cellStyle name="Input 102 2 2 2" xfId="9899"/>
    <cellStyle name="Input 102 2 2 2 2" xfId="9900"/>
    <cellStyle name="Input 102 2 2 3" xfId="9901"/>
    <cellStyle name="Input 102 2 3" xfId="9902"/>
    <cellStyle name="Input 102 2 3 2" xfId="9903"/>
    <cellStyle name="Input 102 2 4" xfId="9904"/>
    <cellStyle name="Input 102 3" xfId="9905"/>
    <cellStyle name="Input 102 3 2" xfId="9906"/>
    <cellStyle name="Input 102 3 2 2" xfId="9907"/>
    <cellStyle name="Input 102 3 3" xfId="9908"/>
    <cellStyle name="Input 102 4" xfId="9909"/>
    <cellStyle name="Input 102 4 2" xfId="9910"/>
    <cellStyle name="Input 102 5" xfId="9911"/>
    <cellStyle name="Input 103" xfId="9912"/>
    <cellStyle name="Input 103 2" xfId="9913"/>
    <cellStyle name="Input 103 2 2" xfId="9914"/>
    <cellStyle name="Input 103 2 2 2" xfId="9915"/>
    <cellStyle name="Input 103 2 2 2 2" xfId="9916"/>
    <cellStyle name="Input 103 2 2 3" xfId="9917"/>
    <cellStyle name="Input 103 2 3" xfId="9918"/>
    <cellStyle name="Input 103 2 3 2" xfId="9919"/>
    <cellStyle name="Input 103 2 4" xfId="9920"/>
    <cellStyle name="Input 103 3" xfId="9921"/>
    <cellStyle name="Input 103 3 2" xfId="9922"/>
    <cellStyle name="Input 103 3 2 2" xfId="9923"/>
    <cellStyle name="Input 103 3 3" xfId="9924"/>
    <cellStyle name="Input 103 4" xfId="9925"/>
    <cellStyle name="Input 103 4 2" xfId="9926"/>
    <cellStyle name="Input 103 5" xfId="9927"/>
    <cellStyle name="Input 104" xfId="9928"/>
    <cellStyle name="Input 104 2" xfId="9929"/>
    <cellStyle name="Input 104 2 2" xfId="9930"/>
    <cellStyle name="Input 104 2 2 2" xfId="9931"/>
    <cellStyle name="Input 104 2 2 2 2" xfId="9932"/>
    <cellStyle name="Input 104 2 2 2 2 2" xfId="9933"/>
    <cellStyle name="Input 104 2 2 2 3" xfId="9934"/>
    <cellStyle name="Input 104 2 2 3" xfId="9935"/>
    <cellStyle name="Input 104 2 2 3 2" xfId="9936"/>
    <cellStyle name="Input 104 2 2 4" xfId="9937"/>
    <cellStyle name="Input 104 2 3" xfId="9938"/>
    <cellStyle name="Input 104 2 3 2" xfId="9939"/>
    <cellStyle name="Input 104 2 3 2 2" xfId="9940"/>
    <cellStyle name="Input 104 2 3 3" xfId="9941"/>
    <cellStyle name="Input 104 2 4" xfId="9942"/>
    <cellStyle name="Input 104 2 4 2" xfId="9943"/>
    <cellStyle name="Input 104 2 5" xfId="9944"/>
    <cellStyle name="Input 104 3" xfId="9945"/>
    <cellStyle name="Input 104 3 2" xfId="9946"/>
    <cellStyle name="Input 104 3 2 2" xfId="9947"/>
    <cellStyle name="Input 104 3 2 2 2" xfId="9948"/>
    <cellStyle name="Input 104 3 2 3" xfId="9949"/>
    <cellStyle name="Input 104 3 3" xfId="9950"/>
    <cellStyle name="Input 104 3 3 2" xfId="9951"/>
    <cellStyle name="Input 104 3 4" xfId="9952"/>
    <cellStyle name="Input 104 4" xfId="9953"/>
    <cellStyle name="Input 104 4 2" xfId="9954"/>
    <cellStyle name="Input 104 4 2 2" xfId="9955"/>
    <cellStyle name="Input 104 4 3" xfId="9956"/>
    <cellStyle name="Input 104 5" xfId="9957"/>
    <cellStyle name="Input 104 5 2" xfId="9958"/>
    <cellStyle name="Input 104 6" xfId="9959"/>
    <cellStyle name="Input 105" xfId="9960"/>
    <cellStyle name="Input 105 2" xfId="9961"/>
    <cellStyle name="Input 105 2 2" xfId="9962"/>
    <cellStyle name="Input 105 2 2 2" xfId="9963"/>
    <cellStyle name="Input 105 2 3" xfId="9964"/>
    <cellStyle name="Input 105 3" xfId="9965"/>
    <cellStyle name="Input 105 3 2" xfId="9966"/>
    <cellStyle name="Input 105 4" xfId="9967"/>
    <cellStyle name="Input 106" xfId="9968"/>
    <cellStyle name="Input 106 2" xfId="9969"/>
    <cellStyle name="Input 106 2 2" xfId="9970"/>
    <cellStyle name="Input 106 2 2 2" xfId="9971"/>
    <cellStyle name="Input 106 2 3" xfId="9972"/>
    <cellStyle name="Input 106 3" xfId="9973"/>
    <cellStyle name="Input 106 3 2" xfId="9974"/>
    <cellStyle name="Input 106 4" xfId="9975"/>
    <cellStyle name="Input 107" xfId="9976"/>
    <cellStyle name="Input 107 2" xfId="9977"/>
    <cellStyle name="Input 107 2 2" xfId="9978"/>
    <cellStyle name="Input 107 2 2 2" xfId="9979"/>
    <cellStyle name="Input 107 2 3" xfId="9980"/>
    <cellStyle name="Input 107 3" xfId="9981"/>
    <cellStyle name="Input 107 3 2" xfId="9982"/>
    <cellStyle name="Input 107 4" xfId="9983"/>
    <cellStyle name="Input 108" xfId="9984"/>
    <cellStyle name="Input 108 2" xfId="9985"/>
    <cellStyle name="Input 108 2 2" xfId="9986"/>
    <cellStyle name="Input 108 2 2 2" xfId="9987"/>
    <cellStyle name="Input 108 2 2 2 2" xfId="9988"/>
    <cellStyle name="Input 108 2 2 2 2 2" xfId="9989"/>
    <cellStyle name="Input 108 2 2 2 3" xfId="9990"/>
    <cellStyle name="Input 108 2 2 3" xfId="9991"/>
    <cellStyle name="Input 108 2 2 3 2" xfId="9992"/>
    <cellStyle name="Input 108 2 2 4" xfId="9993"/>
    <cellStyle name="Input 108 2 3" xfId="9994"/>
    <cellStyle name="Input 108 2 3 2" xfId="9995"/>
    <cellStyle name="Input 108 2 3 2 2" xfId="9996"/>
    <cellStyle name="Input 108 2 3 3" xfId="9997"/>
    <cellStyle name="Input 108 2 4" xfId="9998"/>
    <cellStyle name="Input 108 2 4 2" xfId="9999"/>
    <cellStyle name="Input 108 2 5" xfId="10000"/>
    <cellStyle name="Input 108 3" xfId="10001"/>
    <cellStyle name="Input 108 3 2" xfId="10002"/>
    <cellStyle name="Input 108 3 2 2" xfId="10003"/>
    <cellStyle name="Input 108 3 2 2 2" xfId="10004"/>
    <cellStyle name="Input 108 3 2 3" xfId="10005"/>
    <cellStyle name="Input 108 3 3" xfId="10006"/>
    <cellStyle name="Input 108 3 3 2" xfId="10007"/>
    <cellStyle name="Input 108 3 4" xfId="10008"/>
    <cellStyle name="Input 108 4" xfId="10009"/>
    <cellStyle name="Input 108 4 2" xfId="10010"/>
    <cellStyle name="Input 108 4 2 2" xfId="10011"/>
    <cellStyle name="Input 108 4 3" xfId="10012"/>
    <cellStyle name="Input 108 5" xfId="10013"/>
    <cellStyle name="Input 108 5 2" xfId="10014"/>
    <cellStyle name="Input 108 6" xfId="10015"/>
    <cellStyle name="Input 109" xfId="10016"/>
    <cellStyle name="Input 109 2" xfId="10017"/>
    <cellStyle name="Input 109 2 2" xfId="10018"/>
    <cellStyle name="Input 109 2 2 2" xfId="10019"/>
    <cellStyle name="Input 109 2 2 2 2" xfId="10020"/>
    <cellStyle name="Input 109 2 2 2 2 2" xfId="10021"/>
    <cellStyle name="Input 109 2 2 2 3" xfId="10022"/>
    <cellStyle name="Input 109 2 2 3" xfId="10023"/>
    <cellStyle name="Input 109 2 2 3 2" xfId="10024"/>
    <cellStyle name="Input 109 2 2 4" xfId="10025"/>
    <cellStyle name="Input 109 2 3" xfId="10026"/>
    <cellStyle name="Input 109 2 3 2" xfId="10027"/>
    <cellStyle name="Input 109 2 3 2 2" xfId="10028"/>
    <cellStyle name="Input 109 2 3 3" xfId="10029"/>
    <cellStyle name="Input 109 2 4" xfId="10030"/>
    <cellStyle name="Input 109 2 4 2" xfId="10031"/>
    <cellStyle name="Input 109 2 5" xfId="10032"/>
    <cellStyle name="Input 109 3" xfId="10033"/>
    <cellStyle name="Input 109 3 2" xfId="10034"/>
    <cellStyle name="Input 109 3 2 2" xfId="10035"/>
    <cellStyle name="Input 109 3 2 2 2" xfId="10036"/>
    <cellStyle name="Input 109 3 2 3" xfId="10037"/>
    <cellStyle name="Input 109 3 3" xfId="10038"/>
    <cellStyle name="Input 109 3 3 2" xfId="10039"/>
    <cellStyle name="Input 109 3 4" xfId="10040"/>
    <cellStyle name="Input 109 4" xfId="10041"/>
    <cellStyle name="Input 109 4 2" xfId="10042"/>
    <cellStyle name="Input 109 4 2 2" xfId="10043"/>
    <cellStyle name="Input 109 4 3" xfId="10044"/>
    <cellStyle name="Input 109 5" xfId="10045"/>
    <cellStyle name="Input 109 5 2" xfId="10046"/>
    <cellStyle name="Input 109 6" xfId="10047"/>
    <cellStyle name="Input 11" xfId="10048"/>
    <cellStyle name="Input 11 2" xfId="10049"/>
    <cellStyle name="Input 11 2 2" xfId="10050"/>
    <cellStyle name="Input 11 2 2 2" xfId="10051"/>
    <cellStyle name="Input 11 2 3" xfId="10052"/>
    <cellStyle name="Input 11 3" xfId="10053"/>
    <cellStyle name="Input 11 3 2" xfId="10054"/>
    <cellStyle name="Input 11 4" xfId="10055"/>
    <cellStyle name="Input 110" xfId="10056"/>
    <cellStyle name="Input 110 2" xfId="10057"/>
    <cellStyle name="Input 110 2 2" xfId="10058"/>
    <cellStyle name="Input 110 2 2 2" xfId="10059"/>
    <cellStyle name="Input 110 2 2 2 2" xfId="10060"/>
    <cellStyle name="Input 110 2 2 2 2 2" xfId="10061"/>
    <cellStyle name="Input 110 2 2 2 3" xfId="10062"/>
    <cellStyle name="Input 110 2 2 3" xfId="10063"/>
    <cellStyle name="Input 110 2 2 3 2" xfId="10064"/>
    <cellStyle name="Input 110 2 2 4" xfId="10065"/>
    <cellStyle name="Input 110 2 3" xfId="10066"/>
    <cellStyle name="Input 110 2 3 2" xfId="10067"/>
    <cellStyle name="Input 110 2 3 2 2" xfId="10068"/>
    <cellStyle name="Input 110 2 3 3" xfId="10069"/>
    <cellStyle name="Input 110 2 4" xfId="10070"/>
    <cellStyle name="Input 110 2 4 2" xfId="10071"/>
    <cellStyle name="Input 110 2 5" xfId="10072"/>
    <cellStyle name="Input 110 3" xfId="10073"/>
    <cellStyle name="Input 110 3 2" xfId="10074"/>
    <cellStyle name="Input 110 3 2 2" xfId="10075"/>
    <cellStyle name="Input 110 3 2 2 2" xfId="10076"/>
    <cellStyle name="Input 110 3 2 3" xfId="10077"/>
    <cellStyle name="Input 110 3 3" xfId="10078"/>
    <cellStyle name="Input 110 3 3 2" xfId="10079"/>
    <cellStyle name="Input 110 3 4" xfId="10080"/>
    <cellStyle name="Input 110 4" xfId="10081"/>
    <cellStyle name="Input 110 4 2" xfId="10082"/>
    <cellStyle name="Input 110 4 2 2" xfId="10083"/>
    <cellStyle name="Input 110 4 3" xfId="10084"/>
    <cellStyle name="Input 110 5" xfId="10085"/>
    <cellStyle name="Input 110 5 2" xfId="10086"/>
    <cellStyle name="Input 110 6" xfId="10087"/>
    <cellStyle name="Input 111" xfId="10088"/>
    <cellStyle name="Input 111 2" xfId="10089"/>
    <cellStyle name="Input 111 2 2" xfId="10090"/>
    <cellStyle name="Input 111 2 2 2" xfId="10091"/>
    <cellStyle name="Input 111 2 2 2 2" xfId="10092"/>
    <cellStyle name="Input 111 2 2 2 2 2" xfId="10093"/>
    <cellStyle name="Input 111 2 2 2 3" xfId="10094"/>
    <cellStyle name="Input 111 2 2 3" xfId="10095"/>
    <cellStyle name="Input 111 2 2 3 2" xfId="10096"/>
    <cellStyle name="Input 111 2 2 4" xfId="10097"/>
    <cellStyle name="Input 111 2 3" xfId="10098"/>
    <cellStyle name="Input 111 2 3 2" xfId="10099"/>
    <cellStyle name="Input 111 2 3 2 2" xfId="10100"/>
    <cellStyle name="Input 111 2 3 3" xfId="10101"/>
    <cellStyle name="Input 111 2 4" xfId="10102"/>
    <cellStyle name="Input 111 2 4 2" xfId="10103"/>
    <cellStyle name="Input 111 2 5" xfId="10104"/>
    <cellStyle name="Input 111 3" xfId="10105"/>
    <cellStyle name="Input 111 3 2" xfId="10106"/>
    <cellStyle name="Input 111 3 2 2" xfId="10107"/>
    <cellStyle name="Input 111 3 2 2 2" xfId="10108"/>
    <cellStyle name="Input 111 3 2 3" xfId="10109"/>
    <cellStyle name="Input 111 3 3" xfId="10110"/>
    <cellStyle name="Input 111 3 3 2" xfId="10111"/>
    <cellStyle name="Input 111 3 4" xfId="10112"/>
    <cellStyle name="Input 111 4" xfId="10113"/>
    <cellStyle name="Input 111 4 2" xfId="10114"/>
    <cellStyle name="Input 111 4 2 2" xfId="10115"/>
    <cellStyle name="Input 111 4 3" xfId="10116"/>
    <cellStyle name="Input 111 5" xfId="10117"/>
    <cellStyle name="Input 111 5 2" xfId="10118"/>
    <cellStyle name="Input 111 6" xfId="10119"/>
    <cellStyle name="Input 112" xfId="10120"/>
    <cellStyle name="Input 112 2" xfId="10121"/>
    <cellStyle name="Input 112 2 2" xfId="10122"/>
    <cellStyle name="Input 112 2 2 2" xfId="10123"/>
    <cellStyle name="Input 112 2 2 2 2" xfId="10124"/>
    <cellStyle name="Input 112 2 2 2 2 2" xfId="10125"/>
    <cellStyle name="Input 112 2 2 2 3" xfId="10126"/>
    <cellStyle name="Input 112 2 2 3" xfId="10127"/>
    <cellStyle name="Input 112 2 2 3 2" xfId="10128"/>
    <cellStyle name="Input 112 2 2 4" xfId="10129"/>
    <cellStyle name="Input 112 2 3" xfId="10130"/>
    <cellStyle name="Input 112 2 3 2" xfId="10131"/>
    <cellStyle name="Input 112 2 3 2 2" xfId="10132"/>
    <cellStyle name="Input 112 2 3 3" xfId="10133"/>
    <cellStyle name="Input 112 2 4" xfId="10134"/>
    <cellStyle name="Input 112 2 4 2" xfId="10135"/>
    <cellStyle name="Input 112 2 5" xfId="10136"/>
    <cellStyle name="Input 112 3" xfId="10137"/>
    <cellStyle name="Input 112 3 2" xfId="10138"/>
    <cellStyle name="Input 112 3 2 2" xfId="10139"/>
    <cellStyle name="Input 112 3 2 2 2" xfId="10140"/>
    <cellStyle name="Input 112 3 2 3" xfId="10141"/>
    <cellStyle name="Input 112 3 3" xfId="10142"/>
    <cellStyle name="Input 112 3 3 2" xfId="10143"/>
    <cellStyle name="Input 112 3 4" xfId="10144"/>
    <cellStyle name="Input 112 4" xfId="10145"/>
    <cellStyle name="Input 112 4 2" xfId="10146"/>
    <cellStyle name="Input 112 4 2 2" xfId="10147"/>
    <cellStyle name="Input 112 4 3" xfId="10148"/>
    <cellStyle name="Input 112 5" xfId="10149"/>
    <cellStyle name="Input 112 5 2" xfId="10150"/>
    <cellStyle name="Input 112 6" xfId="10151"/>
    <cellStyle name="Input 113" xfId="10152"/>
    <cellStyle name="Input 113 2" xfId="10153"/>
    <cellStyle name="Input 113 2 2" xfId="10154"/>
    <cellStyle name="Input 113 2 2 2" xfId="10155"/>
    <cellStyle name="Input 113 2 2 2 2" xfId="10156"/>
    <cellStyle name="Input 113 2 2 2 2 2" xfId="10157"/>
    <cellStyle name="Input 113 2 2 2 3" xfId="10158"/>
    <cellStyle name="Input 113 2 2 3" xfId="10159"/>
    <cellStyle name="Input 113 2 2 3 2" xfId="10160"/>
    <cellStyle name="Input 113 2 2 4" xfId="10161"/>
    <cellStyle name="Input 113 2 3" xfId="10162"/>
    <cellStyle name="Input 113 2 3 2" xfId="10163"/>
    <cellStyle name="Input 113 2 3 2 2" xfId="10164"/>
    <cellStyle name="Input 113 2 3 3" xfId="10165"/>
    <cellStyle name="Input 113 2 4" xfId="10166"/>
    <cellStyle name="Input 113 2 4 2" xfId="10167"/>
    <cellStyle name="Input 113 2 5" xfId="10168"/>
    <cellStyle name="Input 113 3" xfId="10169"/>
    <cellStyle name="Input 113 3 2" xfId="10170"/>
    <cellStyle name="Input 113 3 2 2" xfId="10171"/>
    <cellStyle name="Input 113 3 2 2 2" xfId="10172"/>
    <cellStyle name="Input 113 3 2 3" xfId="10173"/>
    <cellStyle name="Input 113 3 3" xfId="10174"/>
    <cellStyle name="Input 113 3 3 2" xfId="10175"/>
    <cellStyle name="Input 113 3 4" xfId="10176"/>
    <cellStyle name="Input 113 4" xfId="10177"/>
    <cellStyle name="Input 113 4 2" xfId="10178"/>
    <cellStyle name="Input 113 4 2 2" xfId="10179"/>
    <cellStyle name="Input 113 4 3" xfId="10180"/>
    <cellStyle name="Input 113 5" xfId="10181"/>
    <cellStyle name="Input 113 5 2" xfId="10182"/>
    <cellStyle name="Input 113 6" xfId="10183"/>
    <cellStyle name="Input 114" xfId="10184"/>
    <cellStyle name="Input 114 2" xfId="10185"/>
    <cellStyle name="Input 114 2 2" xfId="10186"/>
    <cellStyle name="Input 114 2 2 2" xfId="10187"/>
    <cellStyle name="Input 114 2 2 2 2" xfId="10188"/>
    <cellStyle name="Input 114 2 2 3" xfId="10189"/>
    <cellStyle name="Input 114 2 3" xfId="10190"/>
    <cellStyle name="Input 114 2 3 2" xfId="10191"/>
    <cellStyle name="Input 114 2 4" xfId="10192"/>
    <cellStyle name="Input 114 3" xfId="10193"/>
    <cellStyle name="Input 114 3 2" xfId="10194"/>
    <cellStyle name="Input 114 3 2 2" xfId="10195"/>
    <cellStyle name="Input 114 3 3" xfId="10196"/>
    <cellStyle name="Input 114 4" xfId="10197"/>
    <cellStyle name="Input 114 4 2" xfId="10198"/>
    <cellStyle name="Input 114 5" xfId="10199"/>
    <cellStyle name="Input 115" xfId="10200"/>
    <cellStyle name="Input 115 2" xfId="10201"/>
    <cellStyle name="Input 115 2 2" xfId="10202"/>
    <cellStyle name="Input 115 2 2 2" xfId="10203"/>
    <cellStyle name="Input 115 2 2 2 2" xfId="10204"/>
    <cellStyle name="Input 115 2 2 3" xfId="10205"/>
    <cellStyle name="Input 115 2 3" xfId="10206"/>
    <cellStyle name="Input 115 2 3 2" xfId="10207"/>
    <cellStyle name="Input 115 2 4" xfId="10208"/>
    <cellStyle name="Input 115 3" xfId="10209"/>
    <cellStyle name="Input 115 3 2" xfId="10210"/>
    <cellStyle name="Input 115 3 2 2" xfId="10211"/>
    <cellStyle name="Input 115 3 3" xfId="10212"/>
    <cellStyle name="Input 115 4" xfId="10213"/>
    <cellStyle name="Input 115 4 2" xfId="10214"/>
    <cellStyle name="Input 115 5" xfId="10215"/>
    <cellStyle name="Input 116" xfId="10216"/>
    <cellStyle name="Input 116 2" xfId="10217"/>
    <cellStyle name="Input 116 2 2" xfId="10218"/>
    <cellStyle name="Input 116 2 2 2" xfId="10219"/>
    <cellStyle name="Input 116 2 2 2 2" xfId="10220"/>
    <cellStyle name="Input 116 2 2 3" xfId="10221"/>
    <cellStyle name="Input 116 2 3" xfId="10222"/>
    <cellStyle name="Input 116 2 3 2" xfId="10223"/>
    <cellStyle name="Input 116 2 4" xfId="10224"/>
    <cellStyle name="Input 116 3" xfId="10225"/>
    <cellStyle name="Input 116 3 2" xfId="10226"/>
    <cellStyle name="Input 116 3 2 2" xfId="10227"/>
    <cellStyle name="Input 116 3 3" xfId="10228"/>
    <cellStyle name="Input 116 4" xfId="10229"/>
    <cellStyle name="Input 116 4 2" xfId="10230"/>
    <cellStyle name="Input 116 5" xfId="10231"/>
    <cellStyle name="Input 117" xfId="10232"/>
    <cellStyle name="Input 117 2" xfId="10233"/>
    <cellStyle name="Input 117 2 2" xfId="10234"/>
    <cellStyle name="Input 117 2 2 2" xfId="10235"/>
    <cellStyle name="Input 117 2 2 2 2" xfId="10236"/>
    <cellStyle name="Input 117 2 2 3" xfId="10237"/>
    <cellStyle name="Input 117 2 3" xfId="10238"/>
    <cellStyle name="Input 117 2 3 2" xfId="10239"/>
    <cellStyle name="Input 117 2 4" xfId="10240"/>
    <cellStyle name="Input 117 3" xfId="10241"/>
    <cellStyle name="Input 117 3 2" xfId="10242"/>
    <cellStyle name="Input 117 3 2 2" xfId="10243"/>
    <cellStyle name="Input 117 3 3" xfId="10244"/>
    <cellStyle name="Input 117 4" xfId="10245"/>
    <cellStyle name="Input 117 4 2" xfId="10246"/>
    <cellStyle name="Input 117 5" xfId="10247"/>
    <cellStyle name="Input 118" xfId="10248"/>
    <cellStyle name="Input 118 2" xfId="10249"/>
    <cellStyle name="Input 118 2 2" xfId="10250"/>
    <cellStyle name="Input 118 3" xfId="10251"/>
    <cellStyle name="Input 119" xfId="10252"/>
    <cellStyle name="Input 119 2" xfId="10253"/>
    <cellStyle name="Input 119 3" xfId="10254"/>
    <cellStyle name="Input 12" xfId="10255"/>
    <cellStyle name="Input 12 2" xfId="10256"/>
    <cellStyle name="Input 12 2 2" xfId="10257"/>
    <cellStyle name="Input 12 2 2 2" xfId="10258"/>
    <cellStyle name="Input 12 2 3" xfId="10259"/>
    <cellStyle name="Input 12 3" xfId="10260"/>
    <cellStyle name="Input 12 3 2" xfId="10261"/>
    <cellStyle name="Input 12 4" xfId="10262"/>
    <cellStyle name="Input 120" xfId="10263"/>
    <cellStyle name="Input 120 2" xfId="10264"/>
    <cellStyle name="Input 120 3" xfId="10265"/>
    <cellStyle name="Input 121" xfId="10266"/>
    <cellStyle name="Input 121 2" xfId="10267"/>
    <cellStyle name="Input 122" xfId="10268"/>
    <cellStyle name="Input 122 2" xfId="10269"/>
    <cellStyle name="Input 122 3" xfId="10270"/>
    <cellStyle name="Input 123" xfId="10271"/>
    <cellStyle name="Input 123 2" xfId="10272"/>
    <cellStyle name="Input 124" xfId="10273"/>
    <cellStyle name="Input 124 2" xfId="10274"/>
    <cellStyle name="Input 125" xfId="10275"/>
    <cellStyle name="Input 125 2" xfId="10276"/>
    <cellStyle name="Input 126" xfId="10277"/>
    <cellStyle name="Input 127" xfId="10278"/>
    <cellStyle name="Input 128" xfId="10279"/>
    <cellStyle name="Input 129" xfId="10280"/>
    <cellStyle name="Input 13" xfId="10281"/>
    <cellStyle name="Input 13 2" xfId="10282"/>
    <cellStyle name="Input 13 2 2" xfId="10283"/>
    <cellStyle name="Input 13 2 2 2" xfId="10284"/>
    <cellStyle name="Input 13 2 3" xfId="10285"/>
    <cellStyle name="Input 13 3" xfId="10286"/>
    <cellStyle name="Input 13 3 2" xfId="10287"/>
    <cellStyle name="Input 13 4" xfId="10288"/>
    <cellStyle name="Input 130" xfId="10289"/>
    <cellStyle name="Input 131" xfId="10290"/>
    <cellStyle name="Input 132" xfId="10291"/>
    <cellStyle name="Input 133" xfId="10292"/>
    <cellStyle name="Input 134" xfId="10293"/>
    <cellStyle name="Input 135" xfId="10294"/>
    <cellStyle name="Input 136" xfId="10295"/>
    <cellStyle name="Input 137" xfId="10296"/>
    <cellStyle name="Input 138" xfId="10297"/>
    <cellStyle name="Input 139" xfId="10298"/>
    <cellStyle name="Input 14" xfId="10299"/>
    <cellStyle name="Input 14 2" xfId="10300"/>
    <cellStyle name="Input 14 2 2" xfId="10301"/>
    <cellStyle name="Input 14 2 2 2" xfId="10302"/>
    <cellStyle name="Input 14 2 3" xfId="10303"/>
    <cellStyle name="Input 14 3" xfId="10304"/>
    <cellStyle name="Input 14 3 2" xfId="10305"/>
    <cellStyle name="Input 14 4" xfId="10306"/>
    <cellStyle name="Input 140" xfId="10307"/>
    <cellStyle name="Input 141" xfId="10308"/>
    <cellStyle name="Input 142" xfId="10309"/>
    <cellStyle name="Input 143" xfId="10310"/>
    <cellStyle name="Input 144" xfId="10311"/>
    <cellStyle name="Input 145" xfId="10312"/>
    <cellStyle name="Input 146" xfId="10313"/>
    <cellStyle name="Input 147" xfId="10314"/>
    <cellStyle name="Input 148" xfId="10315"/>
    <cellStyle name="Input 149" xfId="10316"/>
    <cellStyle name="Input 15" xfId="10317"/>
    <cellStyle name="Input 15 2" xfId="10318"/>
    <cellStyle name="Input 15 2 2" xfId="10319"/>
    <cellStyle name="Input 15 2 2 2" xfId="10320"/>
    <cellStyle name="Input 15 2 3" xfId="10321"/>
    <cellStyle name="Input 15 3" xfId="10322"/>
    <cellStyle name="Input 15 3 2" xfId="10323"/>
    <cellStyle name="Input 15 4" xfId="10324"/>
    <cellStyle name="Input 150" xfId="10325"/>
    <cellStyle name="Input 151" xfId="10326"/>
    <cellStyle name="Input 152" xfId="10327"/>
    <cellStyle name="Input 153" xfId="10328"/>
    <cellStyle name="Input 154" xfId="10329"/>
    <cellStyle name="Input 155" xfId="10330"/>
    <cellStyle name="Input 156" xfId="10331"/>
    <cellStyle name="Input 157" xfId="10332"/>
    <cellStyle name="Input 158" xfId="10333"/>
    <cellStyle name="Input 159" xfId="10334"/>
    <cellStyle name="Input 16" xfId="10335"/>
    <cellStyle name="Input 16 2" xfId="10336"/>
    <cellStyle name="Input 16 2 2" xfId="10337"/>
    <cellStyle name="Input 16 2 2 2" xfId="10338"/>
    <cellStyle name="Input 16 2 3" xfId="10339"/>
    <cellStyle name="Input 16 3" xfId="10340"/>
    <cellStyle name="Input 16 3 2" xfId="10341"/>
    <cellStyle name="Input 16 4" xfId="10342"/>
    <cellStyle name="Input 160" xfId="10343"/>
    <cellStyle name="Input 161" xfId="10344"/>
    <cellStyle name="Input 162" xfId="10345"/>
    <cellStyle name="Input 163" xfId="10346"/>
    <cellStyle name="Input 164" xfId="10347"/>
    <cellStyle name="Input 165" xfId="10348"/>
    <cellStyle name="Input 166" xfId="10349"/>
    <cellStyle name="Input 167" xfId="10350"/>
    <cellStyle name="Input 168" xfId="10351"/>
    <cellStyle name="Input 169" xfId="10352"/>
    <cellStyle name="Input 17" xfId="10353"/>
    <cellStyle name="Input 17 2" xfId="10354"/>
    <cellStyle name="Input 17 2 2" xfId="10355"/>
    <cellStyle name="Input 17 2 2 2" xfId="10356"/>
    <cellStyle name="Input 17 2 3" xfId="10357"/>
    <cellStyle name="Input 17 3" xfId="10358"/>
    <cellStyle name="Input 17 3 2" xfId="10359"/>
    <cellStyle name="Input 17 4" xfId="10360"/>
    <cellStyle name="Input 170" xfId="10361"/>
    <cellStyle name="Input 171" xfId="10362"/>
    <cellStyle name="Input 172" xfId="10363"/>
    <cellStyle name="Input 173" xfId="10364"/>
    <cellStyle name="Input 174" xfId="10365"/>
    <cellStyle name="Input 175" xfId="10366"/>
    <cellStyle name="Input 176" xfId="10367"/>
    <cellStyle name="Input 177" xfId="10368"/>
    <cellStyle name="Input 178" xfId="10369"/>
    <cellStyle name="Input 179" xfId="10370"/>
    <cellStyle name="Input 18" xfId="10371"/>
    <cellStyle name="Input 18 2" xfId="10372"/>
    <cellStyle name="Input 18 2 2" xfId="10373"/>
    <cellStyle name="Input 18 2 2 2" xfId="10374"/>
    <cellStyle name="Input 18 2 3" xfId="10375"/>
    <cellStyle name="Input 18 3" xfId="10376"/>
    <cellStyle name="Input 18 3 2" xfId="10377"/>
    <cellStyle name="Input 18 4" xfId="10378"/>
    <cellStyle name="Input 19" xfId="10379"/>
    <cellStyle name="Input 19 2" xfId="10380"/>
    <cellStyle name="Input 19 2 2" xfId="10381"/>
    <cellStyle name="Input 19 2 2 2" xfId="10382"/>
    <cellStyle name="Input 19 2 3" xfId="10383"/>
    <cellStyle name="Input 19 3" xfId="10384"/>
    <cellStyle name="Input 19 3 2" xfId="10385"/>
    <cellStyle name="Input 19 4" xfId="10386"/>
    <cellStyle name="Input 2" xfId="10387"/>
    <cellStyle name="Input 2 10" xfId="10388"/>
    <cellStyle name="Input 2 10 2" xfId="10389"/>
    <cellStyle name="Input 2 10 3" xfId="10390"/>
    <cellStyle name="Input 2 11" xfId="10391"/>
    <cellStyle name="Input 2 11 2" xfId="10392"/>
    <cellStyle name="Input 2 12" xfId="10393"/>
    <cellStyle name="Input 2 13" xfId="10394"/>
    <cellStyle name="Input 2 2" xfId="10395"/>
    <cellStyle name="Input 2 2 2" xfId="10396"/>
    <cellStyle name="Input 2 2 2 2" xfId="10397"/>
    <cellStyle name="Input 2 2 3" xfId="10398"/>
    <cellStyle name="Input 2 2 3 2" xfId="10399"/>
    <cellStyle name="Input 2 2 3 2 2" xfId="10400"/>
    <cellStyle name="Input 2 2 3 3" xfId="10401"/>
    <cellStyle name="Input 2 2 4" xfId="10402"/>
    <cellStyle name="Input 2 3" xfId="10403"/>
    <cellStyle name="Input 2 3 2" xfId="10404"/>
    <cellStyle name="Input 2 3 2 2" xfId="10405"/>
    <cellStyle name="Input 2 3 2 2 2" xfId="10406"/>
    <cellStyle name="Input 2 3 2 3" xfId="10407"/>
    <cellStyle name="Input 2 3 3" xfId="10408"/>
    <cellStyle name="Input 2 3 3 2" xfId="10409"/>
    <cellStyle name="Input 2 3 3 2 2" xfId="10410"/>
    <cellStyle name="Input 2 3 3 2 2 2" xfId="10411"/>
    <cellStyle name="Input 2 3 3 2 3" xfId="10412"/>
    <cellStyle name="Input 2 3 3 3" xfId="10413"/>
    <cellStyle name="Input 2 3 3 3 2" xfId="10414"/>
    <cellStyle name="Input 2 3 3 4" xfId="10415"/>
    <cellStyle name="Input 2 3 4" xfId="10416"/>
    <cellStyle name="Input 2 3 4 2" xfId="10417"/>
    <cellStyle name="Input 2 3 5" xfId="10418"/>
    <cellStyle name="Input 2 4" xfId="10419"/>
    <cellStyle name="Input 2 4 2" xfId="10420"/>
    <cellStyle name="Input 2 4 2 2" xfId="10421"/>
    <cellStyle name="Input 2 4 2 2 2" xfId="10422"/>
    <cellStyle name="Input 2 4 2 3" xfId="10423"/>
    <cellStyle name="Input 2 4 3" xfId="10424"/>
    <cellStyle name="Input 2 4 3 2" xfId="10425"/>
    <cellStyle name="Input 2 4 4" xfId="10426"/>
    <cellStyle name="Input 2 5" xfId="10427"/>
    <cellStyle name="Input 2 5 2" xfId="10428"/>
    <cellStyle name="Input 2 5 2 2" xfId="10429"/>
    <cellStyle name="Input 2 5 3" xfId="10430"/>
    <cellStyle name="Input 2 5 3 2" xfId="10431"/>
    <cellStyle name="Input 2 5 3 2 2" xfId="10432"/>
    <cellStyle name="Input 2 5 3 3" xfId="10433"/>
    <cellStyle name="Input 2 5 4" xfId="10434"/>
    <cellStyle name="Input 2 6" xfId="10435"/>
    <cellStyle name="Input 2 6 2" xfId="10436"/>
    <cellStyle name="Input 2 6 2 2" xfId="10437"/>
    <cellStyle name="Input 2 6 2 2 2" xfId="10438"/>
    <cellStyle name="Input 2 6 2 3" xfId="10439"/>
    <cellStyle name="Input 2 6 3" xfId="10440"/>
    <cellStyle name="Input 2 6 3 2" xfId="10441"/>
    <cellStyle name="Input 2 6 3 2 2" xfId="10442"/>
    <cellStyle name="Input 2 6 3 2 2 2" xfId="10443"/>
    <cellStyle name="Input 2 6 3 2 2 2 2" xfId="10444"/>
    <cellStyle name="Input 2 6 3 2 2 3" xfId="10445"/>
    <cellStyle name="Input 2 6 3 2 3" xfId="10446"/>
    <cellStyle name="Input 2 6 3 2 3 2" xfId="10447"/>
    <cellStyle name="Input 2 6 3 2 4" xfId="10448"/>
    <cellStyle name="Input 2 6 3 3" xfId="10449"/>
    <cellStyle name="Input 2 6 3 3 2" xfId="10450"/>
    <cellStyle name="Input 2 6 3 3 2 2" xfId="10451"/>
    <cellStyle name="Input 2 6 3 3 3" xfId="10452"/>
    <cellStyle name="Input 2 6 3 4" xfId="10453"/>
    <cellStyle name="Input 2 6 3 4 2" xfId="10454"/>
    <cellStyle name="Input 2 6 3 5" xfId="10455"/>
    <cellStyle name="Input 2 6 4" xfId="10456"/>
    <cellStyle name="Input 2 6 4 2" xfId="10457"/>
    <cellStyle name="Input 2 6 4 2 2" xfId="10458"/>
    <cellStyle name="Input 2 6 4 2 2 2" xfId="10459"/>
    <cellStyle name="Input 2 6 4 2 3" xfId="10460"/>
    <cellStyle name="Input 2 6 4 3" xfId="10461"/>
    <cellStyle name="Input 2 6 4 3 2" xfId="10462"/>
    <cellStyle name="Input 2 6 4 4" xfId="10463"/>
    <cellStyle name="Input 2 6 5" xfId="10464"/>
    <cellStyle name="Input 2 6 5 2" xfId="10465"/>
    <cellStyle name="Input 2 6 5 2 2" xfId="10466"/>
    <cellStyle name="Input 2 6 5 3" xfId="10467"/>
    <cellStyle name="Input 2 6 6" xfId="10468"/>
    <cellStyle name="Input 2 6 6 2" xfId="10469"/>
    <cellStyle name="Input 2 6 7" xfId="10470"/>
    <cellStyle name="Input 2 7" xfId="10471"/>
    <cellStyle name="Input 2 7 2" xfId="10472"/>
    <cellStyle name="Input 2 7 2 2" xfId="10473"/>
    <cellStyle name="Input 2 7 3" xfId="10474"/>
    <cellStyle name="Input 2 8" xfId="10475"/>
    <cellStyle name="Input 2 8 2" xfId="10476"/>
    <cellStyle name="Input 2 8 2 2" xfId="10477"/>
    <cellStyle name="Input 2 8 2 2 2" xfId="10478"/>
    <cellStyle name="Input 2 8 2 3" xfId="10479"/>
    <cellStyle name="Input 2 8 3" xfId="10480"/>
    <cellStyle name="Input 2 8 3 2" xfId="10481"/>
    <cellStyle name="Input 2 8 4" xfId="10482"/>
    <cellStyle name="Input 2 9" xfId="10483"/>
    <cellStyle name="Input 2 9 2" xfId="10484"/>
    <cellStyle name="Input 2 9 2 2" xfId="10485"/>
    <cellStyle name="Input 2 9 2 2 2" xfId="10486"/>
    <cellStyle name="Input 2 9 2 3" xfId="10487"/>
    <cellStyle name="Input 2 9 3" xfId="10488"/>
    <cellStyle name="Input 2 9 3 2" xfId="10489"/>
    <cellStyle name="Input 2 9 4" xfId="10490"/>
    <cellStyle name="Input 20" xfId="10491"/>
    <cellStyle name="Input 20 2" xfId="10492"/>
    <cellStyle name="Input 20 2 2" xfId="10493"/>
    <cellStyle name="Input 20 2 2 2" xfId="10494"/>
    <cellStyle name="Input 20 2 3" xfId="10495"/>
    <cellStyle name="Input 20 3" xfId="10496"/>
    <cellStyle name="Input 20 3 2" xfId="10497"/>
    <cellStyle name="Input 20 4" xfId="10498"/>
    <cellStyle name="Input 21" xfId="10499"/>
    <cellStyle name="Input 21 2" xfId="10500"/>
    <cellStyle name="Input 21 2 2" xfId="10501"/>
    <cellStyle name="Input 21 2 2 2" xfId="10502"/>
    <cellStyle name="Input 21 2 3" xfId="10503"/>
    <cellStyle name="Input 21 3" xfId="10504"/>
    <cellStyle name="Input 21 3 2" xfId="10505"/>
    <cellStyle name="Input 21 4" xfId="10506"/>
    <cellStyle name="Input 22" xfId="10507"/>
    <cellStyle name="Input 22 2" xfId="10508"/>
    <cellStyle name="Input 22 2 2" xfId="10509"/>
    <cellStyle name="Input 22 2 2 2" xfId="10510"/>
    <cellStyle name="Input 22 2 3" xfId="10511"/>
    <cellStyle name="Input 22 3" xfId="10512"/>
    <cellStyle name="Input 22 3 2" xfId="10513"/>
    <cellStyle name="Input 22 4" xfId="10514"/>
    <cellStyle name="Input 23" xfId="10515"/>
    <cellStyle name="Input 23 2" xfId="10516"/>
    <cellStyle name="Input 23 2 2" xfId="10517"/>
    <cellStyle name="Input 23 2 2 2" xfId="10518"/>
    <cellStyle name="Input 23 2 3" xfId="10519"/>
    <cellStyle name="Input 23 3" xfId="10520"/>
    <cellStyle name="Input 23 3 2" xfId="10521"/>
    <cellStyle name="Input 23 4" xfId="10522"/>
    <cellStyle name="Input 24" xfId="10523"/>
    <cellStyle name="Input 24 2" xfId="10524"/>
    <cellStyle name="Input 24 2 2" xfId="10525"/>
    <cellStyle name="Input 24 2 2 2" xfId="10526"/>
    <cellStyle name="Input 24 2 3" xfId="10527"/>
    <cellStyle name="Input 24 3" xfId="10528"/>
    <cellStyle name="Input 24 3 2" xfId="10529"/>
    <cellStyle name="Input 24 4" xfId="10530"/>
    <cellStyle name="Input 25" xfId="10531"/>
    <cellStyle name="Input 25 2" xfId="10532"/>
    <cellStyle name="Input 25 2 2" xfId="10533"/>
    <cellStyle name="Input 25 2 2 2" xfId="10534"/>
    <cellStyle name="Input 25 2 3" xfId="10535"/>
    <cellStyle name="Input 25 3" xfId="10536"/>
    <cellStyle name="Input 25 3 2" xfId="10537"/>
    <cellStyle name="Input 25 4" xfId="10538"/>
    <cellStyle name="Input 26" xfId="10539"/>
    <cellStyle name="Input 26 2" xfId="10540"/>
    <cellStyle name="Input 26 2 2" xfId="10541"/>
    <cellStyle name="Input 26 2 2 2" xfId="10542"/>
    <cellStyle name="Input 26 2 3" xfId="10543"/>
    <cellStyle name="Input 26 3" xfId="10544"/>
    <cellStyle name="Input 26 3 2" xfId="10545"/>
    <cellStyle name="Input 26 4" xfId="10546"/>
    <cellStyle name="Input 27" xfId="10547"/>
    <cellStyle name="Input 27 2" xfId="10548"/>
    <cellStyle name="Input 27 2 2" xfId="10549"/>
    <cellStyle name="Input 27 2 2 2" xfId="10550"/>
    <cellStyle name="Input 27 2 3" xfId="10551"/>
    <cellStyle name="Input 27 3" xfId="10552"/>
    <cellStyle name="Input 27 3 2" xfId="10553"/>
    <cellStyle name="Input 27 4" xfId="10554"/>
    <cellStyle name="Input 28" xfId="10555"/>
    <cellStyle name="Input 28 2" xfId="10556"/>
    <cellStyle name="Input 28 2 2" xfId="10557"/>
    <cellStyle name="Input 28 2 2 2" xfId="10558"/>
    <cellStyle name="Input 28 2 3" xfId="10559"/>
    <cellStyle name="Input 28 3" xfId="10560"/>
    <cellStyle name="Input 28 3 2" xfId="10561"/>
    <cellStyle name="Input 28 4" xfId="10562"/>
    <cellStyle name="Input 29" xfId="10563"/>
    <cellStyle name="Input 29 2" xfId="10564"/>
    <cellStyle name="Input 29 2 2" xfId="10565"/>
    <cellStyle name="Input 29 2 2 2" xfId="10566"/>
    <cellStyle name="Input 29 2 3" xfId="10567"/>
    <cellStyle name="Input 29 3" xfId="10568"/>
    <cellStyle name="Input 29 3 2" xfId="10569"/>
    <cellStyle name="Input 29 4" xfId="10570"/>
    <cellStyle name="Input 3" xfId="10571"/>
    <cellStyle name="Input 3 10" xfId="10572"/>
    <cellStyle name="Input 3 10 2" xfId="10573"/>
    <cellStyle name="Input 3 10 2 2" xfId="10574"/>
    <cellStyle name="Input 3 10 3" xfId="10575"/>
    <cellStyle name="Input 3 11" xfId="10576"/>
    <cellStyle name="Input 3 11 2" xfId="10577"/>
    <cellStyle name="Input 3 12" xfId="10578"/>
    <cellStyle name="Input 3 2" xfId="10579"/>
    <cellStyle name="Input 3 2 2" xfId="10580"/>
    <cellStyle name="Input 3 2 2 2" xfId="10581"/>
    <cellStyle name="Input 3 2 3" xfId="10582"/>
    <cellStyle name="Input 3 2 3 2" xfId="10583"/>
    <cellStyle name="Input 3 2 3 2 2" xfId="10584"/>
    <cellStyle name="Input 3 2 3 3" xfId="10585"/>
    <cellStyle name="Input 3 2 4" xfId="10586"/>
    <cellStyle name="Input 3 3" xfId="10587"/>
    <cellStyle name="Input 3 3 2" xfId="10588"/>
    <cellStyle name="Input 3 3 2 2" xfId="10589"/>
    <cellStyle name="Input 3 3 2 2 2" xfId="10590"/>
    <cellStyle name="Input 3 3 2 3" xfId="10591"/>
    <cellStyle name="Input 3 3 3" xfId="10592"/>
    <cellStyle name="Input 3 3 3 2" xfId="10593"/>
    <cellStyle name="Input 3 3 3 2 2" xfId="10594"/>
    <cellStyle name="Input 3 3 3 2 2 2" xfId="10595"/>
    <cellStyle name="Input 3 3 3 2 3" xfId="10596"/>
    <cellStyle name="Input 3 3 3 3" xfId="10597"/>
    <cellStyle name="Input 3 3 3 3 2" xfId="10598"/>
    <cellStyle name="Input 3 3 3 4" xfId="10599"/>
    <cellStyle name="Input 3 3 4" xfId="10600"/>
    <cellStyle name="Input 3 3 4 2" xfId="10601"/>
    <cellStyle name="Input 3 3 5" xfId="10602"/>
    <cellStyle name="Input 3 4" xfId="10603"/>
    <cellStyle name="Input 3 4 2" xfId="10604"/>
    <cellStyle name="Input 3 4 2 2" xfId="10605"/>
    <cellStyle name="Input 3 4 2 2 2" xfId="10606"/>
    <cellStyle name="Input 3 4 2 3" xfId="10607"/>
    <cellStyle name="Input 3 4 3" xfId="10608"/>
    <cellStyle name="Input 3 4 3 2" xfId="10609"/>
    <cellStyle name="Input 3 4 4" xfId="10610"/>
    <cellStyle name="Input 3 5" xfId="10611"/>
    <cellStyle name="Input 3 5 2" xfId="10612"/>
    <cellStyle name="Input 3 5 2 2" xfId="10613"/>
    <cellStyle name="Input 3 5 2 2 2" xfId="10614"/>
    <cellStyle name="Input 3 5 2 3" xfId="10615"/>
    <cellStyle name="Input 3 5 3" xfId="10616"/>
    <cellStyle name="Input 3 5 3 2" xfId="10617"/>
    <cellStyle name="Input 3 5 3 2 2" xfId="10618"/>
    <cellStyle name="Input 3 5 3 2 2 2" xfId="10619"/>
    <cellStyle name="Input 3 5 3 2 3" xfId="10620"/>
    <cellStyle name="Input 3 5 3 3" xfId="10621"/>
    <cellStyle name="Input 3 5 3 3 2" xfId="10622"/>
    <cellStyle name="Input 3 5 3 4" xfId="10623"/>
    <cellStyle name="Input 3 5 4" xfId="10624"/>
    <cellStyle name="Input 3 5 4 2" xfId="10625"/>
    <cellStyle name="Input 3 5 5" xfId="10626"/>
    <cellStyle name="Input 3 6" xfId="10627"/>
    <cellStyle name="Input 3 6 2" xfId="10628"/>
    <cellStyle name="Input 3 6 2 2" xfId="10629"/>
    <cellStyle name="Input 3 6 3" xfId="10630"/>
    <cellStyle name="Input 3 7" xfId="10631"/>
    <cellStyle name="Input 3 7 2" xfId="10632"/>
    <cellStyle name="Input 3 7 2 2" xfId="10633"/>
    <cellStyle name="Input 3 7 3" xfId="10634"/>
    <cellStyle name="Input 3 8" xfId="10635"/>
    <cellStyle name="Input 3 8 2" xfId="10636"/>
    <cellStyle name="Input 3 8 2 2" xfId="10637"/>
    <cellStyle name="Input 3 8 2 2 2" xfId="10638"/>
    <cellStyle name="Input 3 8 2 3" xfId="10639"/>
    <cellStyle name="Input 3 8 3" xfId="10640"/>
    <cellStyle name="Input 3 8 3 2" xfId="10641"/>
    <cellStyle name="Input 3 8 4" xfId="10642"/>
    <cellStyle name="Input 3 9" xfId="10643"/>
    <cellStyle name="Input 3 9 2" xfId="10644"/>
    <cellStyle name="Input 3 9 2 2" xfId="10645"/>
    <cellStyle name="Input 3 9 2 2 2" xfId="10646"/>
    <cellStyle name="Input 3 9 2 2 2 2" xfId="10647"/>
    <cellStyle name="Input 3 9 2 2 2 2 2" xfId="10648"/>
    <cellStyle name="Input 3 9 2 2 2 3" xfId="10649"/>
    <cellStyle name="Input 3 9 2 2 3" xfId="10650"/>
    <cellStyle name="Input 3 9 2 2 3 2" xfId="10651"/>
    <cellStyle name="Input 3 9 2 2 4" xfId="10652"/>
    <cellStyle name="Input 3 9 2 3" xfId="10653"/>
    <cellStyle name="Input 3 9 2 3 2" xfId="10654"/>
    <cellStyle name="Input 3 9 2 3 2 2" xfId="10655"/>
    <cellStyle name="Input 3 9 2 3 3" xfId="10656"/>
    <cellStyle name="Input 3 9 2 4" xfId="10657"/>
    <cellStyle name="Input 3 9 2 4 2" xfId="10658"/>
    <cellStyle name="Input 3 9 2 5" xfId="10659"/>
    <cellStyle name="Input 3 9 3" xfId="10660"/>
    <cellStyle name="Input 3 9 3 2" xfId="10661"/>
    <cellStyle name="Input 3 9 3 2 2" xfId="10662"/>
    <cellStyle name="Input 3 9 3 2 2 2" xfId="10663"/>
    <cellStyle name="Input 3 9 3 2 3" xfId="10664"/>
    <cellStyle name="Input 3 9 3 3" xfId="10665"/>
    <cellStyle name="Input 3 9 3 3 2" xfId="10666"/>
    <cellStyle name="Input 3 9 3 4" xfId="10667"/>
    <cellStyle name="Input 3 9 4" xfId="10668"/>
    <cellStyle name="Input 3 9 4 2" xfId="10669"/>
    <cellStyle name="Input 3 9 4 2 2" xfId="10670"/>
    <cellStyle name="Input 3 9 4 3" xfId="10671"/>
    <cellStyle name="Input 3 9 5" xfId="10672"/>
    <cellStyle name="Input 3 9 5 2" xfId="10673"/>
    <cellStyle name="Input 3 9 6" xfId="10674"/>
    <cellStyle name="Input 30" xfId="10675"/>
    <cellStyle name="Input 30 2" xfId="10676"/>
    <cellStyle name="Input 30 2 2" xfId="10677"/>
    <cellStyle name="Input 30 2 2 2" xfId="10678"/>
    <cellStyle name="Input 30 2 3" xfId="10679"/>
    <cellStyle name="Input 30 3" xfId="10680"/>
    <cellStyle name="Input 30 3 2" xfId="10681"/>
    <cellStyle name="Input 30 4" xfId="10682"/>
    <cellStyle name="Input 31" xfId="10683"/>
    <cellStyle name="Input 31 2" xfId="10684"/>
    <cellStyle name="Input 31 2 2" xfId="10685"/>
    <cellStyle name="Input 31 2 2 2" xfId="10686"/>
    <cellStyle name="Input 31 2 3" xfId="10687"/>
    <cellStyle name="Input 31 3" xfId="10688"/>
    <cellStyle name="Input 31 3 2" xfId="10689"/>
    <cellStyle name="Input 31 4" xfId="10690"/>
    <cellStyle name="Input 32" xfId="10691"/>
    <cellStyle name="Input 32 2" xfId="10692"/>
    <cellStyle name="Input 32 2 2" xfId="10693"/>
    <cellStyle name="Input 32 2 2 2" xfId="10694"/>
    <cellStyle name="Input 32 2 3" xfId="10695"/>
    <cellStyle name="Input 32 3" xfId="10696"/>
    <cellStyle name="Input 32 3 2" xfId="10697"/>
    <cellStyle name="Input 32 4" xfId="10698"/>
    <cellStyle name="Input 33" xfId="10699"/>
    <cellStyle name="Input 33 2" xfId="10700"/>
    <cellStyle name="Input 33 2 2" xfId="10701"/>
    <cellStyle name="Input 33 2 2 2" xfId="10702"/>
    <cellStyle name="Input 33 2 3" xfId="10703"/>
    <cellStyle name="Input 33 3" xfId="10704"/>
    <cellStyle name="Input 33 3 2" xfId="10705"/>
    <cellStyle name="Input 33 4" xfId="10706"/>
    <cellStyle name="Input 34" xfId="10707"/>
    <cellStyle name="Input 34 2" xfId="10708"/>
    <cellStyle name="Input 34 2 2" xfId="10709"/>
    <cellStyle name="Input 34 2 2 2" xfId="10710"/>
    <cellStyle name="Input 34 2 3" xfId="10711"/>
    <cellStyle name="Input 34 3" xfId="10712"/>
    <cellStyle name="Input 34 3 2" xfId="10713"/>
    <cellStyle name="Input 34 4" xfId="10714"/>
    <cellStyle name="Input 35" xfId="10715"/>
    <cellStyle name="Input 35 2" xfId="10716"/>
    <cellStyle name="Input 35 2 2" xfId="10717"/>
    <cellStyle name="Input 35 2 2 2" xfId="10718"/>
    <cellStyle name="Input 35 2 3" xfId="10719"/>
    <cellStyle name="Input 35 3" xfId="10720"/>
    <cellStyle name="Input 35 3 2" xfId="10721"/>
    <cellStyle name="Input 35 4" xfId="10722"/>
    <cellStyle name="Input 36" xfId="10723"/>
    <cellStyle name="Input 36 2" xfId="10724"/>
    <cellStyle name="Input 36 2 2" xfId="10725"/>
    <cellStyle name="Input 36 2 2 2" xfId="10726"/>
    <cellStyle name="Input 36 2 3" xfId="10727"/>
    <cellStyle name="Input 36 3" xfId="10728"/>
    <cellStyle name="Input 36 3 2" xfId="10729"/>
    <cellStyle name="Input 36 4" xfId="10730"/>
    <cellStyle name="Input 37" xfId="10731"/>
    <cellStyle name="Input 37 2" xfId="10732"/>
    <cellStyle name="Input 37 2 2" xfId="10733"/>
    <cellStyle name="Input 37 2 2 2" xfId="10734"/>
    <cellStyle name="Input 37 2 3" xfId="10735"/>
    <cellStyle name="Input 37 3" xfId="10736"/>
    <cellStyle name="Input 37 3 2" xfId="10737"/>
    <cellStyle name="Input 37 4" xfId="10738"/>
    <cellStyle name="Input 38" xfId="10739"/>
    <cellStyle name="Input 38 2" xfId="10740"/>
    <cellStyle name="Input 38 2 2" xfId="10741"/>
    <cellStyle name="Input 38 2 2 2" xfId="10742"/>
    <cellStyle name="Input 38 2 3" xfId="10743"/>
    <cellStyle name="Input 38 3" xfId="10744"/>
    <cellStyle name="Input 38 3 2" xfId="10745"/>
    <cellStyle name="Input 38 4" xfId="10746"/>
    <cellStyle name="Input 39" xfId="10747"/>
    <cellStyle name="Input 39 2" xfId="10748"/>
    <cellStyle name="Input 39 2 2" xfId="10749"/>
    <cellStyle name="Input 39 2 2 2" xfId="10750"/>
    <cellStyle name="Input 39 2 3" xfId="10751"/>
    <cellStyle name="Input 39 3" xfId="10752"/>
    <cellStyle name="Input 39 3 2" xfId="10753"/>
    <cellStyle name="Input 39 4" xfId="10754"/>
    <cellStyle name="Input 4" xfId="10755"/>
    <cellStyle name="Input 4 2" xfId="10756"/>
    <cellStyle name="Input 4 2 2" xfId="10757"/>
    <cellStyle name="Input 4 2 2 2" xfId="10758"/>
    <cellStyle name="Input 4 2 3" xfId="10759"/>
    <cellStyle name="Input 4 2 3 2" xfId="10760"/>
    <cellStyle name="Input 4 2 3 2 2" xfId="10761"/>
    <cellStyle name="Input 4 2 3 3" xfId="10762"/>
    <cellStyle name="Input 4 2 4" xfId="10763"/>
    <cellStyle name="Input 4 3" xfId="10764"/>
    <cellStyle name="Input 4 3 2" xfId="10765"/>
    <cellStyle name="Input 4 3 2 2" xfId="10766"/>
    <cellStyle name="Input 4 3 2 2 2" xfId="10767"/>
    <cellStyle name="Input 4 3 2 3" xfId="10768"/>
    <cellStyle name="Input 4 3 3" xfId="10769"/>
    <cellStyle name="Input 4 3 3 2" xfId="10770"/>
    <cellStyle name="Input 4 3 3 2 2" xfId="10771"/>
    <cellStyle name="Input 4 3 3 2 2 2" xfId="10772"/>
    <cellStyle name="Input 4 3 3 2 3" xfId="10773"/>
    <cellStyle name="Input 4 3 3 3" xfId="10774"/>
    <cellStyle name="Input 4 3 3 3 2" xfId="10775"/>
    <cellStyle name="Input 4 3 3 4" xfId="10776"/>
    <cellStyle name="Input 4 3 4" xfId="10777"/>
    <cellStyle name="Input 4 3 4 2" xfId="10778"/>
    <cellStyle name="Input 4 3 5" xfId="10779"/>
    <cellStyle name="Input 4 4" xfId="10780"/>
    <cellStyle name="Input 4 4 2" xfId="10781"/>
    <cellStyle name="Input 4 4 2 2" xfId="10782"/>
    <cellStyle name="Input 4 4 2 2 2" xfId="10783"/>
    <cellStyle name="Input 4 4 2 3" xfId="10784"/>
    <cellStyle name="Input 4 4 3" xfId="10785"/>
    <cellStyle name="Input 4 4 3 2" xfId="10786"/>
    <cellStyle name="Input 4 4 4" xfId="10787"/>
    <cellStyle name="Input 4 5" xfId="10788"/>
    <cellStyle name="Input 4 5 2" xfId="10789"/>
    <cellStyle name="Input 4 5 2 2" xfId="10790"/>
    <cellStyle name="Input 4 5 3" xfId="10791"/>
    <cellStyle name="Input 4 6" xfId="10792"/>
    <cellStyle name="Input 4 6 2" xfId="10793"/>
    <cellStyle name="Input 4 6 2 2" xfId="10794"/>
    <cellStyle name="Input 4 6 2 2 2" xfId="10795"/>
    <cellStyle name="Input 4 6 2 2 2 2" xfId="10796"/>
    <cellStyle name="Input 4 6 2 2 2 2 2" xfId="10797"/>
    <cellStyle name="Input 4 6 2 2 2 3" xfId="10798"/>
    <cellStyle name="Input 4 6 2 2 3" xfId="10799"/>
    <cellStyle name="Input 4 6 2 2 3 2" xfId="10800"/>
    <cellStyle name="Input 4 6 2 2 4" xfId="10801"/>
    <cellStyle name="Input 4 6 2 3" xfId="10802"/>
    <cellStyle name="Input 4 6 2 3 2" xfId="10803"/>
    <cellStyle name="Input 4 6 2 3 2 2" xfId="10804"/>
    <cellStyle name="Input 4 6 2 3 3" xfId="10805"/>
    <cellStyle name="Input 4 6 2 4" xfId="10806"/>
    <cellStyle name="Input 4 6 2 4 2" xfId="10807"/>
    <cellStyle name="Input 4 6 2 5" xfId="10808"/>
    <cellStyle name="Input 4 6 3" xfId="10809"/>
    <cellStyle name="Input 4 6 3 2" xfId="10810"/>
    <cellStyle name="Input 4 6 3 2 2" xfId="10811"/>
    <cellStyle name="Input 4 6 3 2 2 2" xfId="10812"/>
    <cellStyle name="Input 4 6 3 2 3" xfId="10813"/>
    <cellStyle name="Input 4 6 3 3" xfId="10814"/>
    <cellStyle name="Input 4 6 3 3 2" xfId="10815"/>
    <cellStyle name="Input 4 6 3 4" xfId="10816"/>
    <cellStyle name="Input 4 6 4" xfId="10817"/>
    <cellStyle name="Input 4 6 4 2" xfId="10818"/>
    <cellStyle name="Input 4 6 4 2 2" xfId="10819"/>
    <cellStyle name="Input 4 6 4 3" xfId="10820"/>
    <cellStyle name="Input 4 6 5" xfId="10821"/>
    <cellStyle name="Input 4 6 5 2" xfId="10822"/>
    <cellStyle name="Input 4 6 6" xfId="10823"/>
    <cellStyle name="Input 4 7" xfId="10824"/>
    <cellStyle name="Input 4 7 2" xfId="10825"/>
    <cellStyle name="Input 4 7 2 2" xfId="10826"/>
    <cellStyle name="Input 4 7 3" xfId="10827"/>
    <cellStyle name="Input 4 8" xfId="10828"/>
    <cellStyle name="Input 4 8 2" xfId="10829"/>
    <cellStyle name="Input 4 9" xfId="10830"/>
    <cellStyle name="Input 40" xfId="10831"/>
    <cellStyle name="Input 40 2" xfId="10832"/>
    <cellStyle name="Input 40 2 2" xfId="10833"/>
    <cellStyle name="Input 40 2 2 2" xfId="10834"/>
    <cellStyle name="Input 40 2 3" xfId="10835"/>
    <cellStyle name="Input 40 3" xfId="10836"/>
    <cellStyle name="Input 40 3 2" xfId="10837"/>
    <cellStyle name="Input 40 4" xfId="10838"/>
    <cellStyle name="Input 41" xfId="10839"/>
    <cellStyle name="Input 41 2" xfId="10840"/>
    <cellStyle name="Input 41 2 2" xfId="10841"/>
    <cellStyle name="Input 41 2 2 2" xfId="10842"/>
    <cellStyle name="Input 41 2 3" xfId="10843"/>
    <cellStyle name="Input 41 3" xfId="10844"/>
    <cellStyle name="Input 41 3 2" xfId="10845"/>
    <cellStyle name="Input 41 4" xfId="10846"/>
    <cellStyle name="Input 42" xfId="10847"/>
    <cellStyle name="Input 42 2" xfId="10848"/>
    <cellStyle name="Input 42 2 2" xfId="10849"/>
    <cellStyle name="Input 42 2 2 2" xfId="10850"/>
    <cellStyle name="Input 42 2 3" xfId="10851"/>
    <cellStyle name="Input 42 3" xfId="10852"/>
    <cellStyle name="Input 42 3 2" xfId="10853"/>
    <cellStyle name="Input 42 4" xfId="10854"/>
    <cellStyle name="Input 43" xfId="10855"/>
    <cellStyle name="Input 43 2" xfId="10856"/>
    <cellStyle name="Input 43 2 2" xfId="10857"/>
    <cellStyle name="Input 43 2 2 2" xfId="10858"/>
    <cellStyle name="Input 43 2 3" xfId="10859"/>
    <cellStyle name="Input 43 3" xfId="10860"/>
    <cellStyle name="Input 43 3 2" xfId="10861"/>
    <cellStyle name="Input 43 4" xfId="10862"/>
    <cellStyle name="Input 44" xfId="10863"/>
    <cellStyle name="Input 44 2" xfId="10864"/>
    <cellStyle name="Input 44 2 2" xfId="10865"/>
    <cellStyle name="Input 44 2 2 2" xfId="10866"/>
    <cellStyle name="Input 44 2 3" xfId="10867"/>
    <cellStyle name="Input 44 3" xfId="10868"/>
    <cellStyle name="Input 44 3 2" xfId="10869"/>
    <cellStyle name="Input 44 4" xfId="10870"/>
    <cellStyle name="Input 45" xfId="10871"/>
    <cellStyle name="Input 45 2" xfId="10872"/>
    <cellStyle name="Input 45 2 2" xfId="10873"/>
    <cellStyle name="Input 45 2 2 2" xfId="10874"/>
    <cellStyle name="Input 45 2 3" xfId="10875"/>
    <cellStyle name="Input 45 3" xfId="10876"/>
    <cellStyle name="Input 45 3 2" xfId="10877"/>
    <cellStyle name="Input 45 4" xfId="10878"/>
    <cellStyle name="Input 46" xfId="10879"/>
    <cellStyle name="Input 46 2" xfId="10880"/>
    <cellStyle name="Input 46 2 2" xfId="10881"/>
    <cellStyle name="Input 46 2 2 2" xfId="10882"/>
    <cellStyle name="Input 46 2 3" xfId="10883"/>
    <cellStyle name="Input 46 3" xfId="10884"/>
    <cellStyle name="Input 46 3 2" xfId="10885"/>
    <cellStyle name="Input 46 4" xfId="10886"/>
    <cellStyle name="Input 47" xfId="10887"/>
    <cellStyle name="Input 47 2" xfId="10888"/>
    <cellStyle name="Input 47 2 2" xfId="10889"/>
    <cellStyle name="Input 47 2 2 2" xfId="10890"/>
    <cellStyle name="Input 47 2 3" xfId="10891"/>
    <cellStyle name="Input 47 3" xfId="10892"/>
    <cellStyle name="Input 47 3 2" xfId="10893"/>
    <cellStyle name="Input 47 4" xfId="10894"/>
    <cellStyle name="Input 48" xfId="10895"/>
    <cellStyle name="Input 48 2" xfId="10896"/>
    <cellStyle name="Input 48 2 2" xfId="10897"/>
    <cellStyle name="Input 48 2 2 2" xfId="10898"/>
    <cellStyle name="Input 48 2 3" xfId="10899"/>
    <cellStyle name="Input 48 3" xfId="10900"/>
    <cellStyle name="Input 48 3 2" xfId="10901"/>
    <cellStyle name="Input 48 3 2 2" xfId="10902"/>
    <cellStyle name="Input 48 3 2 2 2" xfId="10903"/>
    <cellStyle name="Input 48 3 2 3" xfId="10904"/>
    <cellStyle name="Input 48 3 3" xfId="10905"/>
    <cellStyle name="Input 48 3 3 2" xfId="10906"/>
    <cellStyle name="Input 48 3 4" xfId="10907"/>
    <cellStyle name="Input 48 4" xfId="10908"/>
    <cellStyle name="Input 48 4 2" xfId="10909"/>
    <cellStyle name="Input 48 5" xfId="10910"/>
    <cellStyle name="Input 49" xfId="10911"/>
    <cellStyle name="Input 49 2" xfId="10912"/>
    <cellStyle name="Input 49 2 2" xfId="10913"/>
    <cellStyle name="Input 49 2 2 2" xfId="10914"/>
    <cellStyle name="Input 49 2 3" xfId="10915"/>
    <cellStyle name="Input 49 3" xfId="10916"/>
    <cellStyle name="Input 49 3 2" xfId="10917"/>
    <cellStyle name="Input 49 3 2 2" xfId="10918"/>
    <cellStyle name="Input 49 3 2 2 2" xfId="10919"/>
    <cellStyle name="Input 49 3 2 3" xfId="10920"/>
    <cellStyle name="Input 49 3 3" xfId="10921"/>
    <cellStyle name="Input 49 3 3 2" xfId="10922"/>
    <cellStyle name="Input 49 3 4" xfId="10923"/>
    <cellStyle name="Input 49 4" xfId="10924"/>
    <cellStyle name="Input 49 4 2" xfId="10925"/>
    <cellStyle name="Input 49 5" xfId="10926"/>
    <cellStyle name="Input 5" xfId="10927"/>
    <cellStyle name="Input 5 2" xfId="10928"/>
    <cellStyle name="Input 5 2 2" xfId="10929"/>
    <cellStyle name="Input 5 2 2 2" xfId="10930"/>
    <cellStyle name="Input 5 2 2 2 2" xfId="10931"/>
    <cellStyle name="Input 5 2 2 3" xfId="10932"/>
    <cellStyle name="Input 5 2 3" xfId="10933"/>
    <cellStyle name="Input 5 2 3 2" xfId="10934"/>
    <cellStyle name="Input 5 2 3 2 2" xfId="10935"/>
    <cellStyle name="Input 5 2 3 2 2 2" xfId="10936"/>
    <cellStyle name="Input 5 2 3 2 3" xfId="10937"/>
    <cellStyle name="Input 5 2 3 3" xfId="10938"/>
    <cellStyle name="Input 5 2 3 3 2" xfId="10939"/>
    <cellStyle name="Input 5 2 3 4" xfId="10940"/>
    <cellStyle name="Input 5 2 4" xfId="10941"/>
    <cellStyle name="Input 5 2 4 2" xfId="10942"/>
    <cellStyle name="Input 5 2 5" xfId="10943"/>
    <cellStyle name="Input 5 3" xfId="10944"/>
    <cellStyle name="Input 5 3 2" xfId="10945"/>
    <cellStyle name="Input 5 3 2 2" xfId="10946"/>
    <cellStyle name="Input 5 3 2 2 2" xfId="10947"/>
    <cellStyle name="Input 5 3 2 3" xfId="10948"/>
    <cellStyle name="Input 5 3 3" xfId="10949"/>
    <cellStyle name="Input 5 3 3 2" xfId="10950"/>
    <cellStyle name="Input 5 3 3 2 2" xfId="10951"/>
    <cellStyle name="Input 5 3 3 2 2 2" xfId="10952"/>
    <cellStyle name="Input 5 3 3 2 3" xfId="10953"/>
    <cellStyle name="Input 5 3 3 3" xfId="10954"/>
    <cellStyle name="Input 5 3 3 3 2" xfId="10955"/>
    <cellStyle name="Input 5 3 3 4" xfId="10956"/>
    <cellStyle name="Input 5 3 4" xfId="10957"/>
    <cellStyle name="Input 5 3 4 2" xfId="10958"/>
    <cellStyle name="Input 5 3 5" xfId="10959"/>
    <cellStyle name="Input 5 4" xfId="10960"/>
    <cellStyle name="Input 5 4 2" xfId="10961"/>
    <cellStyle name="Input 5 4 2 2" xfId="10962"/>
    <cellStyle name="Input 5 4 3" xfId="10963"/>
    <cellStyle name="Input 5 5" xfId="10964"/>
    <cellStyle name="Input 5 5 2" xfId="10965"/>
    <cellStyle name="Input 5 5 2 2" xfId="10966"/>
    <cellStyle name="Input 5 5 2 2 2" xfId="10967"/>
    <cellStyle name="Input 5 5 2 2 2 2" xfId="10968"/>
    <cellStyle name="Input 5 5 2 2 2 2 2" xfId="10969"/>
    <cellStyle name="Input 5 5 2 2 2 3" xfId="10970"/>
    <cellStyle name="Input 5 5 2 2 3" xfId="10971"/>
    <cellStyle name="Input 5 5 2 2 3 2" xfId="10972"/>
    <cellStyle name="Input 5 5 2 2 4" xfId="10973"/>
    <cellStyle name="Input 5 5 2 3" xfId="10974"/>
    <cellStyle name="Input 5 5 2 3 2" xfId="10975"/>
    <cellStyle name="Input 5 5 2 3 2 2" xfId="10976"/>
    <cellStyle name="Input 5 5 2 3 3" xfId="10977"/>
    <cellStyle name="Input 5 5 2 4" xfId="10978"/>
    <cellStyle name="Input 5 5 2 4 2" xfId="10979"/>
    <cellStyle name="Input 5 5 2 5" xfId="10980"/>
    <cellStyle name="Input 5 5 3" xfId="10981"/>
    <cellStyle name="Input 5 5 3 2" xfId="10982"/>
    <cellStyle name="Input 5 5 3 2 2" xfId="10983"/>
    <cellStyle name="Input 5 5 3 2 2 2" xfId="10984"/>
    <cellStyle name="Input 5 5 3 2 3" xfId="10985"/>
    <cellStyle name="Input 5 5 3 3" xfId="10986"/>
    <cellStyle name="Input 5 5 3 3 2" xfId="10987"/>
    <cellStyle name="Input 5 5 3 4" xfId="10988"/>
    <cellStyle name="Input 5 5 4" xfId="10989"/>
    <cellStyle name="Input 5 5 4 2" xfId="10990"/>
    <cellStyle name="Input 5 5 4 2 2" xfId="10991"/>
    <cellStyle name="Input 5 5 4 3" xfId="10992"/>
    <cellStyle name="Input 5 5 5" xfId="10993"/>
    <cellStyle name="Input 5 5 5 2" xfId="10994"/>
    <cellStyle name="Input 5 5 6" xfId="10995"/>
    <cellStyle name="Input 5 6" xfId="10996"/>
    <cellStyle name="Input 5 6 2" xfId="10997"/>
    <cellStyle name="Input 5 7" xfId="10998"/>
    <cellStyle name="Input 50" xfId="10999"/>
    <cellStyle name="Input 50 2" xfId="11000"/>
    <cellStyle name="Input 50 2 2" xfId="11001"/>
    <cellStyle name="Input 50 2 2 2" xfId="11002"/>
    <cellStyle name="Input 50 2 3" xfId="11003"/>
    <cellStyle name="Input 50 3" xfId="11004"/>
    <cellStyle name="Input 50 3 2" xfId="11005"/>
    <cellStyle name="Input 50 3 2 2" xfId="11006"/>
    <cellStyle name="Input 50 3 2 2 2" xfId="11007"/>
    <cellStyle name="Input 50 3 2 3" xfId="11008"/>
    <cellStyle name="Input 50 3 3" xfId="11009"/>
    <cellStyle name="Input 50 3 3 2" xfId="11010"/>
    <cellStyle name="Input 50 3 4" xfId="11011"/>
    <cellStyle name="Input 50 4" xfId="11012"/>
    <cellStyle name="Input 50 4 2" xfId="11013"/>
    <cellStyle name="Input 50 5" xfId="11014"/>
    <cellStyle name="Input 51" xfId="11015"/>
    <cellStyle name="Input 51 2" xfId="11016"/>
    <cellStyle name="Input 51 2 2" xfId="11017"/>
    <cellStyle name="Input 51 2 2 2" xfId="11018"/>
    <cellStyle name="Input 51 2 3" xfId="11019"/>
    <cellStyle name="Input 51 3" xfId="11020"/>
    <cellStyle name="Input 51 3 2" xfId="11021"/>
    <cellStyle name="Input 51 3 2 2" xfId="11022"/>
    <cellStyle name="Input 51 3 2 2 2" xfId="11023"/>
    <cellStyle name="Input 51 3 2 3" xfId="11024"/>
    <cellStyle name="Input 51 3 3" xfId="11025"/>
    <cellStyle name="Input 51 3 3 2" xfId="11026"/>
    <cellStyle name="Input 51 3 4" xfId="11027"/>
    <cellStyle name="Input 51 4" xfId="11028"/>
    <cellStyle name="Input 51 4 2" xfId="11029"/>
    <cellStyle name="Input 51 5" xfId="11030"/>
    <cellStyle name="Input 52" xfId="11031"/>
    <cellStyle name="Input 52 2" xfId="11032"/>
    <cellStyle name="Input 52 2 2" xfId="11033"/>
    <cellStyle name="Input 52 2 2 2" xfId="11034"/>
    <cellStyle name="Input 52 2 3" xfId="11035"/>
    <cellStyle name="Input 52 3" xfId="11036"/>
    <cellStyle name="Input 52 3 2" xfId="11037"/>
    <cellStyle name="Input 52 4" xfId="11038"/>
    <cellStyle name="Input 53" xfId="11039"/>
    <cellStyle name="Input 53 2" xfId="11040"/>
    <cellStyle name="Input 53 2 2" xfId="11041"/>
    <cellStyle name="Input 53 2 2 2" xfId="11042"/>
    <cellStyle name="Input 53 2 3" xfId="11043"/>
    <cellStyle name="Input 53 3" xfId="11044"/>
    <cellStyle name="Input 53 3 2" xfId="11045"/>
    <cellStyle name="Input 53 4" xfId="11046"/>
    <cellStyle name="Input 54" xfId="11047"/>
    <cellStyle name="Input 54 2" xfId="11048"/>
    <cellStyle name="Input 54 2 2" xfId="11049"/>
    <cellStyle name="Input 54 2 2 2" xfId="11050"/>
    <cellStyle name="Input 54 2 3" xfId="11051"/>
    <cellStyle name="Input 54 3" xfId="11052"/>
    <cellStyle name="Input 54 3 2" xfId="11053"/>
    <cellStyle name="Input 54 4" xfId="11054"/>
    <cellStyle name="Input 55" xfId="11055"/>
    <cellStyle name="Input 55 2" xfId="11056"/>
    <cellStyle name="Input 55 2 2" xfId="11057"/>
    <cellStyle name="Input 55 2 2 2" xfId="11058"/>
    <cellStyle name="Input 55 2 3" xfId="11059"/>
    <cellStyle name="Input 55 3" xfId="11060"/>
    <cellStyle name="Input 55 3 2" xfId="11061"/>
    <cellStyle name="Input 55 4" xfId="11062"/>
    <cellStyle name="Input 56" xfId="11063"/>
    <cellStyle name="Input 56 2" xfId="11064"/>
    <cellStyle name="Input 56 2 2" xfId="11065"/>
    <cellStyle name="Input 56 2 2 2" xfId="11066"/>
    <cellStyle name="Input 56 2 3" xfId="11067"/>
    <cellStyle name="Input 56 3" xfId="11068"/>
    <cellStyle name="Input 56 3 2" xfId="11069"/>
    <cellStyle name="Input 56 4" xfId="11070"/>
    <cellStyle name="Input 57" xfId="11071"/>
    <cellStyle name="Input 57 2" xfId="11072"/>
    <cellStyle name="Input 57 2 2" xfId="11073"/>
    <cellStyle name="Input 57 2 2 2" xfId="11074"/>
    <cellStyle name="Input 57 2 3" xfId="11075"/>
    <cellStyle name="Input 57 3" xfId="11076"/>
    <cellStyle name="Input 57 3 2" xfId="11077"/>
    <cellStyle name="Input 57 4" xfId="11078"/>
    <cellStyle name="Input 58" xfId="11079"/>
    <cellStyle name="Input 58 2" xfId="11080"/>
    <cellStyle name="Input 58 2 2" xfId="11081"/>
    <cellStyle name="Input 58 2 2 2" xfId="11082"/>
    <cellStyle name="Input 58 2 3" xfId="11083"/>
    <cellStyle name="Input 58 3" xfId="11084"/>
    <cellStyle name="Input 58 3 2" xfId="11085"/>
    <cellStyle name="Input 58 3 2 2" xfId="11086"/>
    <cellStyle name="Input 58 3 2 2 2" xfId="11087"/>
    <cellStyle name="Input 58 3 2 3" xfId="11088"/>
    <cellStyle name="Input 58 3 3" xfId="11089"/>
    <cellStyle name="Input 58 3 3 2" xfId="11090"/>
    <cellStyle name="Input 58 3 4" xfId="11091"/>
    <cellStyle name="Input 58 4" xfId="11092"/>
    <cellStyle name="Input 58 4 2" xfId="11093"/>
    <cellStyle name="Input 58 5" xfId="11094"/>
    <cellStyle name="Input 59" xfId="11095"/>
    <cellStyle name="Input 59 2" xfId="11096"/>
    <cellStyle name="Input 59 2 2" xfId="11097"/>
    <cellStyle name="Input 59 2 2 2" xfId="11098"/>
    <cellStyle name="Input 59 2 3" xfId="11099"/>
    <cellStyle name="Input 59 3" xfId="11100"/>
    <cellStyle name="Input 59 3 2" xfId="11101"/>
    <cellStyle name="Input 59 3 2 2" xfId="11102"/>
    <cellStyle name="Input 59 3 2 2 2" xfId="11103"/>
    <cellStyle name="Input 59 3 2 3" xfId="11104"/>
    <cellStyle name="Input 59 3 3" xfId="11105"/>
    <cellStyle name="Input 59 3 3 2" xfId="11106"/>
    <cellStyle name="Input 59 3 4" xfId="11107"/>
    <cellStyle name="Input 59 4" xfId="11108"/>
    <cellStyle name="Input 59 4 2" xfId="11109"/>
    <cellStyle name="Input 59 5" xfId="11110"/>
    <cellStyle name="Input 6" xfId="11111"/>
    <cellStyle name="Input 6 2" xfId="11112"/>
    <cellStyle name="Input 6 2 2" xfId="11113"/>
    <cellStyle name="Input 6 2 2 2" xfId="11114"/>
    <cellStyle name="Input 6 2 2 2 2" xfId="11115"/>
    <cellStyle name="Input 6 2 2 3" xfId="11116"/>
    <cellStyle name="Input 6 2 3" xfId="11117"/>
    <cellStyle name="Input 6 2 3 2" xfId="11118"/>
    <cellStyle name="Input 6 2 3 2 2" xfId="11119"/>
    <cellStyle name="Input 6 2 3 2 2 2" xfId="11120"/>
    <cellStyle name="Input 6 2 3 2 3" xfId="11121"/>
    <cellStyle name="Input 6 2 3 3" xfId="11122"/>
    <cellStyle name="Input 6 2 3 3 2" xfId="11123"/>
    <cellStyle name="Input 6 2 3 4" xfId="11124"/>
    <cellStyle name="Input 6 2 4" xfId="11125"/>
    <cellStyle name="Input 6 2 4 2" xfId="11126"/>
    <cellStyle name="Input 6 2 5" xfId="11127"/>
    <cellStyle name="Input 6 3" xfId="11128"/>
    <cellStyle name="Input 6 3 2" xfId="11129"/>
    <cellStyle name="Input 6 3 2 2" xfId="11130"/>
    <cellStyle name="Input 6 3 3" xfId="11131"/>
    <cellStyle name="Input 6 4" xfId="11132"/>
    <cellStyle name="Input 6 4 2" xfId="11133"/>
    <cellStyle name="Input 6 4 2 2" xfId="11134"/>
    <cellStyle name="Input 6 4 2 2 2" xfId="11135"/>
    <cellStyle name="Input 6 4 2 2 2 2" xfId="11136"/>
    <cellStyle name="Input 6 4 2 2 2 2 2" xfId="11137"/>
    <cellStyle name="Input 6 4 2 2 2 3" xfId="11138"/>
    <cellStyle name="Input 6 4 2 2 3" xfId="11139"/>
    <cellStyle name="Input 6 4 2 2 3 2" xfId="11140"/>
    <cellStyle name="Input 6 4 2 2 4" xfId="11141"/>
    <cellStyle name="Input 6 4 2 3" xfId="11142"/>
    <cellStyle name="Input 6 4 2 3 2" xfId="11143"/>
    <cellStyle name="Input 6 4 2 3 2 2" xfId="11144"/>
    <cellStyle name="Input 6 4 2 3 3" xfId="11145"/>
    <cellStyle name="Input 6 4 2 4" xfId="11146"/>
    <cellStyle name="Input 6 4 2 4 2" xfId="11147"/>
    <cellStyle name="Input 6 4 2 5" xfId="11148"/>
    <cellStyle name="Input 6 4 3" xfId="11149"/>
    <cellStyle name="Input 6 4 3 2" xfId="11150"/>
    <cellStyle name="Input 6 4 3 2 2" xfId="11151"/>
    <cellStyle name="Input 6 4 3 2 2 2" xfId="11152"/>
    <cellStyle name="Input 6 4 3 2 3" xfId="11153"/>
    <cellStyle name="Input 6 4 3 3" xfId="11154"/>
    <cellStyle name="Input 6 4 3 3 2" xfId="11155"/>
    <cellStyle name="Input 6 4 3 4" xfId="11156"/>
    <cellStyle name="Input 6 4 4" xfId="11157"/>
    <cellStyle name="Input 6 4 4 2" xfId="11158"/>
    <cellStyle name="Input 6 4 4 2 2" xfId="11159"/>
    <cellStyle name="Input 6 4 4 3" xfId="11160"/>
    <cellStyle name="Input 6 4 5" xfId="11161"/>
    <cellStyle name="Input 6 4 5 2" xfId="11162"/>
    <cellStyle name="Input 6 4 6" xfId="11163"/>
    <cellStyle name="Input 6 5" xfId="11164"/>
    <cellStyle name="Input 6 5 2" xfId="11165"/>
    <cellStyle name="Input 6 6" xfId="11166"/>
    <cellStyle name="Input 60" xfId="11167"/>
    <cellStyle name="Input 60 2" xfId="11168"/>
    <cellStyle name="Input 60 2 2" xfId="11169"/>
    <cellStyle name="Input 60 2 2 2" xfId="11170"/>
    <cellStyle name="Input 60 2 3" xfId="11171"/>
    <cellStyle name="Input 60 3" xfId="11172"/>
    <cellStyle name="Input 60 3 2" xfId="11173"/>
    <cellStyle name="Input 60 3 2 2" xfId="11174"/>
    <cellStyle name="Input 60 3 2 2 2" xfId="11175"/>
    <cellStyle name="Input 60 3 2 3" xfId="11176"/>
    <cellStyle name="Input 60 3 3" xfId="11177"/>
    <cellStyle name="Input 60 3 3 2" xfId="11178"/>
    <cellStyle name="Input 60 3 4" xfId="11179"/>
    <cellStyle name="Input 60 4" xfId="11180"/>
    <cellStyle name="Input 60 4 2" xfId="11181"/>
    <cellStyle name="Input 60 5" xfId="11182"/>
    <cellStyle name="Input 61" xfId="11183"/>
    <cellStyle name="Input 61 2" xfId="11184"/>
    <cellStyle name="Input 61 2 2" xfId="11185"/>
    <cellStyle name="Input 61 2 2 2" xfId="11186"/>
    <cellStyle name="Input 61 2 3" xfId="11187"/>
    <cellStyle name="Input 61 3" xfId="11188"/>
    <cellStyle name="Input 61 3 2" xfId="11189"/>
    <cellStyle name="Input 61 3 2 2" xfId="11190"/>
    <cellStyle name="Input 61 3 2 2 2" xfId="11191"/>
    <cellStyle name="Input 61 3 2 3" xfId="11192"/>
    <cellStyle name="Input 61 3 3" xfId="11193"/>
    <cellStyle name="Input 61 3 3 2" xfId="11194"/>
    <cellStyle name="Input 61 3 4" xfId="11195"/>
    <cellStyle name="Input 61 4" xfId="11196"/>
    <cellStyle name="Input 61 4 2" xfId="11197"/>
    <cellStyle name="Input 61 5" xfId="11198"/>
    <cellStyle name="Input 62" xfId="11199"/>
    <cellStyle name="Input 62 2" xfId="11200"/>
    <cellStyle name="Input 62 2 2" xfId="11201"/>
    <cellStyle name="Input 62 2 2 2" xfId="11202"/>
    <cellStyle name="Input 62 2 3" xfId="11203"/>
    <cellStyle name="Input 62 3" xfId="11204"/>
    <cellStyle name="Input 62 3 2" xfId="11205"/>
    <cellStyle name="Input 62 3 2 2" xfId="11206"/>
    <cellStyle name="Input 62 3 2 2 2" xfId="11207"/>
    <cellStyle name="Input 62 3 2 3" xfId="11208"/>
    <cellStyle name="Input 62 3 3" xfId="11209"/>
    <cellStyle name="Input 62 3 3 2" xfId="11210"/>
    <cellStyle name="Input 62 3 4" xfId="11211"/>
    <cellStyle name="Input 62 4" xfId="11212"/>
    <cellStyle name="Input 62 4 2" xfId="11213"/>
    <cellStyle name="Input 62 5" xfId="11214"/>
    <cellStyle name="Input 63" xfId="11215"/>
    <cellStyle name="Input 63 2" xfId="11216"/>
    <cellStyle name="Input 63 2 2" xfId="11217"/>
    <cellStyle name="Input 63 2 2 2" xfId="11218"/>
    <cellStyle name="Input 63 2 3" xfId="11219"/>
    <cellStyle name="Input 63 3" xfId="11220"/>
    <cellStyle name="Input 63 3 2" xfId="11221"/>
    <cellStyle name="Input 63 3 2 2" xfId="11222"/>
    <cellStyle name="Input 63 3 2 2 2" xfId="11223"/>
    <cellStyle name="Input 63 3 2 3" xfId="11224"/>
    <cellStyle name="Input 63 3 3" xfId="11225"/>
    <cellStyle name="Input 63 3 3 2" xfId="11226"/>
    <cellStyle name="Input 63 3 4" xfId="11227"/>
    <cellStyle name="Input 63 4" xfId="11228"/>
    <cellStyle name="Input 63 4 2" xfId="11229"/>
    <cellStyle name="Input 63 5" xfId="11230"/>
    <cellStyle name="Input 64" xfId="11231"/>
    <cellStyle name="Input 64 2" xfId="11232"/>
    <cellStyle name="Input 64 2 2" xfId="11233"/>
    <cellStyle name="Input 64 2 2 2" xfId="11234"/>
    <cellStyle name="Input 64 2 3" xfId="11235"/>
    <cellStyle name="Input 64 3" xfId="11236"/>
    <cellStyle name="Input 64 3 2" xfId="11237"/>
    <cellStyle name="Input 64 3 2 2" xfId="11238"/>
    <cellStyle name="Input 64 3 2 2 2" xfId="11239"/>
    <cellStyle name="Input 64 3 2 3" xfId="11240"/>
    <cellStyle name="Input 64 3 3" xfId="11241"/>
    <cellStyle name="Input 64 3 3 2" xfId="11242"/>
    <cellStyle name="Input 64 3 4" xfId="11243"/>
    <cellStyle name="Input 64 4" xfId="11244"/>
    <cellStyle name="Input 64 4 2" xfId="11245"/>
    <cellStyle name="Input 64 5" xfId="11246"/>
    <cellStyle name="Input 65" xfId="11247"/>
    <cellStyle name="Input 65 2" xfId="11248"/>
    <cellStyle name="Input 65 2 2" xfId="11249"/>
    <cellStyle name="Input 65 2 2 2" xfId="11250"/>
    <cellStyle name="Input 65 2 3" xfId="11251"/>
    <cellStyle name="Input 65 3" xfId="11252"/>
    <cellStyle name="Input 65 3 2" xfId="11253"/>
    <cellStyle name="Input 65 3 2 2" xfId="11254"/>
    <cellStyle name="Input 65 3 2 2 2" xfId="11255"/>
    <cellStyle name="Input 65 3 2 3" xfId="11256"/>
    <cellStyle name="Input 65 3 3" xfId="11257"/>
    <cellStyle name="Input 65 3 3 2" xfId="11258"/>
    <cellStyle name="Input 65 3 4" xfId="11259"/>
    <cellStyle name="Input 65 4" xfId="11260"/>
    <cellStyle name="Input 65 4 2" xfId="11261"/>
    <cellStyle name="Input 65 5" xfId="11262"/>
    <cellStyle name="Input 66" xfId="11263"/>
    <cellStyle name="Input 66 2" xfId="11264"/>
    <cellStyle name="Input 66 2 2" xfId="11265"/>
    <cellStyle name="Input 66 2 2 2" xfId="11266"/>
    <cellStyle name="Input 66 2 3" xfId="11267"/>
    <cellStyle name="Input 66 3" xfId="11268"/>
    <cellStyle name="Input 66 3 2" xfId="11269"/>
    <cellStyle name="Input 66 3 2 2" xfId="11270"/>
    <cellStyle name="Input 66 3 2 2 2" xfId="11271"/>
    <cellStyle name="Input 66 3 2 3" xfId="11272"/>
    <cellStyle name="Input 66 3 3" xfId="11273"/>
    <cellStyle name="Input 66 3 3 2" xfId="11274"/>
    <cellStyle name="Input 66 3 4" xfId="11275"/>
    <cellStyle name="Input 66 4" xfId="11276"/>
    <cellStyle name="Input 66 4 2" xfId="11277"/>
    <cellStyle name="Input 66 5" xfId="11278"/>
    <cellStyle name="Input 67" xfId="11279"/>
    <cellStyle name="Input 67 2" xfId="11280"/>
    <cellStyle name="Input 67 2 2" xfId="11281"/>
    <cellStyle name="Input 67 2 2 2" xfId="11282"/>
    <cellStyle name="Input 67 2 3" xfId="11283"/>
    <cellStyle name="Input 67 3" xfId="11284"/>
    <cellStyle name="Input 67 3 2" xfId="11285"/>
    <cellStyle name="Input 67 3 2 2" xfId="11286"/>
    <cellStyle name="Input 67 3 2 2 2" xfId="11287"/>
    <cellStyle name="Input 67 3 2 3" xfId="11288"/>
    <cellStyle name="Input 67 3 3" xfId="11289"/>
    <cellStyle name="Input 67 3 3 2" xfId="11290"/>
    <cellStyle name="Input 67 3 4" xfId="11291"/>
    <cellStyle name="Input 67 4" xfId="11292"/>
    <cellStyle name="Input 67 4 2" xfId="11293"/>
    <cellStyle name="Input 67 5" xfId="11294"/>
    <cellStyle name="Input 68" xfId="11295"/>
    <cellStyle name="Input 68 2" xfId="11296"/>
    <cellStyle name="Input 68 2 2" xfId="11297"/>
    <cellStyle name="Input 68 2 2 2" xfId="11298"/>
    <cellStyle name="Input 68 2 3" xfId="11299"/>
    <cellStyle name="Input 68 3" xfId="11300"/>
    <cellStyle name="Input 68 3 2" xfId="11301"/>
    <cellStyle name="Input 68 3 2 2" xfId="11302"/>
    <cellStyle name="Input 68 3 2 2 2" xfId="11303"/>
    <cellStyle name="Input 68 3 2 3" xfId="11304"/>
    <cellStyle name="Input 68 3 3" xfId="11305"/>
    <cellStyle name="Input 68 3 3 2" xfId="11306"/>
    <cellStyle name="Input 68 3 4" xfId="11307"/>
    <cellStyle name="Input 68 4" xfId="11308"/>
    <cellStyle name="Input 68 4 2" xfId="11309"/>
    <cellStyle name="Input 68 5" xfId="11310"/>
    <cellStyle name="Input 69" xfId="11311"/>
    <cellStyle name="Input 69 2" xfId="11312"/>
    <cellStyle name="Input 69 2 2" xfId="11313"/>
    <cellStyle name="Input 69 2 2 2" xfId="11314"/>
    <cellStyle name="Input 69 2 3" xfId="11315"/>
    <cellStyle name="Input 69 3" xfId="11316"/>
    <cellStyle name="Input 69 3 2" xfId="11317"/>
    <cellStyle name="Input 69 3 2 2" xfId="11318"/>
    <cellStyle name="Input 69 3 2 2 2" xfId="11319"/>
    <cellStyle name="Input 69 3 2 3" xfId="11320"/>
    <cellStyle name="Input 69 3 3" xfId="11321"/>
    <cellStyle name="Input 69 3 3 2" xfId="11322"/>
    <cellStyle name="Input 69 3 4" xfId="11323"/>
    <cellStyle name="Input 69 4" xfId="11324"/>
    <cellStyle name="Input 69 4 2" xfId="11325"/>
    <cellStyle name="Input 69 5" xfId="11326"/>
    <cellStyle name="Input 7" xfId="11327"/>
    <cellStyle name="Input 7 2" xfId="11328"/>
    <cellStyle name="Input 7 2 2" xfId="11329"/>
    <cellStyle name="Input 7 2 2 2" xfId="11330"/>
    <cellStyle name="Input 7 2 2 2 2" xfId="11331"/>
    <cellStyle name="Input 7 2 2 3" xfId="11332"/>
    <cellStyle name="Input 7 2 3" xfId="11333"/>
    <cellStyle name="Input 7 2 3 2" xfId="11334"/>
    <cellStyle name="Input 7 2 3 2 2" xfId="11335"/>
    <cellStyle name="Input 7 2 3 2 2 2" xfId="11336"/>
    <cellStyle name="Input 7 2 3 2 3" xfId="11337"/>
    <cellStyle name="Input 7 2 3 3" xfId="11338"/>
    <cellStyle name="Input 7 2 3 3 2" xfId="11339"/>
    <cellStyle name="Input 7 2 3 4" xfId="11340"/>
    <cellStyle name="Input 7 2 4" xfId="11341"/>
    <cellStyle name="Input 7 2 4 2" xfId="11342"/>
    <cellStyle name="Input 7 2 5" xfId="11343"/>
    <cellStyle name="Input 7 3" xfId="11344"/>
    <cellStyle name="Input 7 3 2" xfId="11345"/>
    <cellStyle name="Input 7 3 2 2" xfId="11346"/>
    <cellStyle name="Input 7 3 3" xfId="11347"/>
    <cellStyle name="Input 7 4" xfId="11348"/>
    <cellStyle name="Input 7 4 2" xfId="11349"/>
    <cellStyle name="Input 7 4 2 2" xfId="11350"/>
    <cellStyle name="Input 7 4 2 2 2" xfId="11351"/>
    <cellStyle name="Input 7 4 2 2 2 2" xfId="11352"/>
    <cellStyle name="Input 7 4 2 2 2 2 2" xfId="11353"/>
    <cellStyle name="Input 7 4 2 2 2 3" xfId="11354"/>
    <cellStyle name="Input 7 4 2 2 3" xfId="11355"/>
    <cellStyle name="Input 7 4 2 2 3 2" xfId="11356"/>
    <cellStyle name="Input 7 4 2 2 4" xfId="11357"/>
    <cellStyle name="Input 7 4 2 3" xfId="11358"/>
    <cellStyle name="Input 7 4 2 3 2" xfId="11359"/>
    <cellStyle name="Input 7 4 2 3 2 2" xfId="11360"/>
    <cellStyle name="Input 7 4 2 3 3" xfId="11361"/>
    <cellStyle name="Input 7 4 2 4" xfId="11362"/>
    <cellStyle name="Input 7 4 2 4 2" xfId="11363"/>
    <cellStyle name="Input 7 4 2 5" xfId="11364"/>
    <cellStyle name="Input 7 4 3" xfId="11365"/>
    <cellStyle name="Input 7 4 3 2" xfId="11366"/>
    <cellStyle name="Input 7 4 3 2 2" xfId="11367"/>
    <cellStyle name="Input 7 4 3 2 2 2" xfId="11368"/>
    <cellStyle name="Input 7 4 3 2 3" xfId="11369"/>
    <cellStyle name="Input 7 4 3 3" xfId="11370"/>
    <cellStyle name="Input 7 4 3 3 2" xfId="11371"/>
    <cellStyle name="Input 7 4 3 4" xfId="11372"/>
    <cellStyle name="Input 7 4 4" xfId="11373"/>
    <cellStyle name="Input 7 4 4 2" xfId="11374"/>
    <cellStyle name="Input 7 4 4 2 2" xfId="11375"/>
    <cellStyle name="Input 7 4 4 3" xfId="11376"/>
    <cellStyle name="Input 7 4 5" xfId="11377"/>
    <cellStyle name="Input 7 4 5 2" xfId="11378"/>
    <cellStyle name="Input 7 4 6" xfId="11379"/>
    <cellStyle name="Input 7 5" xfId="11380"/>
    <cellStyle name="Input 7 5 2" xfId="11381"/>
    <cellStyle name="Input 7 6" xfId="11382"/>
    <cellStyle name="Input 70" xfId="11383"/>
    <cellStyle name="Input 70 2" xfId="11384"/>
    <cellStyle name="Input 70 2 2" xfId="11385"/>
    <cellStyle name="Input 70 2 2 2" xfId="11386"/>
    <cellStyle name="Input 70 2 3" xfId="11387"/>
    <cellStyle name="Input 70 3" xfId="11388"/>
    <cellStyle name="Input 70 3 2" xfId="11389"/>
    <cellStyle name="Input 70 3 2 2" xfId="11390"/>
    <cellStyle name="Input 70 3 2 2 2" xfId="11391"/>
    <cellStyle name="Input 70 3 2 3" xfId="11392"/>
    <cellStyle name="Input 70 3 3" xfId="11393"/>
    <cellStyle name="Input 70 3 3 2" xfId="11394"/>
    <cellStyle name="Input 70 3 4" xfId="11395"/>
    <cellStyle name="Input 70 4" xfId="11396"/>
    <cellStyle name="Input 70 4 2" xfId="11397"/>
    <cellStyle name="Input 70 5" xfId="11398"/>
    <cellStyle name="Input 71" xfId="11399"/>
    <cellStyle name="Input 71 2" xfId="11400"/>
    <cellStyle name="Input 71 2 2" xfId="11401"/>
    <cellStyle name="Input 71 2 2 2" xfId="11402"/>
    <cellStyle name="Input 71 2 3" xfId="11403"/>
    <cellStyle name="Input 71 3" xfId="11404"/>
    <cellStyle name="Input 71 3 2" xfId="11405"/>
    <cellStyle name="Input 71 3 2 2" xfId="11406"/>
    <cellStyle name="Input 71 3 2 2 2" xfId="11407"/>
    <cellStyle name="Input 71 3 2 3" xfId="11408"/>
    <cellStyle name="Input 71 3 3" xfId="11409"/>
    <cellStyle name="Input 71 3 3 2" xfId="11410"/>
    <cellStyle name="Input 71 3 4" xfId="11411"/>
    <cellStyle name="Input 71 4" xfId="11412"/>
    <cellStyle name="Input 71 4 2" xfId="11413"/>
    <cellStyle name="Input 71 5" xfId="11414"/>
    <cellStyle name="Input 72" xfId="11415"/>
    <cellStyle name="Input 72 2" xfId="11416"/>
    <cellStyle name="Input 72 2 2" xfId="11417"/>
    <cellStyle name="Input 72 2 2 2" xfId="11418"/>
    <cellStyle name="Input 72 2 3" xfId="11419"/>
    <cellStyle name="Input 72 3" xfId="11420"/>
    <cellStyle name="Input 72 3 2" xfId="11421"/>
    <cellStyle name="Input 72 3 2 2" xfId="11422"/>
    <cellStyle name="Input 72 3 2 2 2" xfId="11423"/>
    <cellStyle name="Input 72 3 2 3" xfId="11424"/>
    <cellStyle name="Input 72 3 3" xfId="11425"/>
    <cellStyle name="Input 72 3 3 2" xfId="11426"/>
    <cellStyle name="Input 72 3 4" xfId="11427"/>
    <cellStyle name="Input 72 4" xfId="11428"/>
    <cellStyle name="Input 72 4 2" xfId="11429"/>
    <cellStyle name="Input 72 5" xfId="11430"/>
    <cellStyle name="Input 73" xfId="11431"/>
    <cellStyle name="Input 73 2" xfId="11432"/>
    <cellStyle name="Input 73 2 2" xfId="11433"/>
    <cellStyle name="Input 73 2 2 2" xfId="11434"/>
    <cellStyle name="Input 73 2 3" xfId="11435"/>
    <cellStyle name="Input 73 3" xfId="11436"/>
    <cellStyle name="Input 73 3 2" xfId="11437"/>
    <cellStyle name="Input 73 3 2 2" xfId="11438"/>
    <cellStyle name="Input 73 3 2 2 2" xfId="11439"/>
    <cellStyle name="Input 73 3 2 3" xfId="11440"/>
    <cellStyle name="Input 73 3 3" xfId="11441"/>
    <cellStyle name="Input 73 3 3 2" xfId="11442"/>
    <cellStyle name="Input 73 3 4" xfId="11443"/>
    <cellStyle name="Input 73 4" xfId="11444"/>
    <cellStyle name="Input 73 4 2" xfId="11445"/>
    <cellStyle name="Input 73 5" xfId="11446"/>
    <cellStyle name="Input 74" xfId="11447"/>
    <cellStyle name="Input 74 2" xfId="11448"/>
    <cellStyle name="Input 74 2 2" xfId="11449"/>
    <cellStyle name="Input 74 2 2 2" xfId="11450"/>
    <cellStyle name="Input 74 2 3" xfId="11451"/>
    <cellStyle name="Input 74 3" xfId="11452"/>
    <cellStyle name="Input 74 3 2" xfId="11453"/>
    <cellStyle name="Input 74 3 2 2" xfId="11454"/>
    <cellStyle name="Input 74 3 2 2 2" xfId="11455"/>
    <cellStyle name="Input 74 3 2 3" xfId="11456"/>
    <cellStyle name="Input 74 3 3" xfId="11457"/>
    <cellStyle name="Input 74 3 3 2" xfId="11458"/>
    <cellStyle name="Input 74 3 4" xfId="11459"/>
    <cellStyle name="Input 74 4" xfId="11460"/>
    <cellStyle name="Input 74 4 2" xfId="11461"/>
    <cellStyle name="Input 74 5" xfId="11462"/>
    <cellStyle name="Input 75" xfId="11463"/>
    <cellStyle name="Input 75 2" xfId="11464"/>
    <cellStyle name="Input 75 2 2" xfId="11465"/>
    <cellStyle name="Input 75 2 2 2" xfId="11466"/>
    <cellStyle name="Input 75 2 3" xfId="11467"/>
    <cellStyle name="Input 75 3" xfId="11468"/>
    <cellStyle name="Input 75 3 2" xfId="11469"/>
    <cellStyle name="Input 75 3 2 2" xfId="11470"/>
    <cellStyle name="Input 75 3 2 2 2" xfId="11471"/>
    <cellStyle name="Input 75 3 2 3" xfId="11472"/>
    <cellStyle name="Input 75 3 3" xfId="11473"/>
    <cellStyle name="Input 75 3 3 2" xfId="11474"/>
    <cellStyle name="Input 75 3 4" xfId="11475"/>
    <cellStyle name="Input 75 4" xfId="11476"/>
    <cellStyle name="Input 75 4 2" xfId="11477"/>
    <cellStyle name="Input 75 5" xfId="11478"/>
    <cellStyle name="Input 76" xfId="11479"/>
    <cellStyle name="Input 76 2" xfId="11480"/>
    <cellStyle name="Input 76 2 2" xfId="11481"/>
    <cellStyle name="Input 76 2 2 2" xfId="11482"/>
    <cellStyle name="Input 76 2 3" xfId="11483"/>
    <cellStyle name="Input 76 3" xfId="11484"/>
    <cellStyle name="Input 76 3 2" xfId="11485"/>
    <cellStyle name="Input 76 3 2 2" xfId="11486"/>
    <cellStyle name="Input 76 3 2 2 2" xfId="11487"/>
    <cellStyle name="Input 76 3 2 3" xfId="11488"/>
    <cellStyle name="Input 76 3 3" xfId="11489"/>
    <cellStyle name="Input 76 3 3 2" xfId="11490"/>
    <cellStyle name="Input 76 3 4" xfId="11491"/>
    <cellStyle name="Input 76 4" xfId="11492"/>
    <cellStyle name="Input 76 4 2" xfId="11493"/>
    <cellStyle name="Input 76 5" xfId="11494"/>
    <cellStyle name="Input 77" xfId="11495"/>
    <cellStyle name="Input 77 2" xfId="11496"/>
    <cellStyle name="Input 77 2 2" xfId="11497"/>
    <cellStyle name="Input 77 2 2 2" xfId="11498"/>
    <cellStyle name="Input 77 2 3" xfId="11499"/>
    <cellStyle name="Input 77 3" xfId="11500"/>
    <cellStyle name="Input 77 3 2" xfId="11501"/>
    <cellStyle name="Input 77 3 2 2" xfId="11502"/>
    <cellStyle name="Input 77 3 2 2 2" xfId="11503"/>
    <cellStyle name="Input 77 3 2 3" xfId="11504"/>
    <cellStyle name="Input 77 3 3" xfId="11505"/>
    <cellStyle name="Input 77 3 3 2" xfId="11506"/>
    <cellStyle name="Input 77 3 4" xfId="11507"/>
    <cellStyle name="Input 77 4" xfId="11508"/>
    <cellStyle name="Input 77 4 2" xfId="11509"/>
    <cellStyle name="Input 77 5" xfId="11510"/>
    <cellStyle name="Input 78" xfId="11511"/>
    <cellStyle name="Input 78 2" xfId="11512"/>
    <cellStyle name="Input 78 2 2" xfId="11513"/>
    <cellStyle name="Input 78 2 2 2" xfId="11514"/>
    <cellStyle name="Input 78 2 3" xfId="11515"/>
    <cellStyle name="Input 78 3" xfId="11516"/>
    <cellStyle name="Input 78 3 2" xfId="11517"/>
    <cellStyle name="Input 78 3 2 2" xfId="11518"/>
    <cellStyle name="Input 78 3 2 2 2" xfId="11519"/>
    <cellStyle name="Input 78 3 2 3" xfId="11520"/>
    <cellStyle name="Input 78 3 3" xfId="11521"/>
    <cellStyle name="Input 78 3 3 2" xfId="11522"/>
    <cellStyle name="Input 78 3 4" xfId="11523"/>
    <cellStyle name="Input 78 4" xfId="11524"/>
    <cellStyle name="Input 78 4 2" xfId="11525"/>
    <cellStyle name="Input 78 5" xfId="11526"/>
    <cellStyle name="Input 79" xfId="11527"/>
    <cellStyle name="Input 79 2" xfId="11528"/>
    <cellStyle name="Input 79 2 2" xfId="11529"/>
    <cellStyle name="Input 79 2 2 2" xfId="11530"/>
    <cellStyle name="Input 79 2 3" xfId="11531"/>
    <cellStyle name="Input 79 3" xfId="11532"/>
    <cellStyle name="Input 79 3 2" xfId="11533"/>
    <cellStyle name="Input 79 3 2 2" xfId="11534"/>
    <cellStyle name="Input 79 3 2 2 2" xfId="11535"/>
    <cellStyle name="Input 79 3 2 3" xfId="11536"/>
    <cellStyle name="Input 79 3 3" xfId="11537"/>
    <cellStyle name="Input 79 3 3 2" xfId="11538"/>
    <cellStyle name="Input 79 3 4" xfId="11539"/>
    <cellStyle name="Input 79 4" xfId="11540"/>
    <cellStyle name="Input 79 4 2" xfId="11541"/>
    <cellStyle name="Input 79 5" xfId="11542"/>
    <cellStyle name="Input 8" xfId="11543"/>
    <cellStyle name="Input 8 2" xfId="11544"/>
    <cellStyle name="Input 8 2 2" xfId="11545"/>
    <cellStyle name="Input 8 2 2 2" xfId="11546"/>
    <cellStyle name="Input 8 2 3" xfId="11547"/>
    <cellStyle name="Input 8 3" xfId="11548"/>
    <cellStyle name="Input 8 3 2" xfId="11549"/>
    <cellStyle name="Input 8 4" xfId="11550"/>
    <cellStyle name="Input 80" xfId="11551"/>
    <cellStyle name="Input 80 2" xfId="11552"/>
    <cellStyle name="Input 80 2 2" xfId="11553"/>
    <cellStyle name="Input 80 2 2 2" xfId="11554"/>
    <cellStyle name="Input 80 2 3" xfId="11555"/>
    <cellStyle name="Input 80 3" xfId="11556"/>
    <cellStyle name="Input 80 3 2" xfId="11557"/>
    <cellStyle name="Input 80 3 2 2" xfId="11558"/>
    <cellStyle name="Input 80 3 2 2 2" xfId="11559"/>
    <cellStyle name="Input 80 3 2 3" xfId="11560"/>
    <cellStyle name="Input 80 3 3" xfId="11561"/>
    <cellStyle name="Input 80 3 3 2" xfId="11562"/>
    <cellStyle name="Input 80 3 4" xfId="11563"/>
    <cellStyle name="Input 80 4" xfId="11564"/>
    <cellStyle name="Input 80 4 2" xfId="11565"/>
    <cellStyle name="Input 80 5" xfId="11566"/>
    <cellStyle name="Input 81" xfId="11567"/>
    <cellStyle name="Input 81 2" xfId="11568"/>
    <cellStyle name="Input 81 2 2" xfId="11569"/>
    <cellStyle name="Input 81 2 2 2" xfId="11570"/>
    <cellStyle name="Input 81 2 3" xfId="11571"/>
    <cellStyle name="Input 81 3" xfId="11572"/>
    <cellStyle name="Input 81 3 2" xfId="11573"/>
    <cellStyle name="Input 81 3 2 2" xfId="11574"/>
    <cellStyle name="Input 81 3 2 2 2" xfId="11575"/>
    <cellStyle name="Input 81 3 2 3" xfId="11576"/>
    <cellStyle name="Input 81 3 3" xfId="11577"/>
    <cellStyle name="Input 81 3 3 2" xfId="11578"/>
    <cellStyle name="Input 81 3 4" xfId="11579"/>
    <cellStyle name="Input 81 4" xfId="11580"/>
    <cellStyle name="Input 81 4 2" xfId="11581"/>
    <cellStyle name="Input 81 5" xfId="11582"/>
    <cellStyle name="Input 82" xfId="11583"/>
    <cellStyle name="Input 82 2" xfId="11584"/>
    <cellStyle name="Input 82 2 2" xfId="11585"/>
    <cellStyle name="Input 82 2 2 2" xfId="11586"/>
    <cellStyle name="Input 82 2 3" xfId="11587"/>
    <cellStyle name="Input 82 3" xfId="11588"/>
    <cellStyle name="Input 82 3 2" xfId="11589"/>
    <cellStyle name="Input 82 3 2 2" xfId="11590"/>
    <cellStyle name="Input 82 3 2 2 2" xfId="11591"/>
    <cellStyle name="Input 82 3 2 3" xfId="11592"/>
    <cellStyle name="Input 82 3 3" xfId="11593"/>
    <cellStyle name="Input 82 3 3 2" xfId="11594"/>
    <cellStyle name="Input 82 3 4" xfId="11595"/>
    <cellStyle name="Input 82 4" xfId="11596"/>
    <cellStyle name="Input 82 4 2" xfId="11597"/>
    <cellStyle name="Input 82 5" xfId="11598"/>
    <cellStyle name="Input 83" xfId="11599"/>
    <cellStyle name="Input 83 2" xfId="11600"/>
    <cellStyle name="Input 83 2 2" xfId="11601"/>
    <cellStyle name="Input 83 2 2 2" xfId="11602"/>
    <cellStyle name="Input 83 2 3" xfId="11603"/>
    <cellStyle name="Input 83 3" xfId="11604"/>
    <cellStyle name="Input 83 3 2" xfId="11605"/>
    <cellStyle name="Input 83 3 2 2" xfId="11606"/>
    <cellStyle name="Input 83 3 2 2 2" xfId="11607"/>
    <cellStyle name="Input 83 3 2 3" xfId="11608"/>
    <cellStyle name="Input 83 3 3" xfId="11609"/>
    <cellStyle name="Input 83 3 3 2" xfId="11610"/>
    <cellStyle name="Input 83 3 4" xfId="11611"/>
    <cellStyle name="Input 83 4" xfId="11612"/>
    <cellStyle name="Input 83 4 2" xfId="11613"/>
    <cellStyle name="Input 83 5" xfId="11614"/>
    <cellStyle name="Input 84" xfId="11615"/>
    <cellStyle name="Input 84 2" xfId="11616"/>
    <cellStyle name="Input 84 2 2" xfId="11617"/>
    <cellStyle name="Input 84 2 2 2" xfId="11618"/>
    <cellStyle name="Input 84 2 3" xfId="11619"/>
    <cellStyle name="Input 84 3" xfId="11620"/>
    <cellStyle name="Input 84 3 2" xfId="11621"/>
    <cellStyle name="Input 84 4" xfId="11622"/>
    <cellStyle name="Input 85" xfId="11623"/>
    <cellStyle name="Input 85 2" xfId="11624"/>
    <cellStyle name="Input 85 2 2" xfId="11625"/>
    <cellStyle name="Input 85 2 2 2" xfId="11626"/>
    <cellStyle name="Input 85 2 3" xfId="11627"/>
    <cellStyle name="Input 85 3" xfId="11628"/>
    <cellStyle name="Input 85 3 2" xfId="11629"/>
    <cellStyle name="Input 85 4" xfId="11630"/>
    <cellStyle name="Input 86" xfId="11631"/>
    <cellStyle name="Input 86 2" xfId="11632"/>
    <cellStyle name="Input 86 2 2" xfId="11633"/>
    <cellStyle name="Input 86 2 2 2" xfId="11634"/>
    <cellStyle name="Input 86 2 3" xfId="11635"/>
    <cellStyle name="Input 86 3" xfId="11636"/>
    <cellStyle name="Input 86 3 2" xfId="11637"/>
    <cellStyle name="Input 86 4" xfId="11638"/>
    <cellStyle name="Input 87" xfId="11639"/>
    <cellStyle name="Input 87 2" xfId="11640"/>
    <cellStyle name="Input 87 2 2" xfId="11641"/>
    <cellStyle name="Input 87 2 2 2" xfId="11642"/>
    <cellStyle name="Input 87 2 3" xfId="11643"/>
    <cellStyle name="Input 87 3" xfId="11644"/>
    <cellStyle name="Input 87 3 2" xfId="11645"/>
    <cellStyle name="Input 87 4" xfId="11646"/>
    <cellStyle name="Input 88" xfId="11647"/>
    <cellStyle name="Input 88 2" xfId="11648"/>
    <cellStyle name="Input 88 2 2" xfId="11649"/>
    <cellStyle name="Input 88 2 2 2" xfId="11650"/>
    <cellStyle name="Input 88 2 3" xfId="11651"/>
    <cellStyle name="Input 88 3" xfId="11652"/>
    <cellStyle name="Input 88 3 2" xfId="11653"/>
    <cellStyle name="Input 88 4" xfId="11654"/>
    <cellStyle name="Input 89" xfId="11655"/>
    <cellStyle name="Input 89 2" xfId="11656"/>
    <cellStyle name="Input 89 2 2" xfId="11657"/>
    <cellStyle name="Input 89 2 2 2" xfId="11658"/>
    <cellStyle name="Input 89 2 3" xfId="11659"/>
    <cellStyle name="Input 89 3" xfId="11660"/>
    <cellStyle name="Input 89 3 2" xfId="11661"/>
    <cellStyle name="Input 89 4" xfId="11662"/>
    <cellStyle name="Input 9" xfId="11663"/>
    <cellStyle name="Input 9 2" xfId="11664"/>
    <cellStyle name="Input 9 2 2" xfId="11665"/>
    <cellStyle name="Input 9 2 2 2" xfId="11666"/>
    <cellStyle name="Input 9 2 3" xfId="11667"/>
    <cellStyle name="Input 9 3" xfId="11668"/>
    <cellStyle name="Input 9 3 2" xfId="11669"/>
    <cellStyle name="Input 9 4" xfId="11670"/>
    <cellStyle name="Input 90" xfId="11671"/>
    <cellStyle name="Input 90 2" xfId="11672"/>
    <cellStyle name="Input 90 2 2" xfId="11673"/>
    <cellStyle name="Input 90 2 2 2" xfId="11674"/>
    <cellStyle name="Input 90 2 3" xfId="11675"/>
    <cellStyle name="Input 90 3" xfId="11676"/>
    <cellStyle name="Input 90 3 2" xfId="11677"/>
    <cellStyle name="Input 90 4" xfId="11678"/>
    <cellStyle name="Input 91" xfId="11679"/>
    <cellStyle name="Input 91 2" xfId="11680"/>
    <cellStyle name="Input 91 2 2" xfId="11681"/>
    <cellStyle name="Input 91 2 2 2" xfId="11682"/>
    <cellStyle name="Input 91 2 3" xfId="11683"/>
    <cellStyle name="Input 91 3" xfId="11684"/>
    <cellStyle name="Input 91 3 2" xfId="11685"/>
    <cellStyle name="Input 91 4" xfId="11686"/>
    <cellStyle name="Input 92" xfId="11687"/>
    <cellStyle name="Input 92 2" xfId="11688"/>
    <cellStyle name="Input 92 2 2" xfId="11689"/>
    <cellStyle name="Input 92 2 2 2" xfId="11690"/>
    <cellStyle name="Input 92 2 3" xfId="11691"/>
    <cellStyle name="Input 92 3" xfId="11692"/>
    <cellStyle name="Input 92 3 2" xfId="11693"/>
    <cellStyle name="Input 92 4" xfId="11694"/>
    <cellStyle name="Input 93" xfId="11695"/>
    <cellStyle name="Input 93 2" xfId="11696"/>
    <cellStyle name="Input 93 2 2" xfId="11697"/>
    <cellStyle name="Input 93 2 2 2" xfId="11698"/>
    <cellStyle name="Input 93 2 3" xfId="11699"/>
    <cellStyle name="Input 93 3" xfId="11700"/>
    <cellStyle name="Input 93 3 2" xfId="11701"/>
    <cellStyle name="Input 93 4" xfId="11702"/>
    <cellStyle name="Input 94" xfId="11703"/>
    <cellStyle name="Input 94 2" xfId="11704"/>
    <cellStyle name="Input 94 2 2" xfId="11705"/>
    <cellStyle name="Input 94 2 2 2" xfId="11706"/>
    <cellStyle name="Input 94 2 3" xfId="11707"/>
    <cellStyle name="Input 94 3" xfId="11708"/>
    <cellStyle name="Input 94 3 2" xfId="11709"/>
    <cellStyle name="Input 94 4" xfId="11710"/>
    <cellStyle name="Input 95" xfId="11711"/>
    <cellStyle name="Input 95 2" xfId="11712"/>
    <cellStyle name="Input 95 2 2" xfId="11713"/>
    <cellStyle name="Input 95 2 2 2" xfId="11714"/>
    <cellStyle name="Input 95 2 3" xfId="11715"/>
    <cellStyle name="Input 95 3" xfId="11716"/>
    <cellStyle name="Input 95 3 2" xfId="11717"/>
    <cellStyle name="Input 95 4" xfId="11718"/>
    <cellStyle name="Input 96" xfId="11719"/>
    <cellStyle name="Input 96 2" xfId="11720"/>
    <cellStyle name="Input 96 2 2" xfId="11721"/>
    <cellStyle name="Input 96 2 2 2" xfId="11722"/>
    <cellStyle name="Input 96 2 3" xfId="11723"/>
    <cellStyle name="Input 96 3" xfId="11724"/>
    <cellStyle name="Input 96 3 2" xfId="11725"/>
    <cellStyle name="Input 96 4" xfId="11726"/>
    <cellStyle name="Input 97" xfId="11727"/>
    <cellStyle name="Input 97 2" xfId="11728"/>
    <cellStyle name="Input 97 2 2" xfId="11729"/>
    <cellStyle name="Input 97 2 2 2" xfId="11730"/>
    <cellStyle name="Input 97 2 3" xfId="11731"/>
    <cellStyle name="Input 97 3" xfId="11732"/>
    <cellStyle name="Input 97 3 2" xfId="11733"/>
    <cellStyle name="Input 97 4" xfId="11734"/>
    <cellStyle name="Input 98" xfId="11735"/>
    <cellStyle name="Input 98 2" xfId="11736"/>
    <cellStyle name="Input 98 2 2" xfId="11737"/>
    <cellStyle name="Input 98 2 2 2" xfId="11738"/>
    <cellStyle name="Input 98 2 3" xfId="11739"/>
    <cellStyle name="Input 98 3" xfId="11740"/>
    <cellStyle name="Input 98 3 2" xfId="11741"/>
    <cellStyle name="Input 98 4" xfId="11742"/>
    <cellStyle name="Input 99" xfId="11743"/>
    <cellStyle name="Input 99 2" xfId="11744"/>
    <cellStyle name="Input 99 2 2" xfId="11745"/>
    <cellStyle name="Input 99 2 2 2" xfId="11746"/>
    <cellStyle name="Input 99 2 3" xfId="11747"/>
    <cellStyle name="Input 99 3" xfId="11748"/>
    <cellStyle name="Input 99 3 2" xfId="11749"/>
    <cellStyle name="Input 99 4" xfId="11750"/>
    <cellStyle name="IntegerNoZero" xfId="11751"/>
    <cellStyle name="Linked" xfId="11752"/>
    <cellStyle name="Linked 2" xfId="11753"/>
    <cellStyle name="Linked Cell 2" xfId="11754"/>
    <cellStyle name="Linked Cell 2 10" xfId="11755"/>
    <cellStyle name="Linked Cell 2 10 2" xfId="11756"/>
    <cellStyle name="Linked Cell 2 11" xfId="11757"/>
    <cellStyle name="Linked Cell 2 12" xfId="11758"/>
    <cellStyle name="Linked Cell 2 2" xfId="11759"/>
    <cellStyle name="Linked Cell 2 2 2" xfId="11760"/>
    <cellStyle name="Linked Cell 2 2 2 2" xfId="11761"/>
    <cellStyle name="Linked Cell 2 2 3" xfId="11762"/>
    <cellStyle name="Linked Cell 2 2 3 2" xfId="11763"/>
    <cellStyle name="Linked Cell 2 2 3 2 2" xfId="11764"/>
    <cellStyle name="Linked Cell 2 2 3 3" xfId="11765"/>
    <cellStyle name="Linked Cell 2 2 4" xfId="11766"/>
    <cellStyle name="Linked Cell 2 3" xfId="11767"/>
    <cellStyle name="Linked Cell 2 3 2" xfId="11768"/>
    <cellStyle name="Linked Cell 2 3 2 2" xfId="11769"/>
    <cellStyle name="Linked Cell 2 3 3" xfId="11770"/>
    <cellStyle name="Linked Cell 2 3 3 2" xfId="11771"/>
    <cellStyle name="Linked Cell 2 3 3 2 2" xfId="11772"/>
    <cellStyle name="Linked Cell 2 3 3 3" xfId="11773"/>
    <cellStyle name="Linked Cell 2 3 4" xfId="11774"/>
    <cellStyle name="Linked Cell 2 4" xfId="11775"/>
    <cellStyle name="Linked Cell 2 4 2" xfId="11776"/>
    <cellStyle name="Linked Cell 2 4 2 2" xfId="11777"/>
    <cellStyle name="Linked Cell 2 4 3" xfId="11778"/>
    <cellStyle name="Linked Cell 2 5" xfId="11779"/>
    <cellStyle name="Linked Cell 2 5 2" xfId="11780"/>
    <cellStyle name="Linked Cell 2 5 2 2" xfId="11781"/>
    <cellStyle name="Linked Cell 2 5 3" xfId="11782"/>
    <cellStyle name="Linked Cell 2 5 3 2" xfId="11783"/>
    <cellStyle name="Linked Cell 2 5 3 2 2" xfId="11784"/>
    <cellStyle name="Linked Cell 2 5 3 3" xfId="11785"/>
    <cellStyle name="Linked Cell 2 5 4" xfId="11786"/>
    <cellStyle name="Linked Cell 2 6" xfId="11787"/>
    <cellStyle name="Linked Cell 2 6 2" xfId="11788"/>
    <cellStyle name="Linked Cell 2 6 2 2" xfId="11789"/>
    <cellStyle name="Linked Cell 2 6 3" xfId="11790"/>
    <cellStyle name="Linked Cell 2 6 3 2" xfId="11791"/>
    <cellStyle name="Linked Cell 2 6 4" xfId="11792"/>
    <cellStyle name="Linked Cell 2 7" xfId="11793"/>
    <cellStyle name="Linked Cell 2 7 2" xfId="11794"/>
    <cellStyle name="Linked Cell 2 8" xfId="11795"/>
    <cellStyle name="Linked Cell 2 8 2" xfId="11796"/>
    <cellStyle name="Linked Cell 2 8 2 2" xfId="11797"/>
    <cellStyle name="Linked Cell 2 8 3" xfId="11798"/>
    <cellStyle name="Linked Cell 2 9" xfId="11799"/>
    <cellStyle name="Linked Cell 2 9 2" xfId="11800"/>
    <cellStyle name="Linked Cell 2 9 2 2" xfId="11801"/>
    <cellStyle name="Linked Cell 2 9 3" xfId="11802"/>
    <cellStyle name="Linked Cell 3" xfId="11803"/>
    <cellStyle name="Linked Cell 3 2" xfId="11804"/>
    <cellStyle name="Linked Cell 3 2 2" xfId="11805"/>
    <cellStyle name="Linked Cell 3 3" xfId="11806"/>
    <cellStyle name="Linked Cell 3 3 2" xfId="11807"/>
    <cellStyle name="Linked Cell 3 4" xfId="11808"/>
    <cellStyle name="Linked Cell 3 4 2" xfId="11809"/>
    <cellStyle name="Linked Cell 3 4 2 2" xfId="11810"/>
    <cellStyle name="Linked Cell 3 4 3" xfId="11811"/>
    <cellStyle name="Linked Cell 3 5" xfId="11812"/>
    <cellStyle name="Linked Cell 4" xfId="11813"/>
    <cellStyle name="Linked Cell 4 2" xfId="11814"/>
    <cellStyle name="Linked Cell 4 2 2" xfId="11815"/>
    <cellStyle name="Linked Cell 4 3" xfId="11816"/>
    <cellStyle name="Linked Cell 4 3 2" xfId="11817"/>
    <cellStyle name="Linked Cell 4 3 2 2" xfId="11818"/>
    <cellStyle name="Linked Cell 4 3 3" xfId="11819"/>
    <cellStyle name="Linked Cell 4 4" xfId="11820"/>
    <cellStyle name="Linked Cell 5" xfId="11821"/>
    <cellStyle name="Linked Cell 5 2" xfId="11822"/>
    <cellStyle name="Linked Cell 5 2 2" xfId="11823"/>
    <cellStyle name="Linked Cell 5 3" xfId="11824"/>
    <cellStyle name="Linked Cell 5 3 2" xfId="11825"/>
    <cellStyle name="Linked Cell 5 3 2 2" xfId="11826"/>
    <cellStyle name="Linked Cell 5 3 3" xfId="11827"/>
    <cellStyle name="Linked Cell 5 4" xfId="11828"/>
    <cellStyle name="Linked Cell 6" xfId="11829"/>
    <cellStyle name="Linked Cell 6 2" xfId="11830"/>
    <cellStyle name="Linked Cell 6 2 2" xfId="11831"/>
    <cellStyle name="Linked Cell 6 3" xfId="11832"/>
    <cellStyle name="Linked Cell 7" xfId="11833"/>
    <cellStyle name="Linked Cell 7 2" xfId="11834"/>
    <cellStyle name="Linked Cell 8" xfId="11835"/>
    <cellStyle name="Linked Cell 9" xfId="11836"/>
    <cellStyle name="Missing" xfId="11837"/>
    <cellStyle name="Missing 2" xfId="11838"/>
    <cellStyle name="mmmyy" xfId="11839"/>
    <cellStyle name="Neutral 2" xfId="11840"/>
    <cellStyle name="Neutral 2 10" xfId="11841"/>
    <cellStyle name="Neutral 2 10 2" xfId="11842"/>
    <cellStyle name="Neutral 2 11" xfId="11843"/>
    <cellStyle name="Neutral 2 12" xfId="11844"/>
    <cellStyle name="Neutral 2 2" xfId="11845"/>
    <cellStyle name="Neutral 2 2 2" xfId="11846"/>
    <cellStyle name="Neutral 2 2 2 2" xfId="11847"/>
    <cellStyle name="Neutral 2 2 3" xfId="11848"/>
    <cellStyle name="Neutral 2 2 3 2" xfId="11849"/>
    <cellStyle name="Neutral 2 2 3 2 2" xfId="11850"/>
    <cellStyle name="Neutral 2 2 3 3" xfId="11851"/>
    <cellStyle name="Neutral 2 2 4" xfId="11852"/>
    <cellStyle name="Neutral 2 2 4 2" xfId="11853"/>
    <cellStyle name="Neutral 2 2 5" xfId="11854"/>
    <cellStyle name="Neutral 2 3" xfId="11855"/>
    <cellStyle name="Neutral 2 3 2" xfId="11856"/>
    <cellStyle name="Neutral 2 3 2 2" xfId="11857"/>
    <cellStyle name="Neutral 2 3 3" xfId="11858"/>
    <cellStyle name="Neutral 2 3 3 2" xfId="11859"/>
    <cellStyle name="Neutral 2 3 3 2 2" xfId="11860"/>
    <cellStyle name="Neutral 2 3 3 3" xfId="11861"/>
    <cellStyle name="Neutral 2 3 4" xfId="11862"/>
    <cellStyle name="Neutral 2 4" xfId="11863"/>
    <cellStyle name="Neutral 2 4 2" xfId="11864"/>
    <cellStyle name="Neutral 2 4 2 2" xfId="11865"/>
    <cellStyle name="Neutral 2 4 3" xfId="11866"/>
    <cellStyle name="Neutral 2 5" xfId="11867"/>
    <cellStyle name="Neutral 2 5 2" xfId="11868"/>
    <cellStyle name="Neutral 2 5 2 2" xfId="11869"/>
    <cellStyle name="Neutral 2 5 3" xfId="11870"/>
    <cellStyle name="Neutral 2 5 3 2" xfId="11871"/>
    <cellStyle name="Neutral 2 5 3 2 2" xfId="11872"/>
    <cellStyle name="Neutral 2 5 3 3" xfId="11873"/>
    <cellStyle name="Neutral 2 5 4" xfId="11874"/>
    <cellStyle name="Neutral 2 6" xfId="11875"/>
    <cellStyle name="Neutral 2 6 2" xfId="11876"/>
    <cellStyle name="Neutral 2 6 2 2" xfId="11877"/>
    <cellStyle name="Neutral 2 6 3" xfId="11878"/>
    <cellStyle name="Neutral 2 6 3 2" xfId="11879"/>
    <cellStyle name="Neutral 2 6 4" xfId="11880"/>
    <cellStyle name="Neutral 2 7" xfId="11881"/>
    <cellStyle name="Neutral 2 7 2" xfId="11882"/>
    <cellStyle name="Neutral 2 8" xfId="11883"/>
    <cellStyle name="Neutral 2 8 2" xfId="11884"/>
    <cellStyle name="Neutral 2 8 2 2" xfId="11885"/>
    <cellStyle name="Neutral 2 8 3" xfId="11886"/>
    <cellStyle name="Neutral 2 9" xfId="11887"/>
    <cellStyle name="Neutral 2 9 2" xfId="11888"/>
    <cellStyle name="Neutral 2 9 2 2" xfId="11889"/>
    <cellStyle name="Neutral 2 9 3" xfId="11890"/>
    <cellStyle name="Neutral 3" xfId="11891"/>
    <cellStyle name="Neutral 3 2" xfId="11892"/>
    <cellStyle name="Neutral 3 2 2" xfId="11893"/>
    <cellStyle name="Neutral 3 3" xfId="11894"/>
    <cellStyle name="Neutral 3 3 2" xfId="11895"/>
    <cellStyle name="Neutral 3 4" xfId="11896"/>
    <cellStyle name="Neutral 3 4 2" xfId="11897"/>
    <cellStyle name="Neutral 3 4 2 2" xfId="11898"/>
    <cellStyle name="Neutral 3 4 3" xfId="11899"/>
    <cellStyle name="Neutral 3 5" xfId="11900"/>
    <cellStyle name="Neutral 4" xfId="11901"/>
    <cellStyle name="Neutral 4 2" xfId="11902"/>
    <cellStyle name="Neutral 4 2 2" xfId="11903"/>
    <cellStyle name="Neutral 4 3" xfId="11904"/>
    <cellStyle name="Neutral 4 3 2" xfId="11905"/>
    <cellStyle name="Neutral 4 3 2 2" xfId="11906"/>
    <cellStyle name="Neutral 4 3 3" xfId="11907"/>
    <cellStyle name="Neutral 4 4" xfId="11908"/>
    <cellStyle name="Neutral 5" xfId="11909"/>
    <cellStyle name="Neutral 5 2" xfId="11910"/>
    <cellStyle name="Neutral 5 2 2" xfId="11911"/>
    <cellStyle name="Neutral 5 3" xfId="11912"/>
    <cellStyle name="Neutral 5 3 2" xfId="11913"/>
    <cellStyle name="Neutral 5 3 2 2" xfId="11914"/>
    <cellStyle name="Neutral 5 3 3" xfId="11915"/>
    <cellStyle name="Neutral 5 4" xfId="11916"/>
    <cellStyle name="Neutral 6" xfId="11917"/>
    <cellStyle name="Neutral 6 2" xfId="11918"/>
    <cellStyle name="Neutral 6 2 2" xfId="11919"/>
    <cellStyle name="Neutral 6 3" xfId="11920"/>
    <cellStyle name="Neutral 7" xfId="11921"/>
    <cellStyle name="Neutral 7 2" xfId="11922"/>
    <cellStyle name="Neutral 8" xfId="11923"/>
    <cellStyle name="Neutral 9" xfId="11924"/>
    <cellStyle name="no dec" xfId="11925"/>
    <cellStyle name="Normal" xfId="0" builtinId="0"/>
    <cellStyle name="Normal - Style1" xfId="11926"/>
    <cellStyle name="Normal - Style1 2" xfId="11927"/>
    <cellStyle name="Normal - Style1 2 2" xfId="11928"/>
    <cellStyle name="Normal 10" xfId="125"/>
    <cellStyle name="Normal 10 2" xfId="11929"/>
    <cellStyle name="Normal 10 2 2" xfId="11930"/>
    <cellStyle name="Normal 10 2 2 2" xfId="11931"/>
    <cellStyle name="Normal 10 2 3" xfId="11932"/>
    <cellStyle name="Normal 10 2 3 2" xfId="11933"/>
    <cellStyle name="Normal 10 2 3 2 2" xfId="11934"/>
    <cellStyle name="Normal 10 2 3 3" xfId="11935"/>
    <cellStyle name="Normal 10 2 4" xfId="11936"/>
    <cellStyle name="Normal 10 3" xfId="11937"/>
    <cellStyle name="Normal 10 3 2" xfId="11938"/>
    <cellStyle name="Normal 10 3 2 2" xfId="11939"/>
    <cellStyle name="Normal 10 3 2 2 2" xfId="11940"/>
    <cellStyle name="Normal 10 3 2 3" xfId="11941"/>
    <cellStyle name="Normal 10 3 3" xfId="11942"/>
    <cellStyle name="Normal 10 3 3 2" xfId="11943"/>
    <cellStyle name="Normal 10 3 3 2 2" xfId="11944"/>
    <cellStyle name="Normal 10 3 3 3" xfId="11945"/>
    <cellStyle name="Normal 10 3 4" xfId="11946"/>
    <cellStyle name="Normal 10 4" xfId="11947"/>
    <cellStyle name="Normal 10 4 2" xfId="11948"/>
    <cellStyle name="Normal 10 5" xfId="11949"/>
    <cellStyle name="Normal 10 5 2" xfId="11950"/>
    <cellStyle name="Normal 10 5 2 2" xfId="11951"/>
    <cellStyle name="Normal 10 5 3" xfId="11952"/>
    <cellStyle name="Normal 10 6" xfId="135"/>
    <cellStyle name="Normal 10 6 2" xfId="11953"/>
    <cellStyle name="Normal 10 6 2 2" xfId="11954"/>
    <cellStyle name="Normal 10 6 3" xfId="11955"/>
    <cellStyle name="Normal 10 7" xfId="11956"/>
    <cellStyle name="Normal 10 7 2" xfId="11957"/>
    <cellStyle name="Normal 10 7 2 2" xfId="11958"/>
    <cellStyle name="Normal 10 7 3" xfId="11959"/>
    <cellStyle name="Normal 10 8" xfId="11960"/>
    <cellStyle name="Normal 10 9" xfId="670"/>
    <cellStyle name="Normal 100" xfId="11961"/>
    <cellStyle name="Normal 100 2" xfId="11962"/>
    <cellStyle name="Normal 100 2 2" xfId="11963"/>
    <cellStyle name="Normal 100 2 2 2" xfId="11964"/>
    <cellStyle name="Normal 100 2 3" xfId="11965"/>
    <cellStyle name="Normal 100 3" xfId="11966"/>
    <cellStyle name="Normal 100 3 2" xfId="11967"/>
    <cellStyle name="Normal 100 3 2 2" xfId="11968"/>
    <cellStyle name="Normal 100 3 3" xfId="11969"/>
    <cellStyle name="Normal 100 3 3 2" xfId="11970"/>
    <cellStyle name="Normal 100 3 3 2 2" xfId="11971"/>
    <cellStyle name="Normal 100 3 3 3" xfId="11972"/>
    <cellStyle name="Normal 100 3 4" xfId="11973"/>
    <cellStyle name="Normal 100 4" xfId="11974"/>
    <cellStyle name="Normal 100 4 2" xfId="11975"/>
    <cellStyle name="Normal 100 4 2 2" xfId="11976"/>
    <cellStyle name="Normal 100 4 3" xfId="11977"/>
    <cellStyle name="Normal 100 5" xfId="11978"/>
    <cellStyle name="Normal 101" xfId="11979"/>
    <cellStyle name="Normal 101 2" xfId="11980"/>
    <cellStyle name="Normal 101 2 2" xfId="11981"/>
    <cellStyle name="Normal 101 2 2 2" xfId="11982"/>
    <cellStyle name="Normal 101 2 3" xfId="11983"/>
    <cellStyle name="Normal 101 3" xfId="11984"/>
    <cellStyle name="Normal 101 3 2" xfId="11985"/>
    <cellStyle name="Normal 101 3 2 2" xfId="11986"/>
    <cellStyle name="Normal 101 3 3" xfId="11987"/>
    <cellStyle name="Normal 101 3 3 2" xfId="11988"/>
    <cellStyle name="Normal 101 3 3 2 2" xfId="11989"/>
    <cellStyle name="Normal 101 3 3 3" xfId="11990"/>
    <cellStyle name="Normal 101 3 4" xfId="11991"/>
    <cellStyle name="Normal 101 4" xfId="11992"/>
    <cellStyle name="Normal 101 4 2" xfId="11993"/>
    <cellStyle name="Normal 101 4 2 2" xfId="11994"/>
    <cellStyle name="Normal 101 4 3" xfId="11995"/>
    <cellStyle name="Normal 101 5" xfId="11996"/>
    <cellStyle name="Normal 102" xfId="11997"/>
    <cellStyle name="Normal 102 2" xfId="11998"/>
    <cellStyle name="Normal 102 2 2" xfId="11999"/>
    <cellStyle name="Normal 102 2 2 2" xfId="12000"/>
    <cellStyle name="Normal 102 2 3" xfId="12001"/>
    <cellStyle name="Normal 102 3" xfId="12002"/>
    <cellStyle name="Normal 102 3 2" xfId="12003"/>
    <cellStyle name="Normal 102 3 2 2" xfId="12004"/>
    <cellStyle name="Normal 102 3 3" xfId="12005"/>
    <cellStyle name="Normal 102 3 3 2" xfId="12006"/>
    <cellStyle name="Normal 102 3 3 2 2" xfId="12007"/>
    <cellStyle name="Normal 102 3 3 3" xfId="12008"/>
    <cellStyle name="Normal 102 3 4" xfId="12009"/>
    <cellStyle name="Normal 102 4" xfId="12010"/>
    <cellStyle name="Normal 102 4 2" xfId="12011"/>
    <cellStyle name="Normal 102 4 2 2" xfId="12012"/>
    <cellStyle name="Normal 102 4 3" xfId="12013"/>
    <cellStyle name="Normal 102 5" xfId="12014"/>
    <cellStyle name="Normal 103" xfId="12015"/>
    <cellStyle name="Normal 103 2" xfId="12016"/>
    <cellStyle name="Normal 103 2 2" xfId="12017"/>
    <cellStyle name="Normal 103 2 2 2" xfId="12018"/>
    <cellStyle name="Normal 103 2 3" xfId="12019"/>
    <cellStyle name="Normal 103 3" xfId="12020"/>
    <cellStyle name="Normal 103 3 2" xfId="12021"/>
    <cellStyle name="Normal 103 3 2 2" xfId="12022"/>
    <cellStyle name="Normal 103 3 3" xfId="12023"/>
    <cellStyle name="Normal 103 3 3 2" xfId="12024"/>
    <cellStyle name="Normal 103 3 3 2 2" xfId="12025"/>
    <cellStyle name="Normal 103 3 3 3" xfId="12026"/>
    <cellStyle name="Normal 103 3 4" xfId="12027"/>
    <cellStyle name="Normal 103 4" xfId="12028"/>
    <cellStyle name="Normal 103 4 2" xfId="12029"/>
    <cellStyle name="Normal 103 4 2 2" xfId="12030"/>
    <cellStyle name="Normal 103 4 3" xfId="12031"/>
    <cellStyle name="Normal 103 5" xfId="12032"/>
    <cellStyle name="Normal 104" xfId="12033"/>
    <cellStyle name="Normal 104 2" xfId="12034"/>
    <cellStyle name="Normal 104 2 2" xfId="12035"/>
    <cellStyle name="Normal 104 2 2 2" xfId="12036"/>
    <cellStyle name="Normal 104 2 3" xfId="12037"/>
    <cellStyle name="Normal 104 3" xfId="12038"/>
    <cellStyle name="Normal 104 3 2" xfId="12039"/>
    <cellStyle name="Normal 104 3 2 2" xfId="12040"/>
    <cellStyle name="Normal 104 3 3" xfId="12041"/>
    <cellStyle name="Normal 104 3 3 2" xfId="12042"/>
    <cellStyle name="Normal 104 3 3 2 2" xfId="12043"/>
    <cellStyle name="Normal 104 3 3 3" xfId="12044"/>
    <cellStyle name="Normal 104 3 4" xfId="12045"/>
    <cellStyle name="Normal 104 4" xfId="12046"/>
    <cellStyle name="Normal 104 4 2" xfId="12047"/>
    <cellStyle name="Normal 104 4 2 2" xfId="12048"/>
    <cellStyle name="Normal 104 4 3" xfId="12049"/>
    <cellStyle name="Normal 104 5" xfId="12050"/>
    <cellStyle name="Normal 105" xfId="12051"/>
    <cellStyle name="Normal 105 2" xfId="12052"/>
    <cellStyle name="Normal 105 2 2" xfId="12053"/>
    <cellStyle name="Normal 105 2 2 2" xfId="12054"/>
    <cellStyle name="Normal 105 2 3" xfId="12055"/>
    <cellStyle name="Normal 105 3" xfId="12056"/>
    <cellStyle name="Normal 105 3 2" xfId="12057"/>
    <cellStyle name="Normal 105 3 2 2" xfId="12058"/>
    <cellStyle name="Normal 105 3 3" xfId="12059"/>
    <cellStyle name="Normal 105 3 3 2" xfId="12060"/>
    <cellStyle name="Normal 105 3 3 2 2" xfId="12061"/>
    <cellStyle name="Normal 105 3 3 3" xfId="12062"/>
    <cellStyle name="Normal 105 3 4" xfId="12063"/>
    <cellStyle name="Normal 105 4" xfId="12064"/>
    <cellStyle name="Normal 105 4 2" xfId="12065"/>
    <cellStyle name="Normal 105 4 2 2" xfId="12066"/>
    <cellStyle name="Normal 105 4 3" xfId="12067"/>
    <cellStyle name="Normal 105 5" xfId="12068"/>
    <cellStyle name="Normal 106" xfId="12069"/>
    <cellStyle name="Normal 106 2" xfId="12070"/>
    <cellStyle name="Normal 106 2 2" xfId="12071"/>
    <cellStyle name="Normal 106 2 2 2" xfId="12072"/>
    <cellStyle name="Normal 106 2 3" xfId="12073"/>
    <cellStyle name="Normal 106 3" xfId="12074"/>
    <cellStyle name="Normal 106 3 2" xfId="12075"/>
    <cellStyle name="Normal 106 3 2 2" xfId="12076"/>
    <cellStyle name="Normal 106 3 3" xfId="12077"/>
    <cellStyle name="Normal 106 3 3 2" xfId="12078"/>
    <cellStyle name="Normal 106 3 3 2 2" xfId="12079"/>
    <cellStyle name="Normal 106 3 3 3" xfId="12080"/>
    <cellStyle name="Normal 106 3 4" xfId="12081"/>
    <cellStyle name="Normal 106 4" xfId="12082"/>
    <cellStyle name="Normal 106 4 2" xfId="12083"/>
    <cellStyle name="Normal 106 4 2 2" xfId="12084"/>
    <cellStyle name="Normal 106 4 3" xfId="12085"/>
    <cellStyle name="Normal 106 5" xfId="12086"/>
    <cellStyle name="Normal 107" xfId="12087"/>
    <cellStyle name="Normal 107 2" xfId="12088"/>
    <cellStyle name="Normal 107 2 2" xfId="12089"/>
    <cellStyle name="Normal 107 2 2 2" xfId="12090"/>
    <cellStyle name="Normal 107 2 3" xfId="12091"/>
    <cellStyle name="Normal 107 3" xfId="12092"/>
    <cellStyle name="Normal 107 3 2" xfId="12093"/>
    <cellStyle name="Normal 107 3 2 2" xfId="12094"/>
    <cellStyle name="Normal 107 3 3" xfId="12095"/>
    <cellStyle name="Normal 107 3 3 2" xfId="12096"/>
    <cellStyle name="Normal 107 3 3 2 2" xfId="12097"/>
    <cellStyle name="Normal 107 3 3 3" xfId="12098"/>
    <cellStyle name="Normal 107 3 4" xfId="12099"/>
    <cellStyle name="Normal 107 4" xfId="12100"/>
    <cellStyle name="Normal 107 4 2" xfId="12101"/>
    <cellStyle name="Normal 107 4 2 2" xfId="12102"/>
    <cellStyle name="Normal 107 4 3" xfId="12103"/>
    <cellStyle name="Normal 107 5" xfId="12104"/>
    <cellStyle name="Normal 108" xfId="12105"/>
    <cellStyle name="Normal 108 2" xfId="12106"/>
    <cellStyle name="Normal 108 2 2" xfId="12107"/>
    <cellStyle name="Normal 108 2 2 2" xfId="12108"/>
    <cellStyle name="Normal 108 2 3" xfId="12109"/>
    <cellStyle name="Normal 108 3" xfId="12110"/>
    <cellStyle name="Normal 108 3 2" xfId="12111"/>
    <cellStyle name="Normal 108 3 2 2" xfId="12112"/>
    <cellStyle name="Normal 108 3 3" xfId="12113"/>
    <cellStyle name="Normal 108 3 3 2" xfId="12114"/>
    <cellStyle name="Normal 108 3 3 2 2" xfId="12115"/>
    <cellStyle name="Normal 108 3 3 3" xfId="12116"/>
    <cellStyle name="Normal 108 3 4" xfId="12117"/>
    <cellStyle name="Normal 108 4" xfId="12118"/>
    <cellStyle name="Normal 108 4 2" xfId="12119"/>
    <cellStyle name="Normal 108 4 2 2" xfId="12120"/>
    <cellStyle name="Normal 108 4 3" xfId="12121"/>
    <cellStyle name="Normal 108 5" xfId="12122"/>
    <cellStyle name="Normal 109" xfId="12123"/>
    <cellStyle name="Normal 109 2" xfId="12124"/>
    <cellStyle name="Normal 109 2 2" xfId="12125"/>
    <cellStyle name="Normal 109 2 2 2" xfId="12126"/>
    <cellStyle name="Normal 109 2 3" xfId="12127"/>
    <cellStyle name="Normal 109 3" xfId="12128"/>
    <cellStyle name="Normal 109 3 2" xfId="12129"/>
    <cellStyle name="Normal 109 3 2 2" xfId="12130"/>
    <cellStyle name="Normal 109 3 3" xfId="12131"/>
    <cellStyle name="Normal 109 3 3 2" xfId="12132"/>
    <cellStyle name="Normal 109 3 3 2 2" xfId="12133"/>
    <cellStyle name="Normal 109 3 3 3" xfId="12134"/>
    <cellStyle name="Normal 109 3 4" xfId="12135"/>
    <cellStyle name="Normal 109 4" xfId="12136"/>
    <cellStyle name="Normal 109 4 2" xfId="12137"/>
    <cellStyle name="Normal 109 4 2 2" xfId="12138"/>
    <cellStyle name="Normal 109 4 3" xfId="12139"/>
    <cellStyle name="Normal 109 5" xfId="12140"/>
    <cellStyle name="Normal 11" xfId="244"/>
    <cellStyle name="Normal 11 2" xfId="253"/>
    <cellStyle name="Normal 11 2 2" xfId="12143"/>
    <cellStyle name="Normal 11 2 2 2" xfId="12144"/>
    <cellStyle name="Normal 11 2 3" xfId="12145"/>
    <cellStyle name="Normal 11 2 3 2" xfId="12146"/>
    <cellStyle name="Normal 11 2 3 2 2" xfId="12147"/>
    <cellStyle name="Normal 11 2 3 3" xfId="12148"/>
    <cellStyle name="Normal 11 2 4" xfId="12149"/>
    <cellStyle name="Normal 11 2 5" xfId="12142"/>
    <cellStyle name="Normal 11 3" xfId="12150"/>
    <cellStyle name="Normal 11 3 2" xfId="12151"/>
    <cellStyle name="Normal 11 3 2 2" xfId="12152"/>
    <cellStyle name="Normal 11 3 2 2 2" xfId="12153"/>
    <cellStyle name="Normal 11 3 2 3" xfId="12154"/>
    <cellStyle name="Normal 11 3 3" xfId="12155"/>
    <cellStyle name="Normal 11 3 3 2" xfId="12156"/>
    <cellStyle name="Normal 11 3 3 2 2" xfId="12157"/>
    <cellStyle name="Normal 11 3 3 3" xfId="12158"/>
    <cellStyle name="Normal 11 3 4" xfId="12159"/>
    <cellStyle name="Normal 11 4" xfId="12160"/>
    <cellStyle name="Normal 11 4 2" xfId="12161"/>
    <cellStyle name="Normal 11 5" xfId="12162"/>
    <cellStyle name="Normal 11 5 2" xfId="12163"/>
    <cellStyle name="Normal 11 5 2 2" xfId="12164"/>
    <cellStyle name="Normal 11 5 3" xfId="12165"/>
    <cellStyle name="Normal 11 6" xfId="12166"/>
    <cellStyle name="Normal 11 6 2" xfId="12167"/>
    <cellStyle name="Normal 11 6 2 2" xfId="12168"/>
    <cellStyle name="Normal 11 6 3" xfId="12169"/>
    <cellStyle name="Normal 11 7" xfId="12170"/>
    <cellStyle name="Normal 11 7 2" xfId="12171"/>
    <cellStyle name="Normal 11 8" xfId="12172"/>
    <cellStyle name="Normal 11 9" xfId="12141"/>
    <cellStyle name="Normal 110" xfId="12173"/>
    <cellStyle name="Normal 110 2" xfId="12174"/>
    <cellStyle name="Normal 110 2 2" xfId="12175"/>
    <cellStyle name="Normal 110 2 2 2" xfId="12176"/>
    <cellStyle name="Normal 110 2 3" xfId="12177"/>
    <cellStyle name="Normal 110 3" xfId="12178"/>
    <cellStyle name="Normal 110 3 2" xfId="12179"/>
    <cellStyle name="Normal 110 3 2 2" xfId="12180"/>
    <cellStyle name="Normal 110 3 3" xfId="12181"/>
    <cellStyle name="Normal 110 3 3 2" xfId="12182"/>
    <cellStyle name="Normal 110 3 3 2 2" xfId="12183"/>
    <cellStyle name="Normal 110 3 3 3" xfId="12184"/>
    <cellStyle name="Normal 110 3 4" xfId="12185"/>
    <cellStyle name="Normal 110 4" xfId="12186"/>
    <cellStyle name="Normal 110 4 2" xfId="12187"/>
    <cellStyle name="Normal 110 4 2 2" xfId="12188"/>
    <cellStyle name="Normal 110 4 3" xfId="12189"/>
    <cellStyle name="Normal 110 5" xfId="12190"/>
    <cellStyle name="Normal 111" xfId="12191"/>
    <cellStyle name="Normal 111 2" xfId="12192"/>
    <cellStyle name="Normal 111 2 2" xfId="12193"/>
    <cellStyle name="Normal 111 2 2 2" xfId="12194"/>
    <cellStyle name="Normal 111 2 3" xfId="12195"/>
    <cellStyle name="Normal 111 3" xfId="12196"/>
    <cellStyle name="Normal 111 3 2" xfId="12197"/>
    <cellStyle name="Normal 111 3 2 2" xfId="12198"/>
    <cellStyle name="Normal 111 3 3" xfId="12199"/>
    <cellStyle name="Normal 111 3 3 2" xfId="12200"/>
    <cellStyle name="Normal 111 3 3 2 2" xfId="12201"/>
    <cellStyle name="Normal 111 3 3 3" xfId="12202"/>
    <cellStyle name="Normal 111 3 4" xfId="12203"/>
    <cellStyle name="Normal 111 4" xfId="12204"/>
    <cellStyle name="Normal 111 4 2" xfId="12205"/>
    <cellStyle name="Normal 111 4 2 2" xfId="12206"/>
    <cellStyle name="Normal 111 4 3" xfId="12207"/>
    <cellStyle name="Normal 111 5" xfId="12208"/>
    <cellStyle name="Normal 112" xfId="12209"/>
    <cellStyle name="Normal 112 2" xfId="12210"/>
    <cellStyle name="Normal 112 2 2" xfId="12211"/>
    <cellStyle name="Normal 112 2 2 2" xfId="12212"/>
    <cellStyle name="Normal 112 2 3" xfId="12213"/>
    <cellStyle name="Normal 112 3" xfId="12214"/>
    <cellStyle name="Normal 112 3 2" xfId="12215"/>
    <cellStyle name="Normal 112 3 2 2" xfId="12216"/>
    <cellStyle name="Normal 112 3 3" xfId="12217"/>
    <cellStyle name="Normal 112 3 3 2" xfId="12218"/>
    <cellStyle name="Normal 112 3 3 2 2" xfId="12219"/>
    <cellStyle name="Normal 112 3 3 3" xfId="12220"/>
    <cellStyle name="Normal 112 3 4" xfId="12221"/>
    <cellStyle name="Normal 112 4" xfId="12222"/>
    <cellStyle name="Normal 112 4 2" xfId="12223"/>
    <cellStyle name="Normal 112 4 2 2" xfId="12224"/>
    <cellStyle name="Normal 112 4 3" xfId="12225"/>
    <cellStyle name="Normal 112 5" xfId="12226"/>
    <cellStyle name="Normal 113" xfId="12227"/>
    <cellStyle name="Normal 113 2" xfId="12228"/>
    <cellStyle name="Normal 113 2 2" xfId="12229"/>
    <cellStyle name="Normal 113 2 2 2" xfId="12230"/>
    <cellStyle name="Normal 113 2 3" xfId="12231"/>
    <cellStyle name="Normal 113 3" xfId="12232"/>
    <cellStyle name="Normal 113 3 2" xfId="12233"/>
    <cellStyle name="Normal 113 3 2 2" xfId="12234"/>
    <cellStyle name="Normal 113 3 3" xfId="12235"/>
    <cellStyle name="Normal 113 3 3 2" xfId="12236"/>
    <cellStyle name="Normal 113 3 3 2 2" xfId="12237"/>
    <cellStyle name="Normal 113 3 3 3" xfId="12238"/>
    <cellStyle name="Normal 113 3 4" xfId="12239"/>
    <cellStyle name="Normal 113 4" xfId="12240"/>
    <cellStyle name="Normal 113 4 2" xfId="12241"/>
    <cellStyle name="Normal 113 4 2 2" xfId="12242"/>
    <cellStyle name="Normal 113 4 3" xfId="12243"/>
    <cellStyle name="Normal 113 5" xfId="12244"/>
    <cellStyle name="Normal 114" xfId="12245"/>
    <cellStyle name="Normal 114 2" xfId="12246"/>
    <cellStyle name="Normal 114 2 2" xfId="12247"/>
    <cellStyle name="Normal 114 2 2 2" xfId="12248"/>
    <cellStyle name="Normal 114 2 3" xfId="12249"/>
    <cellStyle name="Normal 114 3" xfId="12250"/>
    <cellStyle name="Normal 114 3 2" xfId="12251"/>
    <cellStyle name="Normal 114 3 2 2" xfId="12252"/>
    <cellStyle name="Normal 114 3 3" xfId="12253"/>
    <cellStyle name="Normal 114 3 3 2" xfId="12254"/>
    <cellStyle name="Normal 114 3 3 2 2" xfId="12255"/>
    <cellStyle name="Normal 114 3 3 3" xfId="12256"/>
    <cellStyle name="Normal 114 3 4" xfId="12257"/>
    <cellStyle name="Normal 114 4" xfId="12258"/>
    <cellStyle name="Normal 114 4 2" xfId="12259"/>
    <cellStyle name="Normal 114 4 2 2" xfId="12260"/>
    <cellStyle name="Normal 114 4 3" xfId="12261"/>
    <cellStyle name="Normal 114 5" xfId="12262"/>
    <cellStyle name="Normal 115" xfId="12263"/>
    <cellStyle name="Normal 115 2" xfId="12264"/>
    <cellStyle name="Normal 115 2 2" xfId="12265"/>
    <cellStyle name="Normal 115 2 2 2" xfId="12266"/>
    <cellStyle name="Normal 115 2 3" xfId="12267"/>
    <cellStyle name="Normal 115 3" xfId="12268"/>
    <cellStyle name="Normal 115 3 2" xfId="12269"/>
    <cellStyle name="Normal 115 3 2 2" xfId="12270"/>
    <cellStyle name="Normal 115 3 3" xfId="12271"/>
    <cellStyle name="Normal 115 3 3 2" xfId="12272"/>
    <cellStyle name="Normal 115 3 3 2 2" xfId="12273"/>
    <cellStyle name="Normal 115 3 3 3" xfId="12274"/>
    <cellStyle name="Normal 115 3 4" xfId="12275"/>
    <cellStyle name="Normal 115 4" xfId="12276"/>
    <cellStyle name="Normal 115 4 2" xfId="12277"/>
    <cellStyle name="Normal 115 4 2 2" xfId="12278"/>
    <cellStyle name="Normal 115 4 3" xfId="12279"/>
    <cellStyle name="Normal 115 5" xfId="12280"/>
    <cellStyle name="Normal 116" xfId="12281"/>
    <cellStyle name="Normal 116 2" xfId="12282"/>
    <cellStyle name="Normal 116 2 2" xfId="12283"/>
    <cellStyle name="Normal 116 2 2 2" xfId="12284"/>
    <cellStyle name="Normal 116 2 3" xfId="12285"/>
    <cellStyle name="Normal 116 3" xfId="12286"/>
    <cellStyle name="Normal 116 3 2" xfId="12287"/>
    <cellStyle name="Normal 116 3 2 2" xfId="12288"/>
    <cellStyle name="Normal 116 3 3" xfId="12289"/>
    <cellStyle name="Normal 116 3 3 2" xfId="12290"/>
    <cellStyle name="Normal 116 3 3 2 2" xfId="12291"/>
    <cellStyle name="Normal 116 3 3 3" xfId="12292"/>
    <cellStyle name="Normal 116 3 4" xfId="12293"/>
    <cellStyle name="Normal 116 4" xfId="12294"/>
    <cellStyle name="Normal 116 4 2" xfId="12295"/>
    <cellStyle name="Normal 116 4 2 2" xfId="12296"/>
    <cellStyle name="Normal 116 4 3" xfId="12297"/>
    <cellStyle name="Normal 116 5" xfId="12298"/>
    <cellStyle name="Normal 117" xfId="12299"/>
    <cellStyle name="Normal 117 2" xfId="12300"/>
    <cellStyle name="Normal 117 2 2" xfId="12301"/>
    <cellStyle name="Normal 117 2 2 2" xfId="12302"/>
    <cellStyle name="Normal 117 2 3" xfId="12303"/>
    <cellStyle name="Normal 117 3" xfId="12304"/>
    <cellStyle name="Normal 117 3 2" xfId="12305"/>
    <cellStyle name="Normal 117 3 2 2" xfId="12306"/>
    <cellStyle name="Normal 117 3 3" xfId="12307"/>
    <cellStyle name="Normal 117 3 3 2" xfId="12308"/>
    <cellStyle name="Normal 117 3 3 2 2" xfId="12309"/>
    <cellStyle name="Normal 117 3 3 3" xfId="12310"/>
    <cellStyle name="Normal 117 3 4" xfId="12311"/>
    <cellStyle name="Normal 117 4" xfId="12312"/>
    <cellStyle name="Normal 117 4 2" xfId="12313"/>
    <cellStyle name="Normal 117 4 2 2" xfId="12314"/>
    <cellStyle name="Normal 117 4 3" xfId="12315"/>
    <cellStyle name="Normal 117 5" xfId="12316"/>
    <cellStyle name="Normal 118" xfId="12317"/>
    <cellStyle name="Normal 118 2" xfId="12318"/>
    <cellStyle name="Normal 118 2 2" xfId="12319"/>
    <cellStyle name="Normal 118 2 2 2" xfId="12320"/>
    <cellStyle name="Normal 118 2 3" xfId="12321"/>
    <cellStyle name="Normal 118 3" xfId="12322"/>
    <cellStyle name="Normal 118 3 2" xfId="12323"/>
    <cellStyle name="Normal 118 3 2 2" xfId="12324"/>
    <cellStyle name="Normal 118 3 3" xfId="12325"/>
    <cellStyle name="Normal 118 3 3 2" xfId="12326"/>
    <cellStyle name="Normal 118 3 3 2 2" xfId="12327"/>
    <cellStyle name="Normal 118 3 3 3" xfId="12328"/>
    <cellStyle name="Normal 118 3 4" xfId="12329"/>
    <cellStyle name="Normal 118 4" xfId="12330"/>
    <cellStyle name="Normal 118 4 2" xfId="12331"/>
    <cellStyle name="Normal 118 4 2 2" xfId="12332"/>
    <cellStyle name="Normal 118 4 3" xfId="12333"/>
    <cellStyle name="Normal 118 5" xfId="12334"/>
    <cellStyle name="Normal 119" xfId="12335"/>
    <cellStyle name="Normal 119 2" xfId="12336"/>
    <cellStyle name="Normal 119 2 2" xfId="12337"/>
    <cellStyle name="Normal 119 2 2 2" xfId="12338"/>
    <cellStyle name="Normal 119 2 2 2 2" xfId="12339"/>
    <cellStyle name="Normal 119 2 2 3" xfId="12340"/>
    <cellStyle name="Normal 119 2 3" xfId="12341"/>
    <cellStyle name="Normal 119 2 3 2" xfId="12342"/>
    <cellStyle name="Normal 119 2 3 2 2" xfId="12343"/>
    <cellStyle name="Normal 119 2 3 3" xfId="12344"/>
    <cellStyle name="Normal 119 2 3 3 2" xfId="12345"/>
    <cellStyle name="Normal 119 2 3 3 2 2" xfId="12346"/>
    <cellStyle name="Normal 119 2 3 3 3" xfId="12347"/>
    <cellStyle name="Normal 119 2 3 4" xfId="12348"/>
    <cellStyle name="Normal 119 2 4" xfId="12349"/>
    <cellStyle name="Normal 119 2 4 2" xfId="12350"/>
    <cellStyle name="Normal 119 2 4 2 2" xfId="12351"/>
    <cellStyle name="Normal 119 2 4 3" xfId="12352"/>
    <cellStyle name="Normal 119 2 5" xfId="12353"/>
    <cellStyle name="Normal 119 3" xfId="12354"/>
    <cellStyle name="Normal 119 3 2" xfId="12355"/>
    <cellStyle name="Normal 119 3 2 2" xfId="12356"/>
    <cellStyle name="Normal 119 3 3" xfId="12357"/>
    <cellStyle name="Normal 119 4" xfId="12358"/>
    <cellStyle name="Normal 119 4 2" xfId="12359"/>
    <cellStyle name="Normal 119 4 2 2" xfId="12360"/>
    <cellStyle name="Normal 119 4 3" xfId="12361"/>
    <cellStyle name="Normal 119 4 3 2" xfId="12362"/>
    <cellStyle name="Normal 119 4 3 2 2" xfId="12363"/>
    <cellStyle name="Normal 119 4 3 3" xfId="12364"/>
    <cellStyle name="Normal 119 4 4" xfId="12365"/>
    <cellStyle name="Normal 119 5" xfId="12366"/>
    <cellStyle name="Normal 119 5 2" xfId="12367"/>
    <cellStyle name="Normal 119 5 2 2" xfId="12368"/>
    <cellStyle name="Normal 119 5 3" xfId="12369"/>
    <cellStyle name="Normal 119 6" xfId="12370"/>
    <cellStyle name="Normal 12" xfId="128"/>
    <cellStyle name="Normal 12 2" xfId="12372"/>
    <cellStyle name="Normal 12 2 2" xfId="12373"/>
    <cellStyle name="Normal 12 2 2 2" xfId="12374"/>
    <cellStyle name="Normal 12 2 3" xfId="12375"/>
    <cellStyle name="Normal 12 2 3 2" xfId="12376"/>
    <cellStyle name="Normal 12 2 3 2 2" xfId="12377"/>
    <cellStyle name="Normal 12 2 3 3" xfId="12378"/>
    <cellStyle name="Normal 12 2 4" xfId="12379"/>
    <cellStyle name="Normal 12 3" xfId="12380"/>
    <cellStyle name="Normal 12 3 2" xfId="12381"/>
    <cellStyle name="Normal 12 3 2 2" xfId="12382"/>
    <cellStyle name="Normal 12 3 2 2 2" xfId="12383"/>
    <cellStyle name="Normal 12 3 2 3" xfId="12384"/>
    <cellStyle name="Normal 12 3 3" xfId="12385"/>
    <cellStyle name="Normal 12 3 3 2" xfId="12386"/>
    <cellStyle name="Normal 12 3 3 2 2" xfId="12387"/>
    <cellStyle name="Normal 12 3 3 3" xfId="12388"/>
    <cellStyle name="Normal 12 3 4" xfId="12389"/>
    <cellStyle name="Normal 12 4" xfId="12390"/>
    <cellStyle name="Normal 12 4 2" xfId="12391"/>
    <cellStyle name="Normal 12 5" xfId="12392"/>
    <cellStyle name="Normal 12 5 2" xfId="12393"/>
    <cellStyle name="Normal 12 5 2 2" xfId="12394"/>
    <cellStyle name="Normal 12 5 3" xfId="12395"/>
    <cellStyle name="Normal 12 6" xfId="12396"/>
    <cellStyle name="Normal 12 6 2" xfId="12397"/>
    <cellStyle name="Normal 12 6 2 2" xfId="12398"/>
    <cellStyle name="Normal 12 6 3" xfId="12399"/>
    <cellStyle name="Normal 12 7" xfId="12400"/>
    <cellStyle name="Normal 12 7 2" xfId="12401"/>
    <cellStyle name="Normal 12 8" xfId="12402"/>
    <cellStyle name="Normal 12 9" xfId="12371"/>
    <cellStyle name="Normal 120" xfId="12403"/>
    <cellStyle name="Normal 120 2" xfId="12404"/>
    <cellStyle name="Normal 120 2 2" xfId="12405"/>
    <cellStyle name="Normal 120 2 2 2" xfId="12406"/>
    <cellStyle name="Normal 120 2 2 2 2" xfId="12407"/>
    <cellStyle name="Normal 120 2 2 3" xfId="12408"/>
    <cellStyle name="Normal 120 2 3" xfId="12409"/>
    <cellStyle name="Normal 120 2 3 2" xfId="12410"/>
    <cellStyle name="Normal 120 2 3 2 2" xfId="12411"/>
    <cellStyle name="Normal 120 2 3 3" xfId="12412"/>
    <cellStyle name="Normal 120 2 3 3 2" xfId="12413"/>
    <cellStyle name="Normal 120 2 3 3 2 2" xfId="12414"/>
    <cellStyle name="Normal 120 2 3 3 3" xfId="12415"/>
    <cellStyle name="Normal 120 2 3 4" xfId="12416"/>
    <cellStyle name="Normal 120 2 4" xfId="12417"/>
    <cellStyle name="Normal 120 2 4 2" xfId="12418"/>
    <cellStyle name="Normal 120 2 4 2 2" xfId="12419"/>
    <cellStyle name="Normal 120 2 4 3" xfId="12420"/>
    <cellStyle name="Normal 120 2 5" xfId="12421"/>
    <cellStyle name="Normal 120 3" xfId="12422"/>
    <cellStyle name="Normal 120 3 2" xfId="12423"/>
    <cellStyle name="Normal 120 3 2 2" xfId="12424"/>
    <cellStyle name="Normal 120 3 3" xfId="12425"/>
    <cellStyle name="Normal 120 4" xfId="12426"/>
    <cellStyle name="Normal 120 4 2" xfId="12427"/>
    <cellStyle name="Normal 120 4 2 2" xfId="12428"/>
    <cellStyle name="Normal 120 4 3" xfId="12429"/>
    <cellStyle name="Normal 120 4 3 2" xfId="12430"/>
    <cellStyle name="Normal 120 4 3 2 2" xfId="12431"/>
    <cellStyle name="Normal 120 4 3 3" xfId="12432"/>
    <cellStyle name="Normal 120 4 4" xfId="12433"/>
    <cellStyle name="Normal 120 5" xfId="12434"/>
    <cellStyle name="Normal 120 5 2" xfId="12435"/>
    <cellStyle name="Normal 120 5 2 2" xfId="12436"/>
    <cellStyle name="Normal 120 5 3" xfId="12437"/>
    <cellStyle name="Normal 120 6" xfId="12438"/>
    <cellStyle name="Normal 121" xfId="12439"/>
    <cellStyle name="Normal 121 2" xfId="12440"/>
    <cellStyle name="Normal 121 2 2" xfId="12441"/>
    <cellStyle name="Normal 121 2 2 2" xfId="12442"/>
    <cellStyle name="Normal 121 2 2 2 2" xfId="12443"/>
    <cellStyle name="Normal 121 2 2 3" xfId="12444"/>
    <cellStyle name="Normal 121 2 3" xfId="12445"/>
    <cellStyle name="Normal 121 2 3 2" xfId="12446"/>
    <cellStyle name="Normal 121 2 3 2 2" xfId="12447"/>
    <cellStyle name="Normal 121 2 3 3" xfId="12448"/>
    <cellStyle name="Normal 121 2 3 3 2" xfId="12449"/>
    <cellStyle name="Normal 121 2 3 3 2 2" xfId="12450"/>
    <cellStyle name="Normal 121 2 3 3 3" xfId="12451"/>
    <cellStyle name="Normal 121 2 3 4" xfId="12452"/>
    <cellStyle name="Normal 121 2 4" xfId="12453"/>
    <cellStyle name="Normal 121 2 4 2" xfId="12454"/>
    <cellStyle name="Normal 121 2 4 2 2" xfId="12455"/>
    <cellStyle name="Normal 121 2 4 3" xfId="12456"/>
    <cellStyle name="Normal 121 2 5" xfId="12457"/>
    <cellStyle name="Normal 121 3" xfId="12458"/>
    <cellStyle name="Normal 121 3 2" xfId="12459"/>
    <cellStyle name="Normal 121 3 2 2" xfId="12460"/>
    <cellStyle name="Normal 121 3 3" xfId="12461"/>
    <cellStyle name="Normal 121 4" xfId="12462"/>
    <cellStyle name="Normal 121 4 2" xfId="12463"/>
    <cellStyle name="Normal 121 4 2 2" xfId="12464"/>
    <cellStyle name="Normal 121 4 3" xfId="12465"/>
    <cellStyle name="Normal 121 4 3 2" xfId="12466"/>
    <cellStyle name="Normal 121 4 3 2 2" xfId="12467"/>
    <cellStyle name="Normal 121 4 3 3" xfId="12468"/>
    <cellStyle name="Normal 121 4 4" xfId="12469"/>
    <cellStyle name="Normal 121 5" xfId="12470"/>
    <cellStyle name="Normal 121 5 2" xfId="12471"/>
    <cellStyle name="Normal 121 5 2 2" xfId="12472"/>
    <cellStyle name="Normal 121 5 3" xfId="12473"/>
    <cellStyle name="Normal 121 6" xfId="12474"/>
    <cellStyle name="Normal 122" xfId="12475"/>
    <cellStyle name="Normal 122 2" xfId="12476"/>
    <cellStyle name="Normal 122 2 2" xfId="12477"/>
    <cellStyle name="Normal 122 2 2 2" xfId="12478"/>
    <cellStyle name="Normal 122 2 3" xfId="12479"/>
    <cellStyle name="Normal 122 3" xfId="12480"/>
    <cellStyle name="Normal 122 3 2" xfId="12481"/>
    <cellStyle name="Normal 122 3 2 2" xfId="12482"/>
    <cellStyle name="Normal 122 3 3" xfId="12483"/>
    <cellStyle name="Normal 122 3 3 2" xfId="12484"/>
    <cellStyle name="Normal 122 3 3 2 2" xfId="12485"/>
    <cellStyle name="Normal 122 3 3 3" xfId="12486"/>
    <cellStyle name="Normal 122 3 4" xfId="12487"/>
    <cellStyle name="Normal 122 4" xfId="12488"/>
    <cellStyle name="Normal 122 4 2" xfId="12489"/>
    <cellStyle name="Normal 122 4 2 2" xfId="12490"/>
    <cellStyle name="Normal 122 4 3" xfId="12491"/>
    <cellStyle name="Normal 122 5" xfId="12492"/>
    <cellStyle name="Normal 123" xfId="12493"/>
    <cellStyle name="Normal 123 2" xfId="12494"/>
    <cellStyle name="Normal 123 2 2" xfId="12495"/>
    <cellStyle name="Normal 123 2 2 2" xfId="12496"/>
    <cellStyle name="Normal 123 2 3" xfId="12497"/>
    <cellStyle name="Normal 123 3" xfId="12498"/>
    <cellStyle name="Normal 123 3 2" xfId="12499"/>
    <cellStyle name="Normal 123 3 2 2" xfId="12500"/>
    <cellStyle name="Normal 123 3 3" xfId="12501"/>
    <cellStyle name="Normal 123 3 3 2" xfId="12502"/>
    <cellStyle name="Normal 123 3 3 2 2" xfId="12503"/>
    <cellStyle name="Normal 123 3 3 3" xfId="12504"/>
    <cellStyle name="Normal 123 3 4" xfId="12505"/>
    <cellStyle name="Normal 123 4" xfId="12506"/>
    <cellStyle name="Normal 123 4 2" xfId="12507"/>
    <cellStyle name="Normal 123 4 2 2" xfId="12508"/>
    <cellStyle name="Normal 123 4 3" xfId="12509"/>
    <cellStyle name="Normal 123 5" xfId="12510"/>
    <cellStyle name="Normal 124" xfId="12511"/>
    <cellStyle name="Normal 124 2" xfId="12512"/>
    <cellStyle name="Normal 124 2 2" xfId="12513"/>
    <cellStyle name="Normal 124 2 2 2" xfId="12514"/>
    <cellStyle name="Normal 124 2 3" xfId="12515"/>
    <cellStyle name="Normal 124 3" xfId="12516"/>
    <cellStyle name="Normal 124 3 2" xfId="12517"/>
    <cellStyle name="Normal 124 3 2 2" xfId="12518"/>
    <cellStyle name="Normal 124 3 3" xfId="12519"/>
    <cellStyle name="Normal 124 3 3 2" xfId="12520"/>
    <cellStyle name="Normal 124 3 3 2 2" xfId="12521"/>
    <cellStyle name="Normal 124 3 3 3" xfId="12522"/>
    <cellStyle name="Normal 124 3 4" xfId="12523"/>
    <cellStyle name="Normal 124 4" xfId="12524"/>
    <cellStyle name="Normal 124 4 2" xfId="12525"/>
    <cellStyle name="Normal 124 4 2 2" xfId="12526"/>
    <cellStyle name="Normal 124 4 3" xfId="12527"/>
    <cellStyle name="Normal 124 5" xfId="12528"/>
    <cellStyle name="Normal 125" xfId="12529"/>
    <cellStyle name="Normal 125 2" xfId="12530"/>
    <cellStyle name="Normal 125 2 2" xfId="12531"/>
    <cellStyle name="Normal 125 2 2 2" xfId="12532"/>
    <cellStyle name="Normal 125 2 3" xfId="12533"/>
    <cellStyle name="Normal 125 3" xfId="12534"/>
    <cellStyle name="Normal 125 3 2" xfId="12535"/>
    <cellStyle name="Normal 125 3 2 2" xfId="12536"/>
    <cellStyle name="Normal 125 3 3" xfId="12537"/>
    <cellStyle name="Normal 125 3 3 2" xfId="12538"/>
    <cellStyle name="Normal 125 3 3 2 2" xfId="12539"/>
    <cellStyle name="Normal 125 3 3 3" xfId="12540"/>
    <cellStyle name="Normal 125 3 4" xfId="12541"/>
    <cellStyle name="Normal 125 4" xfId="12542"/>
    <cellStyle name="Normal 125 4 2" xfId="12543"/>
    <cellStyle name="Normal 125 4 2 2" xfId="12544"/>
    <cellStyle name="Normal 125 4 3" xfId="12545"/>
    <cellStyle name="Normal 125 5" xfId="12546"/>
    <cellStyle name="Normal 126" xfId="12547"/>
    <cellStyle name="Normal 126 2" xfId="12548"/>
    <cellStyle name="Normal 126 2 2" xfId="12549"/>
    <cellStyle name="Normal 126 2 2 2" xfId="12550"/>
    <cellStyle name="Normal 126 2 3" xfId="12551"/>
    <cellStyle name="Normal 126 3" xfId="12552"/>
    <cellStyle name="Normal 126 3 2" xfId="12553"/>
    <cellStyle name="Normal 126 3 2 2" xfId="12554"/>
    <cellStyle name="Normal 126 3 3" xfId="12555"/>
    <cellStyle name="Normal 126 3 3 2" xfId="12556"/>
    <cellStyle name="Normal 126 3 3 2 2" xfId="12557"/>
    <cellStyle name="Normal 126 3 3 3" xfId="12558"/>
    <cellStyle name="Normal 126 3 4" xfId="12559"/>
    <cellStyle name="Normal 126 4" xfId="12560"/>
    <cellStyle name="Normal 126 4 2" xfId="12561"/>
    <cellStyle name="Normal 126 4 2 2" xfId="12562"/>
    <cellStyle name="Normal 126 4 3" xfId="12563"/>
    <cellStyle name="Normal 126 5" xfId="12564"/>
    <cellStyle name="Normal 127" xfId="12565"/>
    <cellStyle name="Normal 127 2" xfId="12566"/>
    <cellStyle name="Normal 127 2 2" xfId="12567"/>
    <cellStyle name="Normal 127 2 2 2" xfId="12568"/>
    <cellStyle name="Normal 127 2 3" xfId="12569"/>
    <cellStyle name="Normal 127 3" xfId="12570"/>
    <cellStyle name="Normal 127 3 2" xfId="12571"/>
    <cellStyle name="Normal 127 3 2 2" xfId="12572"/>
    <cellStyle name="Normal 127 3 3" xfId="12573"/>
    <cellStyle name="Normal 127 3 3 2" xfId="12574"/>
    <cellStyle name="Normal 127 3 3 2 2" xfId="12575"/>
    <cellStyle name="Normal 127 3 3 3" xfId="12576"/>
    <cellStyle name="Normal 127 3 4" xfId="12577"/>
    <cellStyle name="Normal 127 4" xfId="12578"/>
    <cellStyle name="Normal 127 4 2" xfId="12579"/>
    <cellStyle name="Normal 127 4 2 2" xfId="12580"/>
    <cellStyle name="Normal 127 4 3" xfId="12581"/>
    <cellStyle name="Normal 127 5" xfId="12582"/>
    <cellStyle name="Normal 128" xfId="12583"/>
    <cellStyle name="Normal 128 2" xfId="12584"/>
    <cellStyle name="Normal 128 2 2" xfId="12585"/>
    <cellStyle name="Normal 128 2 2 2" xfId="12586"/>
    <cellStyle name="Normal 128 2 3" xfId="12587"/>
    <cellStyle name="Normal 128 3" xfId="12588"/>
    <cellStyle name="Normal 128 3 2" xfId="12589"/>
    <cellStyle name="Normal 128 3 2 2" xfId="12590"/>
    <cellStyle name="Normal 128 3 3" xfId="12591"/>
    <cellStyle name="Normal 128 3 3 2" xfId="12592"/>
    <cellStyle name="Normal 128 3 3 2 2" xfId="12593"/>
    <cellStyle name="Normal 128 3 3 3" xfId="12594"/>
    <cellStyle name="Normal 128 3 4" xfId="12595"/>
    <cellStyle name="Normal 128 4" xfId="12596"/>
    <cellStyle name="Normal 128 4 2" xfId="12597"/>
    <cellStyle name="Normal 128 4 2 2" xfId="12598"/>
    <cellStyle name="Normal 128 4 3" xfId="12599"/>
    <cellStyle name="Normal 128 5" xfId="12600"/>
    <cellStyle name="Normal 129" xfId="12601"/>
    <cellStyle name="Normal 129 2" xfId="12602"/>
    <cellStyle name="Normal 129 2 2" xfId="12603"/>
    <cellStyle name="Normal 129 2 2 2" xfId="12604"/>
    <cellStyle name="Normal 129 2 3" xfId="12605"/>
    <cellStyle name="Normal 129 3" xfId="12606"/>
    <cellStyle name="Normal 129 3 2" xfId="12607"/>
    <cellStyle name="Normal 129 3 2 2" xfId="12608"/>
    <cellStyle name="Normal 129 3 3" xfId="12609"/>
    <cellStyle name="Normal 129 3 3 2" xfId="12610"/>
    <cellStyle name="Normal 129 3 3 2 2" xfId="12611"/>
    <cellStyle name="Normal 129 3 3 3" xfId="12612"/>
    <cellStyle name="Normal 129 3 4" xfId="12613"/>
    <cellStyle name="Normal 129 4" xfId="12614"/>
    <cellStyle name="Normal 129 4 2" xfId="12615"/>
    <cellStyle name="Normal 129 4 2 2" xfId="12616"/>
    <cellStyle name="Normal 129 4 3" xfId="12617"/>
    <cellStyle name="Normal 129 5" xfId="12618"/>
    <cellStyle name="Normal 13" xfId="130"/>
    <cellStyle name="Normal 13 2" xfId="12620"/>
    <cellStyle name="Normal 13 2 2" xfId="12621"/>
    <cellStyle name="Normal 13 2 2 2" xfId="12622"/>
    <cellStyle name="Normal 13 2 3" xfId="12623"/>
    <cellStyle name="Normal 13 2 3 2" xfId="12624"/>
    <cellStyle name="Normal 13 2 3 2 2" xfId="12625"/>
    <cellStyle name="Normal 13 2 3 3" xfId="12626"/>
    <cellStyle name="Normal 13 2 4" xfId="12627"/>
    <cellStyle name="Normal 13 3" xfId="12628"/>
    <cellStyle name="Normal 13 3 2" xfId="12629"/>
    <cellStyle name="Normal 13 3 2 2" xfId="12630"/>
    <cellStyle name="Normal 13 3 2 2 2" xfId="12631"/>
    <cellStyle name="Normal 13 3 2 3" xfId="12632"/>
    <cellStyle name="Normal 13 3 3" xfId="12633"/>
    <cellStyle name="Normal 13 3 3 2" xfId="12634"/>
    <cellStyle name="Normal 13 3 3 2 2" xfId="12635"/>
    <cellStyle name="Normal 13 3 3 3" xfId="12636"/>
    <cellStyle name="Normal 13 3 4" xfId="12637"/>
    <cellStyle name="Normal 13 4" xfId="12638"/>
    <cellStyle name="Normal 13 4 2" xfId="12639"/>
    <cellStyle name="Normal 13 5" xfId="12640"/>
    <cellStyle name="Normal 13 5 2" xfId="12641"/>
    <cellStyle name="Normal 13 5 2 2" xfId="12642"/>
    <cellStyle name="Normal 13 5 3" xfId="12643"/>
    <cellStyle name="Normal 13 6" xfId="12644"/>
    <cellStyle name="Normal 13 6 2" xfId="12645"/>
    <cellStyle name="Normal 13 6 2 2" xfId="12646"/>
    <cellStyle name="Normal 13 6 3" xfId="12647"/>
    <cellStyle name="Normal 13 7" xfId="12648"/>
    <cellStyle name="Normal 13 7 2" xfId="12649"/>
    <cellStyle name="Normal 13 8" xfId="12650"/>
    <cellStyle name="Normal 13 9" xfId="12619"/>
    <cellStyle name="Normal 130" xfId="12651"/>
    <cellStyle name="Normal 130 2" xfId="12652"/>
    <cellStyle name="Normal 130 2 2" xfId="12653"/>
    <cellStyle name="Normal 130 2 2 2" xfId="12654"/>
    <cellStyle name="Normal 130 2 3" xfId="12655"/>
    <cellStyle name="Normal 130 3" xfId="12656"/>
    <cellStyle name="Normal 130 3 2" xfId="12657"/>
    <cellStyle name="Normal 130 3 2 2" xfId="12658"/>
    <cellStyle name="Normal 130 3 3" xfId="12659"/>
    <cellStyle name="Normal 130 3 3 2" xfId="12660"/>
    <cellStyle name="Normal 130 3 3 2 2" xfId="12661"/>
    <cellStyle name="Normal 130 3 3 3" xfId="12662"/>
    <cellStyle name="Normal 130 3 4" xfId="12663"/>
    <cellStyle name="Normal 130 4" xfId="12664"/>
    <cellStyle name="Normal 130 4 2" xfId="12665"/>
    <cellStyle name="Normal 130 4 2 2" xfId="12666"/>
    <cellStyle name="Normal 130 4 3" xfId="12667"/>
    <cellStyle name="Normal 130 5" xfId="12668"/>
    <cellStyle name="Normal 131" xfId="12669"/>
    <cellStyle name="Normal 131 2" xfId="12670"/>
    <cellStyle name="Normal 131 2 2" xfId="12671"/>
    <cellStyle name="Normal 131 2 2 2" xfId="12672"/>
    <cellStyle name="Normal 131 2 3" xfId="12673"/>
    <cellStyle name="Normal 131 3" xfId="12674"/>
    <cellStyle name="Normal 131 3 2" xfId="12675"/>
    <cellStyle name="Normal 131 3 2 2" xfId="12676"/>
    <cellStyle name="Normal 131 3 3" xfId="12677"/>
    <cellStyle name="Normal 131 3 3 2" xfId="12678"/>
    <cellStyle name="Normal 131 3 3 2 2" xfId="12679"/>
    <cellStyle name="Normal 131 3 3 3" xfId="12680"/>
    <cellStyle name="Normal 131 3 4" xfId="12681"/>
    <cellStyle name="Normal 131 4" xfId="12682"/>
    <cellStyle name="Normal 131 4 2" xfId="12683"/>
    <cellStyle name="Normal 131 4 2 2" xfId="12684"/>
    <cellStyle name="Normal 131 4 3" xfId="12685"/>
    <cellStyle name="Normal 131 5" xfId="12686"/>
    <cellStyle name="Normal 132" xfId="12687"/>
    <cellStyle name="Normal 132 2" xfId="12688"/>
    <cellStyle name="Normal 132 2 2" xfId="12689"/>
    <cellStyle name="Normal 132 2 2 2" xfId="12690"/>
    <cellStyle name="Normal 132 2 3" xfId="12691"/>
    <cellStyle name="Normal 132 3" xfId="12692"/>
    <cellStyle name="Normal 132 3 2" xfId="12693"/>
    <cellStyle name="Normal 132 3 2 2" xfId="12694"/>
    <cellStyle name="Normal 132 3 3" xfId="12695"/>
    <cellStyle name="Normal 132 3 3 2" xfId="12696"/>
    <cellStyle name="Normal 132 3 3 2 2" xfId="12697"/>
    <cellStyle name="Normal 132 3 3 3" xfId="12698"/>
    <cellStyle name="Normal 132 3 4" xfId="12699"/>
    <cellStyle name="Normal 132 4" xfId="12700"/>
    <cellStyle name="Normal 132 4 2" xfId="12701"/>
    <cellStyle name="Normal 132 4 2 2" xfId="12702"/>
    <cellStyle name="Normal 132 4 3" xfId="12703"/>
    <cellStyle name="Normal 132 5" xfId="12704"/>
    <cellStyle name="Normal 133" xfId="12705"/>
    <cellStyle name="Normal 133 2" xfId="12706"/>
    <cellStyle name="Normal 133 2 2" xfId="12707"/>
    <cellStyle name="Normal 133 2 2 2" xfId="12708"/>
    <cellStyle name="Normal 133 2 3" xfId="12709"/>
    <cellStyle name="Normal 133 3" xfId="12710"/>
    <cellStyle name="Normal 133 3 2" xfId="12711"/>
    <cellStyle name="Normal 133 3 2 2" xfId="12712"/>
    <cellStyle name="Normal 133 3 3" xfId="12713"/>
    <cellStyle name="Normal 133 3 3 2" xfId="12714"/>
    <cellStyle name="Normal 133 3 3 2 2" xfId="12715"/>
    <cellStyle name="Normal 133 3 3 3" xfId="12716"/>
    <cellStyle name="Normal 133 3 4" xfId="12717"/>
    <cellStyle name="Normal 133 4" xfId="12718"/>
    <cellStyle name="Normal 133 4 2" xfId="12719"/>
    <cellStyle name="Normal 133 4 2 2" xfId="12720"/>
    <cellStyle name="Normal 133 4 3" xfId="12721"/>
    <cellStyle name="Normal 133 5" xfId="12722"/>
    <cellStyle name="Normal 134" xfId="12723"/>
    <cellStyle name="Normal 134 2" xfId="12724"/>
    <cellStyle name="Normal 134 2 2" xfId="12725"/>
    <cellStyle name="Normal 134 2 2 2" xfId="12726"/>
    <cellStyle name="Normal 134 2 3" xfId="12727"/>
    <cellStyle name="Normal 134 3" xfId="12728"/>
    <cellStyle name="Normal 134 3 2" xfId="12729"/>
    <cellStyle name="Normal 134 3 2 2" xfId="12730"/>
    <cellStyle name="Normal 134 3 3" xfId="12731"/>
    <cellStyle name="Normal 134 3 3 2" xfId="12732"/>
    <cellStyle name="Normal 134 3 3 2 2" xfId="12733"/>
    <cellStyle name="Normal 134 3 3 3" xfId="12734"/>
    <cellStyle name="Normal 134 3 4" xfId="12735"/>
    <cellStyle name="Normal 134 4" xfId="12736"/>
    <cellStyle name="Normal 134 4 2" xfId="12737"/>
    <cellStyle name="Normal 134 4 2 2" xfId="12738"/>
    <cellStyle name="Normal 134 4 3" xfId="12739"/>
    <cellStyle name="Normal 134 5" xfId="12740"/>
    <cellStyle name="Normal 135" xfId="12741"/>
    <cellStyle name="Normal 135 2" xfId="12742"/>
    <cellStyle name="Normal 135 2 2" xfId="12743"/>
    <cellStyle name="Normal 135 2 2 2" xfId="12744"/>
    <cellStyle name="Normal 135 2 3" xfId="12745"/>
    <cellStyle name="Normal 135 3" xfId="12746"/>
    <cellStyle name="Normal 135 3 2" xfId="12747"/>
    <cellStyle name="Normal 135 3 2 2" xfId="12748"/>
    <cellStyle name="Normal 135 3 3" xfId="12749"/>
    <cellStyle name="Normal 135 3 3 2" xfId="12750"/>
    <cellStyle name="Normal 135 3 3 2 2" xfId="12751"/>
    <cellStyle name="Normal 135 3 3 3" xfId="12752"/>
    <cellStyle name="Normal 135 3 4" xfId="12753"/>
    <cellStyle name="Normal 135 4" xfId="12754"/>
    <cellStyle name="Normal 135 4 2" xfId="12755"/>
    <cellStyle name="Normal 135 4 2 2" xfId="12756"/>
    <cellStyle name="Normal 135 4 3" xfId="12757"/>
    <cellStyle name="Normal 135 5" xfId="12758"/>
    <cellStyle name="Normal 136" xfId="12759"/>
    <cellStyle name="Normal 136 2" xfId="12760"/>
    <cellStyle name="Normal 136 2 2" xfId="12761"/>
    <cellStyle name="Normal 136 2 2 2" xfId="12762"/>
    <cellStyle name="Normal 136 2 3" xfId="12763"/>
    <cellStyle name="Normal 136 2 3 2" xfId="12764"/>
    <cellStyle name="Normal 136 2 3 2 2" xfId="12765"/>
    <cellStyle name="Normal 136 2 3 3" xfId="12766"/>
    <cellStyle name="Normal 136 2 4" xfId="12767"/>
    <cellStyle name="Normal 136 2 4 2" xfId="12768"/>
    <cellStyle name="Normal 136 2 4 2 2" xfId="12769"/>
    <cellStyle name="Normal 136 2 4 3" xfId="12770"/>
    <cellStyle name="Normal 136 2 5" xfId="12771"/>
    <cellStyle name="Normal 136 3" xfId="12772"/>
    <cellStyle name="Normal 136 3 2" xfId="12773"/>
    <cellStyle name="Normal 136 3 2 2" xfId="12774"/>
    <cellStyle name="Normal 136 3 2 2 2" xfId="12775"/>
    <cellStyle name="Normal 136 3 2 3" xfId="12776"/>
    <cellStyle name="Normal 136 3 2 3 2" xfId="12777"/>
    <cellStyle name="Normal 136 3 2 3 2 2" xfId="12778"/>
    <cellStyle name="Normal 136 3 2 3 3" xfId="12779"/>
    <cellStyle name="Normal 136 3 2 4" xfId="12780"/>
    <cellStyle name="Normal 136 3 3" xfId="12781"/>
    <cellStyle name="Normal 136 3 3 2" xfId="12782"/>
    <cellStyle name="Normal 136 3 3 2 2" xfId="12783"/>
    <cellStyle name="Normal 136 3 3 3" xfId="12784"/>
    <cellStyle name="Normal 136 3 4" xfId="12785"/>
    <cellStyle name="Normal 136 3 4 2" xfId="12786"/>
    <cellStyle name="Normal 136 3 4 2 2" xfId="12787"/>
    <cellStyle name="Normal 136 3 4 3" xfId="12788"/>
    <cellStyle name="Normal 136 3 5" xfId="12789"/>
    <cellStyle name="Normal 136 3 5 2" xfId="12790"/>
    <cellStyle name="Normal 136 3 5 2 2" xfId="12791"/>
    <cellStyle name="Normal 136 3 5 3" xfId="12792"/>
    <cellStyle name="Normal 136 3 6" xfId="12793"/>
    <cellStyle name="Normal 136 4" xfId="12794"/>
    <cellStyle name="Normal 136 4 2" xfId="12795"/>
    <cellStyle name="Normal 136 4 2 2" xfId="12796"/>
    <cellStyle name="Normal 136 4 3" xfId="12797"/>
    <cellStyle name="Normal 136 5" xfId="12798"/>
    <cellStyle name="Normal 136 5 2" xfId="12799"/>
    <cellStyle name="Normal 136 5 2 2" xfId="12800"/>
    <cellStyle name="Normal 136 5 3" xfId="12801"/>
    <cellStyle name="Normal 136 6" xfId="12802"/>
    <cellStyle name="Normal 136 6 2" xfId="12803"/>
    <cellStyle name="Normal 136 6 2 2" xfId="12804"/>
    <cellStyle name="Normal 136 6 3" xfId="12805"/>
    <cellStyle name="Normal 136 7" xfId="12806"/>
    <cellStyle name="Normal 137" xfId="12807"/>
    <cellStyle name="Normal 137 2" xfId="12808"/>
    <cellStyle name="Normal 137 2 2" xfId="12809"/>
    <cellStyle name="Normal 137 2 2 2" xfId="12810"/>
    <cellStyle name="Normal 137 2 3" xfId="12811"/>
    <cellStyle name="Normal 137 2 3 2" xfId="12812"/>
    <cellStyle name="Normal 137 2 3 2 2" xfId="12813"/>
    <cellStyle name="Normal 137 2 3 3" xfId="12814"/>
    <cellStyle name="Normal 137 2 4" xfId="12815"/>
    <cellStyle name="Normal 137 2 4 2" xfId="12816"/>
    <cellStyle name="Normal 137 2 4 2 2" xfId="12817"/>
    <cellStyle name="Normal 137 2 4 3" xfId="12818"/>
    <cellStyle name="Normal 137 2 5" xfId="12819"/>
    <cellStyle name="Normal 137 3" xfId="12820"/>
    <cellStyle name="Normal 137 3 2" xfId="12821"/>
    <cellStyle name="Normal 137 3 2 2" xfId="12822"/>
    <cellStyle name="Normal 137 3 2 2 2" xfId="12823"/>
    <cellStyle name="Normal 137 3 2 3" xfId="12824"/>
    <cellStyle name="Normal 137 3 2 3 2" xfId="12825"/>
    <cellStyle name="Normal 137 3 2 3 2 2" xfId="12826"/>
    <cellStyle name="Normal 137 3 2 3 3" xfId="12827"/>
    <cellStyle name="Normal 137 3 2 4" xfId="12828"/>
    <cellStyle name="Normal 137 3 3" xfId="12829"/>
    <cellStyle name="Normal 137 3 3 2" xfId="12830"/>
    <cellStyle name="Normal 137 3 3 2 2" xfId="12831"/>
    <cellStyle name="Normal 137 3 3 3" xfId="12832"/>
    <cellStyle name="Normal 137 3 4" xfId="12833"/>
    <cellStyle name="Normal 137 3 4 2" xfId="12834"/>
    <cellStyle name="Normal 137 3 4 2 2" xfId="12835"/>
    <cellStyle name="Normal 137 3 4 3" xfId="12836"/>
    <cellStyle name="Normal 137 3 5" xfId="12837"/>
    <cellStyle name="Normal 137 3 5 2" xfId="12838"/>
    <cellStyle name="Normal 137 3 5 2 2" xfId="12839"/>
    <cellStyle name="Normal 137 3 5 3" xfId="12840"/>
    <cellStyle name="Normal 137 3 6" xfId="12841"/>
    <cellStyle name="Normal 137 4" xfId="12842"/>
    <cellStyle name="Normal 137 4 2" xfId="12843"/>
    <cellStyle name="Normal 137 4 2 2" xfId="12844"/>
    <cellStyle name="Normal 137 4 3" xfId="12845"/>
    <cellStyle name="Normal 137 5" xfId="12846"/>
    <cellStyle name="Normal 137 5 2" xfId="12847"/>
    <cellStyle name="Normal 137 5 2 2" xfId="12848"/>
    <cellStyle name="Normal 137 5 3" xfId="12849"/>
    <cellStyle name="Normal 137 6" xfId="12850"/>
    <cellStyle name="Normal 137 6 2" xfId="12851"/>
    <cellStyle name="Normal 137 6 2 2" xfId="12852"/>
    <cellStyle name="Normal 137 6 3" xfId="12853"/>
    <cellStyle name="Normal 137 7" xfId="12854"/>
    <cellStyle name="Normal 138" xfId="12855"/>
    <cellStyle name="Normal 138 2" xfId="12856"/>
    <cellStyle name="Normal 138 2 2" xfId="12857"/>
    <cellStyle name="Normal 138 2 2 2" xfId="12858"/>
    <cellStyle name="Normal 138 2 3" xfId="12859"/>
    <cellStyle name="Normal 138 2 3 2" xfId="12860"/>
    <cellStyle name="Normal 138 2 3 2 2" xfId="12861"/>
    <cellStyle name="Normal 138 2 3 3" xfId="12862"/>
    <cellStyle name="Normal 138 2 4" xfId="12863"/>
    <cellStyle name="Normal 138 2 4 2" xfId="12864"/>
    <cellStyle name="Normal 138 2 4 2 2" xfId="12865"/>
    <cellStyle name="Normal 138 2 4 3" xfId="12866"/>
    <cellStyle name="Normal 138 2 5" xfId="12867"/>
    <cellStyle name="Normal 138 3" xfId="12868"/>
    <cellStyle name="Normal 138 3 2" xfId="12869"/>
    <cellStyle name="Normal 138 3 2 2" xfId="12870"/>
    <cellStyle name="Normal 138 3 2 2 2" xfId="12871"/>
    <cellStyle name="Normal 138 3 2 3" xfId="12872"/>
    <cellStyle name="Normal 138 3 2 3 2" xfId="12873"/>
    <cellStyle name="Normal 138 3 2 3 2 2" xfId="12874"/>
    <cellStyle name="Normal 138 3 2 3 3" xfId="12875"/>
    <cellStyle name="Normal 138 3 2 4" xfId="12876"/>
    <cellStyle name="Normal 138 3 3" xfId="12877"/>
    <cellStyle name="Normal 138 3 3 2" xfId="12878"/>
    <cellStyle name="Normal 138 3 3 2 2" xfId="12879"/>
    <cellStyle name="Normal 138 3 3 3" xfId="12880"/>
    <cellStyle name="Normal 138 3 4" xfId="12881"/>
    <cellStyle name="Normal 138 3 4 2" xfId="12882"/>
    <cellStyle name="Normal 138 3 4 2 2" xfId="12883"/>
    <cellStyle name="Normal 138 3 4 3" xfId="12884"/>
    <cellStyle name="Normal 138 3 5" xfId="12885"/>
    <cellStyle name="Normal 138 3 5 2" xfId="12886"/>
    <cellStyle name="Normal 138 3 5 2 2" xfId="12887"/>
    <cellStyle name="Normal 138 3 5 3" xfId="12888"/>
    <cellStyle name="Normal 138 3 6" xfId="12889"/>
    <cellStyle name="Normal 138 4" xfId="12890"/>
    <cellStyle name="Normal 138 4 2" xfId="12891"/>
    <cellStyle name="Normal 138 4 2 2" xfId="12892"/>
    <cellStyle name="Normal 138 4 3" xfId="12893"/>
    <cellStyle name="Normal 138 5" xfId="12894"/>
    <cellStyle name="Normal 138 5 2" xfId="12895"/>
    <cellStyle name="Normal 138 5 2 2" xfId="12896"/>
    <cellStyle name="Normal 138 5 3" xfId="12897"/>
    <cellStyle name="Normal 138 6" xfId="12898"/>
    <cellStyle name="Normal 138 6 2" xfId="12899"/>
    <cellStyle name="Normal 138 6 2 2" xfId="12900"/>
    <cellStyle name="Normal 138 6 3" xfId="12901"/>
    <cellStyle name="Normal 138 7" xfId="12902"/>
    <cellStyle name="Normal 139" xfId="12903"/>
    <cellStyle name="Normal 139 2" xfId="12904"/>
    <cellStyle name="Normal 139 2 2" xfId="12905"/>
    <cellStyle name="Normal 139 2 2 2" xfId="12906"/>
    <cellStyle name="Normal 139 2 3" xfId="12907"/>
    <cellStyle name="Normal 139 2 3 2" xfId="12908"/>
    <cellStyle name="Normal 139 2 3 2 2" xfId="12909"/>
    <cellStyle name="Normal 139 2 3 3" xfId="12910"/>
    <cellStyle name="Normal 139 2 4" xfId="12911"/>
    <cellStyle name="Normal 139 2 4 2" xfId="12912"/>
    <cellStyle name="Normal 139 2 4 2 2" xfId="12913"/>
    <cellStyle name="Normal 139 2 4 3" xfId="12914"/>
    <cellStyle name="Normal 139 2 5" xfId="12915"/>
    <cellStyle name="Normal 139 3" xfId="12916"/>
    <cellStyle name="Normal 139 3 2" xfId="12917"/>
    <cellStyle name="Normal 139 3 2 2" xfId="12918"/>
    <cellStyle name="Normal 139 3 2 2 2" xfId="12919"/>
    <cellStyle name="Normal 139 3 2 3" xfId="12920"/>
    <cellStyle name="Normal 139 3 2 3 2" xfId="12921"/>
    <cellStyle name="Normal 139 3 2 3 2 2" xfId="12922"/>
    <cellStyle name="Normal 139 3 2 3 3" xfId="12923"/>
    <cellStyle name="Normal 139 3 2 4" xfId="12924"/>
    <cellStyle name="Normal 139 3 3" xfId="12925"/>
    <cellStyle name="Normal 139 3 3 2" xfId="12926"/>
    <cellStyle name="Normal 139 3 3 2 2" xfId="12927"/>
    <cellStyle name="Normal 139 3 3 3" xfId="12928"/>
    <cellStyle name="Normal 139 3 4" xfId="12929"/>
    <cellStyle name="Normal 139 3 4 2" xfId="12930"/>
    <cellStyle name="Normal 139 3 4 2 2" xfId="12931"/>
    <cellStyle name="Normal 139 3 4 3" xfId="12932"/>
    <cellStyle name="Normal 139 3 5" xfId="12933"/>
    <cellStyle name="Normal 139 3 5 2" xfId="12934"/>
    <cellStyle name="Normal 139 3 5 2 2" xfId="12935"/>
    <cellStyle name="Normal 139 3 5 3" xfId="12936"/>
    <cellStyle name="Normal 139 3 6" xfId="12937"/>
    <cellStyle name="Normal 139 4" xfId="12938"/>
    <cellStyle name="Normal 139 4 2" xfId="12939"/>
    <cellStyle name="Normal 139 4 2 2" xfId="12940"/>
    <cellStyle name="Normal 139 4 3" xfId="12941"/>
    <cellStyle name="Normal 139 5" xfId="12942"/>
    <cellStyle name="Normal 139 5 2" xfId="12943"/>
    <cellStyle name="Normal 139 5 2 2" xfId="12944"/>
    <cellStyle name="Normal 139 5 3" xfId="12945"/>
    <cellStyle name="Normal 139 6" xfId="12946"/>
    <cellStyle name="Normal 139 6 2" xfId="12947"/>
    <cellStyle name="Normal 139 6 2 2" xfId="12948"/>
    <cellStyle name="Normal 139 6 3" xfId="12949"/>
    <cellStyle name="Normal 139 7" xfId="12950"/>
    <cellStyle name="Normal 14" xfId="129"/>
    <cellStyle name="Normal 14 2" xfId="12952"/>
    <cellStyle name="Normal 14 2 2" xfId="12953"/>
    <cellStyle name="Normal 14 2 2 2" xfId="12954"/>
    <cellStyle name="Normal 14 2 2 2 2" xfId="12955"/>
    <cellStyle name="Normal 14 2 2 3" xfId="12956"/>
    <cellStyle name="Normal 14 2 2 3 2" xfId="12957"/>
    <cellStyle name="Normal 14 2 2 3 2 2" xfId="12958"/>
    <cellStyle name="Normal 14 2 2 3 3" xfId="12959"/>
    <cellStyle name="Normal 14 2 2 4" xfId="12960"/>
    <cellStyle name="Normal 14 2 2 4 2" xfId="12961"/>
    <cellStyle name="Normal 14 2 2 4 2 2" xfId="12962"/>
    <cellStyle name="Normal 14 2 2 4 3" xfId="12963"/>
    <cellStyle name="Normal 14 2 2 5" xfId="12964"/>
    <cellStyle name="Normal 14 2 3" xfId="12965"/>
    <cellStyle name="Normal 14 2 3 2" xfId="12966"/>
    <cellStyle name="Normal 14 2 3 2 2" xfId="12967"/>
    <cellStyle name="Normal 14 2 3 2 2 2" xfId="12968"/>
    <cellStyle name="Normal 14 2 3 2 3" xfId="12969"/>
    <cellStyle name="Normal 14 2 3 2 3 2" xfId="12970"/>
    <cellStyle name="Normal 14 2 3 2 3 2 2" xfId="12971"/>
    <cellStyle name="Normal 14 2 3 2 3 3" xfId="12972"/>
    <cellStyle name="Normal 14 2 3 2 4" xfId="12973"/>
    <cellStyle name="Normal 14 2 3 3" xfId="12974"/>
    <cellStyle name="Normal 14 2 3 3 2" xfId="12975"/>
    <cellStyle name="Normal 14 2 3 3 2 2" xfId="12976"/>
    <cellStyle name="Normal 14 2 3 3 3" xfId="12977"/>
    <cellStyle name="Normal 14 2 3 4" xfId="12978"/>
    <cellStyle name="Normal 14 2 3 4 2" xfId="12979"/>
    <cellStyle name="Normal 14 2 3 4 2 2" xfId="12980"/>
    <cellStyle name="Normal 14 2 3 4 3" xfId="12981"/>
    <cellStyle name="Normal 14 2 3 5" xfId="12982"/>
    <cellStyle name="Normal 14 2 3 5 2" xfId="12983"/>
    <cellStyle name="Normal 14 2 3 5 2 2" xfId="12984"/>
    <cellStyle name="Normal 14 2 3 5 3" xfId="12985"/>
    <cellStyle name="Normal 14 2 3 6" xfId="12986"/>
    <cellStyle name="Normal 14 2 4" xfId="12987"/>
    <cellStyle name="Normal 14 3" xfId="12988"/>
    <cellStyle name="Normal 14 3 2" xfId="12989"/>
    <cellStyle name="Normal 14 3 2 2" xfId="12990"/>
    <cellStyle name="Normal 14 3 2 2 2" xfId="12991"/>
    <cellStyle name="Normal 14 3 2 3" xfId="12992"/>
    <cellStyle name="Normal 14 3 2 3 2" xfId="12993"/>
    <cellStyle name="Normal 14 3 2 3 2 2" xfId="12994"/>
    <cellStyle name="Normal 14 3 2 3 3" xfId="12995"/>
    <cellStyle name="Normal 14 3 2 4" xfId="12996"/>
    <cellStyle name="Normal 14 3 2 4 2" xfId="12997"/>
    <cellStyle name="Normal 14 3 2 4 2 2" xfId="12998"/>
    <cellStyle name="Normal 14 3 2 4 3" xfId="12999"/>
    <cellStyle name="Normal 14 3 2 5" xfId="13000"/>
    <cellStyle name="Normal 14 3 3" xfId="13001"/>
    <cellStyle name="Normal 14 3 3 2" xfId="13002"/>
    <cellStyle name="Normal 14 3 3 2 2" xfId="13003"/>
    <cellStyle name="Normal 14 3 3 3" xfId="13004"/>
    <cellStyle name="Normal 14 3 4" xfId="13005"/>
    <cellStyle name="Normal 14 3 4 2" xfId="13006"/>
    <cellStyle name="Normal 14 3 4 2 2" xfId="13007"/>
    <cellStyle name="Normal 14 3 4 3" xfId="13008"/>
    <cellStyle name="Normal 14 3 5" xfId="13009"/>
    <cellStyle name="Normal 14 3 5 2" xfId="13010"/>
    <cellStyle name="Normal 14 3 5 2 2" xfId="13011"/>
    <cellStyle name="Normal 14 3 5 3" xfId="13012"/>
    <cellStyle name="Normal 14 3 6" xfId="13013"/>
    <cellStyle name="Normal 14 4" xfId="13014"/>
    <cellStyle name="Normal 14 4 2" xfId="13015"/>
    <cellStyle name="Normal 14 4 2 2" xfId="13016"/>
    <cellStyle name="Normal 14 4 3" xfId="13017"/>
    <cellStyle name="Normal 14 4 3 2" xfId="13018"/>
    <cellStyle name="Normal 14 4 3 2 2" xfId="13019"/>
    <cellStyle name="Normal 14 4 3 3" xfId="13020"/>
    <cellStyle name="Normal 14 4 4" xfId="13021"/>
    <cellStyle name="Normal 14 4 4 2" xfId="13022"/>
    <cellStyle name="Normal 14 4 4 2 2" xfId="13023"/>
    <cellStyle name="Normal 14 4 4 3" xfId="13024"/>
    <cellStyle name="Normal 14 4 5" xfId="13025"/>
    <cellStyle name="Normal 14 5" xfId="13026"/>
    <cellStyle name="Normal 14 5 2" xfId="13027"/>
    <cellStyle name="Normal 14 5 2 2" xfId="13028"/>
    <cellStyle name="Normal 14 5 2 2 2" xfId="13029"/>
    <cellStyle name="Normal 14 5 2 3" xfId="13030"/>
    <cellStyle name="Normal 14 5 2 3 2" xfId="13031"/>
    <cellStyle name="Normal 14 5 2 3 2 2" xfId="13032"/>
    <cellStyle name="Normal 14 5 2 3 3" xfId="13033"/>
    <cellStyle name="Normal 14 5 2 4" xfId="13034"/>
    <cellStyle name="Normal 14 5 3" xfId="13035"/>
    <cellStyle name="Normal 14 5 3 2" xfId="13036"/>
    <cellStyle name="Normal 14 5 3 2 2" xfId="13037"/>
    <cellStyle name="Normal 14 5 3 3" xfId="13038"/>
    <cellStyle name="Normal 14 5 4" xfId="13039"/>
    <cellStyle name="Normal 14 5 4 2" xfId="13040"/>
    <cellStyle name="Normal 14 5 4 2 2" xfId="13041"/>
    <cellStyle name="Normal 14 5 4 3" xfId="13042"/>
    <cellStyle name="Normal 14 5 5" xfId="13043"/>
    <cellStyle name="Normal 14 5 5 2" xfId="13044"/>
    <cellStyle name="Normal 14 5 5 2 2" xfId="13045"/>
    <cellStyle name="Normal 14 5 5 3" xfId="13046"/>
    <cellStyle name="Normal 14 5 6" xfId="13047"/>
    <cellStyle name="Normal 14 6" xfId="13048"/>
    <cellStyle name="Normal 14 6 2" xfId="13049"/>
    <cellStyle name="Normal 14 6 2 2" xfId="13050"/>
    <cellStyle name="Normal 14 6 2 2 2" xfId="13051"/>
    <cellStyle name="Normal 14 6 2 3" xfId="13052"/>
    <cellStyle name="Normal 14 6 2 3 2" xfId="13053"/>
    <cellStyle name="Normal 14 6 2 3 2 2" xfId="13054"/>
    <cellStyle name="Normal 14 6 2 3 3" xfId="13055"/>
    <cellStyle name="Normal 14 6 2 4" xfId="13056"/>
    <cellStyle name="Normal 14 6 3" xfId="13057"/>
    <cellStyle name="Normal 14 6 3 2" xfId="13058"/>
    <cellStyle name="Normal 14 6 3 2 2" xfId="13059"/>
    <cellStyle name="Normal 14 6 3 3" xfId="13060"/>
    <cellStyle name="Normal 14 6 4" xfId="13061"/>
    <cellStyle name="Normal 14 6 4 2" xfId="13062"/>
    <cellStyle name="Normal 14 6 4 2 2" xfId="13063"/>
    <cellStyle name="Normal 14 6 4 3" xfId="13064"/>
    <cellStyle name="Normal 14 6 5" xfId="13065"/>
    <cellStyle name="Normal 14 7" xfId="13066"/>
    <cellStyle name="Normal 14 7 2" xfId="13067"/>
    <cellStyle name="Normal 14 8" xfId="13068"/>
    <cellStyle name="Normal 14 9" xfId="12951"/>
    <cellStyle name="Normal 140" xfId="13069"/>
    <cellStyle name="Normal 140 2" xfId="13070"/>
    <cellStyle name="Normal 140 2 2" xfId="13071"/>
    <cellStyle name="Normal 140 2 2 2" xfId="13072"/>
    <cellStyle name="Normal 140 2 3" xfId="13073"/>
    <cellStyle name="Normal 140 2 3 2" xfId="13074"/>
    <cellStyle name="Normal 140 2 3 2 2" xfId="13075"/>
    <cellStyle name="Normal 140 2 3 3" xfId="13076"/>
    <cellStyle name="Normal 140 2 4" xfId="13077"/>
    <cellStyle name="Normal 140 2 4 2" xfId="13078"/>
    <cellStyle name="Normal 140 2 4 2 2" xfId="13079"/>
    <cellStyle name="Normal 140 2 4 3" xfId="13080"/>
    <cellStyle name="Normal 140 2 5" xfId="13081"/>
    <cellStyle name="Normal 140 3" xfId="13082"/>
    <cellStyle name="Normal 140 3 2" xfId="13083"/>
    <cellStyle name="Normal 140 3 2 2" xfId="13084"/>
    <cellStyle name="Normal 140 3 2 2 2" xfId="13085"/>
    <cellStyle name="Normal 140 3 2 3" xfId="13086"/>
    <cellStyle name="Normal 140 3 2 3 2" xfId="13087"/>
    <cellStyle name="Normal 140 3 2 3 2 2" xfId="13088"/>
    <cellStyle name="Normal 140 3 2 3 3" xfId="13089"/>
    <cellStyle name="Normal 140 3 2 4" xfId="13090"/>
    <cellStyle name="Normal 140 3 3" xfId="13091"/>
    <cellStyle name="Normal 140 3 3 2" xfId="13092"/>
    <cellStyle name="Normal 140 3 3 2 2" xfId="13093"/>
    <cellStyle name="Normal 140 3 3 3" xfId="13094"/>
    <cellStyle name="Normal 140 3 4" xfId="13095"/>
    <cellStyle name="Normal 140 3 4 2" xfId="13096"/>
    <cellStyle name="Normal 140 3 4 2 2" xfId="13097"/>
    <cellStyle name="Normal 140 3 4 3" xfId="13098"/>
    <cellStyle name="Normal 140 3 5" xfId="13099"/>
    <cellStyle name="Normal 140 3 5 2" xfId="13100"/>
    <cellStyle name="Normal 140 3 5 2 2" xfId="13101"/>
    <cellStyle name="Normal 140 3 5 3" xfId="13102"/>
    <cellStyle name="Normal 140 3 6" xfId="13103"/>
    <cellStyle name="Normal 140 4" xfId="13104"/>
    <cellStyle name="Normal 140 4 2" xfId="13105"/>
    <cellStyle name="Normal 140 4 2 2" xfId="13106"/>
    <cellStyle name="Normal 140 4 3" xfId="13107"/>
    <cellStyle name="Normal 140 5" xfId="13108"/>
    <cellStyle name="Normal 140 5 2" xfId="13109"/>
    <cellStyle name="Normal 140 5 2 2" xfId="13110"/>
    <cellStyle name="Normal 140 5 3" xfId="13111"/>
    <cellStyle name="Normal 140 6" xfId="13112"/>
    <cellStyle name="Normal 140 6 2" xfId="13113"/>
    <cellStyle name="Normal 140 6 2 2" xfId="13114"/>
    <cellStyle name="Normal 140 6 3" xfId="13115"/>
    <cellStyle name="Normal 140 7" xfId="13116"/>
    <cellStyle name="Normal 141" xfId="13117"/>
    <cellStyle name="Normal 141 2" xfId="13118"/>
    <cellStyle name="Normal 141 2 2" xfId="13119"/>
    <cellStyle name="Normal 141 2 2 2" xfId="13120"/>
    <cellStyle name="Normal 141 2 3" xfId="13121"/>
    <cellStyle name="Normal 141 2 3 2" xfId="13122"/>
    <cellStyle name="Normal 141 2 3 2 2" xfId="13123"/>
    <cellStyle name="Normal 141 2 3 3" xfId="13124"/>
    <cellStyle name="Normal 141 2 4" xfId="13125"/>
    <cellStyle name="Normal 141 2 4 2" xfId="13126"/>
    <cellStyle name="Normal 141 2 4 2 2" xfId="13127"/>
    <cellStyle name="Normal 141 2 4 3" xfId="13128"/>
    <cellStyle name="Normal 141 2 5" xfId="13129"/>
    <cellStyle name="Normal 141 3" xfId="13130"/>
    <cellStyle name="Normal 141 3 2" xfId="13131"/>
    <cellStyle name="Normal 141 3 2 2" xfId="13132"/>
    <cellStyle name="Normal 141 3 2 2 2" xfId="13133"/>
    <cellStyle name="Normal 141 3 2 3" xfId="13134"/>
    <cellStyle name="Normal 141 3 2 3 2" xfId="13135"/>
    <cellStyle name="Normal 141 3 2 3 2 2" xfId="13136"/>
    <cellStyle name="Normal 141 3 2 3 3" xfId="13137"/>
    <cellStyle name="Normal 141 3 2 4" xfId="13138"/>
    <cellStyle name="Normal 141 3 3" xfId="13139"/>
    <cellStyle name="Normal 141 3 3 2" xfId="13140"/>
    <cellStyle name="Normal 141 3 3 2 2" xfId="13141"/>
    <cellStyle name="Normal 141 3 3 3" xfId="13142"/>
    <cellStyle name="Normal 141 3 4" xfId="13143"/>
    <cellStyle name="Normal 141 3 4 2" xfId="13144"/>
    <cellStyle name="Normal 141 3 4 2 2" xfId="13145"/>
    <cellStyle name="Normal 141 3 4 3" xfId="13146"/>
    <cellStyle name="Normal 141 3 5" xfId="13147"/>
    <cellStyle name="Normal 141 3 5 2" xfId="13148"/>
    <cellStyle name="Normal 141 3 5 2 2" xfId="13149"/>
    <cellStyle name="Normal 141 3 5 3" xfId="13150"/>
    <cellStyle name="Normal 141 3 6" xfId="13151"/>
    <cellStyle name="Normal 141 4" xfId="13152"/>
    <cellStyle name="Normal 141 4 2" xfId="13153"/>
    <cellStyle name="Normal 141 4 2 2" xfId="13154"/>
    <cellStyle name="Normal 141 4 3" xfId="13155"/>
    <cellStyle name="Normal 141 5" xfId="13156"/>
    <cellStyle name="Normal 141 5 2" xfId="13157"/>
    <cellStyle name="Normal 141 5 2 2" xfId="13158"/>
    <cellStyle name="Normal 141 5 3" xfId="13159"/>
    <cellStyle name="Normal 141 6" xfId="13160"/>
    <cellStyle name="Normal 141 6 2" xfId="13161"/>
    <cellStyle name="Normal 141 6 2 2" xfId="13162"/>
    <cellStyle name="Normal 141 6 3" xfId="13163"/>
    <cellStyle name="Normal 141 7" xfId="13164"/>
    <cellStyle name="Normal 142" xfId="13165"/>
    <cellStyle name="Normal 142 2" xfId="13166"/>
    <cellStyle name="Normal 142 2 2" xfId="13167"/>
    <cellStyle name="Normal 142 2 2 2" xfId="13168"/>
    <cellStyle name="Normal 142 2 3" xfId="13169"/>
    <cellStyle name="Normal 142 2 3 2" xfId="13170"/>
    <cellStyle name="Normal 142 2 3 2 2" xfId="13171"/>
    <cellStyle name="Normal 142 2 3 3" xfId="13172"/>
    <cellStyle name="Normal 142 2 4" xfId="13173"/>
    <cellStyle name="Normal 142 2 4 2" xfId="13174"/>
    <cellStyle name="Normal 142 2 4 2 2" xfId="13175"/>
    <cellStyle name="Normal 142 2 4 3" xfId="13176"/>
    <cellStyle name="Normal 142 2 5" xfId="13177"/>
    <cellStyle name="Normal 142 3" xfId="13178"/>
    <cellStyle name="Normal 142 3 2" xfId="13179"/>
    <cellStyle name="Normal 142 3 2 2" xfId="13180"/>
    <cellStyle name="Normal 142 3 2 2 2" xfId="13181"/>
    <cellStyle name="Normal 142 3 2 3" xfId="13182"/>
    <cellStyle name="Normal 142 3 2 3 2" xfId="13183"/>
    <cellStyle name="Normal 142 3 2 3 2 2" xfId="13184"/>
    <cellStyle name="Normal 142 3 2 3 3" xfId="13185"/>
    <cellStyle name="Normal 142 3 2 4" xfId="13186"/>
    <cellStyle name="Normal 142 3 3" xfId="13187"/>
    <cellStyle name="Normal 142 3 3 2" xfId="13188"/>
    <cellStyle name="Normal 142 3 3 2 2" xfId="13189"/>
    <cellStyle name="Normal 142 3 3 3" xfId="13190"/>
    <cellStyle name="Normal 142 3 4" xfId="13191"/>
    <cellStyle name="Normal 142 3 4 2" xfId="13192"/>
    <cellStyle name="Normal 142 3 4 2 2" xfId="13193"/>
    <cellStyle name="Normal 142 3 4 3" xfId="13194"/>
    <cellStyle name="Normal 142 3 5" xfId="13195"/>
    <cellStyle name="Normal 142 3 5 2" xfId="13196"/>
    <cellStyle name="Normal 142 3 5 2 2" xfId="13197"/>
    <cellStyle name="Normal 142 3 5 3" xfId="13198"/>
    <cellStyle name="Normal 142 3 6" xfId="13199"/>
    <cellStyle name="Normal 142 4" xfId="13200"/>
    <cellStyle name="Normal 142 4 2" xfId="13201"/>
    <cellStyle name="Normal 142 4 2 2" xfId="13202"/>
    <cellStyle name="Normal 142 4 3" xfId="13203"/>
    <cellStyle name="Normal 142 5" xfId="13204"/>
    <cellStyle name="Normal 142 5 2" xfId="13205"/>
    <cellStyle name="Normal 142 5 2 2" xfId="13206"/>
    <cellStyle name="Normal 142 5 3" xfId="13207"/>
    <cellStyle name="Normal 142 6" xfId="13208"/>
    <cellStyle name="Normal 142 6 2" xfId="13209"/>
    <cellStyle name="Normal 142 6 2 2" xfId="13210"/>
    <cellStyle name="Normal 142 6 3" xfId="13211"/>
    <cellStyle name="Normal 142 7" xfId="13212"/>
    <cellStyle name="Normal 143" xfId="13213"/>
    <cellStyle name="Normal 143 2" xfId="13214"/>
    <cellStyle name="Normal 143 2 2" xfId="13215"/>
    <cellStyle name="Normal 143 2 2 2" xfId="13216"/>
    <cellStyle name="Normal 143 2 3" xfId="13217"/>
    <cellStyle name="Normal 143 2 3 2" xfId="13218"/>
    <cellStyle name="Normal 143 2 3 2 2" xfId="13219"/>
    <cellStyle name="Normal 143 2 3 3" xfId="13220"/>
    <cellStyle name="Normal 143 2 4" xfId="13221"/>
    <cellStyle name="Normal 143 2 4 2" xfId="13222"/>
    <cellStyle name="Normal 143 2 4 2 2" xfId="13223"/>
    <cellStyle name="Normal 143 2 4 3" xfId="13224"/>
    <cellStyle name="Normal 143 2 5" xfId="13225"/>
    <cellStyle name="Normal 143 3" xfId="13226"/>
    <cellStyle name="Normal 143 3 2" xfId="13227"/>
    <cellStyle name="Normal 143 3 2 2" xfId="13228"/>
    <cellStyle name="Normal 143 3 2 2 2" xfId="13229"/>
    <cellStyle name="Normal 143 3 2 3" xfId="13230"/>
    <cellStyle name="Normal 143 3 2 3 2" xfId="13231"/>
    <cellStyle name="Normal 143 3 2 3 2 2" xfId="13232"/>
    <cellStyle name="Normal 143 3 2 3 3" xfId="13233"/>
    <cellStyle name="Normal 143 3 2 4" xfId="13234"/>
    <cellStyle name="Normal 143 3 3" xfId="13235"/>
    <cellStyle name="Normal 143 3 3 2" xfId="13236"/>
    <cellStyle name="Normal 143 3 3 2 2" xfId="13237"/>
    <cellStyle name="Normal 143 3 3 3" xfId="13238"/>
    <cellStyle name="Normal 143 3 4" xfId="13239"/>
    <cellStyle name="Normal 143 3 4 2" xfId="13240"/>
    <cellStyle name="Normal 143 3 4 2 2" xfId="13241"/>
    <cellStyle name="Normal 143 3 4 3" xfId="13242"/>
    <cellStyle name="Normal 143 3 5" xfId="13243"/>
    <cellStyle name="Normal 143 3 5 2" xfId="13244"/>
    <cellStyle name="Normal 143 3 5 2 2" xfId="13245"/>
    <cellStyle name="Normal 143 3 5 3" xfId="13246"/>
    <cellStyle name="Normal 143 3 6" xfId="13247"/>
    <cellStyle name="Normal 143 4" xfId="13248"/>
    <cellStyle name="Normal 143 4 2" xfId="13249"/>
    <cellStyle name="Normal 143 4 2 2" xfId="13250"/>
    <cellStyle name="Normal 143 4 3" xfId="13251"/>
    <cellStyle name="Normal 143 5" xfId="13252"/>
    <cellStyle name="Normal 143 5 2" xfId="13253"/>
    <cellStyle name="Normal 143 5 2 2" xfId="13254"/>
    <cellStyle name="Normal 143 5 3" xfId="13255"/>
    <cellStyle name="Normal 143 6" xfId="13256"/>
    <cellStyle name="Normal 143 6 2" xfId="13257"/>
    <cellStyle name="Normal 143 6 2 2" xfId="13258"/>
    <cellStyle name="Normal 143 6 3" xfId="13259"/>
    <cellStyle name="Normal 143 7" xfId="13260"/>
    <cellStyle name="Normal 144" xfId="13261"/>
    <cellStyle name="Normal 144 2" xfId="13262"/>
    <cellStyle name="Normal 144 2 2" xfId="13263"/>
    <cellStyle name="Normal 144 2 2 2" xfId="13264"/>
    <cellStyle name="Normal 144 2 3" xfId="13265"/>
    <cellStyle name="Normal 144 2 3 2" xfId="13266"/>
    <cellStyle name="Normal 144 2 3 2 2" xfId="13267"/>
    <cellStyle name="Normal 144 2 3 3" xfId="13268"/>
    <cellStyle name="Normal 144 2 4" xfId="13269"/>
    <cellStyle name="Normal 144 2 4 2" xfId="13270"/>
    <cellStyle name="Normal 144 2 4 2 2" xfId="13271"/>
    <cellStyle name="Normal 144 2 4 3" xfId="13272"/>
    <cellStyle name="Normal 144 2 5" xfId="13273"/>
    <cellStyle name="Normal 144 3" xfId="13274"/>
    <cellStyle name="Normal 144 3 2" xfId="13275"/>
    <cellStyle name="Normal 144 3 2 2" xfId="13276"/>
    <cellStyle name="Normal 144 3 2 2 2" xfId="13277"/>
    <cellStyle name="Normal 144 3 2 3" xfId="13278"/>
    <cellStyle name="Normal 144 3 2 3 2" xfId="13279"/>
    <cellStyle name="Normal 144 3 2 3 2 2" xfId="13280"/>
    <cellStyle name="Normal 144 3 2 3 3" xfId="13281"/>
    <cellStyle name="Normal 144 3 2 4" xfId="13282"/>
    <cellStyle name="Normal 144 3 3" xfId="13283"/>
    <cellStyle name="Normal 144 3 3 2" xfId="13284"/>
    <cellStyle name="Normal 144 3 3 2 2" xfId="13285"/>
    <cellStyle name="Normal 144 3 3 3" xfId="13286"/>
    <cellStyle name="Normal 144 3 4" xfId="13287"/>
    <cellStyle name="Normal 144 3 4 2" xfId="13288"/>
    <cellStyle name="Normal 144 3 4 2 2" xfId="13289"/>
    <cellStyle name="Normal 144 3 4 3" xfId="13290"/>
    <cellStyle name="Normal 144 3 5" xfId="13291"/>
    <cellStyle name="Normal 144 3 5 2" xfId="13292"/>
    <cellStyle name="Normal 144 3 5 2 2" xfId="13293"/>
    <cellStyle name="Normal 144 3 5 3" xfId="13294"/>
    <cellStyle name="Normal 144 3 6" xfId="13295"/>
    <cellStyle name="Normal 144 4" xfId="13296"/>
    <cellStyle name="Normal 144 4 2" xfId="13297"/>
    <cellStyle name="Normal 144 4 2 2" xfId="13298"/>
    <cellStyle name="Normal 144 4 3" xfId="13299"/>
    <cellStyle name="Normal 144 5" xfId="13300"/>
    <cellStyle name="Normal 144 5 2" xfId="13301"/>
    <cellStyle name="Normal 144 5 2 2" xfId="13302"/>
    <cellStyle name="Normal 144 5 3" xfId="13303"/>
    <cellStyle name="Normal 144 6" xfId="13304"/>
    <cellStyle name="Normal 144 6 2" xfId="13305"/>
    <cellStyle name="Normal 144 6 2 2" xfId="13306"/>
    <cellStyle name="Normal 144 6 3" xfId="13307"/>
    <cellStyle name="Normal 144 7" xfId="13308"/>
    <cellStyle name="Normal 145" xfId="13309"/>
    <cellStyle name="Normal 145 2" xfId="13310"/>
    <cellStyle name="Normal 145 2 2" xfId="13311"/>
    <cellStyle name="Normal 145 2 2 2" xfId="13312"/>
    <cellStyle name="Normal 145 2 3" xfId="13313"/>
    <cellStyle name="Normal 145 2 3 2" xfId="13314"/>
    <cellStyle name="Normal 145 2 3 2 2" xfId="13315"/>
    <cellStyle name="Normal 145 2 3 3" xfId="13316"/>
    <cellStyle name="Normal 145 2 4" xfId="13317"/>
    <cellStyle name="Normal 145 2 4 2" xfId="13318"/>
    <cellStyle name="Normal 145 2 4 2 2" xfId="13319"/>
    <cellStyle name="Normal 145 2 4 3" xfId="13320"/>
    <cellStyle name="Normal 145 2 5" xfId="13321"/>
    <cellStyle name="Normal 145 3" xfId="13322"/>
    <cellStyle name="Normal 145 3 2" xfId="13323"/>
    <cellStyle name="Normal 145 3 2 2" xfId="13324"/>
    <cellStyle name="Normal 145 3 2 2 2" xfId="13325"/>
    <cellStyle name="Normal 145 3 2 3" xfId="13326"/>
    <cellStyle name="Normal 145 3 2 3 2" xfId="13327"/>
    <cellStyle name="Normal 145 3 2 3 2 2" xfId="13328"/>
    <cellStyle name="Normal 145 3 2 3 3" xfId="13329"/>
    <cellStyle name="Normal 145 3 2 4" xfId="13330"/>
    <cellStyle name="Normal 145 3 3" xfId="13331"/>
    <cellStyle name="Normal 145 3 3 2" xfId="13332"/>
    <cellStyle name="Normal 145 3 3 2 2" xfId="13333"/>
    <cellStyle name="Normal 145 3 3 3" xfId="13334"/>
    <cellStyle name="Normal 145 3 4" xfId="13335"/>
    <cellStyle name="Normal 145 3 4 2" xfId="13336"/>
    <cellStyle name="Normal 145 3 4 2 2" xfId="13337"/>
    <cellStyle name="Normal 145 3 4 3" xfId="13338"/>
    <cellStyle name="Normal 145 3 5" xfId="13339"/>
    <cellStyle name="Normal 145 3 5 2" xfId="13340"/>
    <cellStyle name="Normal 145 3 5 2 2" xfId="13341"/>
    <cellStyle name="Normal 145 3 5 3" xfId="13342"/>
    <cellStyle name="Normal 145 3 6" xfId="13343"/>
    <cellStyle name="Normal 145 4" xfId="13344"/>
    <cellStyle name="Normal 145 4 2" xfId="13345"/>
    <cellStyle name="Normal 145 4 2 2" xfId="13346"/>
    <cellStyle name="Normal 145 4 3" xfId="13347"/>
    <cellStyle name="Normal 145 5" xfId="13348"/>
    <cellStyle name="Normal 145 5 2" xfId="13349"/>
    <cellStyle name="Normal 145 5 2 2" xfId="13350"/>
    <cellStyle name="Normal 145 5 3" xfId="13351"/>
    <cellStyle name="Normal 145 6" xfId="13352"/>
    <cellStyle name="Normal 145 6 2" xfId="13353"/>
    <cellStyle name="Normal 145 6 2 2" xfId="13354"/>
    <cellStyle name="Normal 145 6 3" xfId="13355"/>
    <cellStyle name="Normal 145 7" xfId="13356"/>
    <cellStyle name="Normal 146" xfId="13357"/>
    <cellStyle name="Normal 146 2" xfId="13358"/>
    <cellStyle name="Normal 146 2 2" xfId="13359"/>
    <cellStyle name="Normal 146 2 2 2" xfId="13360"/>
    <cellStyle name="Normal 146 2 3" xfId="13361"/>
    <cellStyle name="Normal 146 2 3 2" xfId="13362"/>
    <cellStyle name="Normal 146 2 3 2 2" xfId="13363"/>
    <cellStyle name="Normal 146 2 3 3" xfId="13364"/>
    <cellStyle name="Normal 146 2 4" xfId="13365"/>
    <cellStyle name="Normal 146 2 4 2" xfId="13366"/>
    <cellStyle name="Normal 146 2 4 2 2" xfId="13367"/>
    <cellStyle name="Normal 146 2 4 3" xfId="13368"/>
    <cellStyle name="Normal 146 2 5" xfId="13369"/>
    <cellStyle name="Normal 146 3" xfId="13370"/>
    <cellStyle name="Normal 146 3 2" xfId="13371"/>
    <cellStyle name="Normal 146 3 2 2" xfId="13372"/>
    <cellStyle name="Normal 146 3 2 2 2" xfId="13373"/>
    <cellStyle name="Normal 146 3 2 3" xfId="13374"/>
    <cellStyle name="Normal 146 3 2 3 2" xfId="13375"/>
    <cellStyle name="Normal 146 3 2 3 2 2" xfId="13376"/>
    <cellStyle name="Normal 146 3 2 3 3" xfId="13377"/>
    <cellStyle name="Normal 146 3 2 4" xfId="13378"/>
    <cellStyle name="Normal 146 3 3" xfId="13379"/>
    <cellStyle name="Normal 146 3 3 2" xfId="13380"/>
    <cellStyle name="Normal 146 3 3 2 2" xfId="13381"/>
    <cellStyle name="Normal 146 3 3 3" xfId="13382"/>
    <cellStyle name="Normal 146 3 4" xfId="13383"/>
    <cellStyle name="Normal 146 3 4 2" xfId="13384"/>
    <cellStyle name="Normal 146 3 4 2 2" xfId="13385"/>
    <cellStyle name="Normal 146 3 4 3" xfId="13386"/>
    <cellStyle name="Normal 146 3 5" xfId="13387"/>
    <cellStyle name="Normal 146 3 5 2" xfId="13388"/>
    <cellStyle name="Normal 146 3 5 2 2" xfId="13389"/>
    <cellStyle name="Normal 146 3 5 3" xfId="13390"/>
    <cellStyle name="Normal 146 3 6" xfId="13391"/>
    <cellStyle name="Normal 146 4" xfId="13392"/>
    <cellStyle name="Normal 146 4 2" xfId="13393"/>
    <cellStyle name="Normal 146 4 2 2" xfId="13394"/>
    <cellStyle name="Normal 146 4 3" xfId="13395"/>
    <cellStyle name="Normal 146 5" xfId="13396"/>
    <cellStyle name="Normal 146 5 2" xfId="13397"/>
    <cellStyle name="Normal 146 5 2 2" xfId="13398"/>
    <cellStyle name="Normal 146 5 3" xfId="13399"/>
    <cellStyle name="Normal 146 6" xfId="13400"/>
    <cellStyle name="Normal 146 6 2" xfId="13401"/>
    <cellStyle name="Normal 146 6 2 2" xfId="13402"/>
    <cellStyle name="Normal 146 6 3" xfId="13403"/>
    <cellStyle name="Normal 146 7" xfId="13404"/>
    <cellStyle name="Normal 147" xfId="13405"/>
    <cellStyle name="Normal 147 2" xfId="13406"/>
    <cellStyle name="Normal 147 2 2" xfId="13407"/>
    <cellStyle name="Normal 147 2 2 2" xfId="13408"/>
    <cellStyle name="Normal 147 2 3" xfId="13409"/>
    <cellStyle name="Normal 147 2 3 2" xfId="13410"/>
    <cellStyle name="Normal 147 2 3 2 2" xfId="13411"/>
    <cellStyle name="Normal 147 2 3 3" xfId="13412"/>
    <cellStyle name="Normal 147 2 4" xfId="13413"/>
    <cellStyle name="Normal 147 2 4 2" xfId="13414"/>
    <cellStyle name="Normal 147 2 4 2 2" xfId="13415"/>
    <cellStyle name="Normal 147 2 4 3" xfId="13416"/>
    <cellStyle name="Normal 147 2 5" xfId="13417"/>
    <cellStyle name="Normal 147 3" xfId="13418"/>
    <cellStyle name="Normal 147 3 2" xfId="13419"/>
    <cellStyle name="Normal 147 3 2 2" xfId="13420"/>
    <cellStyle name="Normal 147 3 2 2 2" xfId="13421"/>
    <cellStyle name="Normal 147 3 2 3" xfId="13422"/>
    <cellStyle name="Normal 147 3 2 3 2" xfId="13423"/>
    <cellStyle name="Normal 147 3 2 3 2 2" xfId="13424"/>
    <cellStyle name="Normal 147 3 2 3 3" xfId="13425"/>
    <cellStyle name="Normal 147 3 2 4" xfId="13426"/>
    <cellStyle name="Normal 147 3 3" xfId="13427"/>
    <cellStyle name="Normal 147 3 3 2" xfId="13428"/>
    <cellStyle name="Normal 147 3 3 2 2" xfId="13429"/>
    <cellStyle name="Normal 147 3 3 3" xfId="13430"/>
    <cellStyle name="Normal 147 3 4" xfId="13431"/>
    <cellStyle name="Normal 147 3 4 2" xfId="13432"/>
    <cellStyle name="Normal 147 3 4 2 2" xfId="13433"/>
    <cellStyle name="Normal 147 3 4 3" xfId="13434"/>
    <cellStyle name="Normal 147 3 5" xfId="13435"/>
    <cellStyle name="Normal 147 3 5 2" xfId="13436"/>
    <cellStyle name="Normal 147 3 5 2 2" xfId="13437"/>
    <cellStyle name="Normal 147 3 5 3" xfId="13438"/>
    <cellStyle name="Normal 147 3 6" xfId="13439"/>
    <cellStyle name="Normal 147 4" xfId="13440"/>
    <cellStyle name="Normal 147 4 2" xfId="13441"/>
    <cellStyle name="Normal 147 4 2 2" xfId="13442"/>
    <cellStyle name="Normal 147 4 3" xfId="13443"/>
    <cellStyle name="Normal 147 5" xfId="13444"/>
    <cellStyle name="Normal 147 5 2" xfId="13445"/>
    <cellStyle name="Normal 147 5 2 2" xfId="13446"/>
    <cellStyle name="Normal 147 5 3" xfId="13447"/>
    <cellStyle name="Normal 147 6" xfId="13448"/>
    <cellStyle name="Normal 147 6 2" xfId="13449"/>
    <cellStyle name="Normal 147 6 2 2" xfId="13450"/>
    <cellStyle name="Normal 147 6 3" xfId="13451"/>
    <cellStyle name="Normal 147 7" xfId="13452"/>
    <cellStyle name="Normal 148" xfId="13453"/>
    <cellStyle name="Normal 148 2" xfId="13454"/>
    <cellStyle name="Normal 148 2 2" xfId="13455"/>
    <cellStyle name="Normal 148 2 2 2" xfId="13456"/>
    <cellStyle name="Normal 148 2 3" xfId="13457"/>
    <cellStyle name="Normal 148 2 3 2" xfId="13458"/>
    <cellStyle name="Normal 148 2 3 2 2" xfId="13459"/>
    <cellStyle name="Normal 148 2 3 3" xfId="13460"/>
    <cellStyle name="Normal 148 2 4" xfId="13461"/>
    <cellStyle name="Normal 148 2 4 2" xfId="13462"/>
    <cellStyle name="Normal 148 2 4 2 2" xfId="13463"/>
    <cellStyle name="Normal 148 2 4 3" xfId="13464"/>
    <cellStyle name="Normal 148 2 5" xfId="13465"/>
    <cellStyle name="Normal 148 3" xfId="13466"/>
    <cellStyle name="Normal 148 3 2" xfId="13467"/>
    <cellStyle name="Normal 148 3 2 2" xfId="13468"/>
    <cellStyle name="Normal 148 3 2 2 2" xfId="13469"/>
    <cellStyle name="Normal 148 3 2 3" xfId="13470"/>
    <cellStyle name="Normal 148 3 2 3 2" xfId="13471"/>
    <cellStyle name="Normal 148 3 2 3 2 2" xfId="13472"/>
    <cellStyle name="Normal 148 3 2 3 3" xfId="13473"/>
    <cellStyle name="Normal 148 3 2 4" xfId="13474"/>
    <cellStyle name="Normal 148 3 3" xfId="13475"/>
    <cellStyle name="Normal 148 3 3 2" xfId="13476"/>
    <cellStyle name="Normal 148 3 3 2 2" xfId="13477"/>
    <cellStyle name="Normal 148 3 3 3" xfId="13478"/>
    <cellStyle name="Normal 148 3 4" xfId="13479"/>
    <cellStyle name="Normal 148 3 4 2" xfId="13480"/>
    <cellStyle name="Normal 148 3 4 2 2" xfId="13481"/>
    <cellStyle name="Normal 148 3 4 3" xfId="13482"/>
    <cellStyle name="Normal 148 3 5" xfId="13483"/>
    <cellStyle name="Normal 148 3 5 2" xfId="13484"/>
    <cellStyle name="Normal 148 3 5 2 2" xfId="13485"/>
    <cellStyle name="Normal 148 3 5 3" xfId="13486"/>
    <cellStyle name="Normal 148 3 6" xfId="13487"/>
    <cellStyle name="Normal 148 4" xfId="13488"/>
    <cellStyle name="Normal 148 4 2" xfId="13489"/>
    <cellStyle name="Normal 148 4 2 2" xfId="13490"/>
    <cellStyle name="Normal 148 4 3" xfId="13491"/>
    <cellStyle name="Normal 148 5" xfId="13492"/>
    <cellStyle name="Normal 148 5 2" xfId="13493"/>
    <cellStyle name="Normal 148 5 2 2" xfId="13494"/>
    <cellStyle name="Normal 148 5 3" xfId="13495"/>
    <cellStyle name="Normal 148 6" xfId="13496"/>
    <cellStyle name="Normal 148 6 2" xfId="13497"/>
    <cellStyle name="Normal 148 6 2 2" xfId="13498"/>
    <cellStyle name="Normal 148 6 3" xfId="13499"/>
    <cellStyle name="Normal 148 7" xfId="13500"/>
    <cellStyle name="Normal 149" xfId="13501"/>
    <cellStyle name="Normal 149 2" xfId="13502"/>
    <cellStyle name="Normal 149 2 2" xfId="13503"/>
    <cellStyle name="Normal 149 2 2 2" xfId="13504"/>
    <cellStyle name="Normal 149 2 3" xfId="13505"/>
    <cellStyle name="Normal 149 2 3 2" xfId="13506"/>
    <cellStyle name="Normal 149 2 3 2 2" xfId="13507"/>
    <cellStyle name="Normal 149 2 3 3" xfId="13508"/>
    <cellStyle name="Normal 149 2 4" xfId="13509"/>
    <cellStyle name="Normal 149 2 4 2" xfId="13510"/>
    <cellStyle name="Normal 149 2 4 2 2" xfId="13511"/>
    <cellStyle name="Normal 149 2 4 3" xfId="13512"/>
    <cellStyle name="Normal 149 2 5" xfId="13513"/>
    <cellStyle name="Normal 149 3" xfId="13514"/>
    <cellStyle name="Normal 149 3 2" xfId="13515"/>
    <cellStyle name="Normal 149 3 2 2" xfId="13516"/>
    <cellStyle name="Normal 149 3 2 2 2" xfId="13517"/>
    <cellStyle name="Normal 149 3 2 3" xfId="13518"/>
    <cellStyle name="Normal 149 3 2 3 2" xfId="13519"/>
    <cellStyle name="Normal 149 3 2 3 2 2" xfId="13520"/>
    <cellStyle name="Normal 149 3 2 3 3" xfId="13521"/>
    <cellStyle name="Normal 149 3 2 4" xfId="13522"/>
    <cellStyle name="Normal 149 3 3" xfId="13523"/>
    <cellStyle name="Normal 149 3 3 2" xfId="13524"/>
    <cellStyle name="Normal 149 3 3 2 2" xfId="13525"/>
    <cellStyle name="Normal 149 3 3 3" xfId="13526"/>
    <cellStyle name="Normal 149 3 4" xfId="13527"/>
    <cellStyle name="Normal 149 3 4 2" xfId="13528"/>
    <cellStyle name="Normal 149 3 4 2 2" xfId="13529"/>
    <cellStyle name="Normal 149 3 4 3" xfId="13530"/>
    <cellStyle name="Normal 149 3 5" xfId="13531"/>
    <cellStyle name="Normal 149 3 5 2" xfId="13532"/>
    <cellStyle name="Normal 149 3 5 2 2" xfId="13533"/>
    <cellStyle name="Normal 149 3 5 3" xfId="13534"/>
    <cellStyle name="Normal 149 3 6" xfId="13535"/>
    <cellStyle name="Normal 149 4" xfId="13536"/>
    <cellStyle name="Normal 149 4 2" xfId="13537"/>
    <cellStyle name="Normal 149 4 2 2" xfId="13538"/>
    <cellStyle name="Normal 149 4 3" xfId="13539"/>
    <cellStyle name="Normal 149 5" xfId="13540"/>
    <cellStyle name="Normal 149 5 2" xfId="13541"/>
    <cellStyle name="Normal 149 5 2 2" xfId="13542"/>
    <cellStyle name="Normal 149 5 3" xfId="13543"/>
    <cellStyle name="Normal 149 6" xfId="13544"/>
    <cellStyle name="Normal 149 6 2" xfId="13545"/>
    <cellStyle name="Normal 149 6 2 2" xfId="13546"/>
    <cellStyle name="Normal 149 6 3" xfId="13547"/>
    <cellStyle name="Normal 149 7" xfId="13548"/>
    <cellStyle name="Normal 15" xfId="132"/>
    <cellStyle name="Normal 15 2" xfId="13550"/>
    <cellStyle name="Normal 15 2 2" xfId="13551"/>
    <cellStyle name="Normal 15 2 2 2" xfId="13552"/>
    <cellStyle name="Normal 15 2 2 2 2" xfId="13553"/>
    <cellStyle name="Normal 15 2 2 3" xfId="13554"/>
    <cellStyle name="Normal 15 2 2 3 2" xfId="13555"/>
    <cellStyle name="Normal 15 2 2 3 2 2" xfId="13556"/>
    <cellStyle name="Normal 15 2 2 3 3" xfId="13557"/>
    <cellStyle name="Normal 15 2 2 4" xfId="13558"/>
    <cellStyle name="Normal 15 2 2 4 2" xfId="13559"/>
    <cellStyle name="Normal 15 2 2 4 2 2" xfId="13560"/>
    <cellStyle name="Normal 15 2 2 4 3" xfId="13561"/>
    <cellStyle name="Normal 15 2 2 5" xfId="13562"/>
    <cellStyle name="Normal 15 2 3" xfId="13563"/>
    <cellStyle name="Normal 15 2 3 2" xfId="13564"/>
    <cellStyle name="Normal 15 2 3 2 2" xfId="13565"/>
    <cellStyle name="Normal 15 2 3 2 2 2" xfId="13566"/>
    <cellStyle name="Normal 15 2 3 2 3" xfId="13567"/>
    <cellStyle name="Normal 15 2 3 2 3 2" xfId="13568"/>
    <cellStyle name="Normal 15 2 3 2 3 2 2" xfId="13569"/>
    <cellStyle name="Normal 15 2 3 2 3 3" xfId="13570"/>
    <cellStyle name="Normal 15 2 3 2 4" xfId="13571"/>
    <cellStyle name="Normal 15 2 3 3" xfId="13572"/>
    <cellStyle name="Normal 15 2 3 3 2" xfId="13573"/>
    <cellStyle name="Normal 15 2 3 3 2 2" xfId="13574"/>
    <cellStyle name="Normal 15 2 3 3 3" xfId="13575"/>
    <cellStyle name="Normal 15 2 3 4" xfId="13576"/>
    <cellStyle name="Normal 15 2 3 4 2" xfId="13577"/>
    <cellStyle name="Normal 15 2 3 4 2 2" xfId="13578"/>
    <cellStyle name="Normal 15 2 3 4 3" xfId="13579"/>
    <cellStyle name="Normal 15 2 3 5" xfId="13580"/>
    <cellStyle name="Normal 15 2 3 5 2" xfId="13581"/>
    <cellStyle name="Normal 15 2 3 5 2 2" xfId="13582"/>
    <cellStyle name="Normal 15 2 3 5 3" xfId="13583"/>
    <cellStyle name="Normal 15 2 3 6" xfId="13584"/>
    <cellStyle name="Normal 15 2 4" xfId="13585"/>
    <cellStyle name="Normal 15 3" xfId="13586"/>
    <cellStyle name="Normal 15 3 2" xfId="13587"/>
    <cellStyle name="Normal 15 3 2 2" xfId="13588"/>
    <cellStyle name="Normal 15 3 2 2 2" xfId="13589"/>
    <cellStyle name="Normal 15 3 2 3" xfId="13590"/>
    <cellStyle name="Normal 15 3 2 3 2" xfId="13591"/>
    <cellStyle name="Normal 15 3 2 3 2 2" xfId="13592"/>
    <cellStyle name="Normal 15 3 2 3 3" xfId="13593"/>
    <cellStyle name="Normal 15 3 2 4" xfId="13594"/>
    <cellStyle name="Normal 15 3 2 4 2" xfId="13595"/>
    <cellStyle name="Normal 15 3 2 4 2 2" xfId="13596"/>
    <cellStyle name="Normal 15 3 2 4 3" xfId="13597"/>
    <cellStyle name="Normal 15 3 2 5" xfId="13598"/>
    <cellStyle name="Normal 15 3 3" xfId="13599"/>
    <cellStyle name="Normal 15 3 3 2" xfId="13600"/>
    <cellStyle name="Normal 15 3 3 2 2" xfId="13601"/>
    <cellStyle name="Normal 15 3 3 3" xfId="13602"/>
    <cellStyle name="Normal 15 3 4" xfId="13603"/>
    <cellStyle name="Normal 15 3 4 2" xfId="13604"/>
    <cellStyle name="Normal 15 3 4 2 2" xfId="13605"/>
    <cellStyle name="Normal 15 3 4 3" xfId="13606"/>
    <cellStyle name="Normal 15 3 5" xfId="13607"/>
    <cellStyle name="Normal 15 3 5 2" xfId="13608"/>
    <cellStyle name="Normal 15 3 5 2 2" xfId="13609"/>
    <cellStyle name="Normal 15 3 5 3" xfId="13610"/>
    <cellStyle name="Normal 15 3 6" xfId="13611"/>
    <cellStyle name="Normal 15 4" xfId="13612"/>
    <cellStyle name="Normal 15 4 2" xfId="13613"/>
    <cellStyle name="Normal 15 4 2 2" xfId="13614"/>
    <cellStyle name="Normal 15 4 3" xfId="13615"/>
    <cellStyle name="Normal 15 4 3 2" xfId="13616"/>
    <cellStyle name="Normal 15 4 3 2 2" xfId="13617"/>
    <cellStyle name="Normal 15 4 3 3" xfId="13618"/>
    <cellStyle name="Normal 15 4 4" xfId="13619"/>
    <cellStyle name="Normal 15 4 4 2" xfId="13620"/>
    <cellStyle name="Normal 15 4 4 2 2" xfId="13621"/>
    <cellStyle name="Normal 15 4 4 3" xfId="13622"/>
    <cellStyle name="Normal 15 4 5" xfId="13623"/>
    <cellStyle name="Normal 15 5" xfId="13624"/>
    <cellStyle name="Normal 15 5 2" xfId="13625"/>
    <cellStyle name="Normal 15 5 2 2" xfId="13626"/>
    <cellStyle name="Normal 15 5 2 2 2" xfId="13627"/>
    <cellStyle name="Normal 15 5 2 3" xfId="13628"/>
    <cellStyle name="Normal 15 5 2 3 2" xfId="13629"/>
    <cellStyle name="Normal 15 5 2 3 2 2" xfId="13630"/>
    <cellStyle name="Normal 15 5 2 3 3" xfId="13631"/>
    <cellStyle name="Normal 15 5 2 4" xfId="13632"/>
    <cellStyle name="Normal 15 5 3" xfId="13633"/>
    <cellStyle name="Normal 15 5 3 2" xfId="13634"/>
    <cellStyle name="Normal 15 5 3 2 2" xfId="13635"/>
    <cellStyle name="Normal 15 5 3 3" xfId="13636"/>
    <cellStyle name="Normal 15 5 4" xfId="13637"/>
    <cellStyle name="Normal 15 5 4 2" xfId="13638"/>
    <cellStyle name="Normal 15 5 4 2 2" xfId="13639"/>
    <cellStyle name="Normal 15 5 4 3" xfId="13640"/>
    <cellStyle name="Normal 15 5 5" xfId="13641"/>
    <cellStyle name="Normal 15 5 5 2" xfId="13642"/>
    <cellStyle name="Normal 15 5 5 2 2" xfId="13643"/>
    <cellStyle name="Normal 15 5 5 3" xfId="13644"/>
    <cellStyle name="Normal 15 5 6" xfId="13645"/>
    <cellStyle name="Normal 15 6" xfId="13646"/>
    <cellStyle name="Normal 15 6 2" xfId="13647"/>
    <cellStyle name="Normal 15 6 2 2" xfId="13648"/>
    <cellStyle name="Normal 15 6 2 2 2" xfId="13649"/>
    <cellStyle name="Normal 15 6 2 3" xfId="13650"/>
    <cellStyle name="Normal 15 6 2 3 2" xfId="13651"/>
    <cellStyle name="Normal 15 6 2 3 2 2" xfId="13652"/>
    <cellStyle name="Normal 15 6 2 3 3" xfId="13653"/>
    <cellStyle name="Normal 15 6 2 4" xfId="13654"/>
    <cellStyle name="Normal 15 6 3" xfId="13655"/>
    <cellStyle name="Normal 15 6 3 2" xfId="13656"/>
    <cellStyle name="Normal 15 6 3 2 2" xfId="13657"/>
    <cellStyle name="Normal 15 6 3 3" xfId="13658"/>
    <cellStyle name="Normal 15 6 4" xfId="13659"/>
    <cellStyle name="Normal 15 6 4 2" xfId="13660"/>
    <cellStyle name="Normal 15 6 4 2 2" xfId="13661"/>
    <cellStyle name="Normal 15 6 4 3" xfId="13662"/>
    <cellStyle name="Normal 15 6 5" xfId="13663"/>
    <cellStyle name="Normal 15 7" xfId="13664"/>
    <cellStyle name="Normal 15 8" xfId="13549"/>
    <cellStyle name="Normal 150" xfId="13665"/>
    <cellStyle name="Normal 150 2" xfId="13666"/>
    <cellStyle name="Normal 150 2 2" xfId="13667"/>
    <cellStyle name="Normal 150 2 2 2" xfId="13668"/>
    <cellStyle name="Normal 150 2 3" xfId="13669"/>
    <cellStyle name="Normal 150 2 3 2" xfId="13670"/>
    <cellStyle name="Normal 150 2 3 2 2" xfId="13671"/>
    <cellStyle name="Normal 150 2 3 3" xfId="13672"/>
    <cellStyle name="Normal 150 2 4" xfId="13673"/>
    <cellStyle name="Normal 150 2 4 2" xfId="13674"/>
    <cellStyle name="Normal 150 2 4 2 2" xfId="13675"/>
    <cellStyle name="Normal 150 2 4 3" xfId="13676"/>
    <cellStyle name="Normal 150 2 5" xfId="13677"/>
    <cellStyle name="Normal 150 3" xfId="13678"/>
    <cellStyle name="Normal 150 3 2" xfId="13679"/>
    <cellStyle name="Normal 150 3 2 2" xfId="13680"/>
    <cellStyle name="Normal 150 3 2 2 2" xfId="13681"/>
    <cellStyle name="Normal 150 3 2 3" xfId="13682"/>
    <cellStyle name="Normal 150 3 2 3 2" xfId="13683"/>
    <cellStyle name="Normal 150 3 2 3 2 2" xfId="13684"/>
    <cellStyle name="Normal 150 3 2 3 3" xfId="13685"/>
    <cellStyle name="Normal 150 3 2 4" xfId="13686"/>
    <cellStyle name="Normal 150 3 3" xfId="13687"/>
    <cellStyle name="Normal 150 3 3 2" xfId="13688"/>
    <cellStyle name="Normal 150 3 3 2 2" xfId="13689"/>
    <cellStyle name="Normal 150 3 3 3" xfId="13690"/>
    <cellStyle name="Normal 150 3 4" xfId="13691"/>
    <cellStyle name="Normal 150 3 4 2" xfId="13692"/>
    <cellStyle name="Normal 150 3 4 2 2" xfId="13693"/>
    <cellStyle name="Normal 150 3 4 3" xfId="13694"/>
    <cellStyle name="Normal 150 3 5" xfId="13695"/>
    <cellStyle name="Normal 150 3 5 2" xfId="13696"/>
    <cellStyle name="Normal 150 3 5 2 2" xfId="13697"/>
    <cellStyle name="Normal 150 3 5 3" xfId="13698"/>
    <cellStyle name="Normal 150 3 6" xfId="13699"/>
    <cellStyle name="Normal 150 4" xfId="13700"/>
    <cellStyle name="Normal 150 4 2" xfId="13701"/>
    <cellStyle name="Normal 150 4 2 2" xfId="13702"/>
    <cellStyle name="Normal 150 4 3" xfId="13703"/>
    <cellStyle name="Normal 150 5" xfId="13704"/>
    <cellStyle name="Normal 150 5 2" xfId="13705"/>
    <cellStyle name="Normal 150 5 2 2" xfId="13706"/>
    <cellStyle name="Normal 150 5 3" xfId="13707"/>
    <cellStyle name="Normal 150 6" xfId="13708"/>
    <cellStyle name="Normal 150 6 2" xfId="13709"/>
    <cellStyle name="Normal 150 6 2 2" xfId="13710"/>
    <cellStyle name="Normal 150 6 3" xfId="13711"/>
    <cellStyle name="Normal 150 7" xfId="13712"/>
    <cellStyle name="Normal 151" xfId="13713"/>
    <cellStyle name="Normal 151 2" xfId="13714"/>
    <cellStyle name="Normal 151 2 2" xfId="13715"/>
    <cellStyle name="Normal 151 2 2 2" xfId="13716"/>
    <cellStyle name="Normal 151 2 3" xfId="13717"/>
    <cellStyle name="Normal 151 2 3 2" xfId="13718"/>
    <cellStyle name="Normal 151 2 3 2 2" xfId="13719"/>
    <cellStyle name="Normal 151 2 3 3" xfId="13720"/>
    <cellStyle name="Normal 151 2 4" xfId="13721"/>
    <cellStyle name="Normal 151 2 4 2" xfId="13722"/>
    <cellStyle name="Normal 151 2 4 2 2" xfId="13723"/>
    <cellStyle name="Normal 151 2 4 3" xfId="13724"/>
    <cellStyle name="Normal 151 2 5" xfId="13725"/>
    <cellStyle name="Normal 151 3" xfId="13726"/>
    <cellStyle name="Normal 151 3 2" xfId="13727"/>
    <cellStyle name="Normal 151 3 2 2" xfId="13728"/>
    <cellStyle name="Normal 151 3 2 2 2" xfId="13729"/>
    <cellStyle name="Normal 151 3 2 3" xfId="13730"/>
    <cellStyle name="Normal 151 3 2 3 2" xfId="13731"/>
    <cellStyle name="Normal 151 3 2 3 2 2" xfId="13732"/>
    <cellStyle name="Normal 151 3 2 3 3" xfId="13733"/>
    <cellStyle name="Normal 151 3 2 4" xfId="13734"/>
    <cellStyle name="Normal 151 3 3" xfId="13735"/>
    <cellStyle name="Normal 151 3 3 2" xfId="13736"/>
    <cellStyle name="Normal 151 3 3 2 2" xfId="13737"/>
    <cellStyle name="Normal 151 3 3 3" xfId="13738"/>
    <cellStyle name="Normal 151 3 4" xfId="13739"/>
    <cellStyle name="Normal 151 3 4 2" xfId="13740"/>
    <cellStyle name="Normal 151 3 4 2 2" xfId="13741"/>
    <cellStyle name="Normal 151 3 4 3" xfId="13742"/>
    <cellStyle name="Normal 151 3 5" xfId="13743"/>
    <cellStyle name="Normal 151 3 5 2" xfId="13744"/>
    <cellStyle name="Normal 151 3 5 2 2" xfId="13745"/>
    <cellStyle name="Normal 151 3 5 3" xfId="13746"/>
    <cellStyle name="Normal 151 3 6" xfId="13747"/>
    <cellStyle name="Normal 151 4" xfId="13748"/>
    <cellStyle name="Normal 151 4 2" xfId="13749"/>
    <cellStyle name="Normal 151 4 2 2" xfId="13750"/>
    <cellStyle name="Normal 151 4 3" xfId="13751"/>
    <cellStyle name="Normal 151 5" xfId="13752"/>
    <cellStyle name="Normal 151 5 2" xfId="13753"/>
    <cellStyle name="Normal 151 5 2 2" xfId="13754"/>
    <cellStyle name="Normal 151 5 3" xfId="13755"/>
    <cellStyle name="Normal 151 6" xfId="13756"/>
    <cellStyle name="Normal 151 6 2" xfId="13757"/>
    <cellStyle name="Normal 151 6 2 2" xfId="13758"/>
    <cellStyle name="Normal 151 6 3" xfId="13759"/>
    <cellStyle name="Normal 151 7" xfId="13760"/>
    <cellStyle name="Normal 152" xfId="13761"/>
    <cellStyle name="Normal 152 2" xfId="13762"/>
    <cellStyle name="Normal 152 2 2" xfId="13763"/>
    <cellStyle name="Normal 152 2 2 2" xfId="13764"/>
    <cellStyle name="Normal 152 2 3" xfId="13765"/>
    <cellStyle name="Normal 152 2 3 2" xfId="13766"/>
    <cellStyle name="Normal 152 2 3 2 2" xfId="13767"/>
    <cellStyle name="Normal 152 2 3 3" xfId="13768"/>
    <cellStyle name="Normal 152 2 4" xfId="13769"/>
    <cellStyle name="Normal 152 2 4 2" xfId="13770"/>
    <cellStyle name="Normal 152 2 4 2 2" xfId="13771"/>
    <cellStyle name="Normal 152 2 4 3" xfId="13772"/>
    <cellStyle name="Normal 152 2 5" xfId="13773"/>
    <cellStyle name="Normal 152 3" xfId="13774"/>
    <cellStyle name="Normal 152 3 2" xfId="13775"/>
    <cellStyle name="Normal 152 3 2 2" xfId="13776"/>
    <cellStyle name="Normal 152 3 2 2 2" xfId="13777"/>
    <cellStyle name="Normal 152 3 2 3" xfId="13778"/>
    <cellStyle name="Normal 152 3 2 3 2" xfId="13779"/>
    <cellStyle name="Normal 152 3 2 3 2 2" xfId="13780"/>
    <cellStyle name="Normal 152 3 2 3 3" xfId="13781"/>
    <cellStyle name="Normal 152 3 2 4" xfId="13782"/>
    <cellStyle name="Normal 152 3 3" xfId="13783"/>
    <cellStyle name="Normal 152 3 3 2" xfId="13784"/>
    <cellStyle name="Normal 152 3 3 2 2" xfId="13785"/>
    <cellStyle name="Normal 152 3 3 3" xfId="13786"/>
    <cellStyle name="Normal 152 3 4" xfId="13787"/>
    <cellStyle name="Normal 152 3 4 2" xfId="13788"/>
    <cellStyle name="Normal 152 3 4 2 2" xfId="13789"/>
    <cellStyle name="Normal 152 3 4 3" xfId="13790"/>
    <cellStyle name="Normal 152 3 5" xfId="13791"/>
    <cellStyle name="Normal 152 3 5 2" xfId="13792"/>
    <cellStyle name="Normal 152 3 5 2 2" xfId="13793"/>
    <cellStyle name="Normal 152 3 5 3" xfId="13794"/>
    <cellStyle name="Normal 152 3 6" xfId="13795"/>
    <cellStyle name="Normal 152 4" xfId="13796"/>
    <cellStyle name="Normal 152 4 2" xfId="13797"/>
    <cellStyle name="Normal 152 4 2 2" xfId="13798"/>
    <cellStyle name="Normal 152 4 3" xfId="13799"/>
    <cellStyle name="Normal 152 5" xfId="13800"/>
    <cellStyle name="Normal 152 5 2" xfId="13801"/>
    <cellStyle name="Normal 152 5 2 2" xfId="13802"/>
    <cellStyle name="Normal 152 5 3" xfId="13803"/>
    <cellStyle name="Normal 152 6" xfId="13804"/>
    <cellStyle name="Normal 152 6 2" xfId="13805"/>
    <cellStyle name="Normal 152 6 2 2" xfId="13806"/>
    <cellStyle name="Normal 152 6 3" xfId="13807"/>
    <cellStyle name="Normal 152 7" xfId="13808"/>
    <cellStyle name="Normal 153" xfId="13809"/>
    <cellStyle name="Normal 153 2" xfId="13810"/>
    <cellStyle name="Normal 153 2 2" xfId="13811"/>
    <cellStyle name="Normal 153 2 2 2" xfId="13812"/>
    <cellStyle name="Normal 153 2 3" xfId="13813"/>
    <cellStyle name="Normal 153 2 3 2" xfId="13814"/>
    <cellStyle name="Normal 153 2 3 2 2" xfId="13815"/>
    <cellStyle name="Normal 153 2 3 3" xfId="13816"/>
    <cellStyle name="Normal 153 2 4" xfId="13817"/>
    <cellStyle name="Normal 153 2 4 2" xfId="13818"/>
    <cellStyle name="Normal 153 2 4 2 2" xfId="13819"/>
    <cellStyle name="Normal 153 2 4 3" xfId="13820"/>
    <cellStyle name="Normal 153 2 5" xfId="13821"/>
    <cellStyle name="Normal 153 3" xfId="13822"/>
    <cellStyle name="Normal 153 3 2" xfId="13823"/>
    <cellStyle name="Normal 153 3 2 2" xfId="13824"/>
    <cellStyle name="Normal 153 3 2 2 2" xfId="13825"/>
    <cellStyle name="Normal 153 3 2 3" xfId="13826"/>
    <cellStyle name="Normal 153 3 2 3 2" xfId="13827"/>
    <cellStyle name="Normal 153 3 2 3 2 2" xfId="13828"/>
    <cellStyle name="Normal 153 3 2 3 3" xfId="13829"/>
    <cellStyle name="Normal 153 3 2 4" xfId="13830"/>
    <cellStyle name="Normal 153 3 3" xfId="13831"/>
    <cellStyle name="Normal 153 3 3 2" xfId="13832"/>
    <cellStyle name="Normal 153 3 3 2 2" xfId="13833"/>
    <cellStyle name="Normal 153 3 3 3" xfId="13834"/>
    <cellStyle name="Normal 153 3 4" xfId="13835"/>
    <cellStyle name="Normal 153 3 4 2" xfId="13836"/>
    <cellStyle name="Normal 153 3 4 2 2" xfId="13837"/>
    <cellStyle name="Normal 153 3 4 3" xfId="13838"/>
    <cellStyle name="Normal 153 3 5" xfId="13839"/>
    <cellStyle name="Normal 153 3 5 2" xfId="13840"/>
    <cellStyle name="Normal 153 3 5 2 2" xfId="13841"/>
    <cellStyle name="Normal 153 3 5 3" xfId="13842"/>
    <cellStyle name="Normal 153 3 6" xfId="13843"/>
    <cellStyle name="Normal 153 4" xfId="13844"/>
    <cellStyle name="Normal 153 4 2" xfId="13845"/>
    <cellStyle name="Normal 153 4 2 2" xfId="13846"/>
    <cellStyle name="Normal 153 4 3" xfId="13847"/>
    <cellStyle name="Normal 153 5" xfId="13848"/>
    <cellStyle name="Normal 153 5 2" xfId="13849"/>
    <cellStyle name="Normal 153 5 2 2" xfId="13850"/>
    <cellStyle name="Normal 153 5 3" xfId="13851"/>
    <cellStyle name="Normal 153 6" xfId="13852"/>
    <cellStyle name="Normal 153 6 2" xfId="13853"/>
    <cellStyle name="Normal 153 6 2 2" xfId="13854"/>
    <cellStyle name="Normal 153 6 3" xfId="13855"/>
    <cellStyle name="Normal 153 7" xfId="13856"/>
    <cellStyle name="Normal 154" xfId="13857"/>
    <cellStyle name="Normal 154 2" xfId="13858"/>
    <cellStyle name="Normal 154 2 2" xfId="13859"/>
    <cellStyle name="Normal 154 2 2 2" xfId="13860"/>
    <cellStyle name="Normal 154 2 3" xfId="13861"/>
    <cellStyle name="Normal 154 2 3 2" xfId="13862"/>
    <cellStyle name="Normal 154 2 3 2 2" xfId="13863"/>
    <cellStyle name="Normal 154 2 3 3" xfId="13864"/>
    <cellStyle name="Normal 154 2 4" xfId="13865"/>
    <cellStyle name="Normal 154 2 4 2" xfId="13866"/>
    <cellStyle name="Normal 154 2 4 2 2" xfId="13867"/>
    <cellStyle name="Normal 154 2 4 3" xfId="13868"/>
    <cellStyle name="Normal 154 2 5" xfId="13869"/>
    <cellStyle name="Normal 154 3" xfId="13870"/>
    <cellStyle name="Normal 154 3 2" xfId="13871"/>
    <cellStyle name="Normal 154 3 2 2" xfId="13872"/>
    <cellStyle name="Normal 154 3 2 2 2" xfId="13873"/>
    <cellStyle name="Normal 154 3 2 3" xfId="13874"/>
    <cellStyle name="Normal 154 3 2 3 2" xfId="13875"/>
    <cellStyle name="Normal 154 3 2 3 2 2" xfId="13876"/>
    <cellStyle name="Normal 154 3 2 3 3" xfId="13877"/>
    <cellStyle name="Normal 154 3 2 4" xfId="13878"/>
    <cellStyle name="Normal 154 3 3" xfId="13879"/>
    <cellStyle name="Normal 154 3 3 2" xfId="13880"/>
    <cellStyle name="Normal 154 3 3 2 2" xfId="13881"/>
    <cellStyle name="Normal 154 3 3 3" xfId="13882"/>
    <cellStyle name="Normal 154 3 4" xfId="13883"/>
    <cellStyle name="Normal 154 3 4 2" xfId="13884"/>
    <cellStyle name="Normal 154 3 4 2 2" xfId="13885"/>
    <cellStyle name="Normal 154 3 4 3" xfId="13886"/>
    <cellStyle name="Normal 154 3 5" xfId="13887"/>
    <cellStyle name="Normal 154 3 5 2" xfId="13888"/>
    <cellStyle name="Normal 154 3 5 2 2" xfId="13889"/>
    <cellStyle name="Normal 154 3 5 3" xfId="13890"/>
    <cellStyle name="Normal 154 3 6" xfId="13891"/>
    <cellStyle name="Normal 154 4" xfId="13892"/>
    <cellStyle name="Normal 154 4 2" xfId="13893"/>
    <cellStyle name="Normal 154 4 2 2" xfId="13894"/>
    <cellStyle name="Normal 154 4 3" xfId="13895"/>
    <cellStyle name="Normal 154 5" xfId="13896"/>
    <cellStyle name="Normal 154 5 2" xfId="13897"/>
    <cellStyle name="Normal 154 5 2 2" xfId="13898"/>
    <cellStyle name="Normal 154 5 3" xfId="13899"/>
    <cellStyle name="Normal 154 6" xfId="13900"/>
    <cellStyle name="Normal 154 6 2" xfId="13901"/>
    <cellStyle name="Normal 154 6 2 2" xfId="13902"/>
    <cellStyle name="Normal 154 6 3" xfId="13903"/>
    <cellStyle name="Normal 154 7" xfId="13904"/>
    <cellStyle name="Normal 155" xfId="13905"/>
    <cellStyle name="Normal 155 2" xfId="13906"/>
    <cellStyle name="Normal 155 2 2" xfId="13907"/>
    <cellStyle name="Normal 155 2 2 2" xfId="13908"/>
    <cellStyle name="Normal 155 2 3" xfId="13909"/>
    <cellStyle name="Normal 155 2 3 2" xfId="13910"/>
    <cellStyle name="Normal 155 2 3 2 2" xfId="13911"/>
    <cellStyle name="Normal 155 2 3 3" xfId="13912"/>
    <cellStyle name="Normal 155 2 4" xfId="13913"/>
    <cellStyle name="Normal 155 2 4 2" xfId="13914"/>
    <cellStyle name="Normal 155 2 4 2 2" xfId="13915"/>
    <cellStyle name="Normal 155 2 4 3" xfId="13916"/>
    <cellStyle name="Normal 155 2 5" xfId="13917"/>
    <cellStyle name="Normal 155 3" xfId="13918"/>
    <cellStyle name="Normal 155 3 2" xfId="13919"/>
    <cellStyle name="Normal 155 3 2 2" xfId="13920"/>
    <cellStyle name="Normal 155 3 2 2 2" xfId="13921"/>
    <cellStyle name="Normal 155 3 2 3" xfId="13922"/>
    <cellStyle name="Normal 155 3 2 3 2" xfId="13923"/>
    <cellStyle name="Normal 155 3 2 3 2 2" xfId="13924"/>
    <cellStyle name="Normal 155 3 2 3 3" xfId="13925"/>
    <cellStyle name="Normal 155 3 2 4" xfId="13926"/>
    <cellStyle name="Normal 155 3 3" xfId="13927"/>
    <cellStyle name="Normal 155 3 3 2" xfId="13928"/>
    <cellStyle name="Normal 155 3 3 2 2" xfId="13929"/>
    <cellStyle name="Normal 155 3 3 3" xfId="13930"/>
    <cellStyle name="Normal 155 3 4" xfId="13931"/>
    <cellStyle name="Normal 155 3 4 2" xfId="13932"/>
    <cellStyle name="Normal 155 3 4 2 2" xfId="13933"/>
    <cellStyle name="Normal 155 3 4 3" xfId="13934"/>
    <cellStyle name="Normal 155 3 5" xfId="13935"/>
    <cellStyle name="Normal 155 3 5 2" xfId="13936"/>
    <cellStyle name="Normal 155 3 5 2 2" xfId="13937"/>
    <cellStyle name="Normal 155 3 5 3" xfId="13938"/>
    <cellStyle name="Normal 155 3 6" xfId="13939"/>
    <cellStyle name="Normal 155 4" xfId="13940"/>
    <cellStyle name="Normal 155 4 2" xfId="13941"/>
    <cellStyle name="Normal 155 4 2 2" xfId="13942"/>
    <cellStyle name="Normal 155 4 3" xfId="13943"/>
    <cellStyle name="Normal 155 5" xfId="13944"/>
    <cellStyle name="Normal 155 5 2" xfId="13945"/>
    <cellStyle name="Normal 155 5 2 2" xfId="13946"/>
    <cellStyle name="Normal 155 5 3" xfId="13947"/>
    <cellStyle name="Normal 155 6" xfId="13948"/>
    <cellStyle name="Normal 155 6 2" xfId="13949"/>
    <cellStyle name="Normal 155 6 2 2" xfId="13950"/>
    <cellStyle name="Normal 155 6 3" xfId="13951"/>
    <cellStyle name="Normal 155 7" xfId="13952"/>
    <cellStyle name="Normal 156" xfId="13953"/>
    <cellStyle name="Normal 156 2" xfId="13954"/>
    <cellStyle name="Normal 156 2 2" xfId="13955"/>
    <cellStyle name="Normal 156 2 2 2" xfId="13956"/>
    <cellStyle name="Normal 156 2 3" xfId="13957"/>
    <cellStyle name="Normal 156 2 3 2" xfId="13958"/>
    <cellStyle name="Normal 156 2 3 2 2" xfId="13959"/>
    <cellStyle name="Normal 156 2 3 3" xfId="13960"/>
    <cellStyle name="Normal 156 2 4" xfId="13961"/>
    <cellStyle name="Normal 156 2 4 2" xfId="13962"/>
    <cellStyle name="Normal 156 2 4 2 2" xfId="13963"/>
    <cellStyle name="Normal 156 2 4 3" xfId="13964"/>
    <cellStyle name="Normal 156 2 5" xfId="13965"/>
    <cellStyle name="Normal 156 3" xfId="13966"/>
    <cellStyle name="Normal 156 3 2" xfId="13967"/>
    <cellStyle name="Normal 156 3 2 2" xfId="13968"/>
    <cellStyle name="Normal 156 3 2 2 2" xfId="13969"/>
    <cellStyle name="Normal 156 3 2 3" xfId="13970"/>
    <cellStyle name="Normal 156 3 2 3 2" xfId="13971"/>
    <cellStyle name="Normal 156 3 2 3 2 2" xfId="13972"/>
    <cellStyle name="Normal 156 3 2 3 3" xfId="13973"/>
    <cellStyle name="Normal 156 3 2 4" xfId="13974"/>
    <cellStyle name="Normal 156 3 3" xfId="13975"/>
    <cellStyle name="Normal 156 3 3 2" xfId="13976"/>
    <cellStyle name="Normal 156 3 3 2 2" xfId="13977"/>
    <cellStyle name="Normal 156 3 3 3" xfId="13978"/>
    <cellStyle name="Normal 156 3 4" xfId="13979"/>
    <cellStyle name="Normal 156 3 4 2" xfId="13980"/>
    <cellStyle name="Normal 156 3 4 2 2" xfId="13981"/>
    <cellStyle name="Normal 156 3 4 3" xfId="13982"/>
    <cellStyle name="Normal 156 3 5" xfId="13983"/>
    <cellStyle name="Normal 156 3 5 2" xfId="13984"/>
    <cellStyle name="Normal 156 3 5 2 2" xfId="13985"/>
    <cellStyle name="Normal 156 3 5 3" xfId="13986"/>
    <cellStyle name="Normal 156 3 6" xfId="13987"/>
    <cellStyle name="Normal 156 4" xfId="13988"/>
    <cellStyle name="Normal 156 4 2" xfId="13989"/>
    <cellStyle name="Normal 156 4 2 2" xfId="13990"/>
    <cellStyle name="Normal 156 4 3" xfId="13991"/>
    <cellStyle name="Normal 156 5" xfId="13992"/>
    <cellStyle name="Normal 156 5 2" xfId="13993"/>
    <cellStyle name="Normal 156 5 2 2" xfId="13994"/>
    <cellStyle name="Normal 156 5 3" xfId="13995"/>
    <cellStyle name="Normal 156 6" xfId="13996"/>
    <cellStyle name="Normal 156 6 2" xfId="13997"/>
    <cellStyle name="Normal 156 6 2 2" xfId="13998"/>
    <cellStyle name="Normal 156 6 3" xfId="13999"/>
    <cellStyle name="Normal 156 7" xfId="14000"/>
    <cellStyle name="Normal 157" xfId="14001"/>
    <cellStyle name="Normal 157 2" xfId="14002"/>
    <cellStyle name="Normal 157 2 2" xfId="14003"/>
    <cellStyle name="Normal 157 2 2 2" xfId="14004"/>
    <cellStyle name="Normal 157 2 3" xfId="14005"/>
    <cellStyle name="Normal 157 2 3 2" xfId="14006"/>
    <cellStyle name="Normal 157 2 3 2 2" xfId="14007"/>
    <cellStyle name="Normal 157 2 3 3" xfId="14008"/>
    <cellStyle name="Normal 157 2 4" xfId="14009"/>
    <cellStyle name="Normal 157 2 4 2" xfId="14010"/>
    <cellStyle name="Normal 157 2 4 2 2" xfId="14011"/>
    <cellStyle name="Normal 157 2 4 3" xfId="14012"/>
    <cellStyle name="Normal 157 2 5" xfId="14013"/>
    <cellStyle name="Normal 157 3" xfId="14014"/>
    <cellStyle name="Normal 157 3 2" xfId="14015"/>
    <cellStyle name="Normal 157 3 2 2" xfId="14016"/>
    <cellStyle name="Normal 157 3 2 2 2" xfId="14017"/>
    <cellStyle name="Normal 157 3 2 3" xfId="14018"/>
    <cellStyle name="Normal 157 3 2 3 2" xfId="14019"/>
    <cellStyle name="Normal 157 3 2 3 2 2" xfId="14020"/>
    <cellStyle name="Normal 157 3 2 3 3" xfId="14021"/>
    <cellStyle name="Normal 157 3 2 4" xfId="14022"/>
    <cellStyle name="Normal 157 3 3" xfId="14023"/>
    <cellStyle name="Normal 157 3 3 2" xfId="14024"/>
    <cellStyle name="Normal 157 3 3 2 2" xfId="14025"/>
    <cellStyle name="Normal 157 3 3 3" xfId="14026"/>
    <cellStyle name="Normal 157 3 4" xfId="14027"/>
    <cellStyle name="Normal 157 3 4 2" xfId="14028"/>
    <cellStyle name="Normal 157 3 4 2 2" xfId="14029"/>
    <cellStyle name="Normal 157 3 4 3" xfId="14030"/>
    <cellStyle name="Normal 157 3 5" xfId="14031"/>
    <cellStyle name="Normal 157 3 5 2" xfId="14032"/>
    <cellStyle name="Normal 157 3 5 2 2" xfId="14033"/>
    <cellStyle name="Normal 157 3 5 3" xfId="14034"/>
    <cellStyle name="Normal 157 3 6" xfId="14035"/>
    <cellStyle name="Normal 157 4" xfId="14036"/>
    <cellStyle name="Normal 157 4 2" xfId="14037"/>
    <cellStyle name="Normal 157 4 2 2" xfId="14038"/>
    <cellStyle name="Normal 157 4 3" xfId="14039"/>
    <cellStyle name="Normal 157 5" xfId="14040"/>
    <cellStyle name="Normal 157 5 2" xfId="14041"/>
    <cellStyle name="Normal 157 5 2 2" xfId="14042"/>
    <cellStyle name="Normal 157 5 3" xfId="14043"/>
    <cellStyle name="Normal 157 6" xfId="14044"/>
    <cellStyle name="Normal 157 6 2" xfId="14045"/>
    <cellStyle name="Normal 157 6 2 2" xfId="14046"/>
    <cellStyle name="Normal 157 6 3" xfId="14047"/>
    <cellStyle name="Normal 157 7" xfId="14048"/>
    <cellStyle name="Normal 158" xfId="14049"/>
    <cellStyle name="Normal 158 2" xfId="14050"/>
    <cellStyle name="Normal 158 2 2" xfId="14051"/>
    <cellStyle name="Normal 158 2 2 2" xfId="14052"/>
    <cellStyle name="Normal 158 2 3" xfId="14053"/>
    <cellStyle name="Normal 158 2 3 2" xfId="14054"/>
    <cellStyle name="Normal 158 2 3 2 2" xfId="14055"/>
    <cellStyle name="Normal 158 2 3 3" xfId="14056"/>
    <cellStyle name="Normal 158 2 4" xfId="14057"/>
    <cellStyle name="Normal 158 2 4 2" xfId="14058"/>
    <cellStyle name="Normal 158 2 4 2 2" xfId="14059"/>
    <cellStyle name="Normal 158 2 4 3" xfId="14060"/>
    <cellStyle name="Normal 158 2 5" xfId="14061"/>
    <cellStyle name="Normal 158 3" xfId="14062"/>
    <cellStyle name="Normal 158 3 2" xfId="14063"/>
    <cellStyle name="Normal 158 3 2 2" xfId="14064"/>
    <cellStyle name="Normal 158 3 2 2 2" xfId="14065"/>
    <cellStyle name="Normal 158 3 2 3" xfId="14066"/>
    <cellStyle name="Normal 158 3 2 3 2" xfId="14067"/>
    <cellStyle name="Normal 158 3 2 3 2 2" xfId="14068"/>
    <cellStyle name="Normal 158 3 2 3 3" xfId="14069"/>
    <cellStyle name="Normal 158 3 2 4" xfId="14070"/>
    <cellStyle name="Normal 158 3 3" xfId="14071"/>
    <cellStyle name="Normal 158 3 3 2" xfId="14072"/>
    <cellStyle name="Normal 158 3 3 2 2" xfId="14073"/>
    <cellStyle name="Normal 158 3 3 3" xfId="14074"/>
    <cellStyle name="Normal 158 3 4" xfId="14075"/>
    <cellStyle name="Normal 158 3 4 2" xfId="14076"/>
    <cellStyle name="Normal 158 3 4 2 2" xfId="14077"/>
    <cellStyle name="Normal 158 3 4 3" xfId="14078"/>
    <cellStyle name="Normal 158 3 5" xfId="14079"/>
    <cellStyle name="Normal 158 3 5 2" xfId="14080"/>
    <cellStyle name="Normal 158 3 5 2 2" xfId="14081"/>
    <cellStyle name="Normal 158 3 5 3" xfId="14082"/>
    <cellStyle name="Normal 158 3 6" xfId="14083"/>
    <cellStyle name="Normal 158 4" xfId="14084"/>
    <cellStyle name="Normal 158 4 2" xfId="14085"/>
    <cellStyle name="Normal 158 4 2 2" xfId="14086"/>
    <cellStyle name="Normal 158 4 3" xfId="14087"/>
    <cellStyle name="Normal 158 5" xfId="14088"/>
    <cellStyle name="Normal 158 5 2" xfId="14089"/>
    <cellStyle name="Normal 158 5 2 2" xfId="14090"/>
    <cellStyle name="Normal 158 5 3" xfId="14091"/>
    <cellStyle name="Normal 158 6" xfId="14092"/>
    <cellStyle name="Normal 158 6 2" xfId="14093"/>
    <cellStyle name="Normal 158 6 2 2" xfId="14094"/>
    <cellStyle name="Normal 158 6 3" xfId="14095"/>
    <cellStyle name="Normal 158 7" xfId="14096"/>
    <cellStyle name="Normal 159" xfId="14097"/>
    <cellStyle name="Normal 159 2" xfId="14098"/>
    <cellStyle name="Normal 159 2 2" xfId="14099"/>
    <cellStyle name="Normal 159 2 2 2" xfId="14100"/>
    <cellStyle name="Normal 159 2 3" xfId="14101"/>
    <cellStyle name="Normal 159 2 3 2" xfId="14102"/>
    <cellStyle name="Normal 159 2 3 2 2" xfId="14103"/>
    <cellStyle name="Normal 159 2 3 3" xfId="14104"/>
    <cellStyle name="Normal 159 2 4" xfId="14105"/>
    <cellStyle name="Normal 159 2 4 2" xfId="14106"/>
    <cellStyle name="Normal 159 2 4 2 2" xfId="14107"/>
    <cellStyle name="Normal 159 2 4 3" xfId="14108"/>
    <cellStyle name="Normal 159 2 5" xfId="14109"/>
    <cellStyle name="Normal 159 3" xfId="14110"/>
    <cellStyle name="Normal 159 3 2" xfId="14111"/>
    <cellStyle name="Normal 159 3 2 2" xfId="14112"/>
    <cellStyle name="Normal 159 3 2 2 2" xfId="14113"/>
    <cellStyle name="Normal 159 3 2 3" xfId="14114"/>
    <cellStyle name="Normal 159 3 2 3 2" xfId="14115"/>
    <cellStyle name="Normal 159 3 2 3 2 2" xfId="14116"/>
    <cellStyle name="Normal 159 3 2 3 3" xfId="14117"/>
    <cellStyle name="Normal 159 3 2 4" xfId="14118"/>
    <cellStyle name="Normal 159 3 3" xfId="14119"/>
    <cellStyle name="Normal 159 3 3 2" xfId="14120"/>
    <cellStyle name="Normal 159 3 3 2 2" xfId="14121"/>
    <cellStyle name="Normal 159 3 3 3" xfId="14122"/>
    <cellStyle name="Normal 159 3 4" xfId="14123"/>
    <cellStyle name="Normal 159 3 4 2" xfId="14124"/>
    <cellStyle name="Normal 159 3 4 2 2" xfId="14125"/>
    <cellStyle name="Normal 159 3 4 3" xfId="14126"/>
    <cellStyle name="Normal 159 3 5" xfId="14127"/>
    <cellStyle name="Normal 159 3 5 2" xfId="14128"/>
    <cellStyle name="Normal 159 3 5 2 2" xfId="14129"/>
    <cellStyle name="Normal 159 3 5 3" xfId="14130"/>
    <cellStyle name="Normal 159 3 6" xfId="14131"/>
    <cellStyle name="Normal 159 4" xfId="14132"/>
    <cellStyle name="Normal 159 4 2" xfId="14133"/>
    <cellStyle name="Normal 159 4 2 2" xfId="14134"/>
    <cellStyle name="Normal 159 4 3" xfId="14135"/>
    <cellStyle name="Normal 159 5" xfId="14136"/>
    <cellStyle name="Normal 159 5 2" xfId="14137"/>
    <cellStyle name="Normal 159 5 2 2" xfId="14138"/>
    <cellStyle name="Normal 159 5 3" xfId="14139"/>
    <cellStyle name="Normal 159 6" xfId="14140"/>
    <cellStyle name="Normal 159 6 2" xfId="14141"/>
    <cellStyle name="Normal 159 6 2 2" xfId="14142"/>
    <cellStyle name="Normal 159 6 3" xfId="14143"/>
    <cellStyle name="Normal 159 7" xfId="14144"/>
    <cellStyle name="Normal 16" xfId="131"/>
    <cellStyle name="Normal 16 2" xfId="14146"/>
    <cellStyle name="Normal 16 2 2" xfId="14147"/>
    <cellStyle name="Normal 16 2 2 2" xfId="14148"/>
    <cellStyle name="Normal 16 2 2 2 2" xfId="14149"/>
    <cellStyle name="Normal 16 2 2 3" xfId="14150"/>
    <cellStyle name="Normal 16 2 2 3 2" xfId="14151"/>
    <cellStyle name="Normal 16 2 2 3 2 2" xfId="14152"/>
    <cellStyle name="Normal 16 2 2 3 3" xfId="14153"/>
    <cellStyle name="Normal 16 2 2 4" xfId="14154"/>
    <cellStyle name="Normal 16 2 2 4 2" xfId="14155"/>
    <cellStyle name="Normal 16 2 2 4 2 2" xfId="14156"/>
    <cellStyle name="Normal 16 2 2 4 3" xfId="14157"/>
    <cellStyle name="Normal 16 2 2 5" xfId="14158"/>
    <cellStyle name="Normal 16 2 3" xfId="14159"/>
    <cellStyle name="Normal 16 2 3 2" xfId="14160"/>
    <cellStyle name="Normal 16 2 3 2 2" xfId="14161"/>
    <cellStyle name="Normal 16 2 3 2 2 2" xfId="14162"/>
    <cellStyle name="Normal 16 2 3 2 3" xfId="14163"/>
    <cellStyle name="Normal 16 2 3 2 3 2" xfId="14164"/>
    <cellStyle name="Normal 16 2 3 2 3 2 2" xfId="14165"/>
    <cellStyle name="Normal 16 2 3 2 3 3" xfId="14166"/>
    <cellStyle name="Normal 16 2 3 2 4" xfId="14167"/>
    <cellStyle name="Normal 16 2 3 3" xfId="14168"/>
    <cellStyle name="Normal 16 2 3 3 2" xfId="14169"/>
    <cellStyle name="Normal 16 2 3 3 2 2" xfId="14170"/>
    <cellStyle name="Normal 16 2 3 3 3" xfId="14171"/>
    <cellStyle name="Normal 16 2 3 4" xfId="14172"/>
    <cellStyle name="Normal 16 2 3 4 2" xfId="14173"/>
    <cellStyle name="Normal 16 2 3 4 2 2" xfId="14174"/>
    <cellStyle name="Normal 16 2 3 4 3" xfId="14175"/>
    <cellStyle name="Normal 16 2 3 5" xfId="14176"/>
    <cellStyle name="Normal 16 2 3 5 2" xfId="14177"/>
    <cellStyle name="Normal 16 2 3 5 2 2" xfId="14178"/>
    <cellStyle name="Normal 16 2 3 5 3" xfId="14179"/>
    <cellStyle name="Normal 16 2 3 6" xfId="14180"/>
    <cellStyle name="Normal 16 2 4" xfId="14181"/>
    <cellStyle name="Normal 16 3" xfId="14182"/>
    <cellStyle name="Normal 16 3 2" xfId="14183"/>
    <cellStyle name="Normal 16 3 2 2" xfId="14184"/>
    <cellStyle name="Normal 16 3 2 2 2" xfId="14185"/>
    <cellStyle name="Normal 16 3 2 3" xfId="14186"/>
    <cellStyle name="Normal 16 3 2 3 2" xfId="14187"/>
    <cellStyle name="Normal 16 3 2 3 2 2" xfId="14188"/>
    <cellStyle name="Normal 16 3 2 3 3" xfId="14189"/>
    <cellStyle name="Normal 16 3 2 4" xfId="14190"/>
    <cellStyle name="Normal 16 3 2 4 2" xfId="14191"/>
    <cellStyle name="Normal 16 3 2 4 2 2" xfId="14192"/>
    <cellStyle name="Normal 16 3 2 4 3" xfId="14193"/>
    <cellStyle name="Normal 16 3 2 5" xfId="14194"/>
    <cellStyle name="Normal 16 3 3" xfId="14195"/>
    <cellStyle name="Normal 16 3 3 2" xfId="14196"/>
    <cellStyle name="Normal 16 3 3 2 2" xfId="14197"/>
    <cellStyle name="Normal 16 3 3 3" xfId="14198"/>
    <cellStyle name="Normal 16 3 4" xfId="14199"/>
    <cellStyle name="Normal 16 3 4 2" xfId="14200"/>
    <cellStyle name="Normal 16 3 4 2 2" xfId="14201"/>
    <cellStyle name="Normal 16 3 4 3" xfId="14202"/>
    <cellStyle name="Normal 16 3 5" xfId="14203"/>
    <cellStyle name="Normal 16 3 5 2" xfId="14204"/>
    <cellStyle name="Normal 16 3 5 2 2" xfId="14205"/>
    <cellStyle name="Normal 16 3 5 3" xfId="14206"/>
    <cellStyle name="Normal 16 3 6" xfId="14207"/>
    <cellStyle name="Normal 16 4" xfId="14208"/>
    <cellStyle name="Normal 16 4 2" xfId="14209"/>
    <cellStyle name="Normal 16 4 2 2" xfId="14210"/>
    <cellStyle name="Normal 16 4 3" xfId="14211"/>
    <cellStyle name="Normal 16 4 3 2" xfId="14212"/>
    <cellStyle name="Normal 16 4 3 2 2" xfId="14213"/>
    <cellStyle name="Normal 16 4 3 3" xfId="14214"/>
    <cellStyle name="Normal 16 4 4" xfId="14215"/>
    <cellStyle name="Normal 16 4 4 2" xfId="14216"/>
    <cellStyle name="Normal 16 4 4 2 2" xfId="14217"/>
    <cellStyle name="Normal 16 4 4 3" xfId="14218"/>
    <cellStyle name="Normal 16 4 5" xfId="14219"/>
    <cellStyle name="Normal 16 5" xfId="14220"/>
    <cellStyle name="Normal 16 5 2" xfId="14221"/>
    <cellStyle name="Normal 16 5 2 2" xfId="14222"/>
    <cellStyle name="Normal 16 5 2 2 2" xfId="14223"/>
    <cellStyle name="Normal 16 5 2 3" xfId="14224"/>
    <cellStyle name="Normal 16 5 2 3 2" xfId="14225"/>
    <cellStyle name="Normal 16 5 2 3 2 2" xfId="14226"/>
    <cellStyle name="Normal 16 5 2 3 3" xfId="14227"/>
    <cellStyle name="Normal 16 5 2 4" xfId="14228"/>
    <cellStyle name="Normal 16 5 3" xfId="14229"/>
    <cellStyle name="Normal 16 5 3 2" xfId="14230"/>
    <cellStyle name="Normal 16 5 3 2 2" xfId="14231"/>
    <cellStyle name="Normal 16 5 3 3" xfId="14232"/>
    <cellStyle name="Normal 16 5 4" xfId="14233"/>
    <cellStyle name="Normal 16 5 4 2" xfId="14234"/>
    <cellStyle name="Normal 16 5 4 2 2" xfId="14235"/>
    <cellStyle name="Normal 16 5 4 3" xfId="14236"/>
    <cellStyle name="Normal 16 5 5" xfId="14237"/>
    <cellStyle name="Normal 16 5 5 2" xfId="14238"/>
    <cellStyle name="Normal 16 5 5 2 2" xfId="14239"/>
    <cellStyle name="Normal 16 5 5 3" xfId="14240"/>
    <cellStyle name="Normal 16 5 6" xfId="14241"/>
    <cellStyle name="Normal 16 6" xfId="14242"/>
    <cellStyle name="Normal 16 7" xfId="14145"/>
    <cellStyle name="Normal 160" xfId="14243"/>
    <cellStyle name="Normal 160 2" xfId="14244"/>
    <cellStyle name="Normal 160 2 2" xfId="14245"/>
    <cellStyle name="Normal 160 2 2 2" xfId="14246"/>
    <cellStyle name="Normal 160 2 3" xfId="14247"/>
    <cellStyle name="Normal 160 2 3 2" xfId="14248"/>
    <cellStyle name="Normal 160 2 3 2 2" xfId="14249"/>
    <cellStyle name="Normal 160 2 3 3" xfId="14250"/>
    <cellStyle name="Normal 160 2 4" xfId="14251"/>
    <cellStyle name="Normal 160 2 4 2" xfId="14252"/>
    <cellStyle name="Normal 160 2 4 2 2" xfId="14253"/>
    <cellStyle name="Normal 160 2 4 3" xfId="14254"/>
    <cellStyle name="Normal 160 2 5" xfId="14255"/>
    <cellStyle name="Normal 160 3" xfId="14256"/>
    <cellStyle name="Normal 160 3 2" xfId="14257"/>
    <cellStyle name="Normal 160 3 2 2" xfId="14258"/>
    <cellStyle name="Normal 160 3 2 2 2" xfId="14259"/>
    <cellStyle name="Normal 160 3 2 3" xfId="14260"/>
    <cellStyle name="Normal 160 3 2 3 2" xfId="14261"/>
    <cellStyle name="Normal 160 3 2 3 2 2" xfId="14262"/>
    <cellStyle name="Normal 160 3 2 3 3" xfId="14263"/>
    <cellStyle name="Normal 160 3 2 4" xfId="14264"/>
    <cellStyle name="Normal 160 3 3" xfId="14265"/>
    <cellStyle name="Normal 160 3 3 2" xfId="14266"/>
    <cellStyle name="Normal 160 3 3 2 2" xfId="14267"/>
    <cellStyle name="Normal 160 3 3 3" xfId="14268"/>
    <cellStyle name="Normal 160 3 4" xfId="14269"/>
    <cellStyle name="Normal 160 3 4 2" xfId="14270"/>
    <cellStyle name="Normal 160 3 4 2 2" xfId="14271"/>
    <cellStyle name="Normal 160 3 4 3" xfId="14272"/>
    <cellStyle name="Normal 160 3 5" xfId="14273"/>
    <cellStyle name="Normal 160 3 5 2" xfId="14274"/>
    <cellStyle name="Normal 160 3 5 2 2" xfId="14275"/>
    <cellStyle name="Normal 160 3 5 3" xfId="14276"/>
    <cellStyle name="Normal 160 3 6" xfId="14277"/>
    <cellStyle name="Normal 160 4" xfId="14278"/>
    <cellStyle name="Normal 160 4 2" xfId="14279"/>
    <cellStyle name="Normal 160 4 2 2" xfId="14280"/>
    <cellStyle name="Normal 160 4 3" xfId="14281"/>
    <cellStyle name="Normal 160 5" xfId="14282"/>
    <cellStyle name="Normal 160 5 2" xfId="14283"/>
    <cellStyle name="Normal 160 5 2 2" xfId="14284"/>
    <cellStyle name="Normal 160 5 3" xfId="14285"/>
    <cellStyle name="Normal 160 6" xfId="14286"/>
    <cellStyle name="Normal 160 6 2" xfId="14287"/>
    <cellStyle name="Normal 160 6 2 2" xfId="14288"/>
    <cellStyle name="Normal 160 6 3" xfId="14289"/>
    <cellStyle name="Normal 160 7" xfId="14290"/>
    <cellStyle name="Normal 161" xfId="14291"/>
    <cellStyle name="Normal 161 2" xfId="14292"/>
    <cellStyle name="Normal 161 2 2" xfId="14293"/>
    <cellStyle name="Normal 161 2 2 2" xfId="14294"/>
    <cellStyle name="Normal 161 2 3" xfId="14295"/>
    <cellStyle name="Normal 161 2 3 2" xfId="14296"/>
    <cellStyle name="Normal 161 2 3 2 2" xfId="14297"/>
    <cellStyle name="Normal 161 2 3 3" xfId="14298"/>
    <cellStyle name="Normal 161 2 4" xfId="14299"/>
    <cellStyle name="Normal 161 2 4 2" xfId="14300"/>
    <cellStyle name="Normal 161 2 4 2 2" xfId="14301"/>
    <cellStyle name="Normal 161 2 4 3" xfId="14302"/>
    <cellStyle name="Normal 161 2 5" xfId="14303"/>
    <cellStyle name="Normal 161 3" xfId="14304"/>
    <cellStyle name="Normal 161 3 2" xfId="14305"/>
    <cellStyle name="Normal 161 3 2 2" xfId="14306"/>
    <cellStyle name="Normal 161 3 2 2 2" xfId="14307"/>
    <cellStyle name="Normal 161 3 2 3" xfId="14308"/>
    <cellStyle name="Normal 161 3 2 3 2" xfId="14309"/>
    <cellStyle name="Normal 161 3 2 3 2 2" xfId="14310"/>
    <cellStyle name="Normal 161 3 2 3 3" xfId="14311"/>
    <cellStyle name="Normal 161 3 2 4" xfId="14312"/>
    <cellStyle name="Normal 161 3 3" xfId="14313"/>
    <cellStyle name="Normal 161 3 3 2" xfId="14314"/>
    <cellStyle name="Normal 161 3 3 2 2" xfId="14315"/>
    <cellStyle name="Normal 161 3 3 3" xfId="14316"/>
    <cellStyle name="Normal 161 3 4" xfId="14317"/>
    <cellStyle name="Normal 161 3 4 2" xfId="14318"/>
    <cellStyle name="Normal 161 3 4 2 2" xfId="14319"/>
    <cellStyle name="Normal 161 3 4 3" xfId="14320"/>
    <cellStyle name="Normal 161 3 5" xfId="14321"/>
    <cellStyle name="Normal 161 3 5 2" xfId="14322"/>
    <cellStyle name="Normal 161 3 5 2 2" xfId="14323"/>
    <cellStyle name="Normal 161 3 5 3" xfId="14324"/>
    <cellStyle name="Normal 161 3 6" xfId="14325"/>
    <cellStyle name="Normal 161 4" xfId="14326"/>
    <cellStyle name="Normal 161 4 2" xfId="14327"/>
    <cellStyle name="Normal 161 4 2 2" xfId="14328"/>
    <cellStyle name="Normal 161 4 3" xfId="14329"/>
    <cellStyle name="Normal 161 5" xfId="14330"/>
    <cellStyle name="Normal 161 5 2" xfId="14331"/>
    <cellStyle name="Normal 161 5 2 2" xfId="14332"/>
    <cellStyle name="Normal 161 5 3" xfId="14333"/>
    <cellStyle name="Normal 161 6" xfId="14334"/>
    <cellStyle name="Normal 161 6 2" xfId="14335"/>
    <cellStyle name="Normal 161 6 2 2" xfId="14336"/>
    <cellStyle name="Normal 161 6 3" xfId="14337"/>
    <cellStyle name="Normal 161 7" xfId="14338"/>
    <cellStyle name="Normal 162" xfId="14339"/>
    <cellStyle name="Normal 162 2" xfId="14340"/>
    <cellStyle name="Normal 162 2 2" xfId="14341"/>
    <cellStyle name="Normal 162 2 2 2" xfId="14342"/>
    <cellStyle name="Normal 162 2 3" xfId="14343"/>
    <cellStyle name="Normal 162 2 3 2" xfId="14344"/>
    <cellStyle name="Normal 162 2 3 2 2" xfId="14345"/>
    <cellStyle name="Normal 162 2 3 3" xfId="14346"/>
    <cellStyle name="Normal 162 2 4" xfId="14347"/>
    <cellStyle name="Normal 162 2 4 2" xfId="14348"/>
    <cellStyle name="Normal 162 2 4 2 2" xfId="14349"/>
    <cellStyle name="Normal 162 2 4 3" xfId="14350"/>
    <cellStyle name="Normal 162 2 5" xfId="14351"/>
    <cellStyle name="Normal 162 3" xfId="14352"/>
    <cellStyle name="Normal 162 3 2" xfId="14353"/>
    <cellStyle name="Normal 162 3 2 2" xfId="14354"/>
    <cellStyle name="Normal 162 3 2 2 2" xfId="14355"/>
    <cellStyle name="Normal 162 3 2 3" xfId="14356"/>
    <cellStyle name="Normal 162 3 2 3 2" xfId="14357"/>
    <cellStyle name="Normal 162 3 2 3 2 2" xfId="14358"/>
    <cellStyle name="Normal 162 3 2 3 3" xfId="14359"/>
    <cellStyle name="Normal 162 3 2 4" xfId="14360"/>
    <cellStyle name="Normal 162 3 3" xfId="14361"/>
    <cellStyle name="Normal 162 3 3 2" xfId="14362"/>
    <cellStyle name="Normal 162 3 3 2 2" xfId="14363"/>
    <cellStyle name="Normal 162 3 3 3" xfId="14364"/>
    <cellStyle name="Normal 162 3 4" xfId="14365"/>
    <cellStyle name="Normal 162 3 4 2" xfId="14366"/>
    <cellStyle name="Normal 162 3 4 2 2" xfId="14367"/>
    <cellStyle name="Normal 162 3 4 3" xfId="14368"/>
    <cellStyle name="Normal 162 3 5" xfId="14369"/>
    <cellStyle name="Normal 162 3 5 2" xfId="14370"/>
    <cellStyle name="Normal 162 3 5 2 2" xfId="14371"/>
    <cellStyle name="Normal 162 3 5 3" xfId="14372"/>
    <cellStyle name="Normal 162 3 6" xfId="14373"/>
    <cellStyle name="Normal 162 4" xfId="14374"/>
    <cellStyle name="Normal 162 4 2" xfId="14375"/>
    <cellStyle name="Normal 162 4 2 2" xfId="14376"/>
    <cellStyle name="Normal 162 4 3" xfId="14377"/>
    <cellStyle name="Normal 162 5" xfId="14378"/>
    <cellStyle name="Normal 162 5 2" xfId="14379"/>
    <cellStyle name="Normal 162 5 2 2" xfId="14380"/>
    <cellStyle name="Normal 162 5 3" xfId="14381"/>
    <cellStyle name="Normal 162 6" xfId="14382"/>
    <cellStyle name="Normal 162 6 2" xfId="14383"/>
    <cellStyle name="Normal 162 6 2 2" xfId="14384"/>
    <cellStyle name="Normal 162 6 3" xfId="14385"/>
    <cellStyle name="Normal 162 7" xfId="14386"/>
    <cellStyle name="Normal 163" xfId="14387"/>
    <cellStyle name="Normal 163 2" xfId="14388"/>
    <cellStyle name="Normal 163 2 2" xfId="14389"/>
    <cellStyle name="Normal 163 2 2 2" xfId="14390"/>
    <cellStyle name="Normal 163 2 3" xfId="14391"/>
    <cellStyle name="Normal 163 2 3 2" xfId="14392"/>
    <cellStyle name="Normal 163 2 3 2 2" xfId="14393"/>
    <cellStyle name="Normal 163 2 3 3" xfId="14394"/>
    <cellStyle name="Normal 163 2 4" xfId="14395"/>
    <cellStyle name="Normal 163 2 4 2" xfId="14396"/>
    <cellStyle name="Normal 163 2 4 2 2" xfId="14397"/>
    <cellStyle name="Normal 163 2 4 3" xfId="14398"/>
    <cellStyle name="Normal 163 2 5" xfId="14399"/>
    <cellStyle name="Normal 163 3" xfId="14400"/>
    <cellStyle name="Normal 163 3 2" xfId="14401"/>
    <cellStyle name="Normal 163 3 2 2" xfId="14402"/>
    <cellStyle name="Normal 163 3 2 2 2" xfId="14403"/>
    <cellStyle name="Normal 163 3 2 3" xfId="14404"/>
    <cellStyle name="Normal 163 3 2 3 2" xfId="14405"/>
    <cellStyle name="Normal 163 3 2 3 2 2" xfId="14406"/>
    <cellStyle name="Normal 163 3 2 3 3" xfId="14407"/>
    <cellStyle name="Normal 163 3 2 4" xfId="14408"/>
    <cellStyle name="Normal 163 3 3" xfId="14409"/>
    <cellStyle name="Normal 163 3 3 2" xfId="14410"/>
    <cellStyle name="Normal 163 3 3 2 2" xfId="14411"/>
    <cellStyle name="Normal 163 3 3 3" xfId="14412"/>
    <cellStyle name="Normal 163 3 4" xfId="14413"/>
    <cellStyle name="Normal 163 3 4 2" xfId="14414"/>
    <cellStyle name="Normal 163 3 4 2 2" xfId="14415"/>
    <cellStyle name="Normal 163 3 4 3" xfId="14416"/>
    <cellStyle name="Normal 163 3 5" xfId="14417"/>
    <cellStyle name="Normal 163 3 5 2" xfId="14418"/>
    <cellStyle name="Normal 163 3 5 2 2" xfId="14419"/>
    <cellStyle name="Normal 163 3 5 3" xfId="14420"/>
    <cellStyle name="Normal 163 3 6" xfId="14421"/>
    <cellStyle name="Normal 163 4" xfId="14422"/>
    <cellStyle name="Normal 163 4 2" xfId="14423"/>
    <cellStyle name="Normal 163 4 2 2" xfId="14424"/>
    <cellStyle name="Normal 163 4 3" xfId="14425"/>
    <cellStyle name="Normal 163 5" xfId="14426"/>
    <cellStyle name="Normal 163 5 2" xfId="14427"/>
    <cellStyle name="Normal 163 5 2 2" xfId="14428"/>
    <cellStyle name="Normal 163 5 3" xfId="14429"/>
    <cellStyle name="Normal 163 6" xfId="14430"/>
    <cellStyle name="Normal 163 6 2" xfId="14431"/>
    <cellStyle name="Normal 163 6 2 2" xfId="14432"/>
    <cellStyle name="Normal 163 6 3" xfId="14433"/>
    <cellStyle name="Normal 163 7" xfId="14434"/>
    <cellStyle name="Normal 164" xfId="14435"/>
    <cellStyle name="Normal 164 2" xfId="14436"/>
    <cellStyle name="Normal 164 2 2" xfId="14437"/>
    <cellStyle name="Normal 164 2 2 2" xfId="14438"/>
    <cellStyle name="Normal 164 2 3" xfId="14439"/>
    <cellStyle name="Normal 164 2 3 2" xfId="14440"/>
    <cellStyle name="Normal 164 2 3 2 2" xfId="14441"/>
    <cellStyle name="Normal 164 2 3 3" xfId="14442"/>
    <cellStyle name="Normal 164 2 4" xfId="14443"/>
    <cellStyle name="Normal 164 2 4 2" xfId="14444"/>
    <cellStyle name="Normal 164 2 4 2 2" xfId="14445"/>
    <cellStyle name="Normal 164 2 4 3" xfId="14446"/>
    <cellStyle name="Normal 164 2 5" xfId="14447"/>
    <cellStyle name="Normal 164 3" xfId="14448"/>
    <cellStyle name="Normal 164 3 2" xfId="14449"/>
    <cellStyle name="Normal 164 3 2 2" xfId="14450"/>
    <cellStyle name="Normal 164 3 2 2 2" xfId="14451"/>
    <cellStyle name="Normal 164 3 2 3" xfId="14452"/>
    <cellStyle name="Normal 164 3 2 3 2" xfId="14453"/>
    <cellStyle name="Normal 164 3 2 3 2 2" xfId="14454"/>
    <cellStyle name="Normal 164 3 2 3 3" xfId="14455"/>
    <cellStyle name="Normal 164 3 2 4" xfId="14456"/>
    <cellStyle name="Normal 164 3 3" xfId="14457"/>
    <cellStyle name="Normal 164 3 3 2" xfId="14458"/>
    <cellStyle name="Normal 164 3 3 2 2" xfId="14459"/>
    <cellStyle name="Normal 164 3 3 3" xfId="14460"/>
    <cellStyle name="Normal 164 3 4" xfId="14461"/>
    <cellStyle name="Normal 164 3 4 2" xfId="14462"/>
    <cellStyle name="Normal 164 3 4 2 2" xfId="14463"/>
    <cellStyle name="Normal 164 3 4 3" xfId="14464"/>
    <cellStyle name="Normal 164 3 5" xfId="14465"/>
    <cellStyle name="Normal 164 3 5 2" xfId="14466"/>
    <cellStyle name="Normal 164 3 5 2 2" xfId="14467"/>
    <cellStyle name="Normal 164 3 5 3" xfId="14468"/>
    <cellStyle name="Normal 164 3 6" xfId="14469"/>
    <cellStyle name="Normal 164 4" xfId="14470"/>
    <cellStyle name="Normal 164 4 2" xfId="14471"/>
    <cellStyle name="Normal 164 4 2 2" xfId="14472"/>
    <cellStyle name="Normal 164 4 3" xfId="14473"/>
    <cellStyle name="Normal 164 5" xfId="14474"/>
    <cellStyle name="Normal 164 5 2" xfId="14475"/>
    <cellStyle name="Normal 164 5 2 2" xfId="14476"/>
    <cellStyle name="Normal 164 5 3" xfId="14477"/>
    <cellStyle name="Normal 164 6" xfId="14478"/>
    <cellStyle name="Normal 164 6 2" xfId="14479"/>
    <cellStyle name="Normal 164 6 2 2" xfId="14480"/>
    <cellStyle name="Normal 164 6 3" xfId="14481"/>
    <cellStyle name="Normal 164 7" xfId="14482"/>
    <cellStyle name="Normal 165" xfId="14483"/>
    <cellStyle name="Normal 165 2" xfId="14484"/>
    <cellStyle name="Normal 165 2 2" xfId="14485"/>
    <cellStyle name="Normal 165 2 2 2" xfId="14486"/>
    <cellStyle name="Normal 165 2 3" xfId="14487"/>
    <cellStyle name="Normal 165 2 3 2" xfId="14488"/>
    <cellStyle name="Normal 165 2 3 2 2" xfId="14489"/>
    <cellStyle name="Normal 165 2 3 3" xfId="14490"/>
    <cellStyle name="Normal 165 2 4" xfId="14491"/>
    <cellStyle name="Normal 165 2 4 2" xfId="14492"/>
    <cellStyle name="Normal 165 2 4 2 2" xfId="14493"/>
    <cellStyle name="Normal 165 2 4 3" xfId="14494"/>
    <cellStyle name="Normal 165 2 5" xfId="14495"/>
    <cellStyle name="Normal 165 3" xfId="14496"/>
    <cellStyle name="Normal 165 3 2" xfId="14497"/>
    <cellStyle name="Normal 165 3 2 2" xfId="14498"/>
    <cellStyle name="Normal 165 3 2 2 2" xfId="14499"/>
    <cellStyle name="Normal 165 3 2 3" xfId="14500"/>
    <cellStyle name="Normal 165 3 2 3 2" xfId="14501"/>
    <cellStyle name="Normal 165 3 2 3 2 2" xfId="14502"/>
    <cellStyle name="Normal 165 3 2 3 3" xfId="14503"/>
    <cellStyle name="Normal 165 3 2 4" xfId="14504"/>
    <cellStyle name="Normal 165 3 3" xfId="14505"/>
    <cellStyle name="Normal 165 3 3 2" xfId="14506"/>
    <cellStyle name="Normal 165 3 3 2 2" xfId="14507"/>
    <cellStyle name="Normal 165 3 3 3" xfId="14508"/>
    <cellStyle name="Normal 165 3 4" xfId="14509"/>
    <cellStyle name="Normal 165 3 4 2" xfId="14510"/>
    <cellStyle name="Normal 165 3 4 2 2" xfId="14511"/>
    <cellStyle name="Normal 165 3 4 3" xfId="14512"/>
    <cellStyle name="Normal 165 3 5" xfId="14513"/>
    <cellStyle name="Normal 165 3 5 2" xfId="14514"/>
    <cellStyle name="Normal 165 3 5 2 2" xfId="14515"/>
    <cellStyle name="Normal 165 3 5 3" xfId="14516"/>
    <cellStyle name="Normal 165 3 6" xfId="14517"/>
    <cellStyle name="Normal 165 4" xfId="14518"/>
    <cellStyle name="Normal 165 4 2" xfId="14519"/>
    <cellStyle name="Normal 165 4 2 2" xfId="14520"/>
    <cellStyle name="Normal 165 4 3" xfId="14521"/>
    <cellStyle name="Normal 165 5" xfId="14522"/>
    <cellStyle name="Normal 165 5 2" xfId="14523"/>
    <cellStyle name="Normal 165 5 2 2" xfId="14524"/>
    <cellStyle name="Normal 165 5 3" xfId="14525"/>
    <cellStyle name="Normal 165 6" xfId="14526"/>
    <cellStyle name="Normal 165 6 2" xfId="14527"/>
    <cellStyle name="Normal 165 6 2 2" xfId="14528"/>
    <cellStyle name="Normal 165 6 3" xfId="14529"/>
    <cellStyle name="Normal 165 7" xfId="14530"/>
    <cellStyle name="Normal 166" xfId="14531"/>
    <cellStyle name="Normal 166 2" xfId="14532"/>
    <cellStyle name="Normal 166 2 2" xfId="14533"/>
    <cellStyle name="Normal 166 2 2 2" xfId="14534"/>
    <cellStyle name="Normal 166 2 3" xfId="14535"/>
    <cellStyle name="Normal 166 2 3 2" xfId="14536"/>
    <cellStyle name="Normal 166 2 3 2 2" xfId="14537"/>
    <cellStyle name="Normal 166 2 3 3" xfId="14538"/>
    <cellStyle name="Normal 166 2 4" xfId="14539"/>
    <cellStyle name="Normal 166 2 4 2" xfId="14540"/>
    <cellStyle name="Normal 166 2 4 2 2" xfId="14541"/>
    <cellStyle name="Normal 166 2 4 3" xfId="14542"/>
    <cellStyle name="Normal 166 2 5" xfId="14543"/>
    <cellStyle name="Normal 166 3" xfId="14544"/>
    <cellStyle name="Normal 166 3 2" xfId="14545"/>
    <cellStyle name="Normal 166 3 2 2" xfId="14546"/>
    <cellStyle name="Normal 166 3 2 2 2" xfId="14547"/>
    <cellStyle name="Normal 166 3 2 3" xfId="14548"/>
    <cellStyle name="Normal 166 3 2 3 2" xfId="14549"/>
    <cellStyle name="Normal 166 3 2 3 2 2" xfId="14550"/>
    <cellStyle name="Normal 166 3 2 3 3" xfId="14551"/>
    <cellStyle name="Normal 166 3 2 4" xfId="14552"/>
    <cellStyle name="Normal 166 3 3" xfId="14553"/>
    <cellStyle name="Normal 166 3 3 2" xfId="14554"/>
    <cellStyle name="Normal 166 3 3 2 2" xfId="14555"/>
    <cellStyle name="Normal 166 3 3 3" xfId="14556"/>
    <cellStyle name="Normal 166 3 4" xfId="14557"/>
    <cellStyle name="Normal 166 3 4 2" xfId="14558"/>
    <cellStyle name="Normal 166 3 4 2 2" xfId="14559"/>
    <cellStyle name="Normal 166 3 4 3" xfId="14560"/>
    <cellStyle name="Normal 166 3 5" xfId="14561"/>
    <cellStyle name="Normal 166 3 5 2" xfId="14562"/>
    <cellStyle name="Normal 166 3 5 2 2" xfId="14563"/>
    <cellStyle name="Normal 166 3 5 3" xfId="14564"/>
    <cellStyle name="Normal 166 3 6" xfId="14565"/>
    <cellStyle name="Normal 166 4" xfId="14566"/>
    <cellStyle name="Normal 166 4 2" xfId="14567"/>
    <cellStyle name="Normal 166 4 2 2" xfId="14568"/>
    <cellStyle name="Normal 166 4 3" xfId="14569"/>
    <cellStyle name="Normal 166 5" xfId="14570"/>
    <cellStyle name="Normal 166 5 2" xfId="14571"/>
    <cellStyle name="Normal 166 5 2 2" xfId="14572"/>
    <cellStyle name="Normal 166 5 3" xfId="14573"/>
    <cellStyle name="Normal 166 6" xfId="14574"/>
    <cellStyle name="Normal 166 6 2" xfId="14575"/>
    <cellStyle name="Normal 166 6 2 2" xfId="14576"/>
    <cellStyle name="Normal 166 6 3" xfId="14577"/>
    <cellStyle name="Normal 166 7" xfId="14578"/>
    <cellStyle name="Normal 167" xfId="14579"/>
    <cellStyle name="Normal 167 2" xfId="14580"/>
    <cellStyle name="Normal 167 2 2" xfId="14581"/>
    <cellStyle name="Normal 167 2 2 2" xfId="14582"/>
    <cellStyle name="Normal 167 2 3" xfId="14583"/>
    <cellStyle name="Normal 167 2 3 2" xfId="14584"/>
    <cellStyle name="Normal 167 2 3 2 2" xfId="14585"/>
    <cellStyle name="Normal 167 2 3 3" xfId="14586"/>
    <cellStyle name="Normal 167 2 4" xfId="14587"/>
    <cellStyle name="Normal 167 2 4 2" xfId="14588"/>
    <cellStyle name="Normal 167 2 4 2 2" xfId="14589"/>
    <cellStyle name="Normal 167 2 4 3" xfId="14590"/>
    <cellStyle name="Normal 167 2 5" xfId="14591"/>
    <cellStyle name="Normal 167 3" xfId="14592"/>
    <cellStyle name="Normal 167 3 2" xfId="14593"/>
    <cellStyle name="Normal 167 3 2 2" xfId="14594"/>
    <cellStyle name="Normal 167 3 2 2 2" xfId="14595"/>
    <cellStyle name="Normal 167 3 2 3" xfId="14596"/>
    <cellStyle name="Normal 167 3 2 3 2" xfId="14597"/>
    <cellStyle name="Normal 167 3 2 3 2 2" xfId="14598"/>
    <cellStyle name="Normal 167 3 2 3 3" xfId="14599"/>
    <cellStyle name="Normal 167 3 2 4" xfId="14600"/>
    <cellStyle name="Normal 167 3 3" xfId="14601"/>
    <cellStyle name="Normal 167 3 3 2" xfId="14602"/>
    <cellStyle name="Normal 167 3 3 2 2" xfId="14603"/>
    <cellStyle name="Normal 167 3 3 3" xfId="14604"/>
    <cellStyle name="Normal 167 3 4" xfId="14605"/>
    <cellStyle name="Normal 167 3 4 2" xfId="14606"/>
    <cellStyle name="Normal 167 3 4 2 2" xfId="14607"/>
    <cellStyle name="Normal 167 3 4 3" xfId="14608"/>
    <cellStyle name="Normal 167 3 5" xfId="14609"/>
    <cellStyle name="Normal 167 3 5 2" xfId="14610"/>
    <cellStyle name="Normal 167 3 5 2 2" xfId="14611"/>
    <cellStyle name="Normal 167 3 5 3" xfId="14612"/>
    <cellStyle name="Normal 167 3 6" xfId="14613"/>
    <cellStyle name="Normal 167 4" xfId="14614"/>
    <cellStyle name="Normal 167 4 2" xfId="14615"/>
    <cellStyle name="Normal 167 4 2 2" xfId="14616"/>
    <cellStyle name="Normal 167 4 3" xfId="14617"/>
    <cellStyle name="Normal 167 5" xfId="14618"/>
    <cellStyle name="Normal 167 5 2" xfId="14619"/>
    <cellStyle name="Normal 167 5 2 2" xfId="14620"/>
    <cellStyle name="Normal 167 5 3" xfId="14621"/>
    <cellStyle name="Normal 167 6" xfId="14622"/>
    <cellStyle name="Normal 167 6 2" xfId="14623"/>
    <cellStyle name="Normal 167 6 2 2" xfId="14624"/>
    <cellStyle name="Normal 167 6 3" xfId="14625"/>
    <cellStyle name="Normal 167 7" xfId="14626"/>
    <cellStyle name="Normal 168" xfId="14627"/>
    <cellStyle name="Normal 168 2" xfId="14628"/>
    <cellStyle name="Normal 168 2 2" xfId="14629"/>
    <cellStyle name="Normal 168 2 2 2" xfId="14630"/>
    <cellStyle name="Normal 168 2 3" xfId="14631"/>
    <cellStyle name="Normal 168 2 3 2" xfId="14632"/>
    <cellStyle name="Normal 168 2 3 2 2" xfId="14633"/>
    <cellStyle name="Normal 168 2 3 3" xfId="14634"/>
    <cellStyle name="Normal 168 2 4" xfId="14635"/>
    <cellStyle name="Normal 168 2 4 2" xfId="14636"/>
    <cellStyle name="Normal 168 2 4 2 2" xfId="14637"/>
    <cellStyle name="Normal 168 2 4 3" xfId="14638"/>
    <cellStyle name="Normal 168 2 5" xfId="14639"/>
    <cellStyle name="Normal 168 3" xfId="14640"/>
    <cellStyle name="Normal 168 3 2" xfId="14641"/>
    <cellStyle name="Normal 168 3 2 2" xfId="14642"/>
    <cellStyle name="Normal 168 3 2 2 2" xfId="14643"/>
    <cellStyle name="Normal 168 3 2 3" xfId="14644"/>
    <cellStyle name="Normal 168 3 2 3 2" xfId="14645"/>
    <cellStyle name="Normal 168 3 2 3 2 2" xfId="14646"/>
    <cellStyle name="Normal 168 3 2 3 3" xfId="14647"/>
    <cellStyle name="Normal 168 3 2 4" xfId="14648"/>
    <cellStyle name="Normal 168 3 3" xfId="14649"/>
    <cellStyle name="Normal 168 3 3 2" xfId="14650"/>
    <cellStyle name="Normal 168 3 3 2 2" xfId="14651"/>
    <cellStyle name="Normal 168 3 3 3" xfId="14652"/>
    <cellStyle name="Normal 168 3 4" xfId="14653"/>
    <cellStyle name="Normal 168 3 4 2" xfId="14654"/>
    <cellStyle name="Normal 168 3 4 2 2" xfId="14655"/>
    <cellStyle name="Normal 168 3 4 3" xfId="14656"/>
    <cellStyle name="Normal 168 3 5" xfId="14657"/>
    <cellStyle name="Normal 168 3 5 2" xfId="14658"/>
    <cellStyle name="Normal 168 3 5 2 2" xfId="14659"/>
    <cellStyle name="Normal 168 3 5 3" xfId="14660"/>
    <cellStyle name="Normal 168 3 6" xfId="14661"/>
    <cellStyle name="Normal 168 4" xfId="14662"/>
    <cellStyle name="Normal 168 4 2" xfId="14663"/>
    <cellStyle name="Normal 168 4 2 2" xfId="14664"/>
    <cellStyle name="Normal 168 4 3" xfId="14665"/>
    <cellStyle name="Normal 168 5" xfId="14666"/>
    <cellStyle name="Normal 168 5 2" xfId="14667"/>
    <cellStyle name="Normal 168 5 2 2" xfId="14668"/>
    <cellStyle name="Normal 168 5 3" xfId="14669"/>
    <cellStyle name="Normal 168 6" xfId="14670"/>
    <cellStyle name="Normal 168 6 2" xfId="14671"/>
    <cellStyle name="Normal 168 6 2 2" xfId="14672"/>
    <cellStyle name="Normal 168 6 3" xfId="14673"/>
    <cellStyle name="Normal 168 7" xfId="14674"/>
    <cellStyle name="Normal 169" xfId="14675"/>
    <cellStyle name="Normal 169 2" xfId="14676"/>
    <cellStyle name="Normal 169 2 2" xfId="14677"/>
    <cellStyle name="Normal 169 2 2 2" xfId="14678"/>
    <cellStyle name="Normal 169 2 3" xfId="14679"/>
    <cellStyle name="Normal 169 2 3 2" xfId="14680"/>
    <cellStyle name="Normal 169 2 3 2 2" xfId="14681"/>
    <cellStyle name="Normal 169 2 3 3" xfId="14682"/>
    <cellStyle name="Normal 169 2 4" xfId="14683"/>
    <cellStyle name="Normal 169 2 4 2" xfId="14684"/>
    <cellStyle name="Normal 169 2 4 2 2" xfId="14685"/>
    <cellStyle name="Normal 169 2 4 3" xfId="14686"/>
    <cellStyle name="Normal 169 2 5" xfId="14687"/>
    <cellStyle name="Normal 169 3" xfId="14688"/>
    <cellStyle name="Normal 169 3 2" xfId="14689"/>
    <cellStyle name="Normal 169 3 2 2" xfId="14690"/>
    <cellStyle name="Normal 169 3 2 2 2" xfId="14691"/>
    <cellStyle name="Normal 169 3 2 3" xfId="14692"/>
    <cellStyle name="Normal 169 3 2 3 2" xfId="14693"/>
    <cellStyle name="Normal 169 3 2 3 2 2" xfId="14694"/>
    <cellStyle name="Normal 169 3 2 3 3" xfId="14695"/>
    <cellStyle name="Normal 169 3 2 4" xfId="14696"/>
    <cellStyle name="Normal 169 3 3" xfId="14697"/>
    <cellStyle name="Normal 169 3 3 2" xfId="14698"/>
    <cellStyle name="Normal 169 3 3 2 2" xfId="14699"/>
    <cellStyle name="Normal 169 3 3 3" xfId="14700"/>
    <cellStyle name="Normal 169 3 4" xfId="14701"/>
    <cellStyle name="Normal 169 3 4 2" xfId="14702"/>
    <cellStyle name="Normal 169 3 4 2 2" xfId="14703"/>
    <cellStyle name="Normal 169 3 4 3" xfId="14704"/>
    <cellStyle name="Normal 169 3 5" xfId="14705"/>
    <cellStyle name="Normal 169 3 5 2" xfId="14706"/>
    <cellStyle name="Normal 169 3 5 2 2" xfId="14707"/>
    <cellStyle name="Normal 169 3 5 3" xfId="14708"/>
    <cellStyle name="Normal 169 3 6" xfId="14709"/>
    <cellStyle name="Normal 169 4" xfId="14710"/>
    <cellStyle name="Normal 169 4 2" xfId="14711"/>
    <cellStyle name="Normal 169 4 2 2" xfId="14712"/>
    <cellStyle name="Normal 169 4 3" xfId="14713"/>
    <cellStyle name="Normal 169 5" xfId="14714"/>
    <cellStyle name="Normal 169 5 2" xfId="14715"/>
    <cellStyle name="Normal 169 5 2 2" xfId="14716"/>
    <cellStyle name="Normal 169 5 3" xfId="14717"/>
    <cellStyle name="Normal 169 6" xfId="14718"/>
    <cellStyle name="Normal 169 6 2" xfId="14719"/>
    <cellStyle name="Normal 169 6 2 2" xfId="14720"/>
    <cellStyle name="Normal 169 6 3" xfId="14721"/>
    <cellStyle name="Normal 169 7" xfId="14722"/>
    <cellStyle name="Normal 17" xfId="247"/>
    <cellStyle name="Normal 17 2" xfId="14724"/>
    <cellStyle name="Normal 17 2 2" xfId="14725"/>
    <cellStyle name="Normal 17 2 2 2" xfId="14726"/>
    <cellStyle name="Normal 17 2 2 2 2" xfId="14727"/>
    <cellStyle name="Normal 17 2 2 3" xfId="14728"/>
    <cellStyle name="Normal 17 2 2 3 2" xfId="14729"/>
    <cellStyle name="Normal 17 2 2 3 2 2" xfId="14730"/>
    <cellStyle name="Normal 17 2 2 3 3" xfId="14731"/>
    <cellStyle name="Normal 17 2 2 4" xfId="14732"/>
    <cellStyle name="Normal 17 2 2 4 2" xfId="14733"/>
    <cellStyle name="Normal 17 2 2 4 2 2" xfId="14734"/>
    <cellStyle name="Normal 17 2 2 4 3" xfId="14735"/>
    <cellStyle name="Normal 17 2 2 5" xfId="14736"/>
    <cellStyle name="Normal 17 2 3" xfId="14737"/>
    <cellStyle name="Normal 17 2 3 2" xfId="14738"/>
    <cellStyle name="Normal 17 2 3 2 2" xfId="14739"/>
    <cellStyle name="Normal 17 2 3 2 2 2" xfId="14740"/>
    <cellStyle name="Normal 17 2 3 2 3" xfId="14741"/>
    <cellStyle name="Normal 17 2 3 2 3 2" xfId="14742"/>
    <cellStyle name="Normal 17 2 3 2 3 2 2" xfId="14743"/>
    <cellStyle name="Normal 17 2 3 2 3 3" xfId="14744"/>
    <cellStyle name="Normal 17 2 3 2 4" xfId="14745"/>
    <cellStyle name="Normal 17 2 3 3" xfId="14746"/>
    <cellStyle name="Normal 17 2 3 3 2" xfId="14747"/>
    <cellStyle name="Normal 17 2 3 3 2 2" xfId="14748"/>
    <cellStyle name="Normal 17 2 3 3 3" xfId="14749"/>
    <cellStyle name="Normal 17 2 3 4" xfId="14750"/>
    <cellStyle name="Normal 17 2 3 4 2" xfId="14751"/>
    <cellStyle name="Normal 17 2 3 4 2 2" xfId="14752"/>
    <cellStyle name="Normal 17 2 3 4 3" xfId="14753"/>
    <cellStyle name="Normal 17 2 3 5" xfId="14754"/>
    <cellStyle name="Normal 17 2 3 5 2" xfId="14755"/>
    <cellStyle name="Normal 17 2 3 5 2 2" xfId="14756"/>
    <cellStyle name="Normal 17 2 3 5 3" xfId="14757"/>
    <cellStyle name="Normal 17 2 3 6" xfId="14758"/>
    <cellStyle name="Normal 17 2 4" xfId="14759"/>
    <cellStyle name="Normal 17 3" xfId="14760"/>
    <cellStyle name="Normal 17 3 2" xfId="14761"/>
    <cellStyle name="Normal 17 3 2 2" xfId="14762"/>
    <cellStyle name="Normal 17 3 2 2 2" xfId="14763"/>
    <cellStyle name="Normal 17 3 2 3" xfId="14764"/>
    <cellStyle name="Normal 17 3 2 3 2" xfId="14765"/>
    <cellStyle name="Normal 17 3 2 3 2 2" xfId="14766"/>
    <cellStyle name="Normal 17 3 2 3 3" xfId="14767"/>
    <cellStyle name="Normal 17 3 2 4" xfId="14768"/>
    <cellStyle name="Normal 17 3 2 4 2" xfId="14769"/>
    <cellStyle name="Normal 17 3 2 4 2 2" xfId="14770"/>
    <cellStyle name="Normal 17 3 2 4 3" xfId="14771"/>
    <cellStyle name="Normal 17 3 2 5" xfId="14772"/>
    <cellStyle name="Normal 17 3 3" xfId="14773"/>
    <cellStyle name="Normal 17 3 3 2" xfId="14774"/>
    <cellStyle name="Normal 17 3 3 2 2" xfId="14775"/>
    <cellStyle name="Normal 17 3 3 3" xfId="14776"/>
    <cellStyle name="Normal 17 3 4" xfId="14777"/>
    <cellStyle name="Normal 17 3 4 2" xfId="14778"/>
    <cellStyle name="Normal 17 3 4 2 2" xfId="14779"/>
    <cellStyle name="Normal 17 3 4 3" xfId="14780"/>
    <cellStyle name="Normal 17 3 5" xfId="14781"/>
    <cellStyle name="Normal 17 3 5 2" xfId="14782"/>
    <cellStyle name="Normal 17 3 5 2 2" xfId="14783"/>
    <cellStyle name="Normal 17 3 5 3" xfId="14784"/>
    <cellStyle name="Normal 17 3 6" xfId="14785"/>
    <cellStyle name="Normal 17 4" xfId="14786"/>
    <cellStyle name="Normal 17 4 2" xfId="14787"/>
    <cellStyle name="Normal 17 4 2 2" xfId="14788"/>
    <cellStyle name="Normal 17 4 3" xfId="14789"/>
    <cellStyle name="Normal 17 4 3 2" xfId="14790"/>
    <cellStyle name="Normal 17 4 3 2 2" xfId="14791"/>
    <cellStyle name="Normal 17 4 3 3" xfId="14792"/>
    <cellStyle name="Normal 17 4 4" xfId="14793"/>
    <cellStyle name="Normal 17 4 4 2" xfId="14794"/>
    <cellStyle name="Normal 17 4 4 2 2" xfId="14795"/>
    <cellStyle name="Normal 17 4 4 3" xfId="14796"/>
    <cellStyle name="Normal 17 4 5" xfId="14797"/>
    <cellStyle name="Normal 17 5" xfId="14798"/>
    <cellStyle name="Normal 17 5 2" xfId="14799"/>
    <cellStyle name="Normal 17 5 2 2" xfId="14800"/>
    <cellStyle name="Normal 17 5 2 2 2" xfId="14801"/>
    <cellStyle name="Normal 17 5 2 3" xfId="14802"/>
    <cellStyle name="Normal 17 5 2 3 2" xfId="14803"/>
    <cellStyle name="Normal 17 5 2 3 2 2" xfId="14804"/>
    <cellStyle name="Normal 17 5 2 3 3" xfId="14805"/>
    <cellStyle name="Normal 17 5 2 4" xfId="14806"/>
    <cellStyle name="Normal 17 5 3" xfId="14807"/>
    <cellStyle name="Normal 17 5 3 2" xfId="14808"/>
    <cellStyle name="Normal 17 5 3 2 2" xfId="14809"/>
    <cellStyle name="Normal 17 5 3 3" xfId="14810"/>
    <cellStyle name="Normal 17 5 4" xfId="14811"/>
    <cellStyle name="Normal 17 5 4 2" xfId="14812"/>
    <cellStyle name="Normal 17 5 4 2 2" xfId="14813"/>
    <cellStyle name="Normal 17 5 4 3" xfId="14814"/>
    <cellStyle name="Normal 17 5 5" xfId="14815"/>
    <cellStyle name="Normal 17 5 5 2" xfId="14816"/>
    <cellStyle name="Normal 17 5 5 2 2" xfId="14817"/>
    <cellStyle name="Normal 17 5 5 3" xfId="14818"/>
    <cellStyle name="Normal 17 5 6" xfId="14819"/>
    <cellStyle name="Normal 17 6" xfId="14820"/>
    <cellStyle name="Normal 17 7" xfId="14723"/>
    <cellStyle name="Normal 170" xfId="14821"/>
    <cellStyle name="Normal 170 2" xfId="14822"/>
    <cellStyle name="Normal 170 2 2" xfId="14823"/>
    <cellStyle name="Normal 170 2 2 2" xfId="14824"/>
    <cellStyle name="Normal 170 2 3" xfId="14825"/>
    <cellStyle name="Normal 170 2 3 2" xfId="14826"/>
    <cellStyle name="Normal 170 2 3 2 2" xfId="14827"/>
    <cellStyle name="Normal 170 2 3 3" xfId="14828"/>
    <cellStyle name="Normal 170 2 4" xfId="14829"/>
    <cellStyle name="Normal 170 2 4 2" xfId="14830"/>
    <cellStyle name="Normal 170 2 4 2 2" xfId="14831"/>
    <cellStyle name="Normal 170 2 4 3" xfId="14832"/>
    <cellStyle name="Normal 170 2 5" xfId="14833"/>
    <cellStyle name="Normal 170 3" xfId="14834"/>
    <cellStyle name="Normal 170 3 2" xfId="14835"/>
    <cellStyle name="Normal 170 3 2 2" xfId="14836"/>
    <cellStyle name="Normal 170 3 2 2 2" xfId="14837"/>
    <cellStyle name="Normal 170 3 2 3" xfId="14838"/>
    <cellStyle name="Normal 170 3 2 3 2" xfId="14839"/>
    <cellStyle name="Normal 170 3 2 3 2 2" xfId="14840"/>
    <cellStyle name="Normal 170 3 2 3 3" xfId="14841"/>
    <cellStyle name="Normal 170 3 2 4" xfId="14842"/>
    <cellStyle name="Normal 170 3 3" xfId="14843"/>
    <cellStyle name="Normal 170 3 3 2" xfId="14844"/>
    <cellStyle name="Normal 170 3 3 2 2" xfId="14845"/>
    <cellStyle name="Normal 170 3 3 3" xfId="14846"/>
    <cellStyle name="Normal 170 3 4" xfId="14847"/>
    <cellStyle name="Normal 170 3 4 2" xfId="14848"/>
    <cellStyle name="Normal 170 3 4 2 2" xfId="14849"/>
    <cellStyle name="Normal 170 3 4 3" xfId="14850"/>
    <cellStyle name="Normal 170 3 5" xfId="14851"/>
    <cellStyle name="Normal 170 3 5 2" xfId="14852"/>
    <cellStyle name="Normal 170 3 5 2 2" xfId="14853"/>
    <cellStyle name="Normal 170 3 5 3" xfId="14854"/>
    <cellStyle name="Normal 170 3 6" xfId="14855"/>
    <cellStyle name="Normal 170 4" xfId="14856"/>
    <cellStyle name="Normal 170 4 2" xfId="14857"/>
    <cellStyle name="Normal 170 4 2 2" xfId="14858"/>
    <cellStyle name="Normal 170 4 3" xfId="14859"/>
    <cellStyle name="Normal 170 5" xfId="14860"/>
    <cellStyle name="Normal 170 5 2" xfId="14861"/>
    <cellStyle name="Normal 170 5 2 2" xfId="14862"/>
    <cellStyle name="Normal 170 5 3" xfId="14863"/>
    <cellStyle name="Normal 170 6" xfId="14864"/>
    <cellStyle name="Normal 170 6 2" xfId="14865"/>
    <cellStyle name="Normal 170 6 2 2" xfId="14866"/>
    <cellStyle name="Normal 170 6 3" xfId="14867"/>
    <cellStyle name="Normal 170 7" xfId="14868"/>
    <cellStyle name="Normal 171" xfId="14869"/>
    <cellStyle name="Normal 171 2" xfId="14870"/>
    <cellStyle name="Normal 171 2 2" xfId="14871"/>
    <cellStyle name="Normal 171 2 2 2" xfId="14872"/>
    <cellStyle name="Normal 171 2 3" xfId="14873"/>
    <cellStyle name="Normal 171 2 3 2" xfId="14874"/>
    <cellStyle name="Normal 171 2 3 2 2" xfId="14875"/>
    <cellStyle name="Normal 171 2 3 3" xfId="14876"/>
    <cellStyle name="Normal 171 2 4" xfId="14877"/>
    <cellStyle name="Normal 171 2 4 2" xfId="14878"/>
    <cellStyle name="Normal 171 2 4 2 2" xfId="14879"/>
    <cellStyle name="Normal 171 2 4 3" xfId="14880"/>
    <cellStyle name="Normal 171 2 5" xfId="14881"/>
    <cellStyle name="Normal 171 3" xfId="14882"/>
    <cellStyle name="Normal 171 3 2" xfId="14883"/>
    <cellStyle name="Normal 171 3 2 2" xfId="14884"/>
    <cellStyle name="Normal 171 3 2 2 2" xfId="14885"/>
    <cellStyle name="Normal 171 3 2 3" xfId="14886"/>
    <cellStyle name="Normal 171 3 2 3 2" xfId="14887"/>
    <cellStyle name="Normal 171 3 2 3 2 2" xfId="14888"/>
    <cellStyle name="Normal 171 3 2 3 3" xfId="14889"/>
    <cellStyle name="Normal 171 3 2 4" xfId="14890"/>
    <cellStyle name="Normal 171 3 3" xfId="14891"/>
    <cellStyle name="Normal 171 3 3 2" xfId="14892"/>
    <cellStyle name="Normal 171 3 3 2 2" xfId="14893"/>
    <cellStyle name="Normal 171 3 3 3" xfId="14894"/>
    <cellStyle name="Normal 171 3 4" xfId="14895"/>
    <cellStyle name="Normal 171 3 4 2" xfId="14896"/>
    <cellStyle name="Normal 171 3 4 2 2" xfId="14897"/>
    <cellStyle name="Normal 171 3 4 3" xfId="14898"/>
    <cellStyle name="Normal 171 3 5" xfId="14899"/>
    <cellStyle name="Normal 171 3 5 2" xfId="14900"/>
    <cellStyle name="Normal 171 3 5 2 2" xfId="14901"/>
    <cellStyle name="Normal 171 3 5 3" xfId="14902"/>
    <cellStyle name="Normal 171 3 6" xfId="14903"/>
    <cellStyle name="Normal 171 4" xfId="14904"/>
    <cellStyle name="Normal 171 4 2" xfId="14905"/>
    <cellStyle name="Normal 171 4 2 2" xfId="14906"/>
    <cellStyle name="Normal 171 4 3" xfId="14907"/>
    <cellStyle name="Normal 171 5" xfId="14908"/>
    <cellStyle name="Normal 171 5 2" xfId="14909"/>
    <cellStyle name="Normal 171 5 2 2" xfId="14910"/>
    <cellStyle name="Normal 171 5 3" xfId="14911"/>
    <cellStyle name="Normal 171 6" xfId="14912"/>
    <cellStyle name="Normal 171 6 2" xfId="14913"/>
    <cellStyle name="Normal 171 6 2 2" xfId="14914"/>
    <cellStyle name="Normal 171 6 3" xfId="14915"/>
    <cellStyle name="Normal 171 7" xfId="14916"/>
    <cellStyle name="Normal 172" xfId="14917"/>
    <cellStyle name="Normal 172 2" xfId="14918"/>
    <cellStyle name="Normal 172 2 2" xfId="14919"/>
    <cellStyle name="Normal 172 2 2 2" xfId="14920"/>
    <cellStyle name="Normal 172 2 3" xfId="14921"/>
    <cellStyle name="Normal 172 2 3 2" xfId="14922"/>
    <cellStyle name="Normal 172 2 3 2 2" xfId="14923"/>
    <cellStyle name="Normal 172 2 3 3" xfId="14924"/>
    <cellStyle name="Normal 172 2 4" xfId="14925"/>
    <cellStyle name="Normal 172 2 4 2" xfId="14926"/>
    <cellStyle name="Normal 172 2 4 2 2" xfId="14927"/>
    <cellStyle name="Normal 172 2 4 3" xfId="14928"/>
    <cellStyle name="Normal 172 2 5" xfId="14929"/>
    <cellStyle name="Normal 172 3" xfId="14930"/>
    <cellStyle name="Normal 172 3 2" xfId="14931"/>
    <cellStyle name="Normal 172 3 2 2" xfId="14932"/>
    <cellStyle name="Normal 172 3 2 2 2" xfId="14933"/>
    <cellStyle name="Normal 172 3 2 3" xfId="14934"/>
    <cellStyle name="Normal 172 3 2 3 2" xfId="14935"/>
    <cellStyle name="Normal 172 3 2 3 2 2" xfId="14936"/>
    <cellStyle name="Normal 172 3 2 3 3" xfId="14937"/>
    <cellStyle name="Normal 172 3 2 4" xfId="14938"/>
    <cellStyle name="Normal 172 3 3" xfId="14939"/>
    <cellStyle name="Normal 172 3 3 2" xfId="14940"/>
    <cellStyle name="Normal 172 3 3 2 2" xfId="14941"/>
    <cellStyle name="Normal 172 3 3 3" xfId="14942"/>
    <cellStyle name="Normal 172 3 4" xfId="14943"/>
    <cellStyle name="Normal 172 3 4 2" xfId="14944"/>
    <cellStyle name="Normal 172 3 4 2 2" xfId="14945"/>
    <cellStyle name="Normal 172 3 4 3" xfId="14946"/>
    <cellStyle name="Normal 172 3 5" xfId="14947"/>
    <cellStyle name="Normal 172 3 5 2" xfId="14948"/>
    <cellStyle name="Normal 172 3 5 2 2" xfId="14949"/>
    <cellStyle name="Normal 172 3 5 3" xfId="14950"/>
    <cellStyle name="Normal 172 3 6" xfId="14951"/>
    <cellStyle name="Normal 172 4" xfId="14952"/>
    <cellStyle name="Normal 172 4 2" xfId="14953"/>
    <cellStyle name="Normal 172 4 2 2" xfId="14954"/>
    <cellStyle name="Normal 172 4 3" xfId="14955"/>
    <cellStyle name="Normal 172 5" xfId="14956"/>
    <cellStyle name="Normal 172 5 2" xfId="14957"/>
    <cellStyle name="Normal 172 5 2 2" xfId="14958"/>
    <cellStyle name="Normal 172 5 3" xfId="14959"/>
    <cellStyle name="Normal 172 6" xfId="14960"/>
    <cellStyle name="Normal 172 6 2" xfId="14961"/>
    <cellStyle name="Normal 172 6 2 2" xfId="14962"/>
    <cellStyle name="Normal 172 6 3" xfId="14963"/>
    <cellStyle name="Normal 172 7" xfId="14964"/>
    <cellStyle name="Normal 173" xfId="14965"/>
    <cellStyle name="Normal 173 2" xfId="14966"/>
    <cellStyle name="Normal 173 2 2" xfId="14967"/>
    <cellStyle name="Normal 173 2 2 2" xfId="14968"/>
    <cellStyle name="Normal 173 2 3" xfId="14969"/>
    <cellStyle name="Normal 173 2 3 2" xfId="14970"/>
    <cellStyle name="Normal 173 2 3 2 2" xfId="14971"/>
    <cellStyle name="Normal 173 2 3 3" xfId="14972"/>
    <cellStyle name="Normal 173 2 4" xfId="14973"/>
    <cellStyle name="Normal 173 2 4 2" xfId="14974"/>
    <cellStyle name="Normal 173 2 4 2 2" xfId="14975"/>
    <cellStyle name="Normal 173 2 4 3" xfId="14976"/>
    <cellStyle name="Normal 173 2 5" xfId="14977"/>
    <cellStyle name="Normal 173 3" xfId="14978"/>
    <cellStyle name="Normal 173 3 2" xfId="14979"/>
    <cellStyle name="Normal 173 3 2 2" xfId="14980"/>
    <cellStyle name="Normal 173 3 2 2 2" xfId="14981"/>
    <cellStyle name="Normal 173 3 2 3" xfId="14982"/>
    <cellStyle name="Normal 173 3 2 3 2" xfId="14983"/>
    <cellStyle name="Normal 173 3 2 3 2 2" xfId="14984"/>
    <cellStyle name="Normal 173 3 2 3 3" xfId="14985"/>
    <cellStyle name="Normal 173 3 2 4" xfId="14986"/>
    <cellStyle name="Normal 173 3 3" xfId="14987"/>
    <cellStyle name="Normal 173 3 3 2" xfId="14988"/>
    <cellStyle name="Normal 173 3 3 2 2" xfId="14989"/>
    <cellStyle name="Normal 173 3 3 3" xfId="14990"/>
    <cellStyle name="Normal 173 3 4" xfId="14991"/>
    <cellStyle name="Normal 173 3 4 2" xfId="14992"/>
    <cellStyle name="Normal 173 3 4 2 2" xfId="14993"/>
    <cellStyle name="Normal 173 3 4 3" xfId="14994"/>
    <cellStyle name="Normal 173 3 5" xfId="14995"/>
    <cellStyle name="Normal 173 3 5 2" xfId="14996"/>
    <cellStyle name="Normal 173 3 5 2 2" xfId="14997"/>
    <cellStyle name="Normal 173 3 5 3" xfId="14998"/>
    <cellStyle name="Normal 173 3 6" xfId="14999"/>
    <cellStyle name="Normal 173 4" xfId="15000"/>
    <cellStyle name="Normal 173 4 2" xfId="15001"/>
    <cellStyle name="Normal 173 4 2 2" xfId="15002"/>
    <cellStyle name="Normal 173 4 3" xfId="15003"/>
    <cellStyle name="Normal 173 5" xfId="15004"/>
    <cellStyle name="Normal 173 5 2" xfId="15005"/>
    <cellStyle name="Normal 173 5 2 2" xfId="15006"/>
    <cellStyle name="Normal 173 5 3" xfId="15007"/>
    <cellStyle name="Normal 173 6" xfId="15008"/>
    <cellStyle name="Normal 173 6 2" xfId="15009"/>
    <cellStyle name="Normal 173 6 2 2" xfId="15010"/>
    <cellStyle name="Normal 173 6 3" xfId="15011"/>
    <cellStyle name="Normal 173 7" xfId="15012"/>
    <cellStyle name="Normal 174" xfId="15013"/>
    <cellStyle name="Normal 174 2" xfId="15014"/>
    <cellStyle name="Normal 174 2 2" xfId="15015"/>
    <cellStyle name="Normal 174 2 2 2" xfId="15016"/>
    <cellStyle name="Normal 174 2 3" xfId="15017"/>
    <cellStyle name="Normal 174 2 3 2" xfId="15018"/>
    <cellStyle name="Normal 174 2 3 2 2" xfId="15019"/>
    <cellStyle name="Normal 174 2 3 3" xfId="15020"/>
    <cellStyle name="Normal 174 2 4" xfId="15021"/>
    <cellStyle name="Normal 174 2 4 2" xfId="15022"/>
    <cellStyle name="Normal 174 2 4 2 2" xfId="15023"/>
    <cellStyle name="Normal 174 2 4 3" xfId="15024"/>
    <cellStyle name="Normal 174 2 5" xfId="15025"/>
    <cellStyle name="Normal 174 3" xfId="15026"/>
    <cellStyle name="Normal 174 3 2" xfId="15027"/>
    <cellStyle name="Normal 174 3 2 2" xfId="15028"/>
    <cellStyle name="Normal 174 3 2 2 2" xfId="15029"/>
    <cellStyle name="Normal 174 3 2 3" xfId="15030"/>
    <cellStyle name="Normal 174 3 2 3 2" xfId="15031"/>
    <cellStyle name="Normal 174 3 2 3 2 2" xfId="15032"/>
    <cellStyle name="Normal 174 3 2 3 3" xfId="15033"/>
    <cellStyle name="Normal 174 3 2 4" xfId="15034"/>
    <cellStyle name="Normal 174 3 3" xfId="15035"/>
    <cellStyle name="Normal 174 3 3 2" xfId="15036"/>
    <cellStyle name="Normal 174 3 3 2 2" xfId="15037"/>
    <cellStyle name="Normal 174 3 3 3" xfId="15038"/>
    <cellStyle name="Normal 174 3 4" xfId="15039"/>
    <cellStyle name="Normal 174 3 4 2" xfId="15040"/>
    <cellStyle name="Normal 174 3 4 2 2" xfId="15041"/>
    <cellStyle name="Normal 174 3 4 3" xfId="15042"/>
    <cellStyle name="Normal 174 3 5" xfId="15043"/>
    <cellStyle name="Normal 174 3 5 2" xfId="15044"/>
    <cellStyle name="Normal 174 3 5 2 2" xfId="15045"/>
    <cellStyle name="Normal 174 3 5 3" xfId="15046"/>
    <cellStyle name="Normal 174 3 6" xfId="15047"/>
    <cellStyle name="Normal 174 4" xfId="15048"/>
    <cellStyle name="Normal 174 4 2" xfId="15049"/>
    <cellStyle name="Normal 174 4 2 2" xfId="15050"/>
    <cellStyle name="Normal 174 4 3" xfId="15051"/>
    <cellStyle name="Normal 174 5" xfId="15052"/>
    <cellStyle name="Normal 174 5 2" xfId="15053"/>
    <cellStyle name="Normal 174 5 2 2" xfId="15054"/>
    <cellStyle name="Normal 174 5 3" xfId="15055"/>
    <cellStyle name="Normal 174 6" xfId="15056"/>
    <cellStyle name="Normal 174 6 2" xfId="15057"/>
    <cellStyle name="Normal 174 6 2 2" xfId="15058"/>
    <cellStyle name="Normal 174 6 3" xfId="15059"/>
    <cellStyle name="Normal 174 7" xfId="15060"/>
    <cellStyle name="Normal 175" xfId="15061"/>
    <cellStyle name="Normal 175 2" xfId="15062"/>
    <cellStyle name="Normal 175 2 2" xfId="15063"/>
    <cellStyle name="Normal 175 2 2 2" xfId="15064"/>
    <cellStyle name="Normal 175 2 3" xfId="15065"/>
    <cellStyle name="Normal 175 2 3 2" xfId="15066"/>
    <cellStyle name="Normal 175 2 3 2 2" xfId="15067"/>
    <cellStyle name="Normal 175 2 3 3" xfId="15068"/>
    <cellStyle name="Normal 175 2 4" xfId="15069"/>
    <cellStyle name="Normal 175 2 4 2" xfId="15070"/>
    <cellStyle name="Normal 175 2 4 2 2" xfId="15071"/>
    <cellStyle name="Normal 175 2 4 3" xfId="15072"/>
    <cellStyle name="Normal 175 2 5" xfId="15073"/>
    <cellStyle name="Normal 175 3" xfId="15074"/>
    <cellStyle name="Normal 175 3 2" xfId="15075"/>
    <cellStyle name="Normal 175 3 2 2" xfId="15076"/>
    <cellStyle name="Normal 175 3 2 2 2" xfId="15077"/>
    <cellStyle name="Normal 175 3 2 3" xfId="15078"/>
    <cellStyle name="Normal 175 3 2 3 2" xfId="15079"/>
    <cellStyle name="Normal 175 3 2 3 2 2" xfId="15080"/>
    <cellStyle name="Normal 175 3 2 3 3" xfId="15081"/>
    <cellStyle name="Normal 175 3 2 4" xfId="15082"/>
    <cellStyle name="Normal 175 3 3" xfId="15083"/>
    <cellStyle name="Normal 175 3 3 2" xfId="15084"/>
    <cellStyle name="Normal 175 3 3 2 2" xfId="15085"/>
    <cellStyle name="Normal 175 3 3 3" xfId="15086"/>
    <cellStyle name="Normal 175 3 4" xfId="15087"/>
    <cellStyle name="Normal 175 3 4 2" xfId="15088"/>
    <cellStyle name="Normal 175 3 4 2 2" xfId="15089"/>
    <cellStyle name="Normal 175 3 4 3" xfId="15090"/>
    <cellStyle name="Normal 175 3 5" xfId="15091"/>
    <cellStyle name="Normal 175 3 5 2" xfId="15092"/>
    <cellStyle name="Normal 175 3 5 2 2" xfId="15093"/>
    <cellStyle name="Normal 175 3 5 3" xfId="15094"/>
    <cellStyle name="Normal 175 3 6" xfId="15095"/>
    <cellStyle name="Normal 175 4" xfId="15096"/>
    <cellStyle name="Normal 175 4 2" xfId="15097"/>
    <cellStyle name="Normal 175 4 2 2" xfId="15098"/>
    <cellStyle name="Normal 175 4 3" xfId="15099"/>
    <cellStyle name="Normal 175 5" xfId="15100"/>
    <cellStyle name="Normal 175 5 2" xfId="15101"/>
    <cellStyle name="Normal 175 5 2 2" xfId="15102"/>
    <cellStyle name="Normal 175 5 3" xfId="15103"/>
    <cellStyle name="Normal 175 6" xfId="15104"/>
    <cellStyle name="Normal 175 6 2" xfId="15105"/>
    <cellStyle name="Normal 175 6 2 2" xfId="15106"/>
    <cellStyle name="Normal 175 6 3" xfId="15107"/>
    <cellStyle name="Normal 175 7" xfId="15108"/>
    <cellStyle name="Normal 176" xfId="15109"/>
    <cellStyle name="Normal 176 2" xfId="15110"/>
    <cellStyle name="Normal 176 2 2" xfId="15111"/>
    <cellStyle name="Normal 176 2 2 2" xfId="15112"/>
    <cellStyle name="Normal 176 2 3" xfId="15113"/>
    <cellStyle name="Normal 176 2 3 2" xfId="15114"/>
    <cellStyle name="Normal 176 2 3 2 2" xfId="15115"/>
    <cellStyle name="Normal 176 2 3 3" xfId="15116"/>
    <cellStyle name="Normal 176 2 4" xfId="15117"/>
    <cellStyle name="Normal 176 2 4 2" xfId="15118"/>
    <cellStyle name="Normal 176 2 4 2 2" xfId="15119"/>
    <cellStyle name="Normal 176 2 4 3" xfId="15120"/>
    <cellStyle name="Normal 176 2 5" xfId="15121"/>
    <cellStyle name="Normal 176 3" xfId="15122"/>
    <cellStyle name="Normal 176 3 2" xfId="15123"/>
    <cellStyle name="Normal 176 3 2 2" xfId="15124"/>
    <cellStyle name="Normal 176 3 2 2 2" xfId="15125"/>
    <cellStyle name="Normal 176 3 2 3" xfId="15126"/>
    <cellStyle name="Normal 176 3 2 3 2" xfId="15127"/>
    <cellStyle name="Normal 176 3 2 3 2 2" xfId="15128"/>
    <cellStyle name="Normal 176 3 2 3 3" xfId="15129"/>
    <cellStyle name="Normal 176 3 2 4" xfId="15130"/>
    <cellStyle name="Normal 176 3 3" xfId="15131"/>
    <cellStyle name="Normal 176 3 3 2" xfId="15132"/>
    <cellStyle name="Normal 176 3 3 2 2" xfId="15133"/>
    <cellStyle name="Normal 176 3 3 3" xfId="15134"/>
    <cellStyle name="Normal 176 3 4" xfId="15135"/>
    <cellStyle name="Normal 176 3 4 2" xfId="15136"/>
    <cellStyle name="Normal 176 3 4 2 2" xfId="15137"/>
    <cellStyle name="Normal 176 3 4 3" xfId="15138"/>
    <cellStyle name="Normal 176 3 5" xfId="15139"/>
    <cellStyle name="Normal 176 3 5 2" xfId="15140"/>
    <cellStyle name="Normal 176 3 5 2 2" xfId="15141"/>
    <cellStyle name="Normal 176 3 5 3" xfId="15142"/>
    <cellStyle name="Normal 176 3 6" xfId="15143"/>
    <cellStyle name="Normal 176 4" xfId="15144"/>
    <cellStyle name="Normal 176 4 2" xfId="15145"/>
    <cellStyle name="Normal 176 4 2 2" xfId="15146"/>
    <cellStyle name="Normal 176 4 3" xfId="15147"/>
    <cellStyle name="Normal 176 5" xfId="15148"/>
    <cellStyle name="Normal 176 5 2" xfId="15149"/>
    <cellStyle name="Normal 176 5 2 2" xfId="15150"/>
    <cellStyle name="Normal 176 5 3" xfId="15151"/>
    <cellStyle name="Normal 176 6" xfId="15152"/>
    <cellStyle name="Normal 176 6 2" xfId="15153"/>
    <cellStyle name="Normal 176 6 2 2" xfId="15154"/>
    <cellStyle name="Normal 176 6 3" xfId="15155"/>
    <cellStyle name="Normal 176 7" xfId="15156"/>
    <cellStyle name="Normal 177" xfId="15157"/>
    <cellStyle name="Normal 177 2" xfId="15158"/>
    <cellStyle name="Normal 177 2 2" xfId="15159"/>
    <cellStyle name="Normal 177 2 2 2" xfId="15160"/>
    <cellStyle name="Normal 177 2 3" xfId="15161"/>
    <cellStyle name="Normal 177 2 3 2" xfId="15162"/>
    <cellStyle name="Normal 177 2 3 2 2" xfId="15163"/>
    <cellStyle name="Normal 177 2 3 3" xfId="15164"/>
    <cellStyle name="Normal 177 2 4" xfId="15165"/>
    <cellStyle name="Normal 177 2 4 2" xfId="15166"/>
    <cellStyle name="Normal 177 2 4 2 2" xfId="15167"/>
    <cellStyle name="Normal 177 2 4 3" xfId="15168"/>
    <cellStyle name="Normal 177 2 5" xfId="15169"/>
    <cellStyle name="Normal 177 3" xfId="15170"/>
    <cellStyle name="Normal 177 3 2" xfId="15171"/>
    <cellStyle name="Normal 177 3 2 2" xfId="15172"/>
    <cellStyle name="Normal 177 3 2 2 2" xfId="15173"/>
    <cellStyle name="Normal 177 3 2 3" xfId="15174"/>
    <cellStyle name="Normal 177 3 2 3 2" xfId="15175"/>
    <cellStyle name="Normal 177 3 2 3 2 2" xfId="15176"/>
    <cellStyle name="Normal 177 3 2 3 3" xfId="15177"/>
    <cellStyle name="Normal 177 3 2 4" xfId="15178"/>
    <cellStyle name="Normal 177 3 3" xfId="15179"/>
    <cellStyle name="Normal 177 3 3 2" xfId="15180"/>
    <cellStyle name="Normal 177 3 3 2 2" xfId="15181"/>
    <cellStyle name="Normal 177 3 3 3" xfId="15182"/>
    <cellStyle name="Normal 177 3 4" xfId="15183"/>
    <cellStyle name="Normal 177 3 4 2" xfId="15184"/>
    <cellStyle name="Normal 177 3 4 2 2" xfId="15185"/>
    <cellStyle name="Normal 177 3 4 3" xfId="15186"/>
    <cellStyle name="Normal 177 3 5" xfId="15187"/>
    <cellStyle name="Normal 177 3 5 2" xfId="15188"/>
    <cellStyle name="Normal 177 3 5 2 2" xfId="15189"/>
    <cellStyle name="Normal 177 3 5 3" xfId="15190"/>
    <cellStyle name="Normal 177 3 6" xfId="15191"/>
    <cellStyle name="Normal 177 4" xfId="15192"/>
    <cellStyle name="Normal 177 4 2" xfId="15193"/>
    <cellStyle name="Normal 177 4 2 2" xfId="15194"/>
    <cellStyle name="Normal 177 4 3" xfId="15195"/>
    <cellStyle name="Normal 177 5" xfId="15196"/>
    <cellStyle name="Normal 177 5 2" xfId="15197"/>
    <cellStyle name="Normal 177 5 2 2" xfId="15198"/>
    <cellStyle name="Normal 177 5 3" xfId="15199"/>
    <cellStyle name="Normal 177 6" xfId="15200"/>
    <cellStyle name="Normal 177 6 2" xfId="15201"/>
    <cellStyle name="Normal 177 6 2 2" xfId="15202"/>
    <cellStyle name="Normal 177 6 3" xfId="15203"/>
    <cellStyle name="Normal 177 7" xfId="15204"/>
    <cellStyle name="Normal 178" xfId="15205"/>
    <cellStyle name="Normal 178 2" xfId="15206"/>
    <cellStyle name="Normal 178 2 2" xfId="15207"/>
    <cellStyle name="Normal 178 2 2 2" xfId="15208"/>
    <cellStyle name="Normal 178 2 3" xfId="15209"/>
    <cellStyle name="Normal 178 2 3 2" xfId="15210"/>
    <cellStyle name="Normal 178 2 3 2 2" xfId="15211"/>
    <cellStyle name="Normal 178 2 3 3" xfId="15212"/>
    <cellStyle name="Normal 178 2 4" xfId="15213"/>
    <cellStyle name="Normal 178 2 4 2" xfId="15214"/>
    <cellStyle name="Normal 178 2 4 2 2" xfId="15215"/>
    <cellStyle name="Normal 178 2 4 3" xfId="15216"/>
    <cellStyle name="Normal 178 2 5" xfId="15217"/>
    <cellStyle name="Normal 178 3" xfId="15218"/>
    <cellStyle name="Normal 178 3 2" xfId="15219"/>
    <cellStyle name="Normal 178 3 2 2" xfId="15220"/>
    <cellStyle name="Normal 178 3 2 2 2" xfId="15221"/>
    <cellStyle name="Normal 178 3 2 3" xfId="15222"/>
    <cellStyle name="Normal 178 3 2 3 2" xfId="15223"/>
    <cellStyle name="Normal 178 3 2 3 2 2" xfId="15224"/>
    <cellStyle name="Normal 178 3 2 3 3" xfId="15225"/>
    <cellStyle name="Normal 178 3 2 4" xfId="15226"/>
    <cellStyle name="Normal 178 3 3" xfId="15227"/>
    <cellStyle name="Normal 178 3 3 2" xfId="15228"/>
    <cellStyle name="Normal 178 3 3 2 2" xfId="15229"/>
    <cellStyle name="Normal 178 3 3 3" xfId="15230"/>
    <cellStyle name="Normal 178 3 4" xfId="15231"/>
    <cellStyle name="Normal 178 3 4 2" xfId="15232"/>
    <cellStyle name="Normal 178 3 4 2 2" xfId="15233"/>
    <cellStyle name="Normal 178 3 4 3" xfId="15234"/>
    <cellStyle name="Normal 178 3 5" xfId="15235"/>
    <cellStyle name="Normal 178 3 5 2" xfId="15236"/>
    <cellStyle name="Normal 178 3 5 2 2" xfId="15237"/>
    <cellStyle name="Normal 178 3 5 3" xfId="15238"/>
    <cellStyle name="Normal 178 3 6" xfId="15239"/>
    <cellStyle name="Normal 178 4" xfId="15240"/>
    <cellStyle name="Normal 178 4 2" xfId="15241"/>
    <cellStyle name="Normal 178 4 2 2" xfId="15242"/>
    <cellStyle name="Normal 178 4 3" xfId="15243"/>
    <cellStyle name="Normal 178 5" xfId="15244"/>
    <cellStyle name="Normal 178 5 2" xfId="15245"/>
    <cellStyle name="Normal 178 5 2 2" xfId="15246"/>
    <cellStyle name="Normal 178 5 3" xfId="15247"/>
    <cellStyle name="Normal 178 6" xfId="15248"/>
    <cellStyle name="Normal 178 6 2" xfId="15249"/>
    <cellStyle name="Normal 178 6 2 2" xfId="15250"/>
    <cellStyle name="Normal 178 6 3" xfId="15251"/>
    <cellStyle name="Normal 178 7" xfId="15252"/>
    <cellStyle name="Normal 179" xfId="15253"/>
    <cellStyle name="Normal 179 2" xfId="15254"/>
    <cellStyle name="Normal 179 2 2" xfId="15255"/>
    <cellStyle name="Normal 179 2 2 2" xfId="15256"/>
    <cellStyle name="Normal 179 2 3" xfId="15257"/>
    <cellStyle name="Normal 179 2 3 2" xfId="15258"/>
    <cellStyle name="Normal 179 2 3 2 2" xfId="15259"/>
    <cellStyle name="Normal 179 2 3 3" xfId="15260"/>
    <cellStyle name="Normal 179 2 4" xfId="15261"/>
    <cellStyle name="Normal 179 2 4 2" xfId="15262"/>
    <cellStyle name="Normal 179 2 4 2 2" xfId="15263"/>
    <cellStyle name="Normal 179 2 4 3" xfId="15264"/>
    <cellStyle name="Normal 179 2 5" xfId="15265"/>
    <cellStyle name="Normal 179 3" xfId="15266"/>
    <cellStyle name="Normal 179 3 2" xfId="15267"/>
    <cellStyle name="Normal 179 3 2 2" xfId="15268"/>
    <cellStyle name="Normal 179 3 2 2 2" xfId="15269"/>
    <cellStyle name="Normal 179 3 2 3" xfId="15270"/>
    <cellStyle name="Normal 179 3 2 3 2" xfId="15271"/>
    <cellStyle name="Normal 179 3 2 3 2 2" xfId="15272"/>
    <cellStyle name="Normal 179 3 2 3 3" xfId="15273"/>
    <cellStyle name="Normal 179 3 2 4" xfId="15274"/>
    <cellStyle name="Normal 179 3 3" xfId="15275"/>
    <cellStyle name="Normal 179 3 3 2" xfId="15276"/>
    <cellStyle name="Normal 179 3 3 2 2" xfId="15277"/>
    <cellStyle name="Normal 179 3 3 3" xfId="15278"/>
    <cellStyle name="Normal 179 3 4" xfId="15279"/>
    <cellStyle name="Normal 179 3 4 2" xfId="15280"/>
    <cellStyle name="Normal 179 3 4 2 2" xfId="15281"/>
    <cellStyle name="Normal 179 3 4 3" xfId="15282"/>
    <cellStyle name="Normal 179 3 5" xfId="15283"/>
    <cellStyle name="Normal 179 3 5 2" xfId="15284"/>
    <cellStyle name="Normal 179 3 5 2 2" xfId="15285"/>
    <cellStyle name="Normal 179 3 5 3" xfId="15286"/>
    <cellStyle name="Normal 179 3 6" xfId="15287"/>
    <cellStyle name="Normal 179 4" xfId="15288"/>
    <cellStyle name="Normal 179 4 2" xfId="15289"/>
    <cellStyle name="Normal 179 4 2 2" xfId="15290"/>
    <cellStyle name="Normal 179 4 3" xfId="15291"/>
    <cellStyle name="Normal 179 5" xfId="15292"/>
    <cellStyle name="Normal 179 5 2" xfId="15293"/>
    <cellStyle name="Normal 179 5 2 2" xfId="15294"/>
    <cellStyle name="Normal 179 5 3" xfId="15295"/>
    <cellStyle name="Normal 179 6" xfId="15296"/>
    <cellStyle name="Normal 179 6 2" xfId="15297"/>
    <cellStyle name="Normal 179 6 2 2" xfId="15298"/>
    <cellStyle name="Normal 179 6 3" xfId="15299"/>
    <cellStyle name="Normal 179 7" xfId="15300"/>
    <cellStyle name="Normal 18" xfId="252"/>
    <cellStyle name="Normal 18 2" xfId="15302"/>
    <cellStyle name="Normal 18 2 2" xfId="15303"/>
    <cellStyle name="Normal 18 2 2 2" xfId="15304"/>
    <cellStyle name="Normal 18 2 2 2 2" xfId="15305"/>
    <cellStyle name="Normal 18 2 2 3" xfId="15306"/>
    <cellStyle name="Normal 18 2 2 3 2" xfId="15307"/>
    <cellStyle name="Normal 18 2 2 3 2 2" xfId="15308"/>
    <cellStyle name="Normal 18 2 2 3 3" xfId="15309"/>
    <cellStyle name="Normal 18 2 2 4" xfId="15310"/>
    <cellStyle name="Normal 18 2 2 4 2" xfId="15311"/>
    <cellStyle name="Normal 18 2 2 4 2 2" xfId="15312"/>
    <cellStyle name="Normal 18 2 2 4 3" xfId="15313"/>
    <cellStyle name="Normal 18 2 2 5" xfId="15314"/>
    <cellStyle name="Normal 18 2 3" xfId="15315"/>
    <cellStyle name="Normal 18 2 3 2" xfId="15316"/>
    <cellStyle name="Normal 18 2 3 2 2" xfId="15317"/>
    <cellStyle name="Normal 18 2 3 2 2 2" xfId="15318"/>
    <cellStyle name="Normal 18 2 3 2 3" xfId="15319"/>
    <cellStyle name="Normal 18 2 3 2 3 2" xfId="15320"/>
    <cellStyle name="Normal 18 2 3 2 3 2 2" xfId="15321"/>
    <cellStyle name="Normal 18 2 3 2 3 3" xfId="15322"/>
    <cellStyle name="Normal 18 2 3 2 4" xfId="15323"/>
    <cellStyle name="Normal 18 2 3 3" xfId="15324"/>
    <cellStyle name="Normal 18 2 3 3 2" xfId="15325"/>
    <cellStyle name="Normal 18 2 3 3 2 2" xfId="15326"/>
    <cellStyle name="Normal 18 2 3 3 3" xfId="15327"/>
    <cellStyle name="Normal 18 2 3 4" xfId="15328"/>
    <cellStyle name="Normal 18 2 3 4 2" xfId="15329"/>
    <cellStyle name="Normal 18 2 3 4 2 2" xfId="15330"/>
    <cellStyle name="Normal 18 2 3 4 3" xfId="15331"/>
    <cellStyle name="Normal 18 2 3 5" xfId="15332"/>
    <cellStyle name="Normal 18 2 3 5 2" xfId="15333"/>
    <cellStyle name="Normal 18 2 3 5 2 2" xfId="15334"/>
    <cellStyle name="Normal 18 2 3 5 3" xfId="15335"/>
    <cellStyle name="Normal 18 2 3 6" xfId="15336"/>
    <cellStyle name="Normal 18 2 4" xfId="15337"/>
    <cellStyle name="Normal 18 2 4 2" xfId="15338"/>
    <cellStyle name="Normal 18 2 4 2 2" xfId="15339"/>
    <cellStyle name="Normal 18 2 4 3" xfId="15340"/>
    <cellStyle name="Normal 18 2 5" xfId="15341"/>
    <cellStyle name="Normal 18 2 5 2" xfId="15342"/>
    <cellStyle name="Normal 18 2 5 2 2" xfId="15343"/>
    <cellStyle name="Normal 18 2 5 3" xfId="15344"/>
    <cellStyle name="Normal 18 2 6" xfId="15345"/>
    <cellStyle name="Normal 18 2 6 2" xfId="15346"/>
    <cellStyle name="Normal 18 2 6 2 2" xfId="15347"/>
    <cellStyle name="Normal 18 2 6 3" xfId="15348"/>
    <cellStyle name="Normal 18 2 7" xfId="15349"/>
    <cellStyle name="Normal 18 3" xfId="15350"/>
    <cellStyle name="Normal 18 3 2" xfId="15351"/>
    <cellStyle name="Normal 18 3 2 2" xfId="15352"/>
    <cellStyle name="Normal 18 3 2 2 2" xfId="15353"/>
    <cellStyle name="Normal 18 3 2 3" xfId="15354"/>
    <cellStyle name="Normal 18 3 2 3 2" xfId="15355"/>
    <cellStyle name="Normal 18 3 2 3 2 2" xfId="15356"/>
    <cellStyle name="Normal 18 3 2 3 3" xfId="15357"/>
    <cellStyle name="Normal 18 3 2 4" xfId="15358"/>
    <cellStyle name="Normal 18 3 2 4 2" xfId="15359"/>
    <cellStyle name="Normal 18 3 2 4 2 2" xfId="15360"/>
    <cellStyle name="Normal 18 3 2 4 3" xfId="15361"/>
    <cellStyle name="Normal 18 3 2 5" xfId="15362"/>
    <cellStyle name="Normal 18 3 3" xfId="15363"/>
    <cellStyle name="Normal 18 3 3 2" xfId="15364"/>
    <cellStyle name="Normal 18 3 3 2 2" xfId="15365"/>
    <cellStyle name="Normal 18 3 3 3" xfId="15366"/>
    <cellStyle name="Normal 18 3 4" xfId="15367"/>
    <cellStyle name="Normal 18 3 4 2" xfId="15368"/>
    <cellStyle name="Normal 18 3 4 2 2" xfId="15369"/>
    <cellStyle name="Normal 18 3 4 3" xfId="15370"/>
    <cellStyle name="Normal 18 3 5" xfId="15371"/>
    <cellStyle name="Normal 18 3 5 2" xfId="15372"/>
    <cellStyle name="Normal 18 3 5 2 2" xfId="15373"/>
    <cellStyle name="Normal 18 3 5 3" xfId="15374"/>
    <cellStyle name="Normal 18 3 6" xfId="15375"/>
    <cellStyle name="Normal 18 4" xfId="15376"/>
    <cellStyle name="Normal 18 4 2" xfId="15377"/>
    <cellStyle name="Normal 18 4 2 2" xfId="15378"/>
    <cellStyle name="Normal 18 4 3" xfId="15379"/>
    <cellStyle name="Normal 18 4 3 2" xfId="15380"/>
    <cellStyle name="Normal 18 4 3 2 2" xfId="15381"/>
    <cellStyle name="Normal 18 4 3 3" xfId="15382"/>
    <cellStyle name="Normal 18 4 4" xfId="15383"/>
    <cellStyle name="Normal 18 4 4 2" xfId="15384"/>
    <cellStyle name="Normal 18 4 4 2 2" xfId="15385"/>
    <cellStyle name="Normal 18 4 4 3" xfId="15386"/>
    <cellStyle name="Normal 18 4 5" xfId="15387"/>
    <cellStyle name="Normal 18 5" xfId="15388"/>
    <cellStyle name="Normal 18 5 2" xfId="15389"/>
    <cellStyle name="Normal 18 5 2 2" xfId="15390"/>
    <cellStyle name="Normal 18 5 2 2 2" xfId="15391"/>
    <cellStyle name="Normal 18 5 2 3" xfId="15392"/>
    <cellStyle name="Normal 18 5 2 3 2" xfId="15393"/>
    <cellStyle name="Normal 18 5 2 3 2 2" xfId="15394"/>
    <cellStyle name="Normal 18 5 2 3 3" xfId="15395"/>
    <cellStyle name="Normal 18 5 2 4" xfId="15396"/>
    <cellStyle name="Normal 18 5 3" xfId="15397"/>
    <cellStyle name="Normal 18 5 3 2" xfId="15398"/>
    <cellStyle name="Normal 18 5 3 2 2" xfId="15399"/>
    <cellStyle name="Normal 18 5 3 3" xfId="15400"/>
    <cellStyle name="Normal 18 5 4" xfId="15401"/>
    <cellStyle name="Normal 18 5 4 2" xfId="15402"/>
    <cellStyle name="Normal 18 5 4 2 2" xfId="15403"/>
    <cellStyle name="Normal 18 5 4 3" xfId="15404"/>
    <cellStyle name="Normal 18 5 5" xfId="15405"/>
    <cellStyle name="Normal 18 5 5 2" xfId="15406"/>
    <cellStyle name="Normal 18 5 5 2 2" xfId="15407"/>
    <cellStyle name="Normal 18 5 5 3" xfId="15408"/>
    <cellStyle name="Normal 18 5 6" xfId="15409"/>
    <cellStyle name="Normal 18 6" xfId="15410"/>
    <cellStyle name="Normal 18 7" xfId="15301"/>
    <cellStyle name="Normal 180" xfId="15411"/>
    <cellStyle name="Normal 180 2" xfId="15412"/>
    <cellStyle name="Normal 180 2 2" xfId="15413"/>
    <cellStyle name="Normal 180 2 2 2" xfId="15414"/>
    <cellStyle name="Normal 180 2 3" xfId="15415"/>
    <cellStyle name="Normal 180 2 3 2" xfId="15416"/>
    <cellStyle name="Normal 180 2 3 2 2" xfId="15417"/>
    <cellStyle name="Normal 180 2 3 3" xfId="15418"/>
    <cellStyle name="Normal 180 2 4" xfId="15419"/>
    <cellStyle name="Normal 180 2 4 2" xfId="15420"/>
    <cellStyle name="Normal 180 2 4 2 2" xfId="15421"/>
    <cellStyle name="Normal 180 2 4 3" xfId="15422"/>
    <cellStyle name="Normal 180 2 5" xfId="15423"/>
    <cellStyle name="Normal 180 3" xfId="15424"/>
    <cellStyle name="Normal 180 3 2" xfId="15425"/>
    <cellStyle name="Normal 180 3 2 2" xfId="15426"/>
    <cellStyle name="Normal 180 3 2 2 2" xfId="15427"/>
    <cellStyle name="Normal 180 3 2 3" xfId="15428"/>
    <cellStyle name="Normal 180 3 2 3 2" xfId="15429"/>
    <cellStyle name="Normal 180 3 2 3 2 2" xfId="15430"/>
    <cellStyle name="Normal 180 3 2 3 3" xfId="15431"/>
    <cellStyle name="Normal 180 3 2 4" xfId="15432"/>
    <cellStyle name="Normal 180 3 3" xfId="15433"/>
    <cellStyle name="Normal 180 3 3 2" xfId="15434"/>
    <cellStyle name="Normal 180 3 3 2 2" xfId="15435"/>
    <cellStyle name="Normal 180 3 3 3" xfId="15436"/>
    <cellStyle name="Normal 180 3 4" xfId="15437"/>
    <cellStyle name="Normal 180 3 4 2" xfId="15438"/>
    <cellStyle name="Normal 180 3 4 2 2" xfId="15439"/>
    <cellStyle name="Normal 180 3 4 3" xfId="15440"/>
    <cellStyle name="Normal 180 3 5" xfId="15441"/>
    <cellStyle name="Normal 180 3 5 2" xfId="15442"/>
    <cellStyle name="Normal 180 3 5 2 2" xfId="15443"/>
    <cellStyle name="Normal 180 3 5 3" xfId="15444"/>
    <cellStyle name="Normal 180 3 6" xfId="15445"/>
    <cellStyle name="Normal 180 4" xfId="15446"/>
    <cellStyle name="Normal 180 4 2" xfId="15447"/>
    <cellStyle name="Normal 180 4 2 2" xfId="15448"/>
    <cellStyle name="Normal 180 4 3" xfId="15449"/>
    <cellStyle name="Normal 180 5" xfId="15450"/>
    <cellStyle name="Normal 180 5 2" xfId="15451"/>
    <cellStyle name="Normal 180 5 2 2" xfId="15452"/>
    <cellStyle name="Normal 180 5 3" xfId="15453"/>
    <cellStyle name="Normal 180 6" xfId="15454"/>
    <cellStyle name="Normal 180 6 2" xfId="15455"/>
    <cellStyle name="Normal 180 6 2 2" xfId="15456"/>
    <cellStyle name="Normal 180 6 3" xfId="15457"/>
    <cellStyle name="Normal 180 7" xfId="15458"/>
    <cellStyle name="Normal 181" xfId="15459"/>
    <cellStyle name="Normal 181 2" xfId="15460"/>
    <cellStyle name="Normal 181 2 2" xfId="15461"/>
    <cellStyle name="Normal 181 2 2 2" xfId="15462"/>
    <cellStyle name="Normal 181 2 3" xfId="15463"/>
    <cellStyle name="Normal 181 2 3 2" xfId="15464"/>
    <cellStyle name="Normal 181 2 3 2 2" xfId="15465"/>
    <cellStyle name="Normal 181 2 3 3" xfId="15466"/>
    <cellStyle name="Normal 181 2 4" xfId="15467"/>
    <cellStyle name="Normal 181 2 4 2" xfId="15468"/>
    <cellStyle name="Normal 181 2 4 2 2" xfId="15469"/>
    <cellStyle name="Normal 181 2 4 3" xfId="15470"/>
    <cellStyle name="Normal 181 2 5" xfId="15471"/>
    <cellStyle name="Normal 181 3" xfId="15472"/>
    <cellStyle name="Normal 181 3 2" xfId="15473"/>
    <cellStyle name="Normal 181 3 2 2" xfId="15474"/>
    <cellStyle name="Normal 181 3 2 2 2" xfId="15475"/>
    <cellStyle name="Normal 181 3 2 3" xfId="15476"/>
    <cellStyle name="Normal 181 3 2 3 2" xfId="15477"/>
    <cellStyle name="Normal 181 3 2 3 2 2" xfId="15478"/>
    <cellStyle name="Normal 181 3 2 3 3" xfId="15479"/>
    <cellStyle name="Normal 181 3 2 4" xfId="15480"/>
    <cellStyle name="Normal 181 3 3" xfId="15481"/>
    <cellStyle name="Normal 181 3 3 2" xfId="15482"/>
    <cellStyle name="Normal 181 3 3 2 2" xfId="15483"/>
    <cellStyle name="Normal 181 3 3 3" xfId="15484"/>
    <cellStyle name="Normal 181 3 4" xfId="15485"/>
    <cellStyle name="Normal 181 3 4 2" xfId="15486"/>
    <cellStyle name="Normal 181 3 4 2 2" xfId="15487"/>
    <cellStyle name="Normal 181 3 4 3" xfId="15488"/>
    <cellStyle name="Normal 181 3 5" xfId="15489"/>
    <cellStyle name="Normal 181 3 5 2" xfId="15490"/>
    <cellStyle name="Normal 181 3 5 2 2" xfId="15491"/>
    <cellStyle name="Normal 181 3 5 3" xfId="15492"/>
    <cellStyle name="Normal 181 3 6" xfId="15493"/>
    <cellStyle name="Normal 181 4" xfId="15494"/>
    <cellStyle name="Normal 181 4 2" xfId="15495"/>
    <cellStyle name="Normal 181 4 2 2" xfId="15496"/>
    <cellStyle name="Normal 181 4 3" xfId="15497"/>
    <cellStyle name="Normal 181 5" xfId="15498"/>
    <cellStyle name="Normal 181 5 2" xfId="15499"/>
    <cellStyle name="Normal 181 5 2 2" xfId="15500"/>
    <cellStyle name="Normal 181 5 3" xfId="15501"/>
    <cellStyle name="Normal 181 6" xfId="15502"/>
    <cellStyle name="Normal 181 6 2" xfId="15503"/>
    <cellStyle name="Normal 181 6 2 2" xfId="15504"/>
    <cellStyle name="Normal 181 6 3" xfId="15505"/>
    <cellStyle name="Normal 181 7" xfId="15506"/>
    <cellStyle name="Normal 182" xfId="15507"/>
    <cellStyle name="Normal 182 2" xfId="15508"/>
    <cellStyle name="Normal 182 2 2" xfId="15509"/>
    <cellStyle name="Normal 182 2 2 2" xfId="15510"/>
    <cellStyle name="Normal 182 2 3" xfId="15511"/>
    <cellStyle name="Normal 182 2 3 2" xfId="15512"/>
    <cellStyle name="Normal 182 2 3 2 2" xfId="15513"/>
    <cellStyle name="Normal 182 2 3 3" xfId="15514"/>
    <cellStyle name="Normal 182 2 4" xfId="15515"/>
    <cellStyle name="Normal 182 2 4 2" xfId="15516"/>
    <cellStyle name="Normal 182 2 4 2 2" xfId="15517"/>
    <cellStyle name="Normal 182 2 4 3" xfId="15518"/>
    <cellStyle name="Normal 182 2 5" xfId="15519"/>
    <cellStyle name="Normal 182 3" xfId="15520"/>
    <cellStyle name="Normal 182 3 2" xfId="15521"/>
    <cellStyle name="Normal 182 3 2 2" xfId="15522"/>
    <cellStyle name="Normal 182 3 2 2 2" xfId="15523"/>
    <cellStyle name="Normal 182 3 2 3" xfId="15524"/>
    <cellStyle name="Normal 182 3 2 3 2" xfId="15525"/>
    <cellStyle name="Normal 182 3 2 3 2 2" xfId="15526"/>
    <cellStyle name="Normal 182 3 2 3 3" xfId="15527"/>
    <cellStyle name="Normal 182 3 2 4" xfId="15528"/>
    <cellStyle name="Normal 182 3 3" xfId="15529"/>
    <cellStyle name="Normal 182 3 3 2" xfId="15530"/>
    <cellStyle name="Normal 182 3 3 2 2" xfId="15531"/>
    <cellStyle name="Normal 182 3 3 3" xfId="15532"/>
    <cellStyle name="Normal 182 3 4" xfId="15533"/>
    <cellStyle name="Normal 182 3 4 2" xfId="15534"/>
    <cellStyle name="Normal 182 3 4 2 2" xfId="15535"/>
    <cellStyle name="Normal 182 3 4 3" xfId="15536"/>
    <cellStyle name="Normal 182 3 5" xfId="15537"/>
    <cellStyle name="Normal 182 3 5 2" xfId="15538"/>
    <cellStyle name="Normal 182 3 5 2 2" xfId="15539"/>
    <cellStyle name="Normal 182 3 5 3" xfId="15540"/>
    <cellStyle name="Normal 182 3 6" xfId="15541"/>
    <cellStyle name="Normal 182 4" xfId="15542"/>
    <cellStyle name="Normal 182 4 2" xfId="15543"/>
    <cellStyle name="Normal 182 4 2 2" xfId="15544"/>
    <cellStyle name="Normal 182 4 3" xfId="15545"/>
    <cellStyle name="Normal 182 5" xfId="15546"/>
    <cellStyle name="Normal 182 5 2" xfId="15547"/>
    <cellStyle name="Normal 182 5 2 2" xfId="15548"/>
    <cellStyle name="Normal 182 5 3" xfId="15549"/>
    <cellStyle name="Normal 182 6" xfId="15550"/>
    <cellStyle name="Normal 182 6 2" xfId="15551"/>
    <cellStyle name="Normal 182 6 2 2" xfId="15552"/>
    <cellStyle name="Normal 182 6 3" xfId="15553"/>
    <cellStyle name="Normal 182 7" xfId="15554"/>
    <cellStyle name="Normal 183" xfId="15555"/>
    <cellStyle name="Normal 183 2" xfId="15556"/>
    <cellStyle name="Normal 183 2 2" xfId="15557"/>
    <cellStyle name="Normal 183 2 2 2" xfId="15558"/>
    <cellStyle name="Normal 183 2 3" xfId="15559"/>
    <cellStyle name="Normal 183 2 3 2" xfId="15560"/>
    <cellStyle name="Normal 183 2 3 2 2" xfId="15561"/>
    <cellStyle name="Normal 183 2 3 3" xfId="15562"/>
    <cellStyle name="Normal 183 2 4" xfId="15563"/>
    <cellStyle name="Normal 183 2 4 2" xfId="15564"/>
    <cellStyle name="Normal 183 2 4 2 2" xfId="15565"/>
    <cellStyle name="Normal 183 2 4 3" xfId="15566"/>
    <cellStyle name="Normal 183 2 5" xfId="15567"/>
    <cellStyle name="Normal 183 3" xfId="15568"/>
    <cellStyle name="Normal 183 3 2" xfId="15569"/>
    <cellStyle name="Normal 183 3 2 2" xfId="15570"/>
    <cellStyle name="Normal 183 3 2 2 2" xfId="15571"/>
    <cellStyle name="Normal 183 3 2 3" xfId="15572"/>
    <cellStyle name="Normal 183 3 2 3 2" xfId="15573"/>
    <cellStyle name="Normal 183 3 2 3 2 2" xfId="15574"/>
    <cellStyle name="Normal 183 3 2 3 3" xfId="15575"/>
    <cellStyle name="Normal 183 3 2 4" xfId="15576"/>
    <cellStyle name="Normal 183 3 3" xfId="15577"/>
    <cellStyle name="Normal 183 3 3 2" xfId="15578"/>
    <cellStyle name="Normal 183 3 3 2 2" xfId="15579"/>
    <cellStyle name="Normal 183 3 3 3" xfId="15580"/>
    <cellStyle name="Normal 183 3 4" xfId="15581"/>
    <cellStyle name="Normal 183 3 4 2" xfId="15582"/>
    <cellStyle name="Normal 183 3 4 2 2" xfId="15583"/>
    <cellStyle name="Normal 183 3 4 3" xfId="15584"/>
    <cellStyle name="Normal 183 3 5" xfId="15585"/>
    <cellStyle name="Normal 183 3 5 2" xfId="15586"/>
    <cellStyle name="Normal 183 3 5 2 2" xfId="15587"/>
    <cellStyle name="Normal 183 3 5 3" xfId="15588"/>
    <cellStyle name="Normal 183 3 6" xfId="15589"/>
    <cellStyle name="Normal 183 4" xfId="15590"/>
    <cellStyle name="Normal 183 4 2" xfId="15591"/>
    <cellStyle name="Normal 183 4 2 2" xfId="15592"/>
    <cellStyle name="Normal 183 4 3" xfId="15593"/>
    <cellStyle name="Normal 183 5" xfId="15594"/>
    <cellStyle name="Normal 183 5 2" xfId="15595"/>
    <cellStyle name="Normal 183 5 2 2" xfId="15596"/>
    <cellStyle name="Normal 183 5 3" xfId="15597"/>
    <cellStyle name="Normal 183 6" xfId="15598"/>
    <cellStyle name="Normal 183 6 2" xfId="15599"/>
    <cellStyle name="Normal 183 6 2 2" xfId="15600"/>
    <cellStyle name="Normal 183 6 3" xfId="15601"/>
    <cellStyle name="Normal 183 7" xfId="15602"/>
    <cellStyle name="Normal 184" xfId="15603"/>
    <cellStyle name="Normal 184 2" xfId="15604"/>
    <cellStyle name="Normal 184 2 2" xfId="15605"/>
    <cellStyle name="Normal 184 2 2 2" xfId="15606"/>
    <cellStyle name="Normal 184 2 3" xfId="15607"/>
    <cellStyle name="Normal 184 2 3 2" xfId="15608"/>
    <cellStyle name="Normal 184 2 3 2 2" xfId="15609"/>
    <cellStyle name="Normal 184 2 3 3" xfId="15610"/>
    <cellStyle name="Normal 184 2 4" xfId="15611"/>
    <cellStyle name="Normal 184 2 4 2" xfId="15612"/>
    <cellStyle name="Normal 184 2 4 2 2" xfId="15613"/>
    <cellStyle name="Normal 184 2 4 3" xfId="15614"/>
    <cellStyle name="Normal 184 2 5" xfId="15615"/>
    <cellStyle name="Normal 184 3" xfId="15616"/>
    <cellStyle name="Normal 184 3 2" xfId="15617"/>
    <cellStyle name="Normal 184 3 2 2" xfId="15618"/>
    <cellStyle name="Normal 184 3 2 2 2" xfId="15619"/>
    <cellStyle name="Normal 184 3 2 3" xfId="15620"/>
    <cellStyle name="Normal 184 3 2 3 2" xfId="15621"/>
    <cellStyle name="Normal 184 3 2 3 2 2" xfId="15622"/>
    <cellStyle name="Normal 184 3 2 3 3" xfId="15623"/>
    <cellStyle name="Normal 184 3 2 4" xfId="15624"/>
    <cellStyle name="Normal 184 3 3" xfId="15625"/>
    <cellStyle name="Normal 184 3 3 2" xfId="15626"/>
    <cellStyle name="Normal 184 3 3 2 2" xfId="15627"/>
    <cellStyle name="Normal 184 3 3 3" xfId="15628"/>
    <cellStyle name="Normal 184 3 4" xfId="15629"/>
    <cellStyle name="Normal 184 3 4 2" xfId="15630"/>
    <cellStyle name="Normal 184 3 4 2 2" xfId="15631"/>
    <cellStyle name="Normal 184 3 4 3" xfId="15632"/>
    <cellStyle name="Normal 184 3 5" xfId="15633"/>
    <cellStyle name="Normal 184 3 5 2" xfId="15634"/>
    <cellStyle name="Normal 184 3 5 2 2" xfId="15635"/>
    <cellStyle name="Normal 184 3 5 3" xfId="15636"/>
    <cellStyle name="Normal 184 3 6" xfId="15637"/>
    <cellStyle name="Normal 184 4" xfId="15638"/>
    <cellStyle name="Normal 184 4 2" xfId="15639"/>
    <cellStyle name="Normal 184 4 2 2" xfId="15640"/>
    <cellStyle name="Normal 184 4 3" xfId="15641"/>
    <cellStyle name="Normal 184 5" xfId="15642"/>
    <cellStyle name="Normal 184 5 2" xfId="15643"/>
    <cellStyle name="Normal 184 5 2 2" xfId="15644"/>
    <cellStyle name="Normal 184 5 3" xfId="15645"/>
    <cellStyle name="Normal 184 6" xfId="15646"/>
    <cellStyle name="Normal 184 6 2" xfId="15647"/>
    <cellStyle name="Normal 184 6 2 2" xfId="15648"/>
    <cellStyle name="Normal 184 6 3" xfId="15649"/>
    <cellStyle name="Normal 184 7" xfId="15650"/>
    <cellStyle name="Normal 185" xfId="15651"/>
    <cellStyle name="Normal 185 2" xfId="15652"/>
    <cellStyle name="Normal 185 2 2" xfId="15653"/>
    <cellStyle name="Normal 185 2 2 2" xfId="15654"/>
    <cellStyle name="Normal 185 2 3" xfId="15655"/>
    <cellStyle name="Normal 185 2 3 2" xfId="15656"/>
    <cellStyle name="Normal 185 2 3 2 2" xfId="15657"/>
    <cellStyle name="Normal 185 2 3 3" xfId="15658"/>
    <cellStyle name="Normal 185 2 4" xfId="15659"/>
    <cellStyle name="Normal 185 2 4 2" xfId="15660"/>
    <cellStyle name="Normal 185 2 4 2 2" xfId="15661"/>
    <cellStyle name="Normal 185 2 4 3" xfId="15662"/>
    <cellStyle name="Normal 185 2 5" xfId="15663"/>
    <cellStyle name="Normal 185 3" xfId="15664"/>
    <cellStyle name="Normal 185 3 2" xfId="15665"/>
    <cellStyle name="Normal 185 3 2 2" xfId="15666"/>
    <cellStyle name="Normal 185 3 2 2 2" xfId="15667"/>
    <cellStyle name="Normal 185 3 2 3" xfId="15668"/>
    <cellStyle name="Normal 185 3 2 3 2" xfId="15669"/>
    <cellStyle name="Normal 185 3 2 3 2 2" xfId="15670"/>
    <cellStyle name="Normal 185 3 2 3 3" xfId="15671"/>
    <cellStyle name="Normal 185 3 2 4" xfId="15672"/>
    <cellStyle name="Normal 185 3 3" xfId="15673"/>
    <cellStyle name="Normal 185 3 3 2" xfId="15674"/>
    <cellStyle name="Normal 185 3 3 2 2" xfId="15675"/>
    <cellStyle name="Normal 185 3 3 3" xfId="15676"/>
    <cellStyle name="Normal 185 3 4" xfId="15677"/>
    <cellStyle name="Normal 185 3 4 2" xfId="15678"/>
    <cellStyle name="Normal 185 3 4 2 2" xfId="15679"/>
    <cellStyle name="Normal 185 3 4 3" xfId="15680"/>
    <cellStyle name="Normal 185 3 5" xfId="15681"/>
    <cellStyle name="Normal 185 3 5 2" xfId="15682"/>
    <cellStyle name="Normal 185 3 5 2 2" xfId="15683"/>
    <cellStyle name="Normal 185 3 5 3" xfId="15684"/>
    <cellStyle name="Normal 185 3 6" xfId="15685"/>
    <cellStyle name="Normal 185 4" xfId="15686"/>
    <cellStyle name="Normal 185 4 2" xfId="15687"/>
    <cellStyle name="Normal 185 4 2 2" xfId="15688"/>
    <cellStyle name="Normal 185 4 3" xfId="15689"/>
    <cellStyle name="Normal 185 5" xfId="15690"/>
    <cellStyle name="Normal 185 5 2" xfId="15691"/>
    <cellStyle name="Normal 185 5 2 2" xfId="15692"/>
    <cellStyle name="Normal 185 5 3" xfId="15693"/>
    <cellStyle name="Normal 185 6" xfId="15694"/>
    <cellStyle name="Normal 185 6 2" xfId="15695"/>
    <cellStyle name="Normal 185 6 2 2" xfId="15696"/>
    <cellStyle name="Normal 185 6 3" xfId="15697"/>
    <cellStyle name="Normal 185 7" xfId="15698"/>
    <cellStyle name="Normal 186" xfId="15699"/>
    <cellStyle name="Normal 186 2" xfId="15700"/>
    <cellStyle name="Normal 186 2 2" xfId="15701"/>
    <cellStyle name="Normal 186 2 2 2" xfId="15702"/>
    <cellStyle name="Normal 186 2 3" xfId="15703"/>
    <cellStyle name="Normal 186 2 3 2" xfId="15704"/>
    <cellStyle name="Normal 186 2 3 2 2" xfId="15705"/>
    <cellStyle name="Normal 186 2 3 3" xfId="15706"/>
    <cellStyle name="Normal 186 2 4" xfId="15707"/>
    <cellStyle name="Normal 186 2 4 2" xfId="15708"/>
    <cellStyle name="Normal 186 2 4 2 2" xfId="15709"/>
    <cellStyle name="Normal 186 2 4 3" xfId="15710"/>
    <cellStyle name="Normal 186 2 5" xfId="15711"/>
    <cellStyle name="Normal 186 3" xfId="15712"/>
    <cellStyle name="Normal 186 3 2" xfId="15713"/>
    <cellStyle name="Normal 186 3 2 2" xfId="15714"/>
    <cellStyle name="Normal 186 3 2 2 2" xfId="15715"/>
    <cellStyle name="Normal 186 3 2 3" xfId="15716"/>
    <cellStyle name="Normal 186 3 2 3 2" xfId="15717"/>
    <cellStyle name="Normal 186 3 2 3 2 2" xfId="15718"/>
    <cellStyle name="Normal 186 3 2 3 3" xfId="15719"/>
    <cellStyle name="Normal 186 3 2 4" xfId="15720"/>
    <cellStyle name="Normal 186 3 3" xfId="15721"/>
    <cellStyle name="Normal 186 3 3 2" xfId="15722"/>
    <cellStyle name="Normal 186 3 3 2 2" xfId="15723"/>
    <cellStyle name="Normal 186 3 3 3" xfId="15724"/>
    <cellStyle name="Normal 186 3 4" xfId="15725"/>
    <cellStyle name="Normal 186 3 4 2" xfId="15726"/>
    <cellStyle name="Normal 186 3 4 2 2" xfId="15727"/>
    <cellStyle name="Normal 186 3 4 3" xfId="15728"/>
    <cellStyle name="Normal 186 3 5" xfId="15729"/>
    <cellStyle name="Normal 186 3 5 2" xfId="15730"/>
    <cellStyle name="Normal 186 3 5 2 2" xfId="15731"/>
    <cellStyle name="Normal 186 3 5 3" xfId="15732"/>
    <cellStyle name="Normal 186 3 6" xfId="15733"/>
    <cellStyle name="Normal 186 4" xfId="15734"/>
    <cellStyle name="Normal 186 4 2" xfId="15735"/>
    <cellStyle name="Normal 186 4 2 2" xfId="15736"/>
    <cellStyle name="Normal 186 4 3" xfId="15737"/>
    <cellStyle name="Normal 186 5" xfId="15738"/>
    <cellStyle name="Normal 186 5 2" xfId="15739"/>
    <cellStyle name="Normal 186 5 2 2" xfId="15740"/>
    <cellStyle name="Normal 186 5 3" xfId="15741"/>
    <cellStyle name="Normal 186 6" xfId="15742"/>
    <cellStyle name="Normal 186 6 2" xfId="15743"/>
    <cellStyle name="Normal 186 6 2 2" xfId="15744"/>
    <cellStyle name="Normal 186 6 3" xfId="15745"/>
    <cellStyle name="Normal 186 7" xfId="15746"/>
    <cellStyle name="Normal 187" xfId="15747"/>
    <cellStyle name="Normal 187 2" xfId="15748"/>
    <cellStyle name="Normal 187 2 2" xfId="15749"/>
    <cellStyle name="Normal 187 2 2 2" xfId="15750"/>
    <cellStyle name="Normal 187 2 3" xfId="15751"/>
    <cellStyle name="Normal 187 2 3 2" xfId="15752"/>
    <cellStyle name="Normal 187 2 3 2 2" xfId="15753"/>
    <cellStyle name="Normal 187 2 3 3" xfId="15754"/>
    <cellStyle name="Normal 187 2 4" xfId="15755"/>
    <cellStyle name="Normal 187 2 4 2" xfId="15756"/>
    <cellStyle name="Normal 187 2 4 2 2" xfId="15757"/>
    <cellStyle name="Normal 187 2 4 3" xfId="15758"/>
    <cellStyle name="Normal 187 2 5" xfId="15759"/>
    <cellStyle name="Normal 187 3" xfId="15760"/>
    <cellStyle name="Normal 187 3 2" xfId="15761"/>
    <cellStyle name="Normal 187 3 2 2" xfId="15762"/>
    <cellStyle name="Normal 187 3 2 2 2" xfId="15763"/>
    <cellStyle name="Normal 187 3 2 3" xfId="15764"/>
    <cellStyle name="Normal 187 3 2 3 2" xfId="15765"/>
    <cellStyle name="Normal 187 3 2 3 2 2" xfId="15766"/>
    <cellStyle name="Normal 187 3 2 3 3" xfId="15767"/>
    <cellStyle name="Normal 187 3 2 4" xfId="15768"/>
    <cellStyle name="Normal 187 3 3" xfId="15769"/>
    <cellStyle name="Normal 187 3 3 2" xfId="15770"/>
    <cellStyle name="Normal 187 3 3 2 2" xfId="15771"/>
    <cellStyle name="Normal 187 3 3 3" xfId="15772"/>
    <cellStyle name="Normal 187 3 4" xfId="15773"/>
    <cellStyle name="Normal 187 3 4 2" xfId="15774"/>
    <cellStyle name="Normal 187 3 4 2 2" xfId="15775"/>
    <cellStyle name="Normal 187 3 4 3" xfId="15776"/>
    <cellStyle name="Normal 187 3 5" xfId="15777"/>
    <cellStyle name="Normal 187 3 5 2" xfId="15778"/>
    <cellStyle name="Normal 187 3 5 2 2" xfId="15779"/>
    <cellStyle name="Normal 187 3 5 3" xfId="15780"/>
    <cellStyle name="Normal 187 3 6" xfId="15781"/>
    <cellStyle name="Normal 187 4" xfId="15782"/>
    <cellStyle name="Normal 187 4 2" xfId="15783"/>
    <cellStyle name="Normal 187 4 2 2" xfId="15784"/>
    <cellStyle name="Normal 187 4 3" xfId="15785"/>
    <cellStyle name="Normal 187 5" xfId="15786"/>
    <cellStyle name="Normal 187 5 2" xfId="15787"/>
    <cellStyle name="Normal 187 5 2 2" xfId="15788"/>
    <cellStyle name="Normal 187 5 3" xfId="15789"/>
    <cellStyle name="Normal 187 6" xfId="15790"/>
    <cellStyle name="Normal 187 6 2" xfId="15791"/>
    <cellStyle name="Normal 187 6 2 2" xfId="15792"/>
    <cellStyle name="Normal 187 6 3" xfId="15793"/>
    <cellStyle name="Normal 187 7" xfId="15794"/>
    <cellStyle name="Normal 188" xfId="15795"/>
    <cellStyle name="Normal 188 2" xfId="15796"/>
    <cellStyle name="Normal 188 2 2" xfId="15797"/>
    <cellStyle name="Normal 188 2 2 2" xfId="15798"/>
    <cellStyle name="Normal 188 2 3" xfId="15799"/>
    <cellStyle name="Normal 188 2 3 2" xfId="15800"/>
    <cellStyle name="Normal 188 2 3 2 2" xfId="15801"/>
    <cellStyle name="Normal 188 2 3 3" xfId="15802"/>
    <cellStyle name="Normal 188 2 4" xfId="15803"/>
    <cellStyle name="Normal 188 2 4 2" xfId="15804"/>
    <cellStyle name="Normal 188 2 4 2 2" xfId="15805"/>
    <cellStyle name="Normal 188 2 4 3" xfId="15806"/>
    <cellStyle name="Normal 188 2 5" xfId="15807"/>
    <cellStyle name="Normal 188 3" xfId="15808"/>
    <cellStyle name="Normal 188 3 2" xfId="15809"/>
    <cellStyle name="Normal 188 3 2 2" xfId="15810"/>
    <cellStyle name="Normal 188 3 2 2 2" xfId="15811"/>
    <cellStyle name="Normal 188 3 2 3" xfId="15812"/>
    <cellStyle name="Normal 188 3 2 3 2" xfId="15813"/>
    <cellStyle name="Normal 188 3 2 3 2 2" xfId="15814"/>
    <cellStyle name="Normal 188 3 2 3 3" xfId="15815"/>
    <cellStyle name="Normal 188 3 2 4" xfId="15816"/>
    <cellStyle name="Normal 188 3 3" xfId="15817"/>
    <cellStyle name="Normal 188 3 3 2" xfId="15818"/>
    <cellStyle name="Normal 188 3 3 2 2" xfId="15819"/>
    <cellStyle name="Normal 188 3 3 3" xfId="15820"/>
    <cellStyle name="Normal 188 3 4" xfId="15821"/>
    <cellStyle name="Normal 188 3 4 2" xfId="15822"/>
    <cellStyle name="Normal 188 3 4 2 2" xfId="15823"/>
    <cellStyle name="Normal 188 3 4 3" xfId="15824"/>
    <cellStyle name="Normal 188 3 5" xfId="15825"/>
    <cellStyle name="Normal 188 3 5 2" xfId="15826"/>
    <cellStyle name="Normal 188 3 5 2 2" xfId="15827"/>
    <cellStyle name="Normal 188 3 5 3" xfId="15828"/>
    <cellStyle name="Normal 188 3 6" xfId="15829"/>
    <cellStyle name="Normal 188 4" xfId="15830"/>
    <cellStyle name="Normal 188 4 2" xfId="15831"/>
    <cellStyle name="Normal 188 4 2 2" xfId="15832"/>
    <cellStyle name="Normal 188 4 3" xfId="15833"/>
    <cellStyle name="Normal 188 5" xfId="15834"/>
    <cellStyle name="Normal 188 5 2" xfId="15835"/>
    <cellStyle name="Normal 188 5 2 2" xfId="15836"/>
    <cellStyle name="Normal 188 5 3" xfId="15837"/>
    <cellStyle name="Normal 188 6" xfId="15838"/>
    <cellStyle name="Normal 188 6 2" xfId="15839"/>
    <cellStyle name="Normal 188 6 2 2" xfId="15840"/>
    <cellStyle name="Normal 188 6 3" xfId="15841"/>
    <cellStyle name="Normal 188 7" xfId="15842"/>
    <cellStyle name="Normal 189" xfId="15843"/>
    <cellStyle name="Normal 189 2" xfId="15844"/>
    <cellStyle name="Normal 189 2 2" xfId="15845"/>
    <cellStyle name="Normal 189 2 2 2" xfId="15846"/>
    <cellStyle name="Normal 189 2 3" xfId="15847"/>
    <cellStyle name="Normal 189 2 3 2" xfId="15848"/>
    <cellStyle name="Normal 189 2 3 2 2" xfId="15849"/>
    <cellStyle name="Normal 189 2 3 3" xfId="15850"/>
    <cellStyle name="Normal 189 2 4" xfId="15851"/>
    <cellStyle name="Normal 189 2 4 2" xfId="15852"/>
    <cellStyle name="Normal 189 2 4 2 2" xfId="15853"/>
    <cellStyle name="Normal 189 2 4 3" xfId="15854"/>
    <cellStyle name="Normal 189 2 5" xfId="15855"/>
    <cellStyle name="Normal 189 3" xfId="15856"/>
    <cellStyle name="Normal 189 3 2" xfId="15857"/>
    <cellStyle name="Normal 189 3 2 2" xfId="15858"/>
    <cellStyle name="Normal 189 3 2 2 2" xfId="15859"/>
    <cellStyle name="Normal 189 3 2 3" xfId="15860"/>
    <cellStyle name="Normal 189 3 2 3 2" xfId="15861"/>
    <cellStyle name="Normal 189 3 2 3 2 2" xfId="15862"/>
    <cellStyle name="Normal 189 3 2 3 3" xfId="15863"/>
    <cellStyle name="Normal 189 3 2 4" xfId="15864"/>
    <cellStyle name="Normal 189 3 3" xfId="15865"/>
    <cellStyle name="Normal 189 3 3 2" xfId="15866"/>
    <cellStyle name="Normal 189 3 3 2 2" xfId="15867"/>
    <cellStyle name="Normal 189 3 3 3" xfId="15868"/>
    <cellStyle name="Normal 189 3 4" xfId="15869"/>
    <cellStyle name="Normal 189 3 4 2" xfId="15870"/>
    <cellStyle name="Normal 189 3 4 2 2" xfId="15871"/>
    <cellStyle name="Normal 189 3 4 3" xfId="15872"/>
    <cellStyle name="Normal 189 3 5" xfId="15873"/>
    <cellStyle name="Normal 189 3 5 2" xfId="15874"/>
    <cellStyle name="Normal 189 3 5 2 2" xfId="15875"/>
    <cellStyle name="Normal 189 3 5 3" xfId="15876"/>
    <cellStyle name="Normal 189 3 6" xfId="15877"/>
    <cellStyle name="Normal 189 4" xfId="15878"/>
    <cellStyle name="Normal 189 4 2" xfId="15879"/>
    <cellStyle name="Normal 189 4 2 2" xfId="15880"/>
    <cellStyle name="Normal 189 4 3" xfId="15881"/>
    <cellStyle name="Normal 189 5" xfId="15882"/>
    <cellStyle name="Normal 189 5 2" xfId="15883"/>
    <cellStyle name="Normal 189 5 2 2" xfId="15884"/>
    <cellStyle name="Normal 189 5 3" xfId="15885"/>
    <cellStyle name="Normal 189 6" xfId="15886"/>
    <cellStyle name="Normal 189 6 2" xfId="15887"/>
    <cellStyle name="Normal 189 6 2 2" xfId="15888"/>
    <cellStyle name="Normal 189 6 3" xfId="15889"/>
    <cellStyle name="Normal 189 7" xfId="15890"/>
    <cellStyle name="Normal 19" xfId="15891"/>
    <cellStyle name="Normal 19 2" xfId="15892"/>
    <cellStyle name="Normal 19 2 2" xfId="15893"/>
    <cellStyle name="Normal 19 2 2 2" xfId="15894"/>
    <cellStyle name="Normal 19 2 2 2 2" xfId="15895"/>
    <cellStyle name="Normal 19 2 2 3" xfId="15896"/>
    <cellStyle name="Normal 19 2 2 3 2" xfId="15897"/>
    <cellStyle name="Normal 19 2 2 3 2 2" xfId="15898"/>
    <cellStyle name="Normal 19 2 2 3 3" xfId="15899"/>
    <cellStyle name="Normal 19 2 2 4" xfId="15900"/>
    <cellStyle name="Normal 19 2 2 4 2" xfId="15901"/>
    <cellStyle name="Normal 19 2 2 4 2 2" xfId="15902"/>
    <cellStyle name="Normal 19 2 2 4 3" xfId="15903"/>
    <cellStyle name="Normal 19 2 2 5" xfId="15904"/>
    <cellStyle name="Normal 19 2 3" xfId="15905"/>
    <cellStyle name="Normal 19 2 3 2" xfId="15906"/>
    <cellStyle name="Normal 19 2 3 2 2" xfId="15907"/>
    <cellStyle name="Normal 19 2 3 3" xfId="15908"/>
    <cellStyle name="Normal 19 2 4" xfId="15909"/>
    <cellStyle name="Normal 19 2 4 2" xfId="15910"/>
    <cellStyle name="Normal 19 2 4 2 2" xfId="15911"/>
    <cellStyle name="Normal 19 2 4 3" xfId="15912"/>
    <cellStyle name="Normal 19 2 5" xfId="15913"/>
    <cellStyle name="Normal 19 2 5 2" xfId="15914"/>
    <cellStyle name="Normal 19 2 5 2 2" xfId="15915"/>
    <cellStyle name="Normal 19 2 5 3" xfId="15916"/>
    <cellStyle name="Normal 19 2 6" xfId="15917"/>
    <cellStyle name="Normal 19 3" xfId="15918"/>
    <cellStyle name="Normal 19 3 2" xfId="15919"/>
    <cellStyle name="Normal 19 3 2 2" xfId="15920"/>
    <cellStyle name="Normal 19 3 3" xfId="15921"/>
    <cellStyle name="Normal 19 3 3 2" xfId="15922"/>
    <cellStyle name="Normal 19 3 3 2 2" xfId="15923"/>
    <cellStyle name="Normal 19 3 3 3" xfId="15924"/>
    <cellStyle name="Normal 19 3 4" xfId="15925"/>
    <cellStyle name="Normal 19 3 4 2" xfId="15926"/>
    <cellStyle name="Normal 19 3 4 2 2" xfId="15927"/>
    <cellStyle name="Normal 19 3 4 3" xfId="15928"/>
    <cellStyle name="Normal 19 3 5" xfId="15929"/>
    <cellStyle name="Normal 19 4" xfId="15930"/>
    <cellStyle name="Normal 19 4 2" xfId="15931"/>
    <cellStyle name="Normal 19 4 2 2" xfId="15932"/>
    <cellStyle name="Normal 19 4 2 2 2" xfId="15933"/>
    <cellStyle name="Normal 19 4 2 3" xfId="15934"/>
    <cellStyle name="Normal 19 4 2 3 2" xfId="15935"/>
    <cellStyle name="Normal 19 4 2 3 2 2" xfId="15936"/>
    <cellStyle name="Normal 19 4 2 3 3" xfId="15937"/>
    <cellStyle name="Normal 19 4 2 4" xfId="15938"/>
    <cellStyle name="Normal 19 4 3" xfId="15939"/>
    <cellStyle name="Normal 19 4 3 2" xfId="15940"/>
    <cellStyle name="Normal 19 4 3 2 2" xfId="15941"/>
    <cellStyle name="Normal 19 4 3 3" xfId="15942"/>
    <cellStyle name="Normal 19 4 4" xfId="15943"/>
    <cellStyle name="Normal 19 4 4 2" xfId="15944"/>
    <cellStyle name="Normal 19 4 4 2 2" xfId="15945"/>
    <cellStyle name="Normal 19 4 4 3" xfId="15946"/>
    <cellStyle name="Normal 19 4 5" xfId="15947"/>
    <cellStyle name="Normal 19 4 5 2" xfId="15948"/>
    <cellStyle name="Normal 19 4 5 2 2" xfId="15949"/>
    <cellStyle name="Normal 19 4 5 3" xfId="15950"/>
    <cellStyle name="Normal 19 4 6" xfId="15951"/>
    <cellStyle name="Normal 19 5" xfId="15952"/>
    <cellStyle name="Normal 190" xfId="15953"/>
    <cellStyle name="Normal 190 2" xfId="15954"/>
    <cellStyle name="Normal 190 2 2" xfId="15955"/>
    <cellStyle name="Normal 190 2 2 2" xfId="15956"/>
    <cellStyle name="Normal 190 2 3" xfId="15957"/>
    <cellStyle name="Normal 190 2 3 2" xfId="15958"/>
    <cellStyle name="Normal 190 2 3 2 2" xfId="15959"/>
    <cellStyle name="Normal 190 2 3 3" xfId="15960"/>
    <cellStyle name="Normal 190 2 4" xfId="15961"/>
    <cellStyle name="Normal 190 2 4 2" xfId="15962"/>
    <cellStyle name="Normal 190 2 4 2 2" xfId="15963"/>
    <cellStyle name="Normal 190 2 4 3" xfId="15964"/>
    <cellStyle name="Normal 190 2 5" xfId="15965"/>
    <cellStyle name="Normal 190 3" xfId="15966"/>
    <cellStyle name="Normal 190 3 2" xfId="15967"/>
    <cellStyle name="Normal 190 3 2 2" xfId="15968"/>
    <cellStyle name="Normal 190 3 2 2 2" xfId="15969"/>
    <cellStyle name="Normal 190 3 2 3" xfId="15970"/>
    <cellStyle name="Normal 190 3 2 3 2" xfId="15971"/>
    <cellStyle name="Normal 190 3 2 3 2 2" xfId="15972"/>
    <cellStyle name="Normal 190 3 2 3 3" xfId="15973"/>
    <cellStyle name="Normal 190 3 2 4" xfId="15974"/>
    <cellStyle name="Normal 190 3 3" xfId="15975"/>
    <cellStyle name="Normal 190 3 3 2" xfId="15976"/>
    <cellStyle name="Normal 190 3 3 2 2" xfId="15977"/>
    <cellStyle name="Normal 190 3 3 3" xfId="15978"/>
    <cellStyle name="Normal 190 3 4" xfId="15979"/>
    <cellStyle name="Normal 190 3 4 2" xfId="15980"/>
    <cellStyle name="Normal 190 3 4 2 2" xfId="15981"/>
    <cellStyle name="Normal 190 3 4 3" xfId="15982"/>
    <cellStyle name="Normal 190 3 5" xfId="15983"/>
    <cellStyle name="Normal 190 3 5 2" xfId="15984"/>
    <cellStyle name="Normal 190 3 5 2 2" xfId="15985"/>
    <cellStyle name="Normal 190 3 5 3" xfId="15986"/>
    <cellStyle name="Normal 190 3 6" xfId="15987"/>
    <cellStyle name="Normal 190 4" xfId="15988"/>
    <cellStyle name="Normal 190 4 2" xfId="15989"/>
    <cellStyle name="Normal 190 4 2 2" xfId="15990"/>
    <cellStyle name="Normal 190 4 3" xfId="15991"/>
    <cellStyle name="Normal 190 5" xfId="15992"/>
    <cellStyle name="Normal 190 5 2" xfId="15993"/>
    <cellStyle name="Normal 190 5 2 2" xfId="15994"/>
    <cellStyle name="Normal 190 5 3" xfId="15995"/>
    <cellStyle name="Normal 190 6" xfId="15996"/>
    <cellStyle name="Normal 190 6 2" xfId="15997"/>
    <cellStyle name="Normal 190 6 2 2" xfId="15998"/>
    <cellStyle name="Normal 190 6 3" xfId="15999"/>
    <cellStyle name="Normal 190 7" xfId="16000"/>
    <cellStyle name="Normal 191" xfId="16001"/>
    <cellStyle name="Normal 191 2" xfId="16002"/>
    <cellStyle name="Normal 191 2 2" xfId="16003"/>
    <cellStyle name="Normal 191 2 2 2" xfId="16004"/>
    <cellStyle name="Normal 191 2 3" xfId="16005"/>
    <cellStyle name="Normal 191 2 3 2" xfId="16006"/>
    <cellStyle name="Normal 191 2 3 2 2" xfId="16007"/>
    <cellStyle name="Normal 191 2 3 3" xfId="16008"/>
    <cellStyle name="Normal 191 2 4" xfId="16009"/>
    <cellStyle name="Normal 191 2 4 2" xfId="16010"/>
    <cellStyle name="Normal 191 2 4 2 2" xfId="16011"/>
    <cellStyle name="Normal 191 2 4 3" xfId="16012"/>
    <cellStyle name="Normal 191 2 5" xfId="16013"/>
    <cellStyle name="Normal 191 3" xfId="16014"/>
    <cellStyle name="Normal 191 3 2" xfId="16015"/>
    <cellStyle name="Normal 191 3 2 2" xfId="16016"/>
    <cellStyle name="Normal 191 3 2 2 2" xfId="16017"/>
    <cellStyle name="Normal 191 3 2 3" xfId="16018"/>
    <cellStyle name="Normal 191 3 2 3 2" xfId="16019"/>
    <cellStyle name="Normal 191 3 2 3 2 2" xfId="16020"/>
    <cellStyle name="Normal 191 3 2 3 3" xfId="16021"/>
    <cellStyle name="Normal 191 3 2 4" xfId="16022"/>
    <cellStyle name="Normal 191 3 3" xfId="16023"/>
    <cellStyle name="Normal 191 3 3 2" xfId="16024"/>
    <cellStyle name="Normal 191 3 3 2 2" xfId="16025"/>
    <cellStyle name="Normal 191 3 3 3" xfId="16026"/>
    <cellStyle name="Normal 191 3 4" xfId="16027"/>
    <cellStyle name="Normal 191 3 4 2" xfId="16028"/>
    <cellStyle name="Normal 191 3 4 2 2" xfId="16029"/>
    <cellStyle name="Normal 191 3 4 3" xfId="16030"/>
    <cellStyle name="Normal 191 3 5" xfId="16031"/>
    <cellStyle name="Normal 191 3 5 2" xfId="16032"/>
    <cellStyle name="Normal 191 3 5 2 2" xfId="16033"/>
    <cellStyle name="Normal 191 3 5 3" xfId="16034"/>
    <cellStyle name="Normal 191 3 6" xfId="16035"/>
    <cellStyle name="Normal 191 4" xfId="16036"/>
    <cellStyle name="Normal 191 4 2" xfId="16037"/>
    <cellStyle name="Normal 191 4 2 2" xfId="16038"/>
    <cellStyle name="Normal 191 4 3" xfId="16039"/>
    <cellStyle name="Normal 191 5" xfId="16040"/>
    <cellStyle name="Normal 191 5 2" xfId="16041"/>
    <cellStyle name="Normal 191 5 2 2" xfId="16042"/>
    <cellStyle name="Normal 191 5 3" xfId="16043"/>
    <cellStyle name="Normal 191 6" xfId="16044"/>
    <cellStyle name="Normal 191 6 2" xfId="16045"/>
    <cellStyle name="Normal 191 6 2 2" xfId="16046"/>
    <cellStyle name="Normal 191 6 3" xfId="16047"/>
    <cellStyle name="Normal 191 7" xfId="16048"/>
    <cellStyle name="Normal 192" xfId="16049"/>
    <cellStyle name="Normal 192 2" xfId="16050"/>
    <cellStyle name="Normal 192 2 2" xfId="16051"/>
    <cellStyle name="Normal 192 2 2 2" xfId="16052"/>
    <cellStyle name="Normal 192 2 2 2 2" xfId="16053"/>
    <cellStyle name="Normal 192 2 2 3" xfId="16054"/>
    <cellStyle name="Normal 192 2 2 3 2" xfId="16055"/>
    <cellStyle name="Normal 192 2 2 3 2 2" xfId="16056"/>
    <cellStyle name="Normal 192 2 2 3 3" xfId="16057"/>
    <cellStyle name="Normal 192 2 2 4" xfId="16058"/>
    <cellStyle name="Normal 192 2 2 4 2" xfId="16059"/>
    <cellStyle name="Normal 192 2 2 4 2 2" xfId="16060"/>
    <cellStyle name="Normal 192 2 2 4 3" xfId="16061"/>
    <cellStyle name="Normal 192 2 2 5" xfId="16062"/>
    <cellStyle name="Normal 192 2 3" xfId="16063"/>
    <cellStyle name="Normal 192 2 3 2" xfId="16064"/>
    <cellStyle name="Normal 192 2 3 2 2" xfId="16065"/>
    <cellStyle name="Normal 192 2 3 2 2 2" xfId="16066"/>
    <cellStyle name="Normal 192 2 3 2 3" xfId="16067"/>
    <cellStyle name="Normal 192 2 3 2 3 2" xfId="16068"/>
    <cellStyle name="Normal 192 2 3 2 3 2 2" xfId="16069"/>
    <cellStyle name="Normal 192 2 3 2 3 3" xfId="16070"/>
    <cellStyle name="Normal 192 2 3 2 4" xfId="16071"/>
    <cellStyle name="Normal 192 2 3 3" xfId="16072"/>
    <cellStyle name="Normal 192 2 3 3 2" xfId="16073"/>
    <cellStyle name="Normal 192 2 3 3 2 2" xfId="16074"/>
    <cellStyle name="Normal 192 2 3 3 3" xfId="16075"/>
    <cellStyle name="Normal 192 2 3 4" xfId="16076"/>
    <cellStyle name="Normal 192 2 3 4 2" xfId="16077"/>
    <cellStyle name="Normal 192 2 3 4 2 2" xfId="16078"/>
    <cellStyle name="Normal 192 2 3 4 3" xfId="16079"/>
    <cellStyle name="Normal 192 2 3 5" xfId="16080"/>
    <cellStyle name="Normal 192 2 3 5 2" xfId="16081"/>
    <cellStyle name="Normal 192 2 3 5 2 2" xfId="16082"/>
    <cellStyle name="Normal 192 2 3 5 3" xfId="16083"/>
    <cellStyle name="Normal 192 2 3 6" xfId="16084"/>
    <cellStyle name="Normal 192 2 4" xfId="16085"/>
    <cellStyle name="Normal 192 2 4 2" xfId="16086"/>
    <cellStyle name="Normal 192 2 4 2 2" xfId="16087"/>
    <cellStyle name="Normal 192 2 4 3" xfId="16088"/>
    <cellStyle name="Normal 192 2 5" xfId="16089"/>
    <cellStyle name="Normal 192 2 5 2" xfId="16090"/>
    <cellStyle name="Normal 192 2 5 2 2" xfId="16091"/>
    <cellStyle name="Normal 192 2 5 3" xfId="16092"/>
    <cellStyle name="Normal 192 2 6" xfId="16093"/>
    <cellStyle name="Normal 192 2 6 2" xfId="16094"/>
    <cellStyle name="Normal 192 2 6 2 2" xfId="16095"/>
    <cellStyle name="Normal 192 2 6 3" xfId="16096"/>
    <cellStyle name="Normal 192 2 7" xfId="16097"/>
    <cellStyle name="Normal 192 3" xfId="16098"/>
    <cellStyle name="Normal 192 3 2" xfId="16099"/>
    <cellStyle name="Normal 192 3 2 2" xfId="16100"/>
    <cellStyle name="Normal 192 3 3" xfId="16101"/>
    <cellStyle name="Normal 192 3 3 2" xfId="16102"/>
    <cellStyle name="Normal 192 3 3 2 2" xfId="16103"/>
    <cellStyle name="Normal 192 3 3 3" xfId="16104"/>
    <cellStyle name="Normal 192 3 4" xfId="16105"/>
    <cellStyle name="Normal 192 3 4 2" xfId="16106"/>
    <cellStyle name="Normal 192 3 4 2 2" xfId="16107"/>
    <cellStyle name="Normal 192 3 4 3" xfId="16108"/>
    <cellStyle name="Normal 192 3 5" xfId="16109"/>
    <cellStyle name="Normal 192 4" xfId="16110"/>
    <cellStyle name="Normal 192 4 2" xfId="16111"/>
    <cellStyle name="Normal 192 4 2 2" xfId="16112"/>
    <cellStyle name="Normal 192 4 2 2 2" xfId="16113"/>
    <cellStyle name="Normal 192 4 2 3" xfId="16114"/>
    <cellStyle name="Normal 192 4 2 3 2" xfId="16115"/>
    <cellStyle name="Normal 192 4 2 3 2 2" xfId="16116"/>
    <cellStyle name="Normal 192 4 2 3 3" xfId="16117"/>
    <cellStyle name="Normal 192 4 2 4" xfId="16118"/>
    <cellStyle name="Normal 192 4 3" xfId="16119"/>
    <cellStyle name="Normal 192 4 3 2" xfId="16120"/>
    <cellStyle name="Normal 192 4 3 2 2" xfId="16121"/>
    <cellStyle name="Normal 192 4 3 3" xfId="16122"/>
    <cellStyle name="Normal 192 4 4" xfId="16123"/>
    <cellStyle name="Normal 192 4 4 2" xfId="16124"/>
    <cellStyle name="Normal 192 4 4 2 2" xfId="16125"/>
    <cellStyle name="Normal 192 4 4 3" xfId="16126"/>
    <cellStyle name="Normal 192 4 5" xfId="16127"/>
    <cellStyle name="Normal 192 4 5 2" xfId="16128"/>
    <cellStyle name="Normal 192 4 5 2 2" xfId="16129"/>
    <cellStyle name="Normal 192 4 5 3" xfId="16130"/>
    <cellStyle name="Normal 192 4 6" xfId="16131"/>
    <cellStyle name="Normal 192 5" xfId="16132"/>
    <cellStyle name="Normal 192 5 2" xfId="16133"/>
    <cellStyle name="Normal 192 5 2 2" xfId="16134"/>
    <cellStyle name="Normal 192 5 3" xfId="16135"/>
    <cellStyle name="Normal 192 6" xfId="16136"/>
    <cellStyle name="Normal 192 6 2" xfId="16137"/>
    <cellStyle name="Normal 192 6 2 2" xfId="16138"/>
    <cellStyle name="Normal 192 6 3" xfId="16139"/>
    <cellStyle name="Normal 192 7" xfId="16140"/>
    <cellStyle name="Normal 192 7 2" xfId="16141"/>
    <cellStyle name="Normal 192 7 2 2" xfId="16142"/>
    <cellStyle name="Normal 192 7 3" xfId="16143"/>
    <cellStyle name="Normal 192 8" xfId="16144"/>
    <cellStyle name="Normal 193" xfId="16145"/>
    <cellStyle name="Normal 193 2" xfId="16146"/>
    <cellStyle name="Normal 193 2 2" xfId="16147"/>
    <cellStyle name="Normal 193 2 2 2" xfId="16148"/>
    <cellStyle name="Normal 193 2 2 2 2" xfId="16149"/>
    <cellStyle name="Normal 193 2 2 3" xfId="16150"/>
    <cellStyle name="Normal 193 2 2 3 2" xfId="16151"/>
    <cellStyle name="Normal 193 2 2 3 2 2" xfId="16152"/>
    <cellStyle name="Normal 193 2 2 3 3" xfId="16153"/>
    <cellStyle name="Normal 193 2 2 4" xfId="16154"/>
    <cellStyle name="Normal 193 2 2 4 2" xfId="16155"/>
    <cellStyle name="Normal 193 2 2 4 2 2" xfId="16156"/>
    <cellStyle name="Normal 193 2 2 4 3" xfId="16157"/>
    <cellStyle name="Normal 193 2 2 5" xfId="16158"/>
    <cellStyle name="Normal 193 2 3" xfId="16159"/>
    <cellStyle name="Normal 193 2 3 2" xfId="16160"/>
    <cellStyle name="Normal 193 2 3 2 2" xfId="16161"/>
    <cellStyle name="Normal 193 2 3 2 2 2" xfId="16162"/>
    <cellStyle name="Normal 193 2 3 2 3" xfId="16163"/>
    <cellStyle name="Normal 193 2 3 2 3 2" xfId="16164"/>
    <cellStyle name="Normal 193 2 3 2 3 2 2" xfId="16165"/>
    <cellStyle name="Normal 193 2 3 2 3 3" xfId="16166"/>
    <cellStyle name="Normal 193 2 3 2 4" xfId="16167"/>
    <cellStyle name="Normal 193 2 3 3" xfId="16168"/>
    <cellStyle name="Normal 193 2 3 3 2" xfId="16169"/>
    <cellStyle name="Normal 193 2 3 3 2 2" xfId="16170"/>
    <cellStyle name="Normal 193 2 3 3 3" xfId="16171"/>
    <cellStyle name="Normal 193 2 3 4" xfId="16172"/>
    <cellStyle name="Normal 193 2 3 4 2" xfId="16173"/>
    <cellStyle name="Normal 193 2 3 4 2 2" xfId="16174"/>
    <cellStyle name="Normal 193 2 3 4 3" xfId="16175"/>
    <cellStyle name="Normal 193 2 3 5" xfId="16176"/>
    <cellStyle name="Normal 193 2 3 5 2" xfId="16177"/>
    <cellStyle name="Normal 193 2 3 5 2 2" xfId="16178"/>
    <cellStyle name="Normal 193 2 3 5 3" xfId="16179"/>
    <cellStyle name="Normal 193 2 3 6" xfId="16180"/>
    <cellStyle name="Normal 193 2 4" xfId="16181"/>
    <cellStyle name="Normal 193 2 4 2" xfId="16182"/>
    <cellStyle name="Normal 193 2 4 2 2" xfId="16183"/>
    <cellStyle name="Normal 193 2 4 3" xfId="16184"/>
    <cellStyle name="Normal 193 2 5" xfId="16185"/>
    <cellStyle name="Normal 193 2 5 2" xfId="16186"/>
    <cellStyle name="Normal 193 2 5 2 2" xfId="16187"/>
    <cellStyle name="Normal 193 2 5 3" xfId="16188"/>
    <cellStyle name="Normal 193 2 6" xfId="16189"/>
    <cellStyle name="Normal 193 2 6 2" xfId="16190"/>
    <cellStyle name="Normal 193 2 6 2 2" xfId="16191"/>
    <cellStyle name="Normal 193 2 6 3" xfId="16192"/>
    <cellStyle name="Normal 193 2 7" xfId="16193"/>
    <cellStyle name="Normal 193 3" xfId="16194"/>
    <cellStyle name="Normal 193 3 2" xfId="16195"/>
    <cellStyle name="Normal 193 3 2 2" xfId="16196"/>
    <cellStyle name="Normal 193 3 3" xfId="16197"/>
    <cellStyle name="Normal 193 3 3 2" xfId="16198"/>
    <cellStyle name="Normal 193 3 3 2 2" xfId="16199"/>
    <cellStyle name="Normal 193 3 3 3" xfId="16200"/>
    <cellStyle name="Normal 193 3 4" xfId="16201"/>
    <cellStyle name="Normal 193 3 4 2" xfId="16202"/>
    <cellStyle name="Normal 193 3 4 2 2" xfId="16203"/>
    <cellStyle name="Normal 193 3 4 3" xfId="16204"/>
    <cellStyle name="Normal 193 3 5" xfId="16205"/>
    <cellStyle name="Normal 193 4" xfId="16206"/>
    <cellStyle name="Normal 193 4 2" xfId="16207"/>
    <cellStyle name="Normal 193 4 2 2" xfId="16208"/>
    <cellStyle name="Normal 193 4 2 2 2" xfId="16209"/>
    <cellStyle name="Normal 193 4 2 3" xfId="16210"/>
    <cellStyle name="Normal 193 4 2 3 2" xfId="16211"/>
    <cellStyle name="Normal 193 4 2 3 2 2" xfId="16212"/>
    <cellStyle name="Normal 193 4 2 3 3" xfId="16213"/>
    <cellStyle name="Normal 193 4 2 4" xfId="16214"/>
    <cellStyle name="Normal 193 4 3" xfId="16215"/>
    <cellStyle name="Normal 193 4 3 2" xfId="16216"/>
    <cellStyle name="Normal 193 4 3 2 2" xfId="16217"/>
    <cellStyle name="Normal 193 4 3 3" xfId="16218"/>
    <cellStyle name="Normal 193 4 4" xfId="16219"/>
    <cellStyle name="Normal 193 4 4 2" xfId="16220"/>
    <cellStyle name="Normal 193 4 4 2 2" xfId="16221"/>
    <cellStyle name="Normal 193 4 4 3" xfId="16222"/>
    <cellStyle name="Normal 193 4 5" xfId="16223"/>
    <cellStyle name="Normal 193 4 5 2" xfId="16224"/>
    <cellStyle name="Normal 193 4 5 2 2" xfId="16225"/>
    <cellStyle name="Normal 193 4 5 3" xfId="16226"/>
    <cellStyle name="Normal 193 4 6" xfId="16227"/>
    <cellStyle name="Normal 193 5" xfId="16228"/>
    <cellStyle name="Normal 193 5 2" xfId="16229"/>
    <cellStyle name="Normal 193 5 2 2" xfId="16230"/>
    <cellStyle name="Normal 193 5 3" xfId="16231"/>
    <cellStyle name="Normal 193 6" xfId="16232"/>
    <cellStyle name="Normal 193 6 2" xfId="16233"/>
    <cellStyle name="Normal 193 6 2 2" xfId="16234"/>
    <cellStyle name="Normal 193 6 3" xfId="16235"/>
    <cellStyle name="Normal 193 7" xfId="16236"/>
    <cellStyle name="Normal 193 7 2" xfId="16237"/>
    <cellStyle name="Normal 193 7 2 2" xfId="16238"/>
    <cellStyle name="Normal 193 7 3" xfId="16239"/>
    <cellStyle name="Normal 193 8" xfId="16240"/>
    <cellStyle name="Normal 194" xfId="16241"/>
    <cellStyle name="Normal 194 2" xfId="16242"/>
    <cellStyle name="Normal 194 2 2" xfId="16243"/>
    <cellStyle name="Normal 194 2 2 2" xfId="16244"/>
    <cellStyle name="Normal 194 2 2 2 2" xfId="16245"/>
    <cellStyle name="Normal 194 2 2 3" xfId="16246"/>
    <cellStyle name="Normal 194 2 2 3 2" xfId="16247"/>
    <cellStyle name="Normal 194 2 2 3 2 2" xfId="16248"/>
    <cellStyle name="Normal 194 2 2 3 3" xfId="16249"/>
    <cellStyle name="Normal 194 2 2 4" xfId="16250"/>
    <cellStyle name="Normal 194 2 2 4 2" xfId="16251"/>
    <cellStyle name="Normal 194 2 2 4 2 2" xfId="16252"/>
    <cellStyle name="Normal 194 2 2 4 3" xfId="16253"/>
    <cellStyle name="Normal 194 2 2 5" xfId="16254"/>
    <cellStyle name="Normal 194 2 3" xfId="16255"/>
    <cellStyle name="Normal 194 2 3 2" xfId="16256"/>
    <cellStyle name="Normal 194 2 3 2 2" xfId="16257"/>
    <cellStyle name="Normal 194 2 3 2 2 2" xfId="16258"/>
    <cellStyle name="Normal 194 2 3 2 3" xfId="16259"/>
    <cellStyle name="Normal 194 2 3 2 3 2" xfId="16260"/>
    <cellStyle name="Normal 194 2 3 2 3 2 2" xfId="16261"/>
    <cellStyle name="Normal 194 2 3 2 3 3" xfId="16262"/>
    <cellStyle name="Normal 194 2 3 2 4" xfId="16263"/>
    <cellStyle name="Normal 194 2 3 3" xfId="16264"/>
    <cellStyle name="Normal 194 2 3 3 2" xfId="16265"/>
    <cellStyle name="Normal 194 2 3 3 2 2" xfId="16266"/>
    <cellStyle name="Normal 194 2 3 3 3" xfId="16267"/>
    <cellStyle name="Normal 194 2 3 4" xfId="16268"/>
    <cellStyle name="Normal 194 2 3 4 2" xfId="16269"/>
    <cellStyle name="Normal 194 2 3 4 2 2" xfId="16270"/>
    <cellStyle name="Normal 194 2 3 4 3" xfId="16271"/>
    <cellStyle name="Normal 194 2 3 5" xfId="16272"/>
    <cellStyle name="Normal 194 2 3 5 2" xfId="16273"/>
    <cellStyle name="Normal 194 2 3 5 2 2" xfId="16274"/>
    <cellStyle name="Normal 194 2 3 5 3" xfId="16275"/>
    <cellStyle name="Normal 194 2 3 6" xfId="16276"/>
    <cellStyle name="Normal 194 2 4" xfId="16277"/>
    <cellStyle name="Normal 194 2 4 2" xfId="16278"/>
    <cellStyle name="Normal 194 2 4 2 2" xfId="16279"/>
    <cellStyle name="Normal 194 2 4 3" xfId="16280"/>
    <cellStyle name="Normal 194 2 5" xfId="16281"/>
    <cellStyle name="Normal 194 2 5 2" xfId="16282"/>
    <cellStyle name="Normal 194 2 5 2 2" xfId="16283"/>
    <cellStyle name="Normal 194 2 5 3" xfId="16284"/>
    <cellStyle name="Normal 194 2 6" xfId="16285"/>
    <cellStyle name="Normal 194 2 6 2" xfId="16286"/>
    <cellStyle name="Normal 194 2 6 2 2" xfId="16287"/>
    <cellStyle name="Normal 194 2 6 3" xfId="16288"/>
    <cellStyle name="Normal 194 2 7" xfId="16289"/>
    <cellStyle name="Normal 194 3" xfId="16290"/>
    <cellStyle name="Normal 194 3 2" xfId="16291"/>
    <cellStyle name="Normal 194 3 2 2" xfId="16292"/>
    <cellStyle name="Normal 194 3 3" xfId="16293"/>
    <cellStyle name="Normal 194 3 3 2" xfId="16294"/>
    <cellStyle name="Normal 194 3 3 2 2" xfId="16295"/>
    <cellStyle name="Normal 194 3 3 3" xfId="16296"/>
    <cellStyle name="Normal 194 3 4" xfId="16297"/>
    <cellStyle name="Normal 194 3 4 2" xfId="16298"/>
    <cellStyle name="Normal 194 3 4 2 2" xfId="16299"/>
    <cellStyle name="Normal 194 3 4 3" xfId="16300"/>
    <cellStyle name="Normal 194 3 5" xfId="16301"/>
    <cellStyle name="Normal 194 4" xfId="16302"/>
    <cellStyle name="Normal 194 4 2" xfId="16303"/>
    <cellStyle name="Normal 194 4 2 2" xfId="16304"/>
    <cellStyle name="Normal 194 4 2 2 2" xfId="16305"/>
    <cellStyle name="Normal 194 4 2 3" xfId="16306"/>
    <cellStyle name="Normal 194 4 2 3 2" xfId="16307"/>
    <cellStyle name="Normal 194 4 2 3 2 2" xfId="16308"/>
    <cellStyle name="Normal 194 4 2 3 3" xfId="16309"/>
    <cellStyle name="Normal 194 4 2 4" xfId="16310"/>
    <cellStyle name="Normal 194 4 3" xfId="16311"/>
    <cellStyle name="Normal 194 4 3 2" xfId="16312"/>
    <cellStyle name="Normal 194 4 3 2 2" xfId="16313"/>
    <cellStyle name="Normal 194 4 3 3" xfId="16314"/>
    <cellStyle name="Normal 194 4 4" xfId="16315"/>
    <cellStyle name="Normal 194 4 4 2" xfId="16316"/>
    <cellStyle name="Normal 194 4 4 2 2" xfId="16317"/>
    <cellStyle name="Normal 194 4 4 3" xfId="16318"/>
    <cellStyle name="Normal 194 4 5" xfId="16319"/>
    <cellStyle name="Normal 194 4 5 2" xfId="16320"/>
    <cellStyle name="Normal 194 4 5 2 2" xfId="16321"/>
    <cellStyle name="Normal 194 4 5 3" xfId="16322"/>
    <cellStyle name="Normal 194 4 6" xfId="16323"/>
    <cellStyle name="Normal 194 5" xfId="16324"/>
    <cellStyle name="Normal 194 5 2" xfId="16325"/>
    <cellStyle name="Normal 194 5 2 2" xfId="16326"/>
    <cellStyle name="Normal 194 5 3" xfId="16327"/>
    <cellStyle name="Normal 194 6" xfId="16328"/>
    <cellStyle name="Normal 194 6 2" xfId="16329"/>
    <cellStyle name="Normal 194 6 2 2" xfId="16330"/>
    <cellStyle name="Normal 194 6 3" xfId="16331"/>
    <cellStyle name="Normal 194 7" xfId="16332"/>
    <cellStyle name="Normal 194 7 2" xfId="16333"/>
    <cellStyle name="Normal 194 7 2 2" xfId="16334"/>
    <cellStyle name="Normal 194 7 3" xfId="16335"/>
    <cellStyle name="Normal 194 8" xfId="16336"/>
    <cellStyle name="Normal 195" xfId="16337"/>
    <cellStyle name="Normal 195 2" xfId="16338"/>
    <cellStyle name="Normal 195 2 2" xfId="16339"/>
    <cellStyle name="Normal 195 2 2 2" xfId="16340"/>
    <cellStyle name="Normal 195 2 2 2 2" xfId="16341"/>
    <cellStyle name="Normal 195 2 2 3" xfId="16342"/>
    <cellStyle name="Normal 195 2 2 3 2" xfId="16343"/>
    <cellStyle name="Normal 195 2 2 3 2 2" xfId="16344"/>
    <cellStyle name="Normal 195 2 2 3 3" xfId="16345"/>
    <cellStyle name="Normal 195 2 2 4" xfId="16346"/>
    <cellStyle name="Normal 195 2 2 4 2" xfId="16347"/>
    <cellStyle name="Normal 195 2 2 4 2 2" xfId="16348"/>
    <cellStyle name="Normal 195 2 2 4 3" xfId="16349"/>
    <cellStyle name="Normal 195 2 2 5" xfId="16350"/>
    <cellStyle name="Normal 195 2 3" xfId="16351"/>
    <cellStyle name="Normal 195 2 3 2" xfId="16352"/>
    <cellStyle name="Normal 195 2 3 2 2" xfId="16353"/>
    <cellStyle name="Normal 195 2 3 2 2 2" xfId="16354"/>
    <cellStyle name="Normal 195 2 3 2 3" xfId="16355"/>
    <cellStyle name="Normal 195 2 3 2 3 2" xfId="16356"/>
    <cellStyle name="Normal 195 2 3 2 3 2 2" xfId="16357"/>
    <cellStyle name="Normal 195 2 3 2 3 3" xfId="16358"/>
    <cellStyle name="Normal 195 2 3 2 4" xfId="16359"/>
    <cellStyle name="Normal 195 2 3 3" xfId="16360"/>
    <cellStyle name="Normal 195 2 3 3 2" xfId="16361"/>
    <cellStyle name="Normal 195 2 3 3 2 2" xfId="16362"/>
    <cellStyle name="Normal 195 2 3 3 3" xfId="16363"/>
    <cellStyle name="Normal 195 2 3 4" xfId="16364"/>
    <cellStyle name="Normal 195 2 3 4 2" xfId="16365"/>
    <cellStyle name="Normal 195 2 3 4 2 2" xfId="16366"/>
    <cellStyle name="Normal 195 2 3 4 3" xfId="16367"/>
    <cellStyle name="Normal 195 2 3 5" xfId="16368"/>
    <cellStyle name="Normal 195 2 3 5 2" xfId="16369"/>
    <cellStyle name="Normal 195 2 3 5 2 2" xfId="16370"/>
    <cellStyle name="Normal 195 2 3 5 3" xfId="16371"/>
    <cellStyle name="Normal 195 2 3 6" xfId="16372"/>
    <cellStyle name="Normal 195 2 4" xfId="16373"/>
    <cellStyle name="Normal 195 2 4 2" xfId="16374"/>
    <cellStyle name="Normal 195 2 4 2 2" xfId="16375"/>
    <cellStyle name="Normal 195 2 4 3" xfId="16376"/>
    <cellStyle name="Normal 195 2 5" xfId="16377"/>
    <cellStyle name="Normal 195 2 5 2" xfId="16378"/>
    <cellStyle name="Normal 195 2 5 2 2" xfId="16379"/>
    <cellStyle name="Normal 195 2 5 3" xfId="16380"/>
    <cellStyle name="Normal 195 2 6" xfId="16381"/>
    <cellStyle name="Normal 195 2 6 2" xfId="16382"/>
    <cellStyle name="Normal 195 2 6 2 2" xfId="16383"/>
    <cellStyle name="Normal 195 2 6 3" xfId="16384"/>
    <cellStyle name="Normal 195 2 7" xfId="16385"/>
    <cellStyle name="Normal 195 3" xfId="16386"/>
    <cellStyle name="Normal 195 3 2" xfId="16387"/>
    <cellStyle name="Normal 195 3 2 2" xfId="16388"/>
    <cellStyle name="Normal 195 3 3" xfId="16389"/>
    <cellStyle name="Normal 195 3 3 2" xfId="16390"/>
    <cellStyle name="Normal 195 3 3 2 2" xfId="16391"/>
    <cellStyle name="Normal 195 3 3 3" xfId="16392"/>
    <cellStyle name="Normal 195 3 4" xfId="16393"/>
    <cellStyle name="Normal 195 3 4 2" xfId="16394"/>
    <cellStyle name="Normal 195 3 4 2 2" xfId="16395"/>
    <cellStyle name="Normal 195 3 4 3" xfId="16396"/>
    <cellStyle name="Normal 195 3 5" xfId="16397"/>
    <cellStyle name="Normal 195 4" xfId="16398"/>
    <cellStyle name="Normal 195 4 2" xfId="16399"/>
    <cellStyle name="Normal 195 4 2 2" xfId="16400"/>
    <cellStyle name="Normal 195 4 2 2 2" xfId="16401"/>
    <cellStyle name="Normal 195 4 2 3" xfId="16402"/>
    <cellStyle name="Normal 195 4 2 3 2" xfId="16403"/>
    <cellStyle name="Normal 195 4 2 3 2 2" xfId="16404"/>
    <cellStyle name="Normal 195 4 2 3 3" xfId="16405"/>
    <cellStyle name="Normal 195 4 2 4" xfId="16406"/>
    <cellStyle name="Normal 195 4 3" xfId="16407"/>
    <cellStyle name="Normal 195 4 3 2" xfId="16408"/>
    <cellStyle name="Normal 195 4 3 2 2" xfId="16409"/>
    <cellStyle name="Normal 195 4 3 3" xfId="16410"/>
    <cellStyle name="Normal 195 4 4" xfId="16411"/>
    <cellStyle name="Normal 195 4 4 2" xfId="16412"/>
    <cellStyle name="Normal 195 4 4 2 2" xfId="16413"/>
    <cellStyle name="Normal 195 4 4 3" xfId="16414"/>
    <cellStyle name="Normal 195 4 5" xfId="16415"/>
    <cellStyle name="Normal 195 4 5 2" xfId="16416"/>
    <cellStyle name="Normal 195 4 5 2 2" xfId="16417"/>
    <cellStyle name="Normal 195 4 5 3" xfId="16418"/>
    <cellStyle name="Normal 195 4 6" xfId="16419"/>
    <cellStyle name="Normal 195 5" xfId="16420"/>
    <cellStyle name="Normal 195 5 2" xfId="16421"/>
    <cellStyle name="Normal 195 5 2 2" xfId="16422"/>
    <cellStyle name="Normal 195 5 3" xfId="16423"/>
    <cellStyle name="Normal 195 6" xfId="16424"/>
    <cellStyle name="Normal 195 6 2" xfId="16425"/>
    <cellStyle name="Normal 195 6 2 2" xfId="16426"/>
    <cellStyle name="Normal 195 6 3" xfId="16427"/>
    <cellStyle name="Normal 195 7" xfId="16428"/>
    <cellStyle name="Normal 195 7 2" xfId="16429"/>
    <cellStyle name="Normal 195 7 2 2" xfId="16430"/>
    <cellStyle name="Normal 195 7 3" xfId="16431"/>
    <cellStyle name="Normal 195 8" xfId="16432"/>
    <cellStyle name="Normal 196" xfId="16433"/>
    <cellStyle name="Normal 196 2" xfId="16434"/>
    <cellStyle name="Normal 196 2 2" xfId="16435"/>
    <cellStyle name="Normal 196 2 2 2" xfId="16436"/>
    <cellStyle name="Normal 196 2 2 2 2" xfId="16437"/>
    <cellStyle name="Normal 196 2 2 3" xfId="16438"/>
    <cellStyle name="Normal 196 2 2 3 2" xfId="16439"/>
    <cellStyle name="Normal 196 2 2 3 2 2" xfId="16440"/>
    <cellStyle name="Normal 196 2 2 3 3" xfId="16441"/>
    <cellStyle name="Normal 196 2 2 4" xfId="16442"/>
    <cellStyle name="Normal 196 2 2 4 2" xfId="16443"/>
    <cellStyle name="Normal 196 2 2 4 2 2" xfId="16444"/>
    <cellStyle name="Normal 196 2 2 4 3" xfId="16445"/>
    <cellStyle name="Normal 196 2 2 5" xfId="16446"/>
    <cellStyle name="Normal 196 2 3" xfId="16447"/>
    <cellStyle name="Normal 196 2 3 2" xfId="16448"/>
    <cellStyle name="Normal 196 2 3 2 2" xfId="16449"/>
    <cellStyle name="Normal 196 2 3 2 2 2" xfId="16450"/>
    <cellStyle name="Normal 196 2 3 2 3" xfId="16451"/>
    <cellStyle name="Normal 196 2 3 2 3 2" xfId="16452"/>
    <cellStyle name="Normal 196 2 3 2 3 2 2" xfId="16453"/>
    <cellStyle name="Normal 196 2 3 2 3 3" xfId="16454"/>
    <cellStyle name="Normal 196 2 3 2 4" xfId="16455"/>
    <cellStyle name="Normal 196 2 3 3" xfId="16456"/>
    <cellStyle name="Normal 196 2 3 3 2" xfId="16457"/>
    <cellStyle name="Normal 196 2 3 3 2 2" xfId="16458"/>
    <cellStyle name="Normal 196 2 3 3 3" xfId="16459"/>
    <cellStyle name="Normal 196 2 3 4" xfId="16460"/>
    <cellStyle name="Normal 196 2 3 4 2" xfId="16461"/>
    <cellStyle name="Normal 196 2 3 4 2 2" xfId="16462"/>
    <cellStyle name="Normal 196 2 3 4 3" xfId="16463"/>
    <cellStyle name="Normal 196 2 3 5" xfId="16464"/>
    <cellStyle name="Normal 196 2 3 5 2" xfId="16465"/>
    <cellStyle name="Normal 196 2 3 5 2 2" xfId="16466"/>
    <cellStyle name="Normal 196 2 3 5 3" xfId="16467"/>
    <cellStyle name="Normal 196 2 3 6" xfId="16468"/>
    <cellStyle name="Normal 196 2 4" xfId="16469"/>
    <cellStyle name="Normal 196 2 4 2" xfId="16470"/>
    <cellStyle name="Normal 196 2 4 2 2" xfId="16471"/>
    <cellStyle name="Normal 196 2 4 3" xfId="16472"/>
    <cellStyle name="Normal 196 2 5" xfId="16473"/>
    <cellStyle name="Normal 196 2 5 2" xfId="16474"/>
    <cellStyle name="Normal 196 2 5 2 2" xfId="16475"/>
    <cellStyle name="Normal 196 2 5 3" xfId="16476"/>
    <cellStyle name="Normal 196 2 6" xfId="16477"/>
    <cellStyle name="Normal 196 2 6 2" xfId="16478"/>
    <cellStyle name="Normal 196 2 6 2 2" xfId="16479"/>
    <cellStyle name="Normal 196 2 6 3" xfId="16480"/>
    <cellStyle name="Normal 196 2 7" xfId="16481"/>
    <cellStyle name="Normal 196 3" xfId="16482"/>
    <cellStyle name="Normal 196 3 2" xfId="16483"/>
    <cellStyle name="Normal 196 3 2 2" xfId="16484"/>
    <cellStyle name="Normal 196 3 3" xfId="16485"/>
    <cellStyle name="Normal 196 3 3 2" xfId="16486"/>
    <cellStyle name="Normal 196 3 3 2 2" xfId="16487"/>
    <cellStyle name="Normal 196 3 3 3" xfId="16488"/>
    <cellStyle name="Normal 196 3 4" xfId="16489"/>
    <cellStyle name="Normal 196 3 4 2" xfId="16490"/>
    <cellStyle name="Normal 196 3 4 2 2" xfId="16491"/>
    <cellStyle name="Normal 196 3 4 3" xfId="16492"/>
    <cellStyle name="Normal 196 3 5" xfId="16493"/>
    <cellStyle name="Normal 196 4" xfId="16494"/>
    <cellStyle name="Normal 196 4 2" xfId="16495"/>
    <cellStyle name="Normal 196 4 2 2" xfId="16496"/>
    <cellStyle name="Normal 196 4 2 2 2" xfId="16497"/>
    <cellStyle name="Normal 196 4 2 3" xfId="16498"/>
    <cellStyle name="Normal 196 4 2 3 2" xfId="16499"/>
    <cellStyle name="Normal 196 4 2 3 2 2" xfId="16500"/>
    <cellStyle name="Normal 196 4 2 3 3" xfId="16501"/>
    <cellStyle name="Normal 196 4 2 4" xfId="16502"/>
    <cellStyle name="Normal 196 4 3" xfId="16503"/>
    <cellStyle name="Normal 196 4 3 2" xfId="16504"/>
    <cellStyle name="Normal 196 4 3 2 2" xfId="16505"/>
    <cellStyle name="Normal 196 4 3 3" xfId="16506"/>
    <cellStyle name="Normal 196 4 4" xfId="16507"/>
    <cellStyle name="Normal 196 4 4 2" xfId="16508"/>
    <cellStyle name="Normal 196 4 4 2 2" xfId="16509"/>
    <cellStyle name="Normal 196 4 4 3" xfId="16510"/>
    <cellStyle name="Normal 196 4 5" xfId="16511"/>
    <cellStyle name="Normal 196 4 5 2" xfId="16512"/>
    <cellStyle name="Normal 196 4 5 2 2" xfId="16513"/>
    <cellStyle name="Normal 196 4 5 3" xfId="16514"/>
    <cellStyle name="Normal 196 4 6" xfId="16515"/>
    <cellStyle name="Normal 196 5" xfId="16516"/>
    <cellStyle name="Normal 196 5 2" xfId="16517"/>
    <cellStyle name="Normal 196 5 2 2" xfId="16518"/>
    <cellStyle name="Normal 196 5 3" xfId="16519"/>
    <cellStyle name="Normal 196 6" xfId="16520"/>
    <cellStyle name="Normal 196 6 2" xfId="16521"/>
    <cellStyle name="Normal 196 6 2 2" xfId="16522"/>
    <cellStyle name="Normal 196 6 3" xfId="16523"/>
    <cellStyle name="Normal 196 7" xfId="16524"/>
    <cellStyle name="Normal 196 7 2" xfId="16525"/>
    <cellStyle name="Normal 196 7 2 2" xfId="16526"/>
    <cellStyle name="Normal 196 7 3" xfId="16527"/>
    <cellStyle name="Normal 196 8" xfId="16528"/>
    <cellStyle name="Normal 197" xfId="16529"/>
    <cellStyle name="Normal 197 2" xfId="16530"/>
    <cellStyle name="Normal 197 2 2" xfId="16531"/>
    <cellStyle name="Normal 197 2 2 2" xfId="16532"/>
    <cellStyle name="Normal 197 2 2 2 2" xfId="16533"/>
    <cellStyle name="Normal 197 2 2 3" xfId="16534"/>
    <cellStyle name="Normal 197 2 2 3 2" xfId="16535"/>
    <cellStyle name="Normal 197 2 2 3 2 2" xfId="16536"/>
    <cellStyle name="Normal 197 2 2 3 3" xfId="16537"/>
    <cellStyle name="Normal 197 2 2 4" xfId="16538"/>
    <cellStyle name="Normal 197 2 2 4 2" xfId="16539"/>
    <cellStyle name="Normal 197 2 2 4 2 2" xfId="16540"/>
    <cellStyle name="Normal 197 2 2 4 3" xfId="16541"/>
    <cellStyle name="Normal 197 2 2 5" xfId="16542"/>
    <cellStyle name="Normal 197 2 3" xfId="16543"/>
    <cellStyle name="Normal 197 2 3 2" xfId="16544"/>
    <cellStyle name="Normal 197 2 3 2 2" xfId="16545"/>
    <cellStyle name="Normal 197 2 3 2 2 2" xfId="16546"/>
    <cellStyle name="Normal 197 2 3 2 3" xfId="16547"/>
    <cellStyle name="Normal 197 2 3 2 3 2" xfId="16548"/>
    <cellStyle name="Normal 197 2 3 2 3 2 2" xfId="16549"/>
    <cellStyle name="Normal 197 2 3 2 3 3" xfId="16550"/>
    <cellStyle name="Normal 197 2 3 2 4" xfId="16551"/>
    <cellStyle name="Normal 197 2 3 3" xfId="16552"/>
    <cellStyle name="Normal 197 2 3 3 2" xfId="16553"/>
    <cellStyle name="Normal 197 2 3 3 2 2" xfId="16554"/>
    <cellStyle name="Normal 197 2 3 3 3" xfId="16555"/>
    <cellStyle name="Normal 197 2 3 4" xfId="16556"/>
    <cellStyle name="Normal 197 2 3 4 2" xfId="16557"/>
    <cellStyle name="Normal 197 2 3 4 2 2" xfId="16558"/>
    <cellStyle name="Normal 197 2 3 4 3" xfId="16559"/>
    <cellStyle name="Normal 197 2 3 5" xfId="16560"/>
    <cellStyle name="Normal 197 2 3 5 2" xfId="16561"/>
    <cellStyle name="Normal 197 2 3 5 2 2" xfId="16562"/>
    <cellStyle name="Normal 197 2 3 5 3" xfId="16563"/>
    <cellStyle name="Normal 197 2 3 6" xfId="16564"/>
    <cellStyle name="Normal 197 2 4" xfId="16565"/>
    <cellStyle name="Normal 197 2 4 2" xfId="16566"/>
    <cellStyle name="Normal 197 2 4 2 2" xfId="16567"/>
    <cellStyle name="Normal 197 2 4 3" xfId="16568"/>
    <cellStyle name="Normal 197 2 5" xfId="16569"/>
    <cellStyle name="Normal 197 2 5 2" xfId="16570"/>
    <cellStyle name="Normal 197 2 5 2 2" xfId="16571"/>
    <cellStyle name="Normal 197 2 5 3" xfId="16572"/>
    <cellStyle name="Normal 197 2 6" xfId="16573"/>
    <cellStyle name="Normal 197 2 6 2" xfId="16574"/>
    <cellStyle name="Normal 197 2 6 2 2" xfId="16575"/>
    <cellStyle name="Normal 197 2 6 3" xfId="16576"/>
    <cellStyle name="Normal 197 2 7" xfId="16577"/>
    <cellStyle name="Normal 197 3" xfId="16578"/>
    <cellStyle name="Normal 197 3 2" xfId="16579"/>
    <cellStyle name="Normal 197 3 2 2" xfId="16580"/>
    <cellStyle name="Normal 197 3 3" xfId="16581"/>
    <cellStyle name="Normal 197 3 3 2" xfId="16582"/>
    <cellStyle name="Normal 197 3 3 2 2" xfId="16583"/>
    <cellStyle name="Normal 197 3 3 3" xfId="16584"/>
    <cellStyle name="Normal 197 3 4" xfId="16585"/>
    <cellStyle name="Normal 197 3 4 2" xfId="16586"/>
    <cellStyle name="Normal 197 3 4 2 2" xfId="16587"/>
    <cellStyle name="Normal 197 3 4 3" xfId="16588"/>
    <cellStyle name="Normal 197 3 5" xfId="16589"/>
    <cellStyle name="Normal 197 4" xfId="16590"/>
    <cellStyle name="Normal 197 4 2" xfId="16591"/>
    <cellStyle name="Normal 197 4 2 2" xfId="16592"/>
    <cellStyle name="Normal 197 4 2 2 2" xfId="16593"/>
    <cellStyle name="Normal 197 4 2 3" xfId="16594"/>
    <cellStyle name="Normal 197 4 2 3 2" xfId="16595"/>
    <cellStyle name="Normal 197 4 2 3 2 2" xfId="16596"/>
    <cellStyle name="Normal 197 4 2 3 3" xfId="16597"/>
    <cellStyle name="Normal 197 4 2 4" xfId="16598"/>
    <cellStyle name="Normal 197 4 3" xfId="16599"/>
    <cellStyle name="Normal 197 4 3 2" xfId="16600"/>
    <cellStyle name="Normal 197 4 3 2 2" xfId="16601"/>
    <cellStyle name="Normal 197 4 3 3" xfId="16602"/>
    <cellStyle name="Normal 197 4 4" xfId="16603"/>
    <cellStyle name="Normal 197 4 4 2" xfId="16604"/>
    <cellStyle name="Normal 197 4 4 2 2" xfId="16605"/>
    <cellStyle name="Normal 197 4 4 3" xfId="16606"/>
    <cellStyle name="Normal 197 4 5" xfId="16607"/>
    <cellStyle name="Normal 197 4 5 2" xfId="16608"/>
    <cellStyle name="Normal 197 4 5 2 2" xfId="16609"/>
    <cellStyle name="Normal 197 4 5 3" xfId="16610"/>
    <cellStyle name="Normal 197 4 6" xfId="16611"/>
    <cellStyle name="Normal 197 5" xfId="16612"/>
    <cellStyle name="Normal 197 5 2" xfId="16613"/>
    <cellStyle name="Normal 197 5 2 2" xfId="16614"/>
    <cellStyle name="Normal 197 5 3" xfId="16615"/>
    <cellStyle name="Normal 197 6" xfId="16616"/>
    <cellStyle name="Normal 197 6 2" xfId="16617"/>
    <cellStyle name="Normal 197 6 2 2" xfId="16618"/>
    <cellStyle name="Normal 197 6 3" xfId="16619"/>
    <cellStyle name="Normal 197 7" xfId="16620"/>
    <cellStyle name="Normal 197 7 2" xfId="16621"/>
    <cellStyle name="Normal 197 7 2 2" xfId="16622"/>
    <cellStyle name="Normal 197 7 3" xfId="16623"/>
    <cellStyle name="Normal 197 8" xfId="16624"/>
    <cellStyle name="Normal 198" xfId="16625"/>
    <cellStyle name="Normal 198 2" xfId="16626"/>
    <cellStyle name="Normal 198 2 2" xfId="16627"/>
    <cellStyle name="Normal 198 2 2 2" xfId="16628"/>
    <cellStyle name="Normal 198 2 2 2 2" xfId="16629"/>
    <cellStyle name="Normal 198 2 2 3" xfId="16630"/>
    <cellStyle name="Normal 198 2 2 3 2" xfId="16631"/>
    <cellStyle name="Normal 198 2 2 3 2 2" xfId="16632"/>
    <cellStyle name="Normal 198 2 2 3 3" xfId="16633"/>
    <cellStyle name="Normal 198 2 2 4" xfId="16634"/>
    <cellStyle name="Normal 198 2 2 4 2" xfId="16635"/>
    <cellStyle name="Normal 198 2 2 4 2 2" xfId="16636"/>
    <cellStyle name="Normal 198 2 2 4 3" xfId="16637"/>
    <cellStyle name="Normal 198 2 2 5" xfId="16638"/>
    <cellStyle name="Normal 198 2 3" xfId="16639"/>
    <cellStyle name="Normal 198 2 3 2" xfId="16640"/>
    <cellStyle name="Normal 198 2 3 2 2" xfId="16641"/>
    <cellStyle name="Normal 198 2 3 2 2 2" xfId="16642"/>
    <cellStyle name="Normal 198 2 3 2 3" xfId="16643"/>
    <cellStyle name="Normal 198 2 3 2 3 2" xfId="16644"/>
    <cellStyle name="Normal 198 2 3 2 3 2 2" xfId="16645"/>
    <cellStyle name="Normal 198 2 3 2 3 3" xfId="16646"/>
    <cellStyle name="Normal 198 2 3 2 4" xfId="16647"/>
    <cellStyle name="Normal 198 2 3 3" xfId="16648"/>
    <cellStyle name="Normal 198 2 3 3 2" xfId="16649"/>
    <cellStyle name="Normal 198 2 3 3 2 2" xfId="16650"/>
    <cellStyle name="Normal 198 2 3 3 3" xfId="16651"/>
    <cellStyle name="Normal 198 2 3 4" xfId="16652"/>
    <cellStyle name="Normal 198 2 3 4 2" xfId="16653"/>
    <cellStyle name="Normal 198 2 3 4 2 2" xfId="16654"/>
    <cellStyle name="Normal 198 2 3 4 3" xfId="16655"/>
    <cellStyle name="Normal 198 2 3 5" xfId="16656"/>
    <cellStyle name="Normal 198 2 3 5 2" xfId="16657"/>
    <cellStyle name="Normal 198 2 3 5 2 2" xfId="16658"/>
    <cellStyle name="Normal 198 2 3 5 3" xfId="16659"/>
    <cellStyle name="Normal 198 2 3 6" xfId="16660"/>
    <cellStyle name="Normal 198 2 4" xfId="16661"/>
    <cellStyle name="Normal 198 2 4 2" xfId="16662"/>
    <cellStyle name="Normal 198 2 4 2 2" xfId="16663"/>
    <cellStyle name="Normal 198 2 4 3" xfId="16664"/>
    <cellStyle name="Normal 198 2 5" xfId="16665"/>
    <cellStyle name="Normal 198 2 5 2" xfId="16666"/>
    <cellStyle name="Normal 198 2 5 2 2" xfId="16667"/>
    <cellStyle name="Normal 198 2 5 3" xfId="16668"/>
    <cellStyle name="Normal 198 2 6" xfId="16669"/>
    <cellStyle name="Normal 198 2 6 2" xfId="16670"/>
    <cellStyle name="Normal 198 2 6 2 2" xfId="16671"/>
    <cellStyle name="Normal 198 2 6 3" xfId="16672"/>
    <cellStyle name="Normal 198 2 7" xfId="16673"/>
    <cellStyle name="Normal 198 3" xfId="16674"/>
    <cellStyle name="Normal 198 3 2" xfId="16675"/>
    <cellStyle name="Normal 198 3 2 2" xfId="16676"/>
    <cellStyle name="Normal 198 3 3" xfId="16677"/>
    <cellStyle name="Normal 198 3 3 2" xfId="16678"/>
    <cellStyle name="Normal 198 3 3 2 2" xfId="16679"/>
    <cellStyle name="Normal 198 3 3 3" xfId="16680"/>
    <cellStyle name="Normal 198 3 4" xfId="16681"/>
    <cellStyle name="Normal 198 3 4 2" xfId="16682"/>
    <cellStyle name="Normal 198 3 4 2 2" xfId="16683"/>
    <cellStyle name="Normal 198 3 4 3" xfId="16684"/>
    <cellStyle name="Normal 198 3 5" xfId="16685"/>
    <cellStyle name="Normal 198 4" xfId="16686"/>
    <cellStyle name="Normal 198 4 2" xfId="16687"/>
    <cellStyle name="Normal 198 4 2 2" xfId="16688"/>
    <cellStyle name="Normal 198 4 2 2 2" xfId="16689"/>
    <cellStyle name="Normal 198 4 2 3" xfId="16690"/>
    <cellStyle name="Normal 198 4 2 3 2" xfId="16691"/>
    <cellStyle name="Normal 198 4 2 3 2 2" xfId="16692"/>
    <cellStyle name="Normal 198 4 2 3 3" xfId="16693"/>
    <cellStyle name="Normal 198 4 2 4" xfId="16694"/>
    <cellStyle name="Normal 198 4 3" xfId="16695"/>
    <cellStyle name="Normal 198 4 3 2" xfId="16696"/>
    <cellStyle name="Normal 198 4 3 2 2" xfId="16697"/>
    <cellStyle name="Normal 198 4 3 3" xfId="16698"/>
    <cellStyle name="Normal 198 4 4" xfId="16699"/>
    <cellStyle name="Normal 198 4 4 2" xfId="16700"/>
    <cellStyle name="Normal 198 4 4 2 2" xfId="16701"/>
    <cellStyle name="Normal 198 4 4 3" xfId="16702"/>
    <cellStyle name="Normal 198 4 5" xfId="16703"/>
    <cellStyle name="Normal 198 4 5 2" xfId="16704"/>
    <cellStyle name="Normal 198 4 5 2 2" xfId="16705"/>
    <cellStyle name="Normal 198 4 5 3" xfId="16706"/>
    <cellStyle name="Normal 198 4 6" xfId="16707"/>
    <cellStyle name="Normal 198 5" xfId="16708"/>
    <cellStyle name="Normal 198 5 2" xfId="16709"/>
    <cellStyle name="Normal 198 5 2 2" xfId="16710"/>
    <cellStyle name="Normal 198 5 3" xfId="16711"/>
    <cellStyle name="Normal 198 6" xfId="16712"/>
    <cellStyle name="Normal 198 6 2" xfId="16713"/>
    <cellStyle name="Normal 198 6 2 2" xfId="16714"/>
    <cellStyle name="Normal 198 6 3" xfId="16715"/>
    <cellStyle name="Normal 198 7" xfId="16716"/>
    <cellStyle name="Normal 198 7 2" xfId="16717"/>
    <cellStyle name="Normal 198 7 2 2" xfId="16718"/>
    <cellStyle name="Normal 198 7 3" xfId="16719"/>
    <cellStyle name="Normal 198 8" xfId="16720"/>
    <cellStyle name="Normal 199" xfId="16721"/>
    <cellStyle name="Normal 199 2" xfId="16722"/>
    <cellStyle name="Normal 199 2 2" xfId="16723"/>
    <cellStyle name="Normal 199 2 2 2" xfId="16724"/>
    <cellStyle name="Normal 199 2 2 2 2" xfId="16725"/>
    <cellStyle name="Normal 199 2 2 3" xfId="16726"/>
    <cellStyle name="Normal 199 2 2 3 2" xfId="16727"/>
    <cellStyle name="Normal 199 2 2 3 2 2" xfId="16728"/>
    <cellStyle name="Normal 199 2 2 3 3" xfId="16729"/>
    <cellStyle name="Normal 199 2 2 4" xfId="16730"/>
    <cellStyle name="Normal 199 2 2 4 2" xfId="16731"/>
    <cellStyle name="Normal 199 2 2 4 2 2" xfId="16732"/>
    <cellStyle name="Normal 199 2 2 4 3" xfId="16733"/>
    <cellStyle name="Normal 199 2 2 5" xfId="16734"/>
    <cellStyle name="Normal 199 2 3" xfId="16735"/>
    <cellStyle name="Normal 199 2 3 2" xfId="16736"/>
    <cellStyle name="Normal 199 2 3 2 2" xfId="16737"/>
    <cellStyle name="Normal 199 2 3 2 2 2" xfId="16738"/>
    <cellStyle name="Normal 199 2 3 2 3" xfId="16739"/>
    <cellStyle name="Normal 199 2 3 2 3 2" xfId="16740"/>
    <cellStyle name="Normal 199 2 3 2 3 2 2" xfId="16741"/>
    <cellStyle name="Normal 199 2 3 2 3 3" xfId="16742"/>
    <cellStyle name="Normal 199 2 3 2 4" xfId="16743"/>
    <cellStyle name="Normal 199 2 3 3" xfId="16744"/>
    <cellStyle name="Normal 199 2 3 3 2" xfId="16745"/>
    <cellStyle name="Normal 199 2 3 3 2 2" xfId="16746"/>
    <cellStyle name="Normal 199 2 3 3 3" xfId="16747"/>
    <cellStyle name="Normal 199 2 3 4" xfId="16748"/>
    <cellStyle name="Normal 199 2 3 4 2" xfId="16749"/>
    <cellStyle name="Normal 199 2 3 4 2 2" xfId="16750"/>
    <cellStyle name="Normal 199 2 3 4 3" xfId="16751"/>
    <cellStyle name="Normal 199 2 3 5" xfId="16752"/>
    <cellStyle name="Normal 199 2 3 5 2" xfId="16753"/>
    <cellStyle name="Normal 199 2 3 5 2 2" xfId="16754"/>
    <cellStyle name="Normal 199 2 3 5 3" xfId="16755"/>
    <cellStyle name="Normal 199 2 3 6" xfId="16756"/>
    <cellStyle name="Normal 199 2 4" xfId="16757"/>
    <cellStyle name="Normal 199 2 4 2" xfId="16758"/>
    <cellStyle name="Normal 199 2 4 2 2" xfId="16759"/>
    <cellStyle name="Normal 199 2 4 3" xfId="16760"/>
    <cellStyle name="Normal 199 2 5" xfId="16761"/>
    <cellStyle name="Normal 199 2 5 2" xfId="16762"/>
    <cellStyle name="Normal 199 2 5 2 2" xfId="16763"/>
    <cellStyle name="Normal 199 2 5 3" xfId="16764"/>
    <cellStyle name="Normal 199 2 6" xfId="16765"/>
    <cellStyle name="Normal 199 2 6 2" xfId="16766"/>
    <cellStyle name="Normal 199 2 6 2 2" xfId="16767"/>
    <cellStyle name="Normal 199 2 6 3" xfId="16768"/>
    <cellStyle name="Normal 199 2 7" xfId="16769"/>
    <cellStyle name="Normal 199 3" xfId="16770"/>
    <cellStyle name="Normal 199 3 2" xfId="16771"/>
    <cellStyle name="Normal 199 3 2 2" xfId="16772"/>
    <cellStyle name="Normal 199 3 3" xfId="16773"/>
    <cellStyle name="Normal 199 3 3 2" xfId="16774"/>
    <cellStyle name="Normal 199 3 3 2 2" xfId="16775"/>
    <cellStyle name="Normal 199 3 3 3" xfId="16776"/>
    <cellStyle name="Normal 199 3 4" xfId="16777"/>
    <cellStyle name="Normal 199 3 4 2" xfId="16778"/>
    <cellStyle name="Normal 199 3 4 2 2" xfId="16779"/>
    <cellStyle name="Normal 199 3 4 3" xfId="16780"/>
    <cellStyle name="Normal 199 3 5" xfId="16781"/>
    <cellStyle name="Normal 199 4" xfId="16782"/>
    <cellStyle name="Normal 199 4 2" xfId="16783"/>
    <cellStyle name="Normal 199 4 2 2" xfId="16784"/>
    <cellStyle name="Normal 199 4 2 2 2" xfId="16785"/>
    <cellStyle name="Normal 199 4 2 3" xfId="16786"/>
    <cellStyle name="Normal 199 4 2 3 2" xfId="16787"/>
    <cellStyle name="Normal 199 4 2 3 2 2" xfId="16788"/>
    <cellStyle name="Normal 199 4 2 3 3" xfId="16789"/>
    <cellStyle name="Normal 199 4 2 4" xfId="16790"/>
    <cellStyle name="Normal 199 4 3" xfId="16791"/>
    <cellStyle name="Normal 199 4 3 2" xfId="16792"/>
    <cellStyle name="Normal 199 4 3 2 2" xfId="16793"/>
    <cellStyle name="Normal 199 4 3 3" xfId="16794"/>
    <cellStyle name="Normal 199 4 4" xfId="16795"/>
    <cellStyle name="Normal 199 4 4 2" xfId="16796"/>
    <cellStyle name="Normal 199 4 4 2 2" xfId="16797"/>
    <cellStyle name="Normal 199 4 4 3" xfId="16798"/>
    <cellStyle name="Normal 199 4 5" xfId="16799"/>
    <cellStyle name="Normal 199 4 5 2" xfId="16800"/>
    <cellStyle name="Normal 199 4 5 2 2" xfId="16801"/>
    <cellStyle name="Normal 199 4 5 3" xfId="16802"/>
    <cellStyle name="Normal 199 4 6" xfId="16803"/>
    <cellStyle name="Normal 199 5" xfId="16804"/>
    <cellStyle name="Normal 199 5 2" xfId="16805"/>
    <cellStyle name="Normal 199 5 2 2" xfId="16806"/>
    <cellStyle name="Normal 199 5 3" xfId="16807"/>
    <cellStyle name="Normal 199 6" xfId="16808"/>
    <cellStyle name="Normal 199 6 2" xfId="16809"/>
    <cellStyle name="Normal 199 6 2 2" xfId="16810"/>
    <cellStyle name="Normal 199 6 3" xfId="16811"/>
    <cellStyle name="Normal 199 7" xfId="16812"/>
    <cellStyle name="Normal 199 7 2" xfId="16813"/>
    <cellStyle name="Normal 199 7 2 2" xfId="16814"/>
    <cellStyle name="Normal 199 7 3" xfId="16815"/>
    <cellStyle name="Normal 199 8" xfId="16816"/>
    <cellStyle name="Normal 2" xfId="28"/>
    <cellStyle name="Normal 2 10" xfId="16817"/>
    <cellStyle name="Normal 2 10 2" xfId="16818"/>
    <cellStyle name="Normal 2 11" xfId="16819"/>
    <cellStyle name="Normal 2 12" xfId="16820"/>
    <cellStyle name="Normal 2 13" xfId="16821"/>
    <cellStyle name="Normal 2 14" xfId="16822"/>
    <cellStyle name="Normal 2 15" xfId="16823"/>
    <cellStyle name="Normal 2 2" xfId="29"/>
    <cellStyle name="Normal 2 2 2" xfId="100"/>
    <cellStyle name="Normal 2 2 2 2" xfId="16824"/>
    <cellStyle name="Normal 2 2 2 2 2" xfId="16825"/>
    <cellStyle name="Normal 2 2 2 2 2 2" xfId="16826"/>
    <cellStyle name="Normal 2 2 2 2 3" xfId="16827"/>
    <cellStyle name="Normal 2 2 2 2 3 2" xfId="16828"/>
    <cellStyle name="Normal 2 2 2 2 3 2 2" xfId="16829"/>
    <cellStyle name="Normal 2 2 2 2 3 3" xfId="16830"/>
    <cellStyle name="Normal 2 2 2 2 4" xfId="16831"/>
    <cellStyle name="Normal 2 2 2 2 4 2" xfId="16832"/>
    <cellStyle name="Normal 2 2 2 2 4 2 2" xfId="16833"/>
    <cellStyle name="Normal 2 2 2 2 4 3" xfId="16834"/>
    <cellStyle name="Normal 2 2 2 2 5" xfId="16835"/>
    <cellStyle name="Normal 2 2 2 3" xfId="16836"/>
    <cellStyle name="Normal 2 2 2 3 2" xfId="16837"/>
    <cellStyle name="Normal 2 2 2 3 2 2" xfId="16838"/>
    <cellStyle name="Normal 2 2 2 3 2 2 2" xfId="16839"/>
    <cellStyle name="Normal 2 2 2 3 2 3" xfId="16840"/>
    <cellStyle name="Normal 2 2 2 3 2 3 2" xfId="16841"/>
    <cellStyle name="Normal 2 2 2 3 2 3 2 2" xfId="16842"/>
    <cellStyle name="Normal 2 2 2 3 2 3 3" xfId="16843"/>
    <cellStyle name="Normal 2 2 2 3 2 4" xfId="16844"/>
    <cellStyle name="Normal 2 2 2 3 3" xfId="16845"/>
    <cellStyle name="Normal 2 2 2 3 3 2" xfId="16846"/>
    <cellStyle name="Normal 2 2 2 3 3 2 2" xfId="16847"/>
    <cellStyle name="Normal 2 2 2 3 3 3" xfId="16848"/>
    <cellStyle name="Normal 2 2 2 3 4" xfId="16849"/>
    <cellStyle name="Normal 2 2 2 3 4 2" xfId="16850"/>
    <cellStyle name="Normal 2 2 2 3 4 2 2" xfId="16851"/>
    <cellStyle name="Normal 2 2 2 3 4 3" xfId="16852"/>
    <cellStyle name="Normal 2 2 2 3 5" xfId="16853"/>
    <cellStyle name="Normal 2 2 2 3 5 2" xfId="16854"/>
    <cellStyle name="Normal 2 2 2 3 5 2 2" xfId="16855"/>
    <cellStyle name="Normal 2 2 2 3 5 3" xfId="16856"/>
    <cellStyle name="Normal 2 2 2 3 6" xfId="16857"/>
    <cellStyle name="Normal 2 2 2 4" xfId="16858"/>
    <cellStyle name="Normal 2 2 2 4 2" xfId="16859"/>
    <cellStyle name="Normal 2 2 2 4 2 2" xfId="16860"/>
    <cellStyle name="Normal 2 2 2 4 3" xfId="16861"/>
    <cellStyle name="Normal 2 2 2 5" xfId="16862"/>
    <cellStyle name="Normal 2 2 2 5 2" xfId="16863"/>
    <cellStyle name="Normal 2 2 2 5 2 2" xfId="16864"/>
    <cellStyle name="Normal 2 2 2 5 3" xfId="16865"/>
    <cellStyle name="Normal 2 2 2 6" xfId="16866"/>
    <cellStyle name="Normal 2 2 2 6 2" xfId="16867"/>
    <cellStyle name="Normal 2 2 2 6 2 2" xfId="16868"/>
    <cellStyle name="Normal 2 2 2 6 3" xfId="16869"/>
    <cellStyle name="Normal 2 2 2 7" xfId="16870"/>
    <cellStyle name="Normal 2 2 3" xfId="16871"/>
    <cellStyle name="Normal 2 2 3 2" xfId="16872"/>
    <cellStyle name="Normal 2 2 3 2 2" xfId="16873"/>
    <cellStyle name="Normal 2 2 3 2 2 2" xfId="16874"/>
    <cellStyle name="Normal 2 2 3 2 3" xfId="16875"/>
    <cellStyle name="Normal 2 2 3 2 3 2" xfId="16876"/>
    <cellStyle name="Normal 2 2 3 2 3 2 2" xfId="16877"/>
    <cellStyle name="Normal 2 2 3 2 3 3" xfId="16878"/>
    <cellStyle name="Normal 2 2 3 2 4" xfId="16879"/>
    <cellStyle name="Normal 2 2 3 2 4 2" xfId="16880"/>
    <cellStyle name="Normal 2 2 3 2 4 2 2" xfId="16881"/>
    <cellStyle name="Normal 2 2 3 2 4 3" xfId="16882"/>
    <cellStyle name="Normal 2 2 3 2 5" xfId="16883"/>
    <cellStyle name="Normal 2 2 3 3" xfId="16884"/>
    <cellStyle name="Normal 2 2 3 3 2" xfId="16885"/>
    <cellStyle name="Normal 2 2 3 3 2 2" xfId="16886"/>
    <cellStyle name="Normal 2 2 3 3 2 2 2" xfId="16887"/>
    <cellStyle name="Normal 2 2 3 3 2 3" xfId="16888"/>
    <cellStyle name="Normal 2 2 3 3 2 3 2" xfId="16889"/>
    <cellStyle name="Normal 2 2 3 3 2 3 2 2" xfId="16890"/>
    <cellStyle name="Normal 2 2 3 3 2 3 3" xfId="16891"/>
    <cellStyle name="Normal 2 2 3 3 2 4" xfId="16892"/>
    <cellStyle name="Normal 2 2 3 3 3" xfId="16893"/>
    <cellStyle name="Normal 2 2 3 4" xfId="16894"/>
    <cellStyle name="Normal 2 2 3 4 2" xfId="16895"/>
    <cellStyle name="Normal 2 2 3 4 2 2" xfId="16896"/>
    <cellStyle name="Normal 2 2 3 4 3" xfId="16897"/>
    <cellStyle name="Normal 2 2 3 5" xfId="16898"/>
    <cellStyle name="Normal 2 2 3 5 2" xfId="16899"/>
    <cellStyle name="Normal 2 2 3 5 2 2" xfId="16900"/>
    <cellStyle name="Normal 2 2 3 5 3" xfId="16901"/>
    <cellStyle name="Normal 2 2 3 6" xfId="16902"/>
    <cellStyle name="Normal 2 2 4" xfId="16903"/>
    <cellStyle name="Normal 2 2 4 2" xfId="16904"/>
    <cellStyle name="Normal 2 2 4 2 2" xfId="16905"/>
    <cellStyle name="Normal 2 2 4 2 2 2" xfId="16906"/>
    <cellStyle name="Normal 2 2 4 2 3" xfId="16907"/>
    <cellStyle name="Normal 2 2 4 2 3 2" xfId="16908"/>
    <cellStyle name="Normal 2 2 4 2 3 2 2" xfId="16909"/>
    <cellStyle name="Normal 2 2 4 2 3 3" xfId="16910"/>
    <cellStyle name="Normal 2 2 4 2 4" xfId="16911"/>
    <cellStyle name="Normal 2 2 4 2 4 2" xfId="16912"/>
    <cellStyle name="Normal 2 2 4 2 4 2 2" xfId="16913"/>
    <cellStyle name="Normal 2 2 4 2 4 3" xfId="16914"/>
    <cellStyle name="Normal 2 2 4 2 5" xfId="16915"/>
    <cellStyle name="Normal 2 2 4 3" xfId="16916"/>
    <cellStyle name="Normal 2 2 4 3 2" xfId="16917"/>
    <cellStyle name="Normal 2 2 4 3 2 2" xfId="16918"/>
    <cellStyle name="Normal 2 2 4 3 2 2 2" xfId="16919"/>
    <cellStyle name="Normal 2 2 4 3 2 3" xfId="16920"/>
    <cellStyle name="Normal 2 2 4 3 2 3 2" xfId="16921"/>
    <cellStyle name="Normal 2 2 4 3 2 3 2 2" xfId="16922"/>
    <cellStyle name="Normal 2 2 4 3 2 3 3" xfId="16923"/>
    <cellStyle name="Normal 2 2 4 3 2 4" xfId="16924"/>
    <cellStyle name="Normal 2 2 4 3 3" xfId="16925"/>
    <cellStyle name="Normal 2 2 4 3 3 2" xfId="16926"/>
    <cellStyle name="Normal 2 2 4 3 3 2 2" xfId="16927"/>
    <cellStyle name="Normal 2 2 4 3 3 3" xfId="16928"/>
    <cellStyle name="Normal 2 2 4 3 4" xfId="16929"/>
    <cellStyle name="Normal 2 2 4 3 4 2" xfId="16930"/>
    <cellStyle name="Normal 2 2 4 3 4 2 2" xfId="16931"/>
    <cellStyle name="Normal 2 2 4 3 4 3" xfId="16932"/>
    <cellStyle name="Normal 2 2 4 3 5" xfId="16933"/>
    <cellStyle name="Normal 2 2 4 3 5 2" xfId="16934"/>
    <cellStyle name="Normal 2 2 4 3 5 2 2" xfId="16935"/>
    <cellStyle name="Normal 2 2 4 3 5 3" xfId="16936"/>
    <cellStyle name="Normal 2 2 4 3 6" xfId="16937"/>
    <cellStyle name="Normal 2 2 4 4" xfId="16938"/>
    <cellStyle name="Normal 2 2 5" xfId="16939"/>
    <cellStyle name="Normal 2 2 5 2" xfId="16940"/>
    <cellStyle name="Normal 2 2 5 2 2" xfId="16941"/>
    <cellStyle name="Normal 2 2 5 3" xfId="16942"/>
    <cellStyle name="Normal 2 2 5 3 2" xfId="16943"/>
    <cellStyle name="Normal 2 2 5 3 2 2" xfId="16944"/>
    <cellStyle name="Normal 2 2 5 3 3" xfId="16945"/>
    <cellStyle name="Normal 2 2 5 4" xfId="16946"/>
    <cellStyle name="Normal 2 2 5 4 2" xfId="16947"/>
    <cellStyle name="Normal 2 2 5 4 2 2" xfId="16948"/>
    <cellStyle name="Normal 2 2 5 4 3" xfId="16949"/>
    <cellStyle name="Normal 2 2 5 5" xfId="16950"/>
    <cellStyle name="Normal 2 2 6" xfId="16951"/>
    <cellStyle name="Normal 2 2 6 2" xfId="16952"/>
    <cellStyle name="Normal 2 2 6 2 2" xfId="16953"/>
    <cellStyle name="Normal 2 2 6 2 2 2" xfId="16954"/>
    <cellStyle name="Normal 2 2 6 2 3" xfId="16955"/>
    <cellStyle name="Normal 2 2 6 2 3 2" xfId="16956"/>
    <cellStyle name="Normal 2 2 6 2 3 2 2" xfId="16957"/>
    <cellStyle name="Normal 2 2 6 2 3 3" xfId="16958"/>
    <cellStyle name="Normal 2 2 6 2 4" xfId="16959"/>
    <cellStyle name="Normal 2 2 6 3" xfId="16960"/>
    <cellStyle name="Normal 2 2 6 3 2" xfId="16961"/>
    <cellStyle name="Normal 2 2 6 3 2 2" xfId="16962"/>
    <cellStyle name="Normal 2 2 6 3 3" xfId="16963"/>
    <cellStyle name="Normal 2 2 6 4" xfId="16964"/>
    <cellStyle name="Normal 2 2 6 4 2" xfId="16965"/>
    <cellStyle name="Normal 2 2 6 4 2 2" xfId="16966"/>
    <cellStyle name="Normal 2 2 6 4 3" xfId="16967"/>
    <cellStyle name="Normal 2 2 6 5" xfId="16968"/>
    <cellStyle name="Normal 2 2 6 5 2" xfId="16969"/>
    <cellStyle name="Normal 2 2 6 5 2 2" xfId="16970"/>
    <cellStyle name="Normal 2 2 6 5 3" xfId="16971"/>
    <cellStyle name="Normal 2 2 6 6" xfId="16972"/>
    <cellStyle name="Normal 2 2 7" xfId="16973"/>
    <cellStyle name="Normal 2 2 7 2" xfId="16974"/>
    <cellStyle name="Normal 2 2 7 2 2" xfId="16975"/>
    <cellStyle name="Normal 2 2 7 3" xfId="16976"/>
    <cellStyle name="Normal 2 2 8" xfId="16977"/>
    <cellStyle name="Normal 2 2 8 2" xfId="16978"/>
    <cellStyle name="Normal 2 2 9" xfId="16979"/>
    <cellStyle name="Normal 2 3" xfId="30"/>
    <cellStyle name="Normal 2 3 2" xfId="101"/>
    <cellStyle name="Normal 2 3 2 2" xfId="16981"/>
    <cellStyle name="Normal 2 3 2 2 2" xfId="16982"/>
    <cellStyle name="Normal 2 3 2 3" xfId="16983"/>
    <cellStyle name="Normal 2 3 2 3 2" xfId="16984"/>
    <cellStyle name="Normal 2 3 2 3 2 2" xfId="16985"/>
    <cellStyle name="Normal 2 3 2 3 3" xfId="16986"/>
    <cellStyle name="Normal 2 3 2 4" xfId="16987"/>
    <cellStyle name="Normal 2 3 2 4 2" xfId="16988"/>
    <cellStyle name="Normal 2 3 2 4 2 2" xfId="16989"/>
    <cellStyle name="Normal 2 3 2 4 3" xfId="16990"/>
    <cellStyle name="Normal 2 3 2 5" xfId="16991"/>
    <cellStyle name="Normal 2 3 2 6" xfId="16980"/>
    <cellStyle name="Normal 2 3 3" xfId="16992"/>
    <cellStyle name="Normal 2 3 3 2" xfId="16993"/>
    <cellStyle name="Normal 2 3 3 2 2" xfId="16994"/>
    <cellStyle name="Normal 2 3 3 2 2 2" xfId="16995"/>
    <cellStyle name="Normal 2 3 3 2 3" xfId="16996"/>
    <cellStyle name="Normal 2 3 3 2 3 2" xfId="16997"/>
    <cellStyle name="Normal 2 3 3 2 3 2 2" xfId="16998"/>
    <cellStyle name="Normal 2 3 3 2 3 3" xfId="16999"/>
    <cellStyle name="Normal 2 3 3 2 4" xfId="17000"/>
    <cellStyle name="Normal 2 3 3 3" xfId="17001"/>
    <cellStyle name="Normal 2 3 3 3 2" xfId="17002"/>
    <cellStyle name="Normal 2 3 3 3 2 2" xfId="17003"/>
    <cellStyle name="Normal 2 3 3 3 3" xfId="17004"/>
    <cellStyle name="Normal 2 3 3 4" xfId="17005"/>
    <cellStyle name="Normal 2 3 3 4 2" xfId="17006"/>
    <cellStyle name="Normal 2 3 3 4 2 2" xfId="17007"/>
    <cellStyle name="Normal 2 3 3 4 3" xfId="17008"/>
    <cellStyle name="Normal 2 3 3 5" xfId="17009"/>
    <cellStyle name="Normal 2 3 3 5 2" xfId="17010"/>
    <cellStyle name="Normal 2 3 3 5 2 2" xfId="17011"/>
    <cellStyle name="Normal 2 3 3 5 3" xfId="17012"/>
    <cellStyle name="Normal 2 3 3 6" xfId="17013"/>
    <cellStyle name="Normal 2 3 4" xfId="17014"/>
    <cellStyle name="Normal 2 3 4 2" xfId="17015"/>
    <cellStyle name="Normal 2 3 4 2 2" xfId="17016"/>
    <cellStyle name="Normal 2 3 4 3" xfId="17017"/>
    <cellStyle name="Normal 2 3 5" xfId="17018"/>
    <cellStyle name="Normal 2 3 5 2" xfId="17019"/>
    <cellStyle name="Normal 2 3 5 2 2" xfId="17020"/>
    <cellStyle name="Normal 2 3 5 3" xfId="17021"/>
    <cellStyle name="Normal 2 3 6" xfId="17022"/>
    <cellStyle name="Normal 2 3 6 2" xfId="17023"/>
    <cellStyle name="Normal 2 3 6 2 2" xfId="17024"/>
    <cellStyle name="Normal 2 3 6 3" xfId="17025"/>
    <cellStyle name="Normal 2 3 7" xfId="17026"/>
    <cellStyle name="Normal 2 3 7 2" xfId="17027"/>
    <cellStyle name="Normal 2 3 8" xfId="17028"/>
    <cellStyle name="Normal 2 4" xfId="31"/>
    <cellStyle name="Normal 2 4 2" xfId="102"/>
    <cellStyle name="Normal 2 4 2 2" xfId="17031"/>
    <cellStyle name="Normal 2 4 2 2 2" xfId="17032"/>
    <cellStyle name="Normal 2 4 2 3" xfId="17033"/>
    <cellStyle name="Normal 2 4 2 3 2" xfId="17034"/>
    <cellStyle name="Normal 2 4 2 3 2 2" xfId="17035"/>
    <cellStyle name="Normal 2 4 2 3 3" xfId="17036"/>
    <cellStyle name="Normal 2 4 2 4" xfId="17037"/>
    <cellStyle name="Normal 2 4 2 4 2" xfId="17038"/>
    <cellStyle name="Normal 2 4 2 4 2 2" xfId="17039"/>
    <cellStyle name="Normal 2 4 2 4 3" xfId="17040"/>
    <cellStyle name="Normal 2 4 2 5" xfId="17041"/>
    <cellStyle name="Normal 2 4 2 6" xfId="17030"/>
    <cellStyle name="Normal 2 4 3" xfId="17042"/>
    <cellStyle name="Normal 2 4 3 2" xfId="17043"/>
    <cellStyle name="Normal 2 4 3 2 2" xfId="17044"/>
    <cellStyle name="Normal 2 4 3 2 2 2" xfId="17045"/>
    <cellStyle name="Normal 2 4 3 2 3" xfId="17046"/>
    <cellStyle name="Normal 2 4 3 2 3 2" xfId="17047"/>
    <cellStyle name="Normal 2 4 3 2 3 2 2" xfId="17048"/>
    <cellStyle name="Normal 2 4 3 2 3 3" xfId="17049"/>
    <cellStyle name="Normal 2 4 3 2 4" xfId="17050"/>
    <cellStyle name="Normal 2 4 3 3" xfId="17051"/>
    <cellStyle name="Normal 2 4 4" xfId="17052"/>
    <cellStyle name="Normal 2 4 4 2" xfId="17053"/>
    <cellStyle name="Normal 2 4 4 2 2" xfId="17054"/>
    <cellStyle name="Normal 2 4 4 3" xfId="17055"/>
    <cellStyle name="Normal 2 4 5" xfId="17056"/>
    <cellStyle name="Normal 2 4 5 2" xfId="17057"/>
    <cellStyle name="Normal 2 4 5 2 2" xfId="17058"/>
    <cellStyle name="Normal 2 4 5 3" xfId="17059"/>
    <cellStyle name="Normal 2 4 6" xfId="17060"/>
    <cellStyle name="Normal 2 4 7" xfId="17029"/>
    <cellStyle name="Normal 2 5" xfId="99"/>
    <cellStyle name="Normal 2 5 2" xfId="17062"/>
    <cellStyle name="Normal 2 5 2 2" xfId="17063"/>
    <cellStyle name="Normal 2 5 2 2 2" xfId="17064"/>
    <cellStyle name="Normal 2 5 2 3" xfId="17065"/>
    <cellStyle name="Normal 2 5 2 3 2" xfId="17066"/>
    <cellStyle name="Normal 2 5 2 3 2 2" xfId="17067"/>
    <cellStyle name="Normal 2 5 2 3 3" xfId="17068"/>
    <cellStyle name="Normal 2 5 2 4" xfId="17069"/>
    <cellStyle name="Normal 2 5 2 4 2" xfId="17070"/>
    <cellStyle name="Normal 2 5 2 4 2 2" xfId="17071"/>
    <cellStyle name="Normal 2 5 2 4 3" xfId="17072"/>
    <cellStyle name="Normal 2 5 2 5" xfId="17073"/>
    <cellStyle name="Normal 2 5 3" xfId="17074"/>
    <cellStyle name="Normal 2 5 3 2" xfId="17075"/>
    <cellStyle name="Normal 2 5 3 2 2" xfId="17076"/>
    <cellStyle name="Normal 2 5 3 2 2 2" xfId="17077"/>
    <cellStyle name="Normal 2 5 3 2 3" xfId="17078"/>
    <cellStyle name="Normal 2 5 3 2 3 2" xfId="17079"/>
    <cellStyle name="Normal 2 5 3 2 3 2 2" xfId="17080"/>
    <cellStyle name="Normal 2 5 3 2 3 3" xfId="17081"/>
    <cellStyle name="Normal 2 5 3 2 4" xfId="17082"/>
    <cellStyle name="Normal 2 5 3 3" xfId="17083"/>
    <cellStyle name="Normal 2 5 4" xfId="17084"/>
    <cellStyle name="Normal 2 5 4 2" xfId="17085"/>
    <cellStyle name="Normal 2 5 4 2 2" xfId="17086"/>
    <cellStyle name="Normal 2 5 4 3" xfId="17087"/>
    <cellStyle name="Normal 2 5 5" xfId="17088"/>
    <cellStyle name="Normal 2 5 5 2" xfId="17089"/>
    <cellStyle name="Normal 2 5 5 2 2" xfId="17090"/>
    <cellStyle name="Normal 2 5 5 3" xfId="17091"/>
    <cellStyle name="Normal 2 5 6" xfId="17092"/>
    <cellStyle name="Normal 2 5 7" xfId="17061"/>
    <cellStyle name="Normal 2 6" xfId="82"/>
    <cellStyle name="Normal 2 6 10" xfId="204"/>
    <cellStyle name="Normal 2 6 10 2" xfId="340"/>
    <cellStyle name="Normal 2 6 10 3" xfId="463"/>
    <cellStyle name="Normal 2 6 10 4" xfId="545"/>
    <cellStyle name="Normal 2 6 10 5" xfId="53830"/>
    <cellStyle name="Normal 2 6 11" xfId="258"/>
    <cellStyle name="Normal 2 6 12" xfId="381"/>
    <cellStyle name="Normal 2 6 13" xfId="504"/>
    <cellStyle name="Normal 2 6 14" xfId="544"/>
    <cellStyle name="Normal 2 6 15" xfId="17093"/>
    <cellStyle name="Normal 2 6 16" xfId="53705"/>
    <cellStyle name="Normal 2 6 17" xfId="53746"/>
    <cellStyle name="Normal 2 6 2" xfId="110"/>
    <cellStyle name="Normal 2 6 2 10" xfId="383"/>
    <cellStyle name="Normal 2 6 2 11" xfId="506"/>
    <cellStyle name="Normal 2 6 2 12" xfId="546"/>
    <cellStyle name="Normal 2 6 2 13" xfId="17094"/>
    <cellStyle name="Normal 2 6 2 14" xfId="53707"/>
    <cellStyle name="Normal 2 6 2 15" xfId="53747"/>
    <cellStyle name="Normal 2 6 2 2" xfId="116"/>
    <cellStyle name="Normal 2 6 2 2 10" xfId="53713"/>
    <cellStyle name="Normal 2 6 2 2 11" xfId="53748"/>
    <cellStyle name="Normal 2 6 2 2 2" xfId="153"/>
    <cellStyle name="Normal 2 6 2 2 2 2" xfId="194"/>
    <cellStyle name="Normal 2 6 2 2 2 2 2" xfId="330"/>
    <cellStyle name="Normal 2 6 2 2 2 2 3" xfId="453"/>
    <cellStyle name="Normal 2 6 2 2 2 2 4" xfId="549"/>
    <cellStyle name="Normal 2 6 2 2 2 2 5" xfId="53820"/>
    <cellStyle name="Normal 2 6 2 2 2 3" xfId="235"/>
    <cellStyle name="Normal 2 6 2 2 2 3 2" xfId="371"/>
    <cellStyle name="Normal 2 6 2 2 2 3 3" xfId="494"/>
    <cellStyle name="Normal 2 6 2 2 2 3 4" xfId="550"/>
    <cellStyle name="Normal 2 6 2 2 2 3 5" xfId="53861"/>
    <cellStyle name="Normal 2 6 2 2 2 4" xfId="289"/>
    <cellStyle name="Normal 2 6 2 2 2 5" xfId="412"/>
    <cellStyle name="Normal 2 6 2 2 2 6" xfId="535"/>
    <cellStyle name="Normal 2 6 2 2 2 7" xfId="548"/>
    <cellStyle name="Normal 2 6 2 2 2 8" xfId="53736"/>
    <cellStyle name="Normal 2 6 2 2 2 9" xfId="53749"/>
    <cellStyle name="Normal 2 6 2 2 3" xfId="171"/>
    <cellStyle name="Normal 2 6 2 2 3 2" xfId="307"/>
    <cellStyle name="Normal 2 6 2 2 3 3" xfId="430"/>
    <cellStyle name="Normal 2 6 2 2 3 4" xfId="551"/>
    <cellStyle name="Normal 2 6 2 2 3 5" xfId="53797"/>
    <cellStyle name="Normal 2 6 2 2 4" xfId="212"/>
    <cellStyle name="Normal 2 6 2 2 4 2" xfId="348"/>
    <cellStyle name="Normal 2 6 2 2 4 3" xfId="471"/>
    <cellStyle name="Normal 2 6 2 2 4 4" xfId="552"/>
    <cellStyle name="Normal 2 6 2 2 4 5" xfId="53838"/>
    <cellStyle name="Normal 2 6 2 2 5" xfId="266"/>
    <cellStyle name="Normal 2 6 2 2 6" xfId="389"/>
    <cellStyle name="Normal 2 6 2 2 7" xfId="512"/>
    <cellStyle name="Normal 2 6 2 2 8" xfId="547"/>
    <cellStyle name="Normal 2 6 2 2 9" xfId="17095"/>
    <cellStyle name="Normal 2 6 2 3" xfId="120"/>
    <cellStyle name="Normal 2 6 2 3 10" xfId="53717"/>
    <cellStyle name="Normal 2 6 2 3 11" xfId="53750"/>
    <cellStyle name="Normal 2 6 2 3 2" xfId="157"/>
    <cellStyle name="Normal 2 6 2 3 2 2" xfId="198"/>
    <cellStyle name="Normal 2 6 2 3 2 2 2" xfId="334"/>
    <cellStyle name="Normal 2 6 2 3 2 2 3" xfId="457"/>
    <cellStyle name="Normal 2 6 2 3 2 2 4" xfId="555"/>
    <cellStyle name="Normal 2 6 2 3 2 2 5" xfId="53824"/>
    <cellStyle name="Normal 2 6 2 3 2 3" xfId="239"/>
    <cellStyle name="Normal 2 6 2 3 2 3 2" xfId="375"/>
    <cellStyle name="Normal 2 6 2 3 2 3 3" xfId="498"/>
    <cellStyle name="Normal 2 6 2 3 2 3 4" xfId="556"/>
    <cellStyle name="Normal 2 6 2 3 2 3 5" xfId="53865"/>
    <cellStyle name="Normal 2 6 2 3 2 4" xfId="293"/>
    <cellStyle name="Normal 2 6 2 3 2 5" xfId="416"/>
    <cellStyle name="Normal 2 6 2 3 2 6" xfId="539"/>
    <cellStyle name="Normal 2 6 2 3 2 7" xfId="554"/>
    <cellStyle name="Normal 2 6 2 3 2 8" xfId="53740"/>
    <cellStyle name="Normal 2 6 2 3 2 9" xfId="53751"/>
    <cellStyle name="Normal 2 6 2 3 3" xfId="175"/>
    <cellStyle name="Normal 2 6 2 3 3 2" xfId="311"/>
    <cellStyle name="Normal 2 6 2 3 3 3" xfId="434"/>
    <cellStyle name="Normal 2 6 2 3 3 4" xfId="557"/>
    <cellStyle name="Normal 2 6 2 3 3 5" xfId="53801"/>
    <cellStyle name="Normal 2 6 2 3 4" xfId="216"/>
    <cellStyle name="Normal 2 6 2 3 4 2" xfId="352"/>
    <cellStyle name="Normal 2 6 2 3 4 3" xfId="475"/>
    <cellStyle name="Normal 2 6 2 3 4 4" xfId="558"/>
    <cellStyle name="Normal 2 6 2 3 4 5" xfId="53842"/>
    <cellStyle name="Normal 2 6 2 3 5" xfId="270"/>
    <cellStyle name="Normal 2 6 2 3 6" xfId="393"/>
    <cellStyle name="Normal 2 6 2 3 7" xfId="516"/>
    <cellStyle name="Normal 2 6 2 3 8" xfId="553"/>
    <cellStyle name="Normal 2 6 2 3 9" xfId="53700"/>
    <cellStyle name="Normal 2 6 2 4" xfId="124"/>
    <cellStyle name="Normal 2 6 2 4 10" xfId="53721"/>
    <cellStyle name="Normal 2 6 2 4 11" xfId="53752"/>
    <cellStyle name="Normal 2 6 2 4 2" xfId="161"/>
    <cellStyle name="Normal 2 6 2 4 2 2" xfId="202"/>
    <cellStyle name="Normal 2 6 2 4 2 2 2" xfId="338"/>
    <cellStyle name="Normal 2 6 2 4 2 2 3" xfId="461"/>
    <cellStyle name="Normal 2 6 2 4 2 2 4" xfId="561"/>
    <cellStyle name="Normal 2 6 2 4 2 2 5" xfId="53828"/>
    <cellStyle name="Normal 2 6 2 4 2 3" xfId="243"/>
    <cellStyle name="Normal 2 6 2 4 2 3 2" xfId="379"/>
    <cellStyle name="Normal 2 6 2 4 2 3 3" xfId="502"/>
    <cellStyle name="Normal 2 6 2 4 2 3 4" xfId="562"/>
    <cellStyle name="Normal 2 6 2 4 2 3 5" xfId="53869"/>
    <cellStyle name="Normal 2 6 2 4 2 4" xfId="297"/>
    <cellStyle name="Normal 2 6 2 4 2 5" xfId="420"/>
    <cellStyle name="Normal 2 6 2 4 2 6" xfId="543"/>
    <cellStyle name="Normal 2 6 2 4 2 7" xfId="560"/>
    <cellStyle name="Normal 2 6 2 4 2 8" xfId="53744"/>
    <cellStyle name="Normal 2 6 2 4 2 9" xfId="53753"/>
    <cellStyle name="Normal 2 6 2 4 3" xfId="179"/>
    <cellStyle name="Normal 2 6 2 4 3 2" xfId="315"/>
    <cellStyle name="Normal 2 6 2 4 3 3" xfId="438"/>
    <cellStyle name="Normal 2 6 2 4 3 4" xfId="563"/>
    <cellStyle name="Normal 2 6 2 4 3 5" xfId="53805"/>
    <cellStyle name="Normal 2 6 2 4 4" xfId="220"/>
    <cellStyle name="Normal 2 6 2 4 4 2" xfId="356"/>
    <cellStyle name="Normal 2 6 2 4 4 3" xfId="479"/>
    <cellStyle name="Normal 2 6 2 4 4 4" xfId="564"/>
    <cellStyle name="Normal 2 6 2 4 4 5" xfId="53846"/>
    <cellStyle name="Normal 2 6 2 4 5" xfId="274"/>
    <cellStyle name="Normal 2 6 2 4 6" xfId="397"/>
    <cellStyle name="Normal 2 6 2 4 7" xfId="520"/>
    <cellStyle name="Normal 2 6 2 4 8" xfId="559"/>
    <cellStyle name="Normal 2 6 2 4 9" xfId="53701"/>
    <cellStyle name="Normal 2 6 2 5" xfId="147"/>
    <cellStyle name="Normal 2 6 2 5 2" xfId="188"/>
    <cellStyle name="Normal 2 6 2 5 2 2" xfId="324"/>
    <cellStyle name="Normal 2 6 2 5 2 3" xfId="447"/>
    <cellStyle name="Normal 2 6 2 5 2 4" xfId="566"/>
    <cellStyle name="Normal 2 6 2 5 2 5" xfId="53814"/>
    <cellStyle name="Normal 2 6 2 5 3" xfId="229"/>
    <cellStyle name="Normal 2 6 2 5 3 2" xfId="365"/>
    <cellStyle name="Normal 2 6 2 5 3 3" xfId="488"/>
    <cellStyle name="Normal 2 6 2 5 3 4" xfId="567"/>
    <cellStyle name="Normal 2 6 2 5 3 5" xfId="53855"/>
    <cellStyle name="Normal 2 6 2 5 4" xfId="283"/>
    <cellStyle name="Normal 2 6 2 5 5" xfId="406"/>
    <cellStyle name="Normal 2 6 2 5 6" xfId="529"/>
    <cellStyle name="Normal 2 6 2 5 7" xfId="565"/>
    <cellStyle name="Normal 2 6 2 5 8" xfId="53730"/>
    <cellStyle name="Normal 2 6 2 5 9" xfId="53754"/>
    <cellStyle name="Normal 2 6 2 6" xfId="143"/>
    <cellStyle name="Normal 2 6 2 6 2" xfId="184"/>
    <cellStyle name="Normal 2 6 2 6 2 2" xfId="320"/>
    <cellStyle name="Normal 2 6 2 6 2 3" xfId="443"/>
    <cellStyle name="Normal 2 6 2 6 2 4" xfId="569"/>
    <cellStyle name="Normal 2 6 2 6 2 5" xfId="53810"/>
    <cellStyle name="Normal 2 6 2 6 3" xfId="225"/>
    <cellStyle name="Normal 2 6 2 6 3 2" xfId="361"/>
    <cellStyle name="Normal 2 6 2 6 3 3" xfId="484"/>
    <cellStyle name="Normal 2 6 2 6 3 4" xfId="570"/>
    <cellStyle name="Normal 2 6 2 6 3 5" xfId="53851"/>
    <cellStyle name="Normal 2 6 2 6 4" xfId="279"/>
    <cellStyle name="Normal 2 6 2 6 5" xfId="402"/>
    <cellStyle name="Normal 2 6 2 6 6" xfId="525"/>
    <cellStyle name="Normal 2 6 2 6 7" xfId="568"/>
    <cellStyle name="Normal 2 6 2 6 8" xfId="53726"/>
    <cellStyle name="Normal 2 6 2 6 9" xfId="53755"/>
    <cellStyle name="Normal 2 6 2 7" xfId="165"/>
    <cellStyle name="Normal 2 6 2 7 2" xfId="301"/>
    <cellStyle name="Normal 2 6 2 7 3" xfId="424"/>
    <cellStyle name="Normal 2 6 2 7 4" xfId="571"/>
    <cellStyle name="Normal 2 6 2 7 5" xfId="53791"/>
    <cellStyle name="Normal 2 6 2 8" xfId="206"/>
    <cellStyle name="Normal 2 6 2 8 2" xfId="342"/>
    <cellStyle name="Normal 2 6 2 8 3" xfId="465"/>
    <cellStyle name="Normal 2 6 2 8 4" xfId="572"/>
    <cellStyle name="Normal 2 6 2 8 5" xfId="53832"/>
    <cellStyle name="Normal 2 6 2 9" xfId="260"/>
    <cellStyle name="Normal 2 6 3" xfId="111"/>
    <cellStyle name="Normal 2 6 3 10" xfId="53708"/>
    <cellStyle name="Normal 2 6 3 11" xfId="53756"/>
    <cellStyle name="Normal 2 6 3 2" xfId="148"/>
    <cellStyle name="Normal 2 6 3 2 10" xfId="53757"/>
    <cellStyle name="Normal 2 6 3 2 2" xfId="189"/>
    <cellStyle name="Normal 2 6 3 2 2 2" xfId="325"/>
    <cellStyle name="Normal 2 6 3 2 2 3" xfId="448"/>
    <cellStyle name="Normal 2 6 3 2 2 4" xfId="575"/>
    <cellStyle name="Normal 2 6 3 2 2 5" xfId="17098"/>
    <cellStyle name="Normal 2 6 3 2 2 6" xfId="53815"/>
    <cellStyle name="Normal 2 6 3 2 3" xfId="230"/>
    <cellStyle name="Normal 2 6 3 2 3 2" xfId="366"/>
    <cellStyle name="Normal 2 6 3 2 3 3" xfId="489"/>
    <cellStyle name="Normal 2 6 3 2 3 4" xfId="576"/>
    <cellStyle name="Normal 2 6 3 2 3 5" xfId="53856"/>
    <cellStyle name="Normal 2 6 3 2 4" xfId="284"/>
    <cellStyle name="Normal 2 6 3 2 5" xfId="407"/>
    <cellStyle name="Normal 2 6 3 2 6" xfId="530"/>
    <cellStyle name="Normal 2 6 3 2 7" xfId="574"/>
    <cellStyle name="Normal 2 6 3 2 8" xfId="17097"/>
    <cellStyle name="Normal 2 6 3 2 9" xfId="53731"/>
    <cellStyle name="Normal 2 6 3 3" xfId="166"/>
    <cellStyle name="Normal 2 6 3 3 2" xfId="302"/>
    <cellStyle name="Normal 2 6 3 3 3" xfId="425"/>
    <cellStyle name="Normal 2 6 3 3 4" xfId="577"/>
    <cellStyle name="Normal 2 6 3 3 5" xfId="17099"/>
    <cellStyle name="Normal 2 6 3 3 6" xfId="53792"/>
    <cellStyle name="Normal 2 6 3 4" xfId="207"/>
    <cellStyle name="Normal 2 6 3 4 2" xfId="343"/>
    <cellStyle name="Normal 2 6 3 4 3" xfId="466"/>
    <cellStyle name="Normal 2 6 3 4 4" xfId="578"/>
    <cellStyle name="Normal 2 6 3 4 5" xfId="53833"/>
    <cellStyle name="Normal 2 6 3 5" xfId="261"/>
    <cellStyle name="Normal 2 6 3 6" xfId="384"/>
    <cellStyle name="Normal 2 6 3 7" xfId="507"/>
    <cellStyle name="Normal 2 6 3 8" xfId="573"/>
    <cellStyle name="Normal 2 6 3 9" xfId="17096"/>
    <cellStyle name="Normal 2 6 4" xfId="114"/>
    <cellStyle name="Normal 2 6 4 10" xfId="53711"/>
    <cellStyle name="Normal 2 6 4 11" xfId="53758"/>
    <cellStyle name="Normal 2 6 4 2" xfId="151"/>
    <cellStyle name="Normal 2 6 4 2 10" xfId="53759"/>
    <cellStyle name="Normal 2 6 4 2 2" xfId="192"/>
    <cellStyle name="Normal 2 6 4 2 2 2" xfId="328"/>
    <cellStyle name="Normal 2 6 4 2 2 3" xfId="451"/>
    <cellStyle name="Normal 2 6 4 2 2 4" xfId="581"/>
    <cellStyle name="Normal 2 6 4 2 2 5" xfId="17102"/>
    <cellStyle name="Normal 2 6 4 2 2 6" xfId="53818"/>
    <cellStyle name="Normal 2 6 4 2 3" xfId="233"/>
    <cellStyle name="Normal 2 6 4 2 3 2" xfId="369"/>
    <cellStyle name="Normal 2 6 4 2 3 3" xfId="492"/>
    <cellStyle name="Normal 2 6 4 2 3 4" xfId="582"/>
    <cellStyle name="Normal 2 6 4 2 3 5" xfId="53859"/>
    <cellStyle name="Normal 2 6 4 2 4" xfId="287"/>
    <cellStyle name="Normal 2 6 4 2 5" xfId="410"/>
    <cellStyle name="Normal 2 6 4 2 6" xfId="533"/>
    <cellStyle name="Normal 2 6 4 2 7" xfId="580"/>
    <cellStyle name="Normal 2 6 4 2 8" xfId="17101"/>
    <cellStyle name="Normal 2 6 4 2 9" xfId="53734"/>
    <cellStyle name="Normal 2 6 4 3" xfId="169"/>
    <cellStyle name="Normal 2 6 4 3 2" xfId="305"/>
    <cellStyle name="Normal 2 6 4 3 3" xfId="428"/>
    <cellStyle name="Normal 2 6 4 3 4" xfId="583"/>
    <cellStyle name="Normal 2 6 4 3 5" xfId="17103"/>
    <cellStyle name="Normal 2 6 4 3 6" xfId="53795"/>
    <cellStyle name="Normal 2 6 4 4" xfId="210"/>
    <cellStyle name="Normal 2 6 4 4 2" xfId="346"/>
    <cellStyle name="Normal 2 6 4 4 3" xfId="469"/>
    <cellStyle name="Normal 2 6 4 4 4" xfId="584"/>
    <cellStyle name="Normal 2 6 4 4 5" xfId="53836"/>
    <cellStyle name="Normal 2 6 4 5" xfId="264"/>
    <cellStyle name="Normal 2 6 4 6" xfId="387"/>
    <cellStyle name="Normal 2 6 4 7" xfId="510"/>
    <cellStyle name="Normal 2 6 4 8" xfId="579"/>
    <cellStyle name="Normal 2 6 4 9" xfId="17100"/>
    <cellStyle name="Normal 2 6 5" xfId="118"/>
    <cellStyle name="Normal 2 6 5 10" xfId="53715"/>
    <cellStyle name="Normal 2 6 5 11" xfId="53760"/>
    <cellStyle name="Normal 2 6 5 2" xfId="155"/>
    <cellStyle name="Normal 2 6 5 2 2" xfId="196"/>
    <cellStyle name="Normal 2 6 5 2 2 2" xfId="332"/>
    <cellStyle name="Normal 2 6 5 2 2 3" xfId="455"/>
    <cellStyle name="Normal 2 6 5 2 2 4" xfId="587"/>
    <cellStyle name="Normal 2 6 5 2 2 5" xfId="53822"/>
    <cellStyle name="Normal 2 6 5 2 3" xfId="237"/>
    <cellStyle name="Normal 2 6 5 2 3 2" xfId="373"/>
    <cellStyle name="Normal 2 6 5 2 3 3" xfId="496"/>
    <cellStyle name="Normal 2 6 5 2 3 4" xfId="588"/>
    <cellStyle name="Normal 2 6 5 2 3 5" xfId="53863"/>
    <cellStyle name="Normal 2 6 5 2 4" xfId="291"/>
    <cellStyle name="Normal 2 6 5 2 5" xfId="414"/>
    <cellStyle name="Normal 2 6 5 2 6" xfId="537"/>
    <cellStyle name="Normal 2 6 5 2 7" xfId="586"/>
    <cellStyle name="Normal 2 6 5 2 8" xfId="53738"/>
    <cellStyle name="Normal 2 6 5 2 9" xfId="53761"/>
    <cellStyle name="Normal 2 6 5 3" xfId="173"/>
    <cellStyle name="Normal 2 6 5 3 2" xfId="309"/>
    <cellStyle name="Normal 2 6 5 3 3" xfId="432"/>
    <cellStyle name="Normal 2 6 5 3 4" xfId="589"/>
    <cellStyle name="Normal 2 6 5 3 5" xfId="53799"/>
    <cellStyle name="Normal 2 6 5 4" xfId="214"/>
    <cellStyle name="Normal 2 6 5 4 2" xfId="350"/>
    <cellStyle name="Normal 2 6 5 4 3" xfId="473"/>
    <cellStyle name="Normal 2 6 5 4 4" xfId="590"/>
    <cellStyle name="Normal 2 6 5 4 5" xfId="53840"/>
    <cellStyle name="Normal 2 6 5 5" xfId="268"/>
    <cellStyle name="Normal 2 6 5 6" xfId="391"/>
    <cellStyle name="Normal 2 6 5 7" xfId="514"/>
    <cellStyle name="Normal 2 6 5 8" xfId="585"/>
    <cellStyle name="Normal 2 6 5 9" xfId="17104"/>
    <cellStyle name="Normal 2 6 6" xfId="122"/>
    <cellStyle name="Normal 2 6 6 10" xfId="53719"/>
    <cellStyle name="Normal 2 6 6 11" xfId="53762"/>
    <cellStyle name="Normal 2 6 6 2" xfId="159"/>
    <cellStyle name="Normal 2 6 6 2 2" xfId="200"/>
    <cellStyle name="Normal 2 6 6 2 2 2" xfId="336"/>
    <cellStyle name="Normal 2 6 6 2 2 3" xfId="459"/>
    <cellStyle name="Normal 2 6 6 2 2 4" xfId="593"/>
    <cellStyle name="Normal 2 6 6 2 2 5" xfId="53826"/>
    <cellStyle name="Normal 2 6 6 2 3" xfId="241"/>
    <cellStyle name="Normal 2 6 6 2 3 2" xfId="377"/>
    <cellStyle name="Normal 2 6 6 2 3 3" xfId="500"/>
    <cellStyle name="Normal 2 6 6 2 3 4" xfId="594"/>
    <cellStyle name="Normal 2 6 6 2 3 5" xfId="53867"/>
    <cellStyle name="Normal 2 6 6 2 4" xfId="295"/>
    <cellStyle name="Normal 2 6 6 2 5" xfId="418"/>
    <cellStyle name="Normal 2 6 6 2 6" xfId="541"/>
    <cellStyle name="Normal 2 6 6 2 7" xfId="592"/>
    <cellStyle name="Normal 2 6 6 2 8" xfId="53742"/>
    <cellStyle name="Normal 2 6 6 2 9" xfId="53763"/>
    <cellStyle name="Normal 2 6 6 3" xfId="177"/>
    <cellStyle name="Normal 2 6 6 3 2" xfId="313"/>
    <cellStyle name="Normal 2 6 6 3 3" xfId="436"/>
    <cellStyle name="Normal 2 6 6 3 4" xfId="595"/>
    <cellStyle name="Normal 2 6 6 3 5" xfId="53803"/>
    <cellStyle name="Normal 2 6 6 4" xfId="218"/>
    <cellStyle name="Normal 2 6 6 4 2" xfId="354"/>
    <cellStyle name="Normal 2 6 6 4 3" xfId="477"/>
    <cellStyle name="Normal 2 6 6 4 4" xfId="596"/>
    <cellStyle name="Normal 2 6 6 4 5" xfId="53844"/>
    <cellStyle name="Normal 2 6 6 5" xfId="272"/>
    <cellStyle name="Normal 2 6 6 6" xfId="395"/>
    <cellStyle name="Normal 2 6 6 7" xfId="518"/>
    <cellStyle name="Normal 2 6 6 8" xfId="591"/>
    <cellStyle name="Normal 2 6 6 9" xfId="53702"/>
    <cellStyle name="Normal 2 6 7" xfId="145"/>
    <cellStyle name="Normal 2 6 7 2" xfId="186"/>
    <cellStyle name="Normal 2 6 7 2 2" xfId="322"/>
    <cellStyle name="Normal 2 6 7 2 3" xfId="445"/>
    <cellStyle name="Normal 2 6 7 2 4" xfId="598"/>
    <cellStyle name="Normal 2 6 7 2 5" xfId="53812"/>
    <cellStyle name="Normal 2 6 7 3" xfId="227"/>
    <cellStyle name="Normal 2 6 7 3 2" xfId="363"/>
    <cellStyle name="Normal 2 6 7 3 3" xfId="486"/>
    <cellStyle name="Normal 2 6 7 3 4" xfId="599"/>
    <cellStyle name="Normal 2 6 7 3 5" xfId="53853"/>
    <cellStyle name="Normal 2 6 7 4" xfId="281"/>
    <cellStyle name="Normal 2 6 7 5" xfId="404"/>
    <cellStyle name="Normal 2 6 7 6" xfId="527"/>
    <cellStyle name="Normal 2 6 7 7" xfId="597"/>
    <cellStyle name="Normal 2 6 7 8" xfId="53728"/>
    <cellStyle name="Normal 2 6 7 9" xfId="53764"/>
    <cellStyle name="Normal 2 6 8" xfId="137"/>
    <cellStyle name="Normal 2 6 8 2" xfId="181"/>
    <cellStyle name="Normal 2 6 8 2 2" xfId="317"/>
    <cellStyle name="Normal 2 6 8 2 3" xfId="440"/>
    <cellStyle name="Normal 2 6 8 2 4" xfId="601"/>
    <cellStyle name="Normal 2 6 8 2 5" xfId="53807"/>
    <cellStyle name="Normal 2 6 8 3" xfId="222"/>
    <cellStyle name="Normal 2 6 8 3 2" xfId="358"/>
    <cellStyle name="Normal 2 6 8 3 3" xfId="481"/>
    <cellStyle name="Normal 2 6 8 3 4" xfId="602"/>
    <cellStyle name="Normal 2 6 8 3 5" xfId="53848"/>
    <cellStyle name="Normal 2 6 8 4" xfId="276"/>
    <cellStyle name="Normal 2 6 8 5" xfId="399"/>
    <cellStyle name="Normal 2 6 8 6" xfId="522"/>
    <cellStyle name="Normal 2 6 8 7" xfId="600"/>
    <cellStyle name="Normal 2 6 8 8" xfId="53723"/>
    <cellStyle name="Normal 2 6 8 9" xfId="53765"/>
    <cellStyle name="Normal 2 6 9" xfId="163"/>
    <cellStyle name="Normal 2 6 9 2" xfId="299"/>
    <cellStyle name="Normal 2 6 9 3" xfId="422"/>
    <cellStyle name="Normal 2 6 9 4" xfId="603"/>
    <cellStyle name="Normal 2 6 9 5" xfId="53789"/>
    <cellStyle name="Normal 2 7" xfId="127"/>
    <cellStyle name="Normal 2 7 2" xfId="17105"/>
    <cellStyle name="Normal 2 7 2 2" xfId="17106"/>
    <cellStyle name="Normal 2 7 3" xfId="17107"/>
    <cellStyle name="Normal 2 8" xfId="17108"/>
    <cellStyle name="Normal 2 8 2" xfId="17109"/>
    <cellStyle name="Normal 2 8 2 2" xfId="17110"/>
    <cellStyle name="Normal 2 8 3" xfId="17111"/>
    <cellStyle name="Normal 2 9" xfId="17112"/>
    <cellStyle name="Normal 2 9 2" xfId="17113"/>
    <cellStyle name="Normal 2_Action Item List 01.27.10" xfId="17114"/>
    <cellStyle name="Normal 20" xfId="17115"/>
    <cellStyle name="Normal 20 2" xfId="17116"/>
    <cellStyle name="Normal 20 2 2" xfId="17117"/>
    <cellStyle name="Normal 20 2 2 2" xfId="17118"/>
    <cellStyle name="Normal 20 2 2 2 2" xfId="17119"/>
    <cellStyle name="Normal 20 2 2 3" xfId="17120"/>
    <cellStyle name="Normal 20 2 2 3 2" xfId="17121"/>
    <cellStyle name="Normal 20 2 2 3 2 2" xfId="17122"/>
    <cellStyle name="Normal 20 2 2 3 3" xfId="17123"/>
    <cellStyle name="Normal 20 2 2 4" xfId="17124"/>
    <cellStyle name="Normal 20 2 2 4 2" xfId="17125"/>
    <cellStyle name="Normal 20 2 2 4 2 2" xfId="17126"/>
    <cellStyle name="Normal 20 2 2 4 3" xfId="17127"/>
    <cellStyle name="Normal 20 2 2 5" xfId="17128"/>
    <cellStyle name="Normal 20 2 3" xfId="17129"/>
    <cellStyle name="Normal 20 2 3 2" xfId="17130"/>
    <cellStyle name="Normal 20 2 3 2 2" xfId="17131"/>
    <cellStyle name="Normal 20 2 3 3" xfId="17132"/>
    <cellStyle name="Normal 20 2 4" xfId="17133"/>
    <cellStyle name="Normal 20 2 4 2" xfId="17134"/>
    <cellStyle name="Normal 20 2 4 2 2" xfId="17135"/>
    <cellStyle name="Normal 20 2 4 3" xfId="17136"/>
    <cellStyle name="Normal 20 2 5" xfId="17137"/>
    <cellStyle name="Normal 20 2 5 2" xfId="17138"/>
    <cellStyle name="Normal 20 2 5 2 2" xfId="17139"/>
    <cellStyle name="Normal 20 2 5 3" xfId="17140"/>
    <cellStyle name="Normal 20 2 6" xfId="17141"/>
    <cellStyle name="Normal 20 3" xfId="17142"/>
    <cellStyle name="Normal 20 3 2" xfId="17143"/>
    <cellStyle name="Normal 20 3 2 2" xfId="17144"/>
    <cellStyle name="Normal 20 3 3" xfId="17145"/>
    <cellStyle name="Normal 20 3 3 2" xfId="17146"/>
    <cellStyle name="Normal 20 3 3 2 2" xfId="17147"/>
    <cellStyle name="Normal 20 3 3 3" xfId="17148"/>
    <cellStyle name="Normal 20 3 4" xfId="17149"/>
    <cellStyle name="Normal 20 3 4 2" xfId="17150"/>
    <cellStyle name="Normal 20 3 4 2 2" xfId="17151"/>
    <cellStyle name="Normal 20 3 4 3" xfId="17152"/>
    <cellStyle name="Normal 20 3 5" xfId="17153"/>
    <cellStyle name="Normal 20 4" xfId="17154"/>
    <cellStyle name="Normal 20 4 2" xfId="17155"/>
    <cellStyle name="Normal 20 4 2 2" xfId="17156"/>
    <cellStyle name="Normal 20 4 2 2 2" xfId="17157"/>
    <cellStyle name="Normal 20 4 2 3" xfId="17158"/>
    <cellStyle name="Normal 20 4 2 3 2" xfId="17159"/>
    <cellStyle name="Normal 20 4 2 3 2 2" xfId="17160"/>
    <cellStyle name="Normal 20 4 2 3 3" xfId="17161"/>
    <cellStyle name="Normal 20 4 2 4" xfId="17162"/>
    <cellStyle name="Normal 20 4 3" xfId="17163"/>
    <cellStyle name="Normal 20 4 3 2" xfId="17164"/>
    <cellStyle name="Normal 20 4 3 2 2" xfId="17165"/>
    <cellStyle name="Normal 20 4 3 3" xfId="17166"/>
    <cellStyle name="Normal 20 4 4" xfId="17167"/>
    <cellStyle name="Normal 20 4 4 2" xfId="17168"/>
    <cellStyle name="Normal 20 4 4 2 2" xfId="17169"/>
    <cellStyle name="Normal 20 4 4 3" xfId="17170"/>
    <cellStyle name="Normal 20 4 5" xfId="17171"/>
    <cellStyle name="Normal 20 4 5 2" xfId="17172"/>
    <cellStyle name="Normal 20 4 5 2 2" xfId="17173"/>
    <cellStyle name="Normal 20 4 5 3" xfId="17174"/>
    <cellStyle name="Normal 20 4 6" xfId="17175"/>
    <cellStyle name="Normal 20 5" xfId="17176"/>
    <cellStyle name="Normal 200" xfId="17177"/>
    <cellStyle name="Normal 200 2" xfId="17178"/>
    <cellStyle name="Normal 200 2 2" xfId="17179"/>
    <cellStyle name="Normal 200 2 2 2" xfId="17180"/>
    <cellStyle name="Normal 200 2 2 2 2" xfId="17181"/>
    <cellStyle name="Normal 200 2 2 3" xfId="17182"/>
    <cellStyle name="Normal 200 2 2 3 2" xfId="17183"/>
    <cellStyle name="Normal 200 2 2 3 2 2" xfId="17184"/>
    <cellStyle name="Normal 200 2 2 3 3" xfId="17185"/>
    <cellStyle name="Normal 200 2 2 4" xfId="17186"/>
    <cellStyle name="Normal 200 2 2 4 2" xfId="17187"/>
    <cellStyle name="Normal 200 2 2 4 2 2" xfId="17188"/>
    <cellStyle name="Normal 200 2 2 4 3" xfId="17189"/>
    <cellStyle name="Normal 200 2 2 5" xfId="17190"/>
    <cellStyle name="Normal 200 2 3" xfId="17191"/>
    <cellStyle name="Normal 200 2 3 2" xfId="17192"/>
    <cellStyle name="Normal 200 2 3 2 2" xfId="17193"/>
    <cellStyle name="Normal 200 2 3 2 2 2" xfId="17194"/>
    <cellStyle name="Normal 200 2 3 2 3" xfId="17195"/>
    <cellStyle name="Normal 200 2 3 2 3 2" xfId="17196"/>
    <cellStyle name="Normal 200 2 3 2 3 2 2" xfId="17197"/>
    <cellStyle name="Normal 200 2 3 2 3 3" xfId="17198"/>
    <cellStyle name="Normal 200 2 3 2 4" xfId="17199"/>
    <cellStyle name="Normal 200 2 3 3" xfId="17200"/>
    <cellStyle name="Normal 200 2 3 3 2" xfId="17201"/>
    <cellStyle name="Normal 200 2 3 3 2 2" xfId="17202"/>
    <cellStyle name="Normal 200 2 3 3 3" xfId="17203"/>
    <cellStyle name="Normal 200 2 3 4" xfId="17204"/>
    <cellStyle name="Normal 200 2 3 4 2" xfId="17205"/>
    <cellStyle name="Normal 200 2 3 4 2 2" xfId="17206"/>
    <cellStyle name="Normal 200 2 3 4 3" xfId="17207"/>
    <cellStyle name="Normal 200 2 3 5" xfId="17208"/>
    <cellStyle name="Normal 200 2 3 5 2" xfId="17209"/>
    <cellStyle name="Normal 200 2 3 5 2 2" xfId="17210"/>
    <cellStyle name="Normal 200 2 3 5 3" xfId="17211"/>
    <cellStyle name="Normal 200 2 3 6" xfId="17212"/>
    <cellStyle name="Normal 200 2 4" xfId="17213"/>
    <cellStyle name="Normal 200 2 4 2" xfId="17214"/>
    <cellStyle name="Normal 200 2 4 2 2" xfId="17215"/>
    <cellStyle name="Normal 200 2 4 3" xfId="17216"/>
    <cellStyle name="Normal 200 2 5" xfId="17217"/>
    <cellStyle name="Normal 200 2 5 2" xfId="17218"/>
    <cellStyle name="Normal 200 2 5 2 2" xfId="17219"/>
    <cellStyle name="Normal 200 2 5 3" xfId="17220"/>
    <cellStyle name="Normal 200 2 6" xfId="17221"/>
    <cellStyle name="Normal 200 2 6 2" xfId="17222"/>
    <cellStyle name="Normal 200 2 6 2 2" xfId="17223"/>
    <cellStyle name="Normal 200 2 6 3" xfId="17224"/>
    <cellStyle name="Normal 200 2 7" xfId="17225"/>
    <cellStyle name="Normal 200 3" xfId="17226"/>
    <cellStyle name="Normal 200 3 2" xfId="17227"/>
    <cellStyle name="Normal 200 3 2 2" xfId="17228"/>
    <cellStyle name="Normal 200 3 3" xfId="17229"/>
    <cellStyle name="Normal 200 3 3 2" xfId="17230"/>
    <cellStyle name="Normal 200 3 3 2 2" xfId="17231"/>
    <cellStyle name="Normal 200 3 3 3" xfId="17232"/>
    <cellStyle name="Normal 200 3 4" xfId="17233"/>
    <cellStyle name="Normal 200 3 4 2" xfId="17234"/>
    <cellStyle name="Normal 200 3 4 2 2" xfId="17235"/>
    <cellStyle name="Normal 200 3 4 3" xfId="17236"/>
    <cellStyle name="Normal 200 3 5" xfId="17237"/>
    <cellStyle name="Normal 200 4" xfId="17238"/>
    <cellStyle name="Normal 200 4 2" xfId="17239"/>
    <cellStyle name="Normal 200 4 2 2" xfId="17240"/>
    <cellStyle name="Normal 200 4 2 2 2" xfId="17241"/>
    <cellStyle name="Normal 200 4 2 3" xfId="17242"/>
    <cellStyle name="Normal 200 4 2 3 2" xfId="17243"/>
    <cellStyle name="Normal 200 4 2 3 2 2" xfId="17244"/>
    <cellStyle name="Normal 200 4 2 3 3" xfId="17245"/>
    <cellStyle name="Normal 200 4 2 4" xfId="17246"/>
    <cellStyle name="Normal 200 4 3" xfId="17247"/>
    <cellStyle name="Normal 200 4 3 2" xfId="17248"/>
    <cellStyle name="Normal 200 4 3 2 2" xfId="17249"/>
    <cellStyle name="Normal 200 4 3 3" xfId="17250"/>
    <cellStyle name="Normal 200 4 4" xfId="17251"/>
    <cellStyle name="Normal 200 4 4 2" xfId="17252"/>
    <cellStyle name="Normal 200 4 4 2 2" xfId="17253"/>
    <cellStyle name="Normal 200 4 4 3" xfId="17254"/>
    <cellStyle name="Normal 200 4 5" xfId="17255"/>
    <cellStyle name="Normal 200 4 5 2" xfId="17256"/>
    <cellStyle name="Normal 200 4 5 2 2" xfId="17257"/>
    <cellStyle name="Normal 200 4 5 3" xfId="17258"/>
    <cellStyle name="Normal 200 4 6" xfId="17259"/>
    <cellStyle name="Normal 200 5" xfId="17260"/>
    <cellStyle name="Normal 200 5 2" xfId="17261"/>
    <cellStyle name="Normal 200 5 2 2" xfId="17262"/>
    <cellStyle name="Normal 200 5 3" xfId="17263"/>
    <cellStyle name="Normal 200 6" xfId="17264"/>
    <cellStyle name="Normal 200 6 2" xfId="17265"/>
    <cellStyle name="Normal 200 6 2 2" xfId="17266"/>
    <cellStyle name="Normal 200 6 3" xfId="17267"/>
    <cellStyle name="Normal 200 7" xfId="17268"/>
    <cellStyle name="Normal 200 7 2" xfId="17269"/>
    <cellStyle name="Normal 200 7 2 2" xfId="17270"/>
    <cellStyle name="Normal 200 7 3" xfId="17271"/>
    <cellStyle name="Normal 200 8" xfId="17272"/>
    <cellStyle name="Normal 201" xfId="17273"/>
    <cellStyle name="Normal 201 2" xfId="17274"/>
    <cellStyle name="Normal 201 2 2" xfId="17275"/>
    <cellStyle name="Normal 201 2 2 2" xfId="17276"/>
    <cellStyle name="Normal 201 2 2 2 2" xfId="17277"/>
    <cellStyle name="Normal 201 2 2 3" xfId="17278"/>
    <cellStyle name="Normal 201 2 2 3 2" xfId="17279"/>
    <cellStyle name="Normal 201 2 2 3 2 2" xfId="17280"/>
    <cellStyle name="Normal 201 2 2 3 3" xfId="17281"/>
    <cellStyle name="Normal 201 2 2 4" xfId="17282"/>
    <cellStyle name="Normal 201 2 2 4 2" xfId="17283"/>
    <cellStyle name="Normal 201 2 2 4 2 2" xfId="17284"/>
    <cellStyle name="Normal 201 2 2 4 3" xfId="17285"/>
    <cellStyle name="Normal 201 2 2 5" xfId="17286"/>
    <cellStyle name="Normal 201 2 3" xfId="17287"/>
    <cellStyle name="Normal 201 2 3 2" xfId="17288"/>
    <cellStyle name="Normal 201 2 3 2 2" xfId="17289"/>
    <cellStyle name="Normal 201 2 3 2 2 2" xfId="17290"/>
    <cellStyle name="Normal 201 2 3 2 3" xfId="17291"/>
    <cellStyle name="Normal 201 2 3 2 3 2" xfId="17292"/>
    <cellStyle name="Normal 201 2 3 2 3 2 2" xfId="17293"/>
    <cellStyle name="Normal 201 2 3 2 3 3" xfId="17294"/>
    <cellStyle name="Normal 201 2 3 2 4" xfId="17295"/>
    <cellStyle name="Normal 201 2 3 3" xfId="17296"/>
    <cellStyle name="Normal 201 2 3 3 2" xfId="17297"/>
    <cellStyle name="Normal 201 2 3 3 2 2" xfId="17298"/>
    <cellStyle name="Normal 201 2 3 3 3" xfId="17299"/>
    <cellStyle name="Normal 201 2 3 4" xfId="17300"/>
    <cellStyle name="Normal 201 2 3 4 2" xfId="17301"/>
    <cellStyle name="Normal 201 2 3 4 2 2" xfId="17302"/>
    <cellStyle name="Normal 201 2 3 4 3" xfId="17303"/>
    <cellStyle name="Normal 201 2 3 5" xfId="17304"/>
    <cellStyle name="Normal 201 2 3 5 2" xfId="17305"/>
    <cellStyle name="Normal 201 2 3 5 2 2" xfId="17306"/>
    <cellStyle name="Normal 201 2 3 5 3" xfId="17307"/>
    <cellStyle name="Normal 201 2 3 6" xfId="17308"/>
    <cellStyle name="Normal 201 2 4" xfId="17309"/>
    <cellStyle name="Normal 201 2 4 2" xfId="17310"/>
    <cellStyle name="Normal 201 2 4 2 2" xfId="17311"/>
    <cellStyle name="Normal 201 2 4 3" xfId="17312"/>
    <cellStyle name="Normal 201 2 5" xfId="17313"/>
    <cellStyle name="Normal 201 2 5 2" xfId="17314"/>
    <cellStyle name="Normal 201 2 5 2 2" xfId="17315"/>
    <cellStyle name="Normal 201 2 5 3" xfId="17316"/>
    <cellStyle name="Normal 201 2 6" xfId="17317"/>
    <cellStyle name="Normal 201 2 6 2" xfId="17318"/>
    <cellStyle name="Normal 201 2 6 2 2" xfId="17319"/>
    <cellStyle name="Normal 201 2 6 3" xfId="17320"/>
    <cellStyle name="Normal 201 2 7" xfId="17321"/>
    <cellStyle name="Normal 201 3" xfId="17322"/>
    <cellStyle name="Normal 201 3 2" xfId="17323"/>
    <cellStyle name="Normal 201 3 2 2" xfId="17324"/>
    <cellStyle name="Normal 201 3 3" xfId="17325"/>
    <cellStyle name="Normal 201 3 3 2" xfId="17326"/>
    <cellStyle name="Normal 201 3 3 2 2" xfId="17327"/>
    <cellStyle name="Normal 201 3 3 3" xfId="17328"/>
    <cellStyle name="Normal 201 3 4" xfId="17329"/>
    <cellStyle name="Normal 201 3 4 2" xfId="17330"/>
    <cellStyle name="Normal 201 3 4 2 2" xfId="17331"/>
    <cellStyle name="Normal 201 3 4 3" xfId="17332"/>
    <cellStyle name="Normal 201 3 5" xfId="17333"/>
    <cellStyle name="Normal 201 4" xfId="17334"/>
    <cellStyle name="Normal 201 4 2" xfId="17335"/>
    <cellStyle name="Normal 201 4 2 2" xfId="17336"/>
    <cellStyle name="Normal 201 4 2 2 2" xfId="17337"/>
    <cellStyle name="Normal 201 4 2 3" xfId="17338"/>
    <cellStyle name="Normal 201 4 2 3 2" xfId="17339"/>
    <cellStyle name="Normal 201 4 2 3 2 2" xfId="17340"/>
    <cellStyle name="Normal 201 4 2 3 3" xfId="17341"/>
    <cellStyle name="Normal 201 4 2 4" xfId="17342"/>
    <cellStyle name="Normal 201 4 3" xfId="17343"/>
    <cellStyle name="Normal 201 4 3 2" xfId="17344"/>
    <cellStyle name="Normal 201 4 3 2 2" xfId="17345"/>
    <cellStyle name="Normal 201 4 3 3" xfId="17346"/>
    <cellStyle name="Normal 201 4 4" xfId="17347"/>
    <cellStyle name="Normal 201 4 4 2" xfId="17348"/>
    <cellStyle name="Normal 201 4 4 2 2" xfId="17349"/>
    <cellStyle name="Normal 201 4 4 3" xfId="17350"/>
    <cellStyle name="Normal 201 4 5" xfId="17351"/>
    <cellStyle name="Normal 201 4 5 2" xfId="17352"/>
    <cellStyle name="Normal 201 4 5 2 2" xfId="17353"/>
    <cellStyle name="Normal 201 4 5 3" xfId="17354"/>
    <cellStyle name="Normal 201 4 6" xfId="17355"/>
    <cellStyle name="Normal 201 5" xfId="17356"/>
    <cellStyle name="Normal 201 5 2" xfId="17357"/>
    <cellStyle name="Normal 201 5 2 2" xfId="17358"/>
    <cellStyle name="Normal 201 5 3" xfId="17359"/>
    <cellStyle name="Normal 201 6" xfId="17360"/>
    <cellStyle name="Normal 201 6 2" xfId="17361"/>
    <cellStyle name="Normal 201 6 2 2" xfId="17362"/>
    <cellStyle name="Normal 201 6 3" xfId="17363"/>
    <cellStyle name="Normal 201 7" xfId="17364"/>
    <cellStyle name="Normal 201 7 2" xfId="17365"/>
    <cellStyle name="Normal 201 7 2 2" xfId="17366"/>
    <cellStyle name="Normal 201 7 3" xfId="17367"/>
    <cellStyle name="Normal 201 8" xfId="17368"/>
    <cellStyle name="Normal 202" xfId="17369"/>
    <cellStyle name="Normal 202 2" xfId="17370"/>
    <cellStyle name="Normal 202 2 2" xfId="17371"/>
    <cellStyle name="Normal 202 2 2 2" xfId="17372"/>
    <cellStyle name="Normal 202 2 2 2 2" xfId="17373"/>
    <cellStyle name="Normal 202 2 2 3" xfId="17374"/>
    <cellStyle name="Normal 202 2 2 3 2" xfId="17375"/>
    <cellStyle name="Normal 202 2 2 3 2 2" xfId="17376"/>
    <cellStyle name="Normal 202 2 2 3 3" xfId="17377"/>
    <cellStyle name="Normal 202 2 2 4" xfId="17378"/>
    <cellStyle name="Normal 202 2 2 4 2" xfId="17379"/>
    <cellStyle name="Normal 202 2 2 4 2 2" xfId="17380"/>
    <cellStyle name="Normal 202 2 2 4 3" xfId="17381"/>
    <cellStyle name="Normal 202 2 2 5" xfId="17382"/>
    <cellStyle name="Normal 202 2 3" xfId="17383"/>
    <cellStyle name="Normal 202 2 3 2" xfId="17384"/>
    <cellStyle name="Normal 202 2 3 2 2" xfId="17385"/>
    <cellStyle name="Normal 202 2 3 2 2 2" xfId="17386"/>
    <cellStyle name="Normal 202 2 3 2 3" xfId="17387"/>
    <cellStyle name="Normal 202 2 3 2 3 2" xfId="17388"/>
    <cellStyle name="Normal 202 2 3 2 3 2 2" xfId="17389"/>
    <cellStyle name="Normal 202 2 3 2 3 3" xfId="17390"/>
    <cellStyle name="Normal 202 2 3 2 4" xfId="17391"/>
    <cellStyle name="Normal 202 2 3 3" xfId="17392"/>
    <cellStyle name="Normal 202 2 3 3 2" xfId="17393"/>
    <cellStyle name="Normal 202 2 3 3 2 2" xfId="17394"/>
    <cellStyle name="Normal 202 2 3 3 3" xfId="17395"/>
    <cellStyle name="Normal 202 2 3 4" xfId="17396"/>
    <cellStyle name="Normal 202 2 3 4 2" xfId="17397"/>
    <cellStyle name="Normal 202 2 3 4 2 2" xfId="17398"/>
    <cellStyle name="Normal 202 2 3 4 3" xfId="17399"/>
    <cellStyle name="Normal 202 2 3 5" xfId="17400"/>
    <cellStyle name="Normal 202 2 3 5 2" xfId="17401"/>
    <cellStyle name="Normal 202 2 3 5 2 2" xfId="17402"/>
    <cellStyle name="Normal 202 2 3 5 3" xfId="17403"/>
    <cellStyle name="Normal 202 2 3 6" xfId="17404"/>
    <cellStyle name="Normal 202 2 4" xfId="17405"/>
    <cellStyle name="Normal 202 2 4 2" xfId="17406"/>
    <cellStyle name="Normal 202 2 4 2 2" xfId="17407"/>
    <cellStyle name="Normal 202 2 4 3" xfId="17408"/>
    <cellStyle name="Normal 202 2 5" xfId="17409"/>
    <cellStyle name="Normal 202 2 5 2" xfId="17410"/>
    <cellStyle name="Normal 202 2 5 2 2" xfId="17411"/>
    <cellStyle name="Normal 202 2 5 3" xfId="17412"/>
    <cellStyle name="Normal 202 2 6" xfId="17413"/>
    <cellStyle name="Normal 202 2 6 2" xfId="17414"/>
    <cellStyle name="Normal 202 2 6 2 2" xfId="17415"/>
    <cellStyle name="Normal 202 2 6 3" xfId="17416"/>
    <cellStyle name="Normal 202 2 7" xfId="17417"/>
    <cellStyle name="Normal 202 3" xfId="17418"/>
    <cellStyle name="Normal 202 3 2" xfId="17419"/>
    <cellStyle name="Normal 202 3 2 2" xfId="17420"/>
    <cellStyle name="Normal 202 3 3" xfId="17421"/>
    <cellStyle name="Normal 202 3 3 2" xfId="17422"/>
    <cellStyle name="Normal 202 3 3 2 2" xfId="17423"/>
    <cellStyle name="Normal 202 3 3 3" xfId="17424"/>
    <cellStyle name="Normal 202 3 4" xfId="17425"/>
    <cellStyle name="Normal 202 3 4 2" xfId="17426"/>
    <cellStyle name="Normal 202 3 4 2 2" xfId="17427"/>
    <cellStyle name="Normal 202 3 4 3" xfId="17428"/>
    <cellStyle name="Normal 202 3 5" xfId="17429"/>
    <cellStyle name="Normal 202 4" xfId="17430"/>
    <cellStyle name="Normal 202 4 2" xfId="17431"/>
    <cellStyle name="Normal 202 4 2 2" xfId="17432"/>
    <cellStyle name="Normal 202 4 2 2 2" xfId="17433"/>
    <cellStyle name="Normal 202 4 2 3" xfId="17434"/>
    <cellStyle name="Normal 202 4 2 3 2" xfId="17435"/>
    <cellStyle name="Normal 202 4 2 3 2 2" xfId="17436"/>
    <cellStyle name="Normal 202 4 2 3 3" xfId="17437"/>
    <cellStyle name="Normal 202 4 2 4" xfId="17438"/>
    <cellStyle name="Normal 202 4 3" xfId="17439"/>
    <cellStyle name="Normal 202 4 3 2" xfId="17440"/>
    <cellStyle name="Normal 202 4 3 2 2" xfId="17441"/>
    <cellStyle name="Normal 202 4 3 3" xfId="17442"/>
    <cellStyle name="Normal 202 4 4" xfId="17443"/>
    <cellStyle name="Normal 202 4 4 2" xfId="17444"/>
    <cellStyle name="Normal 202 4 4 2 2" xfId="17445"/>
    <cellStyle name="Normal 202 4 4 3" xfId="17446"/>
    <cellStyle name="Normal 202 4 5" xfId="17447"/>
    <cellStyle name="Normal 202 4 5 2" xfId="17448"/>
    <cellStyle name="Normal 202 4 5 2 2" xfId="17449"/>
    <cellStyle name="Normal 202 4 5 3" xfId="17450"/>
    <cellStyle name="Normal 202 4 6" xfId="17451"/>
    <cellStyle name="Normal 202 5" xfId="17452"/>
    <cellStyle name="Normal 202 5 2" xfId="17453"/>
    <cellStyle name="Normal 202 5 2 2" xfId="17454"/>
    <cellStyle name="Normal 202 5 3" xfId="17455"/>
    <cellStyle name="Normal 202 6" xfId="17456"/>
    <cellStyle name="Normal 202 6 2" xfId="17457"/>
    <cellStyle name="Normal 202 6 2 2" xfId="17458"/>
    <cellStyle name="Normal 202 6 3" xfId="17459"/>
    <cellStyle name="Normal 202 7" xfId="17460"/>
    <cellStyle name="Normal 202 7 2" xfId="17461"/>
    <cellStyle name="Normal 202 7 2 2" xfId="17462"/>
    <cellStyle name="Normal 202 7 3" xfId="17463"/>
    <cellStyle name="Normal 202 8" xfId="17464"/>
    <cellStyle name="Normal 203" xfId="17465"/>
    <cellStyle name="Normal 203 2" xfId="17466"/>
    <cellStyle name="Normal 203 2 2" xfId="17467"/>
    <cellStyle name="Normal 203 2 2 2" xfId="17468"/>
    <cellStyle name="Normal 203 2 2 2 2" xfId="17469"/>
    <cellStyle name="Normal 203 2 2 3" xfId="17470"/>
    <cellStyle name="Normal 203 2 2 3 2" xfId="17471"/>
    <cellStyle name="Normal 203 2 2 3 2 2" xfId="17472"/>
    <cellStyle name="Normal 203 2 2 3 3" xfId="17473"/>
    <cellStyle name="Normal 203 2 2 4" xfId="17474"/>
    <cellStyle name="Normal 203 2 2 4 2" xfId="17475"/>
    <cellStyle name="Normal 203 2 2 4 2 2" xfId="17476"/>
    <cellStyle name="Normal 203 2 2 4 3" xfId="17477"/>
    <cellStyle name="Normal 203 2 2 5" xfId="17478"/>
    <cellStyle name="Normal 203 2 3" xfId="17479"/>
    <cellStyle name="Normal 203 2 3 2" xfId="17480"/>
    <cellStyle name="Normal 203 2 3 2 2" xfId="17481"/>
    <cellStyle name="Normal 203 2 3 2 2 2" xfId="17482"/>
    <cellStyle name="Normal 203 2 3 2 3" xfId="17483"/>
    <cellStyle name="Normal 203 2 3 2 3 2" xfId="17484"/>
    <cellStyle name="Normal 203 2 3 2 3 2 2" xfId="17485"/>
    <cellStyle name="Normal 203 2 3 2 3 3" xfId="17486"/>
    <cellStyle name="Normal 203 2 3 2 4" xfId="17487"/>
    <cellStyle name="Normal 203 2 3 3" xfId="17488"/>
    <cellStyle name="Normal 203 2 3 3 2" xfId="17489"/>
    <cellStyle name="Normal 203 2 3 3 2 2" xfId="17490"/>
    <cellStyle name="Normal 203 2 3 3 3" xfId="17491"/>
    <cellStyle name="Normal 203 2 3 4" xfId="17492"/>
    <cellStyle name="Normal 203 2 3 4 2" xfId="17493"/>
    <cellStyle name="Normal 203 2 3 4 2 2" xfId="17494"/>
    <cellStyle name="Normal 203 2 3 4 3" xfId="17495"/>
    <cellStyle name="Normal 203 2 3 5" xfId="17496"/>
    <cellStyle name="Normal 203 2 3 5 2" xfId="17497"/>
    <cellStyle name="Normal 203 2 3 5 2 2" xfId="17498"/>
    <cellStyle name="Normal 203 2 3 5 3" xfId="17499"/>
    <cellStyle name="Normal 203 2 3 6" xfId="17500"/>
    <cellStyle name="Normal 203 2 4" xfId="17501"/>
    <cellStyle name="Normal 203 2 4 2" xfId="17502"/>
    <cellStyle name="Normal 203 2 4 2 2" xfId="17503"/>
    <cellStyle name="Normal 203 2 4 3" xfId="17504"/>
    <cellStyle name="Normal 203 2 5" xfId="17505"/>
    <cellStyle name="Normal 203 2 5 2" xfId="17506"/>
    <cellStyle name="Normal 203 2 5 2 2" xfId="17507"/>
    <cellStyle name="Normal 203 2 5 3" xfId="17508"/>
    <cellStyle name="Normal 203 2 6" xfId="17509"/>
    <cellStyle name="Normal 203 2 6 2" xfId="17510"/>
    <cellStyle name="Normal 203 2 6 2 2" xfId="17511"/>
    <cellStyle name="Normal 203 2 6 3" xfId="17512"/>
    <cellStyle name="Normal 203 2 7" xfId="17513"/>
    <cellStyle name="Normal 203 3" xfId="17514"/>
    <cellStyle name="Normal 203 3 2" xfId="17515"/>
    <cellStyle name="Normal 203 3 2 2" xfId="17516"/>
    <cellStyle name="Normal 203 3 3" xfId="17517"/>
    <cellStyle name="Normal 203 3 3 2" xfId="17518"/>
    <cellStyle name="Normal 203 3 3 2 2" xfId="17519"/>
    <cellStyle name="Normal 203 3 3 3" xfId="17520"/>
    <cellStyle name="Normal 203 3 4" xfId="17521"/>
    <cellStyle name="Normal 203 3 4 2" xfId="17522"/>
    <cellStyle name="Normal 203 3 4 2 2" xfId="17523"/>
    <cellStyle name="Normal 203 3 4 3" xfId="17524"/>
    <cellStyle name="Normal 203 3 5" xfId="17525"/>
    <cellStyle name="Normal 203 4" xfId="17526"/>
    <cellStyle name="Normal 203 4 2" xfId="17527"/>
    <cellStyle name="Normal 203 4 2 2" xfId="17528"/>
    <cellStyle name="Normal 203 4 2 2 2" xfId="17529"/>
    <cellStyle name="Normal 203 4 2 3" xfId="17530"/>
    <cellStyle name="Normal 203 4 2 3 2" xfId="17531"/>
    <cellStyle name="Normal 203 4 2 3 2 2" xfId="17532"/>
    <cellStyle name="Normal 203 4 2 3 3" xfId="17533"/>
    <cellStyle name="Normal 203 4 2 4" xfId="17534"/>
    <cellStyle name="Normal 203 4 3" xfId="17535"/>
    <cellStyle name="Normal 203 4 3 2" xfId="17536"/>
    <cellStyle name="Normal 203 4 3 2 2" xfId="17537"/>
    <cellStyle name="Normal 203 4 3 3" xfId="17538"/>
    <cellStyle name="Normal 203 4 4" xfId="17539"/>
    <cellStyle name="Normal 203 4 4 2" xfId="17540"/>
    <cellStyle name="Normal 203 4 4 2 2" xfId="17541"/>
    <cellStyle name="Normal 203 4 4 3" xfId="17542"/>
    <cellStyle name="Normal 203 4 5" xfId="17543"/>
    <cellStyle name="Normal 203 4 5 2" xfId="17544"/>
    <cellStyle name="Normal 203 4 5 2 2" xfId="17545"/>
    <cellStyle name="Normal 203 4 5 3" xfId="17546"/>
    <cellStyle name="Normal 203 4 6" xfId="17547"/>
    <cellStyle name="Normal 203 5" xfId="17548"/>
    <cellStyle name="Normal 203 5 2" xfId="17549"/>
    <cellStyle name="Normal 203 5 2 2" xfId="17550"/>
    <cellStyle name="Normal 203 5 3" xfId="17551"/>
    <cellStyle name="Normal 203 6" xfId="17552"/>
    <cellStyle name="Normal 203 6 2" xfId="17553"/>
    <cellStyle name="Normal 203 6 2 2" xfId="17554"/>
    <cellStyle name="Normal 203 6 3" xfId="17555"/>
    <cellStyle name="Normal 203 7" xfId="17556"/>
    <cellStyle name="Normal 203 7 2" xfId="17557"/>
    <cellStyle name="Normal 203 7 2 2" xfId="17558"/>
    <cellStyle name="Normal 203 7 3" xfId="17559"/>
    <cellStyle name="Normal 203 8" xfId="17560"/>
    <cellStyle name="Normal 204" xfId="17561"/>
    <cellStyle name="Normal 204 2" xfId="17562"/>
    <cellStyle name="Normal 204 2 2" xfId="17563"/>
    <cellStyle name="Normal 204 2 2 2" xfId="17564"/>
    <cellStyle name="Normal 204 2 3" xfId="17565"/>
    <cellStyle name="Normal 204 2 3 2" xfId="17566"/>
    <cellStyle name="Normal 204 2 3 2 2" xfId="17567"/>
    <cellStyle name="Normal 204 2 3 3" xfId="17568"/>
    <cellStyle name="Normal 204 2 4" xfId="17569"/>
    <cellStyle name="Normal 204 2 4 2" xfId="17570"/>
    <cellStyle name="Normal 204 2 4 2 2" xfId="17571"/>
    <cellStyle name="Normal 204 2 4 3" xfId="17572"/>
    <cellStyle name="Normal 204 2 5" xfId="17573"/>
    <cellStyle name="Normal 204 3" xfId="17574"/>
    <cellStyle name="Normal 204 3 2" xfId="17575"/>
    <cellStyle name="Normal 204 3 2 2" xfId="17576"/>
    <cellStyle name="Normal 204 3 2 2 2" xfId="17577"/>
    <cellStyle name="Normal 204 3 2 3" xfId="17578"/>
    <cellStyle name="Normal 204 3 2 3 2" xfId="17579"/>
    <cellStyle name="Normal 204 3 2 3 2 2" xfId="17580"/>
    <cellStyle name="Normal 204 3 2 3 3" xfId="17581"/>
    <cellStyle name="Normal 204 3 2 4" xfId="17582"/>
    <cellStyle name="Normal 204 3 3" xfId="17583"/>
    <cellStyle name="Normal 204 3 3 2" xfId="17584"/>
    <cellStyle name="Normal 204 3 3 2 2" xfId="17585"/>
    <cellStyle name="Normal 204 3 3 3" xfId="17586"/>
    <cellStyle name="Normal 204 3 4" xfId="17587"/>
    <cellStyle name="Normal 204 3 4 2" xfId="17588"/>
    <cellStyle name="Normal 204 3 4 2 2" xfId="17589"/>
    <cellStyle name="Normal 204 3 4 3" xfId="17590"/>
    <cellStyle name="Normal 204 3 5" xfId="17591"/>
    <cellStyle name="Normal 204 3 5 2" xfId="17592"/>
    <cellStyle name="Normal 204 3 5 2 2" xfId="17593"/>
    <cellStyle name="Normal 204 3 5 3" xfId="17594"/>
    <cellStyle name="Normal 204 3 6" xfId="17595"/>
    <cellStyle name="Normal 204 4" xfId="17596"/>
    <cellStyle name="Normal 204 4 2" xfId="17597"/>
    <cellStyle name="Normal 204 4 2 2" xfId="17598"/>
    <cellStyle name="Normal 204 4 3" xfId="17599"/>
    <cellStyle name="Normal 204 5" xfId="17600"/>
    <cellStyle name="Normal 204 5 2" xfId="17601"/>
    <cellStyle name="Normal 204 5 2 2" xfId="17602"/>
    <cellStyle name="Normal 204 5 3" xfId="17603"/>
    <cellStyle name="Normal 204 6" xfId="17604"/>
    <cellStyle name="Normal 204 6 2" xfId="17605"/>
    <cellStyle name="Normal 204 6 2 2" xfId="17606"/>
    <cellStyle name="Normal 204 6 3" xfId="17607"/>
    <cellStyle name="Normal 204 7" xfId="17608"/>
    <cellStyle name="Normal 205" xfId="17609"/>
    <cellStyle name="Normal 205 2" xfId="17610"/>
    <cellStyle name="Normal 205 2 2" xfId="17611"/>
    <cellStyle name="Normal 205 2 2 2" xfId="17612"/>
    <cellStyle name="Normal 205 2 3" xfId="17613"/>
    <cellStyle name="Normal 205 2 3 2" xfId="17614"/>
    <cellStyle name="Normal 205 2 3 2 2" xfId="17615"/>
    <cellStyle name="Normal 205 2 3 3" xfId="17616"/>
    <cellStyle name="Normal 205 2 4" xfId="17617"/>
    <cellStyle name="Normal 205 2 4 2" xfId="17618"/>
    <cellStyle name="Normal 205 2 4 2 2" xfId="17619"/>
    <cellStyle name="Normal 205 2 4 3" xfId="17620"/>
    <cellStyle name="Normal 205 2 5" xfId="17621"/>
    <cellStyle name="Normal 205 3" xfId="17622"/>
    <cellStyle name="Normal 205 3 2" xfId="17623"/>
    <cellStyle name="Normal 205 3 2 2" xfId="17624"/>
    <cellStyle name="Normal 205 3 2 2 2" xfId="17625"/>
    <cellStyle name="Normal 205 3 2 3" xfId="17626"/>
    <cellStyle name="Normal 205 3 2 3 2" xfId="17627"/>
    <cellStyle name="Normal 205 3 2 3 2 2" xfId="17628"/>
    <cellStyle name="Normal 205 3 2 3 3" xfId="17629"/>
    <cellStyle name="Normal 205 3 2 4" xfId="17630"/>
    <cellStyle name="Normal 205 3 3" xfId="17631"/>
    <cellStyle name="Normal 205 3 3 2" xfId="17632"/>
    <cellStyle name="Normal 205 3 3 2 2" xfId="17633"/>
    <cellStyle name="Normal 205 3 3 3" xfId="17634"/>
    <cellStyle name="Normal 205 3 4" xfId="17635"/>
    <cellStyle name="Normal 205 3 4 2" xfId="17636"/>
    <cellStyle name="Normal 205 3 4 2 2" xfId="17637"/>
    <cellStyle name="Normal 205 3 4 3" xfId="17638"/>
    <cellStyle name="Normal 205 3 5" xfId="17639"/>
    <cellStyle name="Normal 205 3 5 2" xfId="17640"/>
    <cellStyle name="Normal 205 3 5 2 2" xfId="17641"/>
    <cellStyle name="Normal 205 3 5 3" xfId="17642"/>
    <cellStyle name="Normal 205 3 6" xfId="17643"/>
    <cellStyle name="Normal 205 4" xfId="17644"/>
    <cellStyle name="Normal 205 4 2" xfId="17645"/>
    <cellStyle name="Normal 205 4 2 2" xfId="17646"/>
    <cellStyle name="Normal 205 4 3" xfId="17647"/>
    <cellStyle name="Normal 205 5" xfId="17648"/>
    <cellStyle name="Normal 205 5 2" xfId="17649"/>
    <cellStyle name="Normal 205 5 2 2" xfId="17650"/>
    <cellStyle name="Normal 205 5 3" xfId="17651"/>
    <cellStyle name="Normal 205 6" xfId="17652"/>
    <cellStyle name="Normal 205 6 2" xfId="17653"/>
    <cellStyle name="Normal 205 6 2 2" xfId="17654"/>
    <cellStyle name="Normal 205 6 3" xfId="17655"/>
    <cellStyle name="Normal 205 7" xfId="17656"/>
    <cellStyle name="Normal 206" xfId="17657"/>
    <cellStyle name="Normal 206 2" xfId="17658"/>
    <cellStyle name="Normal 206 2 2" xfId="17659"/>
    <cellStyle name="Normal 206 2 2 2" xfId="17660"/>
    <cellStyle name="Normal 206 2 3" xfId="17661"/>
    <cellStyle name="Normal 206 2 3 2" xfId="17662"/>
    <cellStyle name="Normal 206 2 3 2 2" xfId="17663"/>
    <cellStyle name="Normal 206 2 3 3" xfId="17664"/>
    <cellStyle name="Normal 206 2 4" xfId="17665"/>
    <cellStyle name="Normal 206 2 4 2" xfId="17666"/>
    <cellStyle name="Normal 206 2 4 2 2" xfId="17667"/>
    <cellStyle name="Normal 206 2 4 3" xfId="17668"/>
    <cellStyle name="Normal 206 2 5" xfId="17669"/>
    <cellStyle name="Normal 206 3" xfId="17670"/>
    <cellStyle name="Normal 206 3 2" xfId="17671"/>
    <cellStyle name="Normal 206 3 2 2" xfId="17672"/>
    <cellStyle name="Normal 206 3 2 2 2" xfId="17673"/>
    <cellStyle name="Normal 206 3 2 3" xfId="17674"/>
    <cellStyle name="Normal 206 3 2 3 2" xfId="17675"/>
    <cellStyle name="Normal 206 3 2 3 2 2" xfId="17676"/>
    <cellStyle name="Normal 206 3 2 3 3" xfId="17677"/>
    <cellStyle name="Normal 206 3 2 4" xfId="17678"/>
    <cellStyle name="Normal 206 3 3" xfId="17679"/>
    <cellStyle name="Normal 206 3 3 2" xfId="17680"/>
    <cellStyle name="Normal 206 3 3 2 2" xfId="17681"/>
    <cellStyle name="Normal 206 3 3 3" xfId="17682"/>
    <cellStyle name="Normal 206 3 4" xfId="17683"/>
    <cellStyle name="Normal 206 3 4 2" xfId="17684"/>
    <cellStyle name="Normal 206 3 4 2 2" xfId="17685"/>
    <cellStyle name="Normal 206 3 4 3" xfId="17686"/>
    <cellStyle name="Normal 206 3 5" xfId="17687"/>
    <cellStyle name="Normal 206 3 5 2" xfId="17688"/>
    <cellStyle name="Normal 206 3 5 2 2" xfId="17689"/>
    <cellStyle name="Normal 206 3 5 3" xfId="17690"/>
    <cellStyle name="Normal 206 3 6" xfId="17691"/>
    <cellStyle name="Normal 206 4" xfId="17692"/>
    <cellStyle name="Normal 206 4 2" xfId="17693"/>
    <cellStyle name="Normal 206 4 2 2" xfId="17694"/>
    <cellStyle name="Normal 206 4 3" xfId="17695"/>
    <cellStyle name="Normal 206 5" xfId="17696"/>
    <cellStyle name="Normal 206 5 2" xfId="17697"/>
    <cellStyle name="Normal 206 5 2 2" xfId="17698"/>
    <cellStyle name="Normal 206 5 3" xfId="17699"/>
    <cellStyle name="Normal 206 6" xfId="17700"/>
    <cellStyle name="Normal 206 6 2" xfId="17701"/>
    <cellStyle name="Normal 206 6 2 2" xfId="17702"/>
    <cellStyle name="Normal 206 6 3" xfId="17703"/>
    <cellStyle name="Normal 206 7" xfId="17704"/>
    <cellStyle name="Normal 207" xfId="17705"/>
    <cellStyle name="Normal 207 2" xfId="17706"/>
    <cellStyle name="Normal 207 2 2" xfId="17707"/>
    <cellStyle name="Normal 207 2 2 2" xfId="17708"/>
    <cellStyle name="Normal 207 2 3" xfId="17709"/>
    <cellStyle name="Normal 207 2 3 2" xfId="17710"/>
    <cellStyle name="Normal 207 2 3 2 2" xfId="17711"/>
    <cellStyle name="Normal 207 2 3 3" xfId="17712"/>
    <cellStyle name="Normal 207 2 4" xfId="17713"/>
    <cellStyle name="Normal 207 2 4 2" xfId="17714"/>
    <cellStyle name="Normal 207 2 4 2 2" xfId="17715"/>
    <cellStyle name="Normal 207 2 4 3" xfId="17716"/>
    <cellStyle name="Normal 207 2 5" xfId="17717"/>
    <cellStyle name="Normal 207 3" xfId="17718"/>
    <cellStyle name="Normal 207 3 2" xfId="17719"/>
    <cellStyle name="Normal 207 3 2 2" xfId="17720"/>
    <cellStyle name="Normal 207 3 2 2 2" xfId="17721"/>
    <cellStyle name="Normal 207 3 2 3" xfId="17722"/>
    <cellStyle name="Normal 207 3 2 3 2" xfId="17723"/>
    <cellStyle name="Normal 207 3 2 3 2 2" xfId="17724"/>
    <cellStyle name="Normal 207 3 2 3 3" xfId="17725"/>
    <cellStyle name="Normal 207 3 2 4" xfId="17726"/>
    <cellStyle name="Normal 207 3 3" xfId="17727"/>
    <cellStyle name="Normal 207 3 3 2" xfId="17728"/>
    <cellStyle name="Normal 207 3 3 2 2" xfId="17729"/>
    <cellStyle name="Normal 207 3 3 3" xfId="17730"/>
    <cellStyle name="Normal 207 3 4" xfId="17731"/>
    <cellStyle name="Normal 207 3 4 2" xfId="17732"/>
    <cellStyle name="Normal 207 3 4 2 2" xfId="17733"/>
    <cellStyle name="Normal 207 3 4 3" xfId="17734"/>
    <cellStyle name="Normal 207 3 5" xfId="17735"/>
    <cellStyle name="Normal 207 3 5 2" xfId="17736"/>
    <cellStyle name="Normal 207 3 5 2 2" xfId="17737"/>
    <cellStyle name="Normal 207 3 5 3" xfId="17738"/>
    <cellStyle name="Normal 207 3 6" xfId="17739"/>
    <cellStyle name="Normal 207 4" xfId="17740"/>
    <cellStyle name="Normal 207 4 2" xfId="17741"/>
    <cellStyle name="Normal 207 4 2 2" xfId="17742"/>
    <cellStyle name="Normal 207 4 3" xfId="17743"/>
    <cellStyle name="Normal 207 5" xfId="17744"/>
    <cellStyle name="Normal 207 5 2" xfId="17745"/>
    <cellStyle name="Normal 207 5 2 2" xfId="17746"/>
    <cellStyle name="Normal 207 5 3" xfId="17747"/>
    <cellStyle name="Normal 207 6" xfId="17748"/>
    <cellStyle name="Normal 207 6 2" xfId="17749"/>
    <cellStyle name="Normal 207 6 2 2" xfId="17750"/>
    <cellStyle name="Normal 207 6 3" xfId="17751"/>
    <cellStyle name="Normal 207 7" xfId="17752"/>
    <cellStyle name="Normal 208" xfId="17753"/>
    <cellStyle name="Normal 208 2" xfId="17754"/>
    <cellStyle name="Normal 208 2 2" xfId="17755"/>
    <cellStyle name="Normal 208 2 2 2" xfId="17756"/>
    <cellStyle name="Normal 208 2 3" xfId="17757"/>
    <cellStyle name="Normal 208 2 3 2" xfId="17758"/>
    <cellStyle name="Normal 208 2 3 2 2" xfId="17759"/>
    <cellStyle name="Normal 208 2 3 3" xfId="17760"/>
    <cellStyle name="Normal 208 2 4" xfId="17761"/>
    <cellStyle name="Normal 208 2 4 2" xfId="17762"/>
    <cellStyle name="Normal 208 2 4 2 2" xfId="17763"/>
    <cellStyle name="Normal 208 2 4 3" xfId="17764"/>
    <cellStyle name="Normal 208 2 5" xfId="17765"/>
    <cellStyle name="Normal 208 3" xfId="17766"/>
    <cellStyle name="Normal 208 3 2" xfId="17767"/>
    <cellStyle name="Normal 208 3 2 2" xfId="17768"/>
    <cellStyle name="Normal 208 3 2 2 2" xfId="17769"/>
    <cellStyle name="Normal 208 3 2 3" xfId="17770"/>
    <cellStyle name="Normal 208 3 2 3 2" xfId="17771"/>
    <cellStyle name="Normal 208 3 2 3 2 2" xfId="17772"/>
    <cellStyle name="Normal 208 3 2 3 3" xfId="17773"/>
    <cellStyle name="Normal 208 3 2 4" xfId="17774"/>
    <cellStyle name="Normal 208 3 3" xfId="17775"/>
    <cellStyle name="Normal 208 3 3 2" xfId="17776"/>
    <cellStyle name="Normal 208 3 3 2 2" xfId="17777"/>
    <cellStyle name="Normal 208 3 3 3" xfId="17778"/>
    <cellStyle name="Normal 208 3 4" xfId="17779"/>
    <cellStyle name="Normal 208 3 4 2" xfId="17780"/>
    <cellStyle name="Normal 208 3 4 2 2" xfId="17781"/>
    <cellStyle name="Normal 208 3 4 3" xfId="17782"/>
    <cellStyle name="Normal 208 3 5" xfId="17783"/>
    <cellStyle name="Normal 208 3 5 2" xfId="17784"/>
    <cellStyle name="Normal 208 3 5 2 2" xfId="17785"/>
    <cellStyle name="Normal 208 3 5 3" xfId="17786"/>
    <cellStyle name="Normal 208 3 6" xfId="17787"/>
    <cellStyle name="Normal 208 4" xfId="17788"/>
    <cellStyle name="Normal 208 4 2" xfId="17789"/>
    <cellStyle name="Normal 208 4 2 2" xfId="17790"/>
    <cellStyle name="Normal 208 4 3" xfId="17791"/>
    <cellStyle name="Normal 208 5" xfId="17792"/>
    <cellStyle name="Normal 208 5 2" xfId="17793"/>
    <cellStyle name="Normal 208 5 2 2" xfId="17794"/>
    <cellStyle name="Normal 208 5 3" xfId="17795"/>
    <cellStyle name="Normal 208 6" xfId="17796"/>
    <cellStyle name="Normal 208 6 2" xfId="17797"/>
    <cellStyle name="Normal 208 6 2 2" xfId="17798"/>
    <cellStyle name="Normal 208 6 3" xfId="17799"/>
    <cellStyle name="Normal 208 7" xfId="17800"/>
    <cellStyle name="Normal 209" xfId="17801"/>
    <cellStyle name="Normal 209 2" xfId="17802"/>
    <cellStyle name="Normal 209 2 2" xfId="17803"/>
    <cellStyle name="Normal 209 2 2 2" xfId="17804"/>
    <cellStyle name="Normal 209 2 3" xfId="17805"/>
    <cellStyle name="Normal 209 2 3 2" xfId="17806"/>
    <cellStyle name="Normal 209 2 3 2 2" xfId="17807"/>
    <cellStyle name="Normal 209 2 3 3" xfId="17808"/>
    <cellStyle name="Normal 209 2 4" xfId="17809"/>
    <cellStyle name="Normal 209 2 4 2" xfId="17810"/>
    <cellStyle name="Normal 209 2 4 2 2" xfId="17811"/>
    <cellStyle name="Normal 209 2 4 3" xfId="17812"/>
    <cellStyle name="Normal 209 2 5" xfId="17813"/>
    <cellStyle name="Normal 209 3" xfId="17814"/>
    <cellStyle name="Normal 209 3 2" xfId="17815"/>
    <cellStyle name="Normal 209 3 2 2" xfId="17816"/>
    <cellStyle name="Normal 209 3 2 2 2" xfId="17817"/>
    <cellStyle name="Normal 209 3 2 3" xfId="17818"/>
    <cellStyle name="Normal 209 3 2 3 2" xfId="17819"/>
    <cellStyle name="Normal 209 3 2 3 2 2" xfId="17820"/>
    <cellStyle name="Normal 209 3 2 3 3" xfId="17821"/>
    <cellStyle name="Normal 209 3 2 4" xfId="17822"/>
    <cellStyle name="Normal 209 3 3" xfId="17823"/>
    <cellStyle name="Normal 209 3 3 2" xfId="17824"/>
    <cellStyle name="Normal 209 3 3 2 2" xfId="17825"/>
    <cellStyle name="Normal 209 3 3 3" xfId="17826"/>
    <cellStyle name="Normal 209 3 4" xfId="17827"/>
    <cellStyle name="Normal 209 3 4 2" xfId="17828"/>
    <cellStyle name="Normal 209 3 4 2 2" xfId="17829"/>
    <cellStyle name="Normal 209 3 4 3" xfId="17830"/>
    <cellStyle name="Normal 209 3 5" xfId="17831"/>
    <cellStyle name="Normal 209 3 5 2" xfId="17832"/>
    <cellStyle name="Normal 209 3 5 2 2" xfId="17833"/>
    <cellStyle name="Normal 209 3 5 3" xfId="17834"/>
    <cellStyle name="Normal 209 3 6" xfId="17835"/>
    <cellStyle name="Normal 209 4" xfId="17836"/>
    <cellStyle name="Normal 209 4 2" xfId="17837"/>
    <cellStyle name="Normal 209 4 2 2" xfId="17838"/>
    <cellStyle name="Normal 209 4 3" xfId="17839"/>
    <cellStyle name="Normal 209 5" xfId="17840"/>
    <cellStyle name="Normal 209 5 2" xfId="17841"/>
    <cellStyle name="Normal 209 5 2 2" xfId="17842"/>
    <cellStyle name="Normal 209 5 3" xfId="17843"/>
    <cellStyle name="Normal 209 6" xfId="17844"/>
    <cellStyle name="Normal 209 6 2" xfId="17845"/>
    <cellStyle name="Normal 209 6 2 2" xfId="17846"/>
    <cellStyle name="Normal 209 6 3" xfId="17847"/>
    <cellStyle name="Normal 209 7" xfId="17848"/>
    <cellStyle name="Normal 21" xfId="17849"/>
    <cellStyle name="Normal 21 2" xfId="17850"/>
    <cellStyle name="Normal 21 2 2" xfId="17851"/>
    <cellStyle name="Normal 21 2 2 2" xfId="17852"/>
    <cellStyle name="Normal 21 2 2 2 2" xfId="17853"/>
    <cellStyle name="Normal 21 2 2 3" xfId="17854"/>
    <cellStyle name="Normal 21 2 2 3 2" xfId="17855"/>
    <cellStyle name="Normal 21 2 2 3 2 2" xfId="17856"/>
    <cellStyle name="Normal 21 2 2 3 3" xfId="17857"/>
    <cellStyle name="Normal 21 2 2 4" xfId="17858"/>
    <cellStyle name="Normal 21 2 2 4 2" xfId="17859"/>
    <cellStyle name="Normal 21 2 2 4 2 2" xfId="17860"/>
    <cellStyle name="Normal 21 2 2 4 3" xfId="17861"/>
    <cellStyle name="Normal 21 2 2 5" xfId="17862"/>
    <cellStyle name="Normal 21 2 3" xfId="17863"/>
    <cellStyle name="Normal 21 2 3 2" xfId="17864"/>
    <cellStyle name="Normal 21 2 3 2 2" xfId="17865"/>
    <cellStyle name="Normal 21 2 3 3" xfId="17866"/>
    <cellStyle name="Normal 21 2 4" xfId="17867"/>
    <cellStyle name="Normal 21 2 4 2" xfId="17868"/>
    <cellStyle name="Normal 21 2 4 2 2" xfId="17869"/>
    <cellStyle name="Normal 21 2 4 3" xfId="17870"/>
    <cellStyle name="Normal 21 2 5" xfId="17871"/>
    <cellStyle name="Normal 21 2 5 2" xfId="17872"/>
    <cellStyle name="Normal 21 2 5 2 2" xfId="17873"/>
    <cellStyle name="Normal 21 2 5 3" xfId="17874"/>
    <cellStyle name="Normal 21 2 6" xfId="17875"/>
    <cellStyle name="Normal 21 3" xfId="17876"/>
    <cellStyle name="Normal 21 3 2" xfId="17877"/>
    <cellStyle name="Normal 21 3 2 2" xfId="17878"/>
    <cellStyle name="Normal 21 3 3" xfId="17879"/>
    <cellStyle name="Normal 21 3 3 2" xfId="17880"/>
    <cellStyle name="Normal 21 3 3 2 2" xfId="17881"/>
    <cellStyle name="Normal 21 3 3 3" xfId="17882"/>
    <cellStyle name="Normal 21 3 4" xfId="17883"/>
    <cellStyle name="Normal 21 3 4 2" xfId="17884"/>
    <cellStyle name="Normal 21 3 4 2 2" xfId="17885"/>
    <cellStyle name="Normal 21 3 4 3" xfId="17886"/>
    <cellStyle name="Normal 21 3 5" xfId="17887"/>
    <cellStyle name="Normal 21 4" xfId="17888"/>
    <cellStyle name="Normal 21 4 2" xfId="17889"/>
    <cellStyle name="Normal 21 4 2 2" xfId="17890"/>
    <cellStyle name="Normal 21 4 2 2 2" xfId="17891"/>
    <cellStyle name="Normal 21 4 2 3" xfId="17892"/>
    <cellStyle name="Normal 21 4 2 3 2" xfId="17893"/>
    <cellStyle name="Normal 21 4 2 3 2 2" xfId="17894"/>
    <cellStyle name="Normal 21 4 2 3 3" xfId="17895"/>
    <cellStyle name="Normal 21 4 2 4" xfId="17896"/>
    <cellStyle name="Normal 21 4 3" xfId="17897"/>
    <cellStyle name="Normal 21 4 3 2" xfId="17898"/>
    <cellStyle name="Normal 21 4 3 2 2" xfId="17899"/>
    <cellStyle name="Normal 21 4 3 3" xfId="17900"/>
    <cellStyle name="Normal 21 4 4" xfId="17901"/>
    <cellStyle name="Normal 21 4 4 2" xfId="17902"/>
    <cellStyle name="Normal 21 4 4 2 2" xfId="17903"/>
    <cellStyle name="Normal 21 4 4 3" xfId="17904"/>
    <cellStyle name="Normal 21 4 5" xfId="17905"/>
    <cellStyle name="Normal 21 4 5 2" xfId="17906"/>
    <cellStyle name="Normal 21 4 5 2 2" xfId="17907"/>
    <cellStyle name="Normal 21 4 5 3" xfId="17908"/>
    <cellStyle name="Normal 21 4 6" xfId="17909"/>
    <cellStyle name="Normal 21 5" xfId="17910"/>
    <cellStyle name="Normal 210" xfId="17911"/>
    <cellStyle name="Normal 210 2" xfId="17912"/>
    <cellStyle name="Normal 210 2 2" xfId="17913"/>
    <cellStyle name="Normal 210 2 2 2" xfId="17914"/>
    <cellStyle name="Normal 210 2 3" xfId="17915"/>
    <cellStyle name="Normal 210 2 3 2" xfId="17916"/>
    <cellStyle name="Normal 210 2 3 2 2" xfId="17917"/>
    <cellStyle name="Normal 210 2 3 3" xfId="17918"/>
    <cellStyle name="Normal 210 2 4" xfId="17919"/>
    <cellStyle name="Normal 210 2 4 2" xfId="17920"/>
    <cellStyle name="Normal 210 2 4 2 2" xfId="17921"/>
    <cellStyle name="Normal 210 2 4 3" xfId="17922"/>
    <cellStyle name="Normal 210 2 5" xfId="17923"/>
    <cellStyle name="Normal 210 3" xfId="17924"/>
    <cellStyle name="Normal 210 3 2" xfId="17925"/>
    <cellStyle name="Normal 210 3 2 2" xfId="17926"/>
    <cellStyle name="Normal 210 3 2 2 2" xfId="17927"/>
    <cellStyle name="Normal 210 3 2 3" xfId="17928"/>
    <cellStyle name="Normal 210 3 2 3 2" xfId="17929"/>
    <cellStyle name="Normal 210 3 2 3 2 2" xfId="17930"/>
    <cellStyle name="Normal 210 3 2 3 3" xfId="17931"/>
    <cellStyle name="Normal 210 3 2 4" xfId="17932"/>
    <cellStyle name="Normal 210 3 3" xfId="17933"/>
    <cellStyle name="Normal 210 3 3 2" xfId="17934"/>
    <cellStyle name="Normal 210 3 3 2 2" xfId="17935"/>
    <cellStyle name="Normal 210 3 3 3" xfId="17936"/>
    <cellStyle name="Normal 210 3 4" xfId="17937"/>
    <cellStyle name="Normal 210 3 4 2" xfId="17938"/>
    <cellStyle name="Normal 210 3 4 2 2" xfId="17939"/>
    <cellStyle name="Normal 210 3 4 3" xfId="17940"/>
    <cellStyle name="Normal 210 3 5" xfId="17941"/>
    <cellStyle name="Normal 210 3 5 2" xfId="17942"/>
    <cellStyle name="Normal 210 3 5 2 2" xfId="17943"/>
    <cellStyle name="Normal 210 3 5 3" xfId="17944"/>
    <cellStyle name="Normal 210 3 6" xfId="17945"/>
    <cellStyle name="Normal 210 4" xfId="17946"/>
    <cellStyle name="Normal 210 4 2" xfId="17947"/>
    <cellStyle name="Normal 210 4 2 2" xfId="17948"/>
    <cellStyle name="Normal 210 4 3" xfId="17949"/>
    <cellStyle name="Normal 210 5" xfId="17950"/>
    <cellStyle name="Normal 210 5 2" xfId="17951"/>
    <cellStyle name="Normal 210 5 2 2" xfId="17952"/>
    <cellStyle name="Normal 210 5 3" xfId="17953"/>
    <cellStyle name="Normal 210 6" xfId="17954"/>
    <cellStyle name="Normal 210 6 2" xfId="17955"/>
    <cellStyle name="Normal 210 6 2 2" xfId="17956"/>
    <cellStyle name="Normal 210 6 3" xfId="17957"/>
    <cellStyle name="Normal 210 7" xfId="17958"/>
    <cellStyle name="Normal 211" xfId="17959"/>
    <cellStyle name="Normal 211 2" xfId="17960"/>
    <cellStyle name="Normal 211 2 2" xfId="17961"/>
    <cellStyle name="Normal 211 2 2 2" xfId="17962"/>
    <cellStyle name="Normal 211 2 3" xfId="17963"/>
    <cellStyle name="Normal 211 2 3 2" xfId="17964"/>
    <cellStyle name="Normal 211 2 3 2 2" xfId="17965"/>
    <cellStyle name="Normal 211 2 3 3" xfId="17966"/>
    <cellStyle name="Normal 211 2 4" xfId="17967"/>
    <cellStyle name="Normal 211 2 4 2" xfId="17968"/>
    <cellStyle name="Normal 211 2 4 2 2" xfId="17969"/>
    <cellStyle name="Normal 211 2 4 3" xfId="17970"/>
    <cellStyle name="Normal 211 2 5" xfId="17971"/>
    <cellStyle name="Normal 211 3" xfId="17972"/>
    <cellStyle name="Normal 211 3 2" xfId="17973"/>
    <cellStyle name="Normal 211 3 2 2" xfId="17974"/>
    <cellStyle name="Normal 211 3 2 2 2" xfId="17975"/>
    <cellStyle name="Normal 211 3 2 3" xfId="17976"/>
    <cellStyle name="Normal 211 3 2 3 2" xfId="17977"/>
    <cellStyle name="Normal 211 3 2 3 2 2" xfId="17978"/>
    <cellStyle name="Normal 211 3 2 3 3" xfId="17979"/>
    <cellStyle name="Normal 211 3 2 4" xfId="17980"/>
    <cellStyle name="Normal 211 3 3" xfId="17981"/>
    <cellStyle name="Normal 211 3 3 2" xfId="17982"/>
    <cellStyle name="Normal 211 3 3 2 2" xfId="17983"/>
    <cellStyle name="Normal 211 3 3 3" xfId="17984"/>
    <cellStyle name="Normal 211 3 4" xfId="17985"/>
    <cellStyle name="Normal 211 3 4 2" xfId="17986"/>
    <cellStyle name="Normal 211 3 4 2 2" xfId="17987"/>
    <cellStyle name="Normal 211 3 4 3" xfId="17988"/>
    <cellStyle name="Normal 211 3 5" xfId="17989"/>
    <cellStyle name="Normal 211 3 5 2" xfId="17990"/>
    <cellStyle name="Normal 211 3 5 2 2" xfId="17991"/>
    <cellStyle name="Normal 211 3 5 3" xfId="17992"/>
    <cellStyle name="Normal 211 3 6" xfId="17993"/>
    <cellStyle name="Normal 211 4" xfId="17994"/>
    <cellStyle name="Normal 211 4 2" xfId="17995"/>
    <cellStyle name="Normal 211 4 2 2" xfId="17996"/>
    <cellStyle name="Normal 211 4 3" xfId="17997"/>
    <cellStyle name="Normal 211 5" xfId="17998"/>
    <cellStyle name="Normal 211 5 2" xfId="17999"/>
    <cellStyle name="Normal 211 5 2 2" xfId="18000"/>
    <cellStyle name="Normal 211 5 3" xfId="18001"/>
    <cellStyle name="Normal 211 6" xfId="18002"/>
    <cellStyle name="Normal 211 6 2" xfId="18003"/>
    <cellStyle name="Normal 211 6 2 2" xfId="18004"/>
    <cellStyle name="Normal 211 6 3" xfId="18005"/>
    <cellStyle name="Normal 211 7" xfId="18006"/>
    <cellStyle name="Normal 212" xfId="18007"/>
    <cellStyle name="Normal 212 2" xfId="18008"/>
    <cellStyle name="Normal 212 2 2" xfId="18009"/>
    <cellStyle name="Normal 212 2 2 2" xfId="18010"/>
    <cellStyle name="Normal 212 2 3" xfId="18011"/>
    <cellStyle name="Normal 212 2 3 2" xfId="18012"/>
    <cellStyle name="Normal 212 2 3 2 2" xfId="18013"/>
    <cellStyle name="Normal 212 2 3 3" xfId="18014"/>
    <cellStyle name="Normal 212 2 4" xfId="18015"/>
    <cellStyle name="Normal 212 2 4 2" xfId="18016"/>
    <cellStyle name="Normal 212 2 4 2 2" xfId="18017"/>
    <cellStyle name="Normal 212 2 4 3" xfId="18018"/>
    <cellStyle name="Normal 212 2 5" xfId="18019"/>
    <cellStyle name="Normal 212 3" xfId="18020"/>
    <cellStyle name="Normal 212 3 2" xfId="18021"/>
    <cellStyle name="Normal 212 3 2 2" xfId="18022"/>
    <cellStyle name="Normal 212 3 2 2 2" xfId="18023"/>
    <cellStyle name="Normal 212 3 2 3" xfId="18024"/>
    <cellStyle name="Normal 212 3 2 3 2" xfId="18025"/>
    <cellStyle name="Normal 212 3 2 3 2 2" xfId="18026"/>
    <cellStyle name="Normal 212 3 2 3 3" xfId="18027"/>
    <cellStyle name="Normal 212 3 2 4" xfId="18028"/>
    <cellStyle name="Normal 212 3 3" xfId="18029"/>
    <cellStyle name="Normal 212 3 3 2" xfId="18030"/>
    <cellStyle name="Normal 212 3 3 2 2" xfId="18031"/>
    <cellStyle name="Normal 212 3 3 3" xfId="18032"/>
    <cellStyle name="Normal 212 3 4" xfId="18033"/>
    <cellStyle name="Normal 212 3 4 2" xfId="18034"/>
    <cellStyle name="Normal 212 3 4 2 2" xfId="18035"/>
    <cellStyle name="Normal 212 3 4 3" xfId="18036"/>
    <cellStyle name="Normal 212 3 5" xfId="18037"/>
    <cellStyle name="Normal 212 3 5 2" xfId="18038"/>
    <cellStyle name="Normal 212 3 5 2 2" xfId="18039"/>
    <cellStyle name="Normal 212 3 5 3" xfId="18040"/>
    <cellStyle name="Normal 212 3 6" xfId="18041"/>
    <cellStyle name="Normal 212 4" xfId="18042"/>
    <cellStyle name="Normal 212 4 2" xfId="18043"/>
    <cellStyle name="Normal 212 4 2 2" xfId="18044"/>
    <cellStyle name="Normal 212 4 3" xfId="18045"/>
    <cellStyle name="Normal 212 5" xfId="18046"/>
    <cellStyle name="Normal 212 5 2" xfId="18047"/>
    <cellStyle name="Normal 212 5 2 2" xfId="18048"/>
    <cellStyle name="Normal 212 5 3" xfId="18049"/>
    <cellStyle name="Normal 212 6" xfId="18050"/>
    <cellStyle name="Normal 212 6 2" xfId="18051"/>
    <cellStyle name="Normal 212 6 2 2" xfId="18052"/>
    <cellStyle name="Normal 212 6 3" xfId="18053"/>
    <cellStyle name="Normal 212 7" xfId="18054"/>
    <cellStyle name="Normal 213" xfId="18055"/>
    <cellStyle name="Normal 213 2" xfId="18056"/>
    <cellStyle name="Normal 213 2 2" xfId="18057"/>
    <cellStyle name="Normal 213 2 2 2" xfId="18058"/>
    <cellStyle name="Normal 213 2 3" xfId="18059"/>
    <cellStyle name="Normal 213 2 3 2" xfId="18060"/>
    <cellStyle name="Normal 213 2 3 2 2" xfId="18061"/>
    <cellStyle name="Normal 213 2 3 3" xfId="18062"/>
    <cellStyle name="Normal 213 2 4" xfId="18063"/>
    <cellStyle name="Normal 213 2 4 2" xfId="18064"/>
    <cellStyle name="Normal 213 2 4 2 2" xfId="18065"/>
    <cellStyle name="Normal 213 2 4 3" xfId="18066"/>
    <cellStyle name="Normal 213 2 5" xfId="18067"/>
    <cellStyle name="Normal 213 3" xfId="18068"/>
    <cellStyle name="Normal 213 3 2" xfId="18069"/>
    <cellStyle name="Normal 213 3 2 2" xfId="18070"/>
    <cellStyle name="Normal 213 3 2 2 2" xfId="18071"/>
    <cellStyle name="Normal 213 3 2 3" xfId="18072"/>
    <cellStyle name="Normal 213 3 2 3 2" xfId="18073"/>
    <cellStyle name="Normal 213 3 2 3 2 2" xfId="18074"/>
    <cellStyle name="Normal 213 3 2 3 3" xfId="18075"/>
    <cellStyle name="Normal 213 3 2 4" xfId="18076"/>
    <cellStyle name="Normal 213 3 3" xfId="18077"/>
    <cellStyle name="Normal 213 3 3 2" xfId="18078"/>
    <cellStyle name="Normal 213 3 3 2 2" xfId="18079"/>
    <cellStyle name="Normal 213 3 3 3" xfId="18080"/>
    <cellStyle name="Normal 213 3 4" xfId="18081"/>
    <cellStyle name="Normal 213 3 4 2" xfId="18082"/>
    <cellStyle name="Normal 213 3 4 2 2" xfId="18083"/>
    <cellStyle name="Normal 213 3 4 3" xfId="18084"/>
    <cellStyle name="Normal 213 3 5" xfId="18085"/>
    <cellStyle name="Normal 213 3 5 2" xfId="18086"/>
    <cellStyle name="Normal 213 3 5 2 2" xfId="18087"/>
    <cellStyle name="Normal 213 3 5 3" xfId="18088"/>
    <cellStyle name="Normal 213 3 6" xfId="18089"/>
    <cellStyle name="Normal 213 4" xfId="18090"/>
    <cellStyle name="Normal 213 4 2" xfId="18091"/>
    <cellStyle name="Normal 213 4 2 2" xfId="18092"/>
    <cellStyle name="Normal 213 4 3" xfId="18093"/>
    <cellStyle name="Normal 213 5" xfId="18094"/>
    <cellStyle name="Normal 213 5 2" xfId="18095"/>
    <cellStyle name="Normal 213 5 2 2" xfId="18096"/>
    <cellStyle name="Normal 213 5 3" xfId="18097"/>
    <cellStyle name="Normal 213 6" xfId="18098"/>
    <cellStyle name="Normal 213 6 2" xfId="18099"/>
    <cellStyle name="Normal 213 6 2 2" xfId="18100"/>
    <cellStyle name="Normal 213 6 3" xfId="18101"/>
    <cellStyle name="Normal 213 7" xfId="18102"/>
    <cellStyle name="Normal 214" xfId="18103"/>
    <cellStyle name="Normal 214 2" xfId="18104"/>
    <cellStyle name="Normal 214 2 2" xfId="18105"/>
    <cellStyle name="Normal 214 2 2 2" xfId="18106"/>
    <cellStyle name="Normal 214 2 3" xfId="18107"/>
    <cellStyle name="Normal 214 2 3 2" xfId="18108"/>
    <cellStyle name="Normal 214 2 3 2 2" xfId="18109"/>
    <cellStyle name="Normal 214 2 3 3" xfId="18110"/>
    <cellStyle name="Normal 214 2 4" xfId="18111"/>
    <cellStyle name="Normal 214 2 4 2" xfId="18112"/>
    <cellStyle name="Normal 214 2 4 2 2" xfId="18113"/>
    <cellStyle name="Normal 214 2 4 3" xfId="18114"/>
    <cellStyle name="Normal 214 2 5" xfId="18115"/>
    <cellStyle name="Normal 214 3" xfId="18116"/>
    <cellStyle name="Normal 214 3 2" xfId="18117"/>
    <cellStyle name="Normal 214 3 2 2" xfId="18118"/>
    <cellStyle name="Normal 214 3 2 2 2" xfId="18119"/>
    <cellStyle name="Normal 214 3 2 3" xfId="18120"/>
    <cellStyle name="Normal 214 3 2 3 2" xfId="18121"/>
    <cellStyle name="Normal 214 3 2 3 2 2" xfId="18122"/>
    <cellStyle name="Normal 214 3 2 3 3" xfId="18123"/>
    <cellStyle name="Normal 214 3 2 4" xfId="18124"/>
    <cellStyle name="Normal 214 3 3" xfId="18125"/>
    <cellStyle name="Normal 214 3 3 2" xfId="18126"/>
    <cellStyle name="Normal 214 3 3 2 2" xfId="18127"/>
    <cellStyle name="Normal 214 3 3 3" xfId="18128"/>
    <cellStyle name="Normal 214 3 4" xfId="18129"/>
    <cellStyle name="Normal 214 3 4 2" xfId="18130"/>
    <cellStyle name="Normal 214 3 4 2 2" xfId="18131"/>
    <cellStyle name="Normal 214 3 4 3" xfId="18132"/>
    <cellStyle name="Normal 214 3 5" xfId="18133"/>
    <cellStyle name="Normal 214 3 5 2" xfId="18134"/>
    <cellStyle name="Normal 214 3 5 2 2" xfId="18135"/>
    <cellStyle name="Normal 214 3 5 3" xfId="18136"/>
    <cellStyle name="Normal 214 3 6" xfId="18137"/>
    <cellStyle name="Normal 214 4" xfId="18138"/>
    <cellStyle name="Normal 214 4 2" xfId="18139"/>
    <cellStyle name="Normal 214 4 2 2" xfId="18140"/>
    <cellStyle name="Normal 214 4 3" xfId="18141"/>
    <cellStyle name="Normal 214 5" xfId="18142"/>
    <cellStyle name="Normal 214 5 2" xfId="18143"/>
    <cellStyle name="Normal 214 5 2 2" xfId="18144"/>
    <cellStyle name="Normal 214 5 3" xfId="18145"/>
    <cellStyle name="Normal 214 6" xfId="18146"/>
    <cellStyle name="Normal 214 6 2" xfId="18147"/>
    <cellStyle name="Normal 214 6 2 2" xfId="18148"/>
    <cellStyle name="Normal 214 6 3" xfId="18149"/>
    <cellStyle name="Normal 214 7" xfId="18150"/>
    <cellStyle name="Normal 215" xfId="18151"/>
    <cellStyle name="Normal 215 2" xfId="18152"/>
    <cellStyle name="Normal 215 2 2" xfId="18153"/>
    <cellStyle name="Normal 215 2 2 2" xfId="18154"/>
    <cellStyle name="Normal 215 2 3" xfId="18155"/>
    <cellStyle name="Normal 215 2 3 2" xfId="18156"/>
    <cellStyle name="Normal 215 2 3 2 2" xfId="18157"/>
    <cellStyle name="Normal 215 2 3 3" xfId="18158"/>
    <cellStyle name="Normal 215 2 4" xfId="18159"/>
    <cellStyle name="Normal 215 2 4 2" xfId="18160"/>
    <cellStyle name="Normal 215 2 4 2 2" xfId="18161"/>
    <cellStyle name="Normal 215 2 4 3" xfId="18162"/>
    <cellStyle name="Normal 215 2 5" xfId="18163"/>
    <cellStyle name="Normal 215 3" xfId="18164"/>
    <cellStyle name="Normal 215 3 2" xfId="18165"/>
    <cellStyle name="Normal 215 3 2 2" xfId="18166"/>
    <cellStyle name="Normal 215 3 2 2 2" xfId="18167"/>
    <cellStyle name="Normal 215 3 2 3" xfId="18168"/>
    <cellStyle name="Normal 215 3 2 3 2" xfId="18169"/>
    <cellStyle name="Normal 215 3 2 3 2 2" xfId="18170"/>
    <cellStyle name="Normal 215 3 2 3 3" xfId="18171"/>
    <cellStyle name="Normal 215 3 2 4" xfId="18172"/>
    <cellStyle name="Normal 215 3 3" xfId="18173"/>
    <cellStyle name="Normal 215 3 3 2" xfId="18174"/>
    <cellStyle name="Normal 215 3 3 2 2" xfId="18175"/>
    <cellStyle name="Normal 215 3 3 3" xfId="18176"/>
    <cellStyle name="Normal 215 3 4" xfId="18177"/>
    <cellStyle name="Normal 215 3 4 2" xfId="18178"/>
    <cellStyle name="Normal 215 3 4 2 2" xfId="18179"/>
    <cellStyle name="Normal 215 3 4 3" xfId="18180"/>
    <cellStyle name="Normal 215 3 5" xfId="18181"/>
    <cellStyle name="Normal 215 3 5 2" xfId="18182"/>
    <cellStyle name="Normal 215 3 5 2 2" xfId="18183"/>
    <cellStyle name="Normal 215 3 5 3" xfId="18184"/>
    <cellStyle name="Normal 215 3 6" xfId="18185"/>
    <cellStyle name="Normal 215 4" xfId="18186"/>
    <cellStyle name="Normal 215 4 2" xfId="18187"/>
    <cellStyle name="Normal 215 4 2 2" xfId="18188"/>
    <cellStyle name="Normal 215 4 3" xfId="18189"/>
    <cellStyle name="Normal 215 5" xfId="18190"/>
    <cellStyle name="Normal 215 5 2" xfId="18191"/>
    <cellStyle name="Normal 215 5 2 2" xfId="18192"/>
    <cellStyle name="Normal 215 5 3" xfId="18193"/>
    <cellStyle name="Normal 215 6" xfId="18194"/>
    <cellStyle name="Normal 215 6 2" xfId="18195"/>
    <cellStyle name="Normal 215 6 2 2" xfId="18196"/>
    <cellStyle name="Normal 215 6 3" xfId="18197"/>
    <cellStyle name="Normal 215 7" xfId="18198"/>
    <cellStyle name="Normal 216" xfId="18199"/>
    <cellStyle name="Normal 216 2" xfId="18200"/>
    <cellStyle name="Normal 216 2 2" xfId="18201"/>
    <cellStyle name="Normal 216 2 2 2" xfId="18202"/>
    <cellStyle name="Normal 216 2 3" xfId="18203"/>
    <cellStyle name="Normal 216 2 3 2" xfId="18204"/>
    <cellStyle name="Normal 216 2 3 2 2" xfId="18205"/>
    <cellStyle name="Normal 216 2 3 3" xfId="18206"/>
    <cellStyle name="Normal 216 2 4" xfId="18207"/>
    <cellStyle name="Normal 216 2 4 2" xfId="18208"/>
    <cellStyle name="Normal 216 2 4 2 2" xfId="18209"/>
    <cellStyle name="Normal 216 2 4 3" xfId="18210"/>
    <cellStyle name="Normal 216 2 5" xfId="18211"/>
    <cellStyle name="Normal 216 3" xfId="18212"/>
    <cellStyle name="Normal 216 3 2" xfId="18213"/>
    <cellStyle name="Normal 216 3 2 2" xfId="18214"/>
    <cellStyle name="Normal 216 3 2 2 2" xfId="18215"/>
    <cellStyle name="Normal 216 3 2 3" xfId="18216"/>
    <cellStyle name="Normal 216 3 2 3 2" xfId="18217"/>
    <cellStyle name="Normal 216 3 2 3 2 2" xfId="18218"/>
    <cellStyle name="Normal 216 3 2 3 3" xfId="18219"/>
    <cellStyle name="Normal 216 3 2 4" xfId="18220"/>
    <cellStyle name="Normal 216 3 3" xfId="18221"/>
    <cellStyle name="Normal 216 3 3 2" xfId="18222"/>
    <cellStyle name="Normal 216 3 3 2 2" xfId="18223"/>
    <cellStyle name="Normal 216 3 3 3" xfId="18224"/>
    <cellStyle name="Normal 216 3 4" xfId="18225"/>
    <cellStyle name="Normal 216 3 4 2" xfId="18226"/>
    <cellStyle name="Normal 216 3 4 2 2" xfId="18227"/>
    <cellStyle name="Normal 216 3 4 3" xfId="18228"/>
    <cellStyle name="Normal 216 3 5" xfId="18229"/>
    <cellStyle name="Normal 216 3 5 2" xfId="18230"/>
    <cellStyle name="Normal 216 3 5 2 2" xfId="18231"/>
    <cellStyle name="Normal 216 3 5 3" xfId="18232"/>
    <cellStyle name="Normal 216 3 6" xfId="18233"/>
    <cellStyle name="Normal 216 4" xfId="18234"/>
    <cellStyle name="Normal 216 4 2" xfId="18235"/>
    <cellStyle name="Normal 216 4 2 2" xfId="18236"/>
    <cellStyle name="Normal 216 4 3" xfId="18237"/>
    <cellStyle name="Normal 216 5" xfId="18238"/>
    <cellStyle name="Normal 216 5 2" xfId="18239"/>
    <cellStyle name="Normal 216 5 2 2" xfId="18240"/>
    <cellStyle name="Normal 216 5 3" xfId="18241"/>
    <cellStyle name="Normal 216 6" xfId="18242"/>
    <cellStyle name="Normal 216 6 2" xfId="18243"/>
    <cellStyle name="Normal 216 6 2 2" xfId="18244"/>
    <cellStyle name="Normal 216 6 3" xfId="18245"/>
    <cellStyle name="Normal 216 7" xfId="18246"/>
    <cellStyle name="Normal 217" xfId="18247"/>
    <cellStyle name="Normal 217 2" xfId="18248"/>
    <cellStyle name="Normal 217 2 2" xfId="18249"/>
    <cellStyle name="Normal 217 2 2 2" xfId="18250"/>
    <cellStyle name="Normal 217 2 2 2 2" xfId="18251"/>
    <cellStyle name="Normal 217 2 2 3" xfId="18252"/>
    <cellStyle name="Normal 217 2 2 3 2" xfId="18253"/>
    <cellStyle name="Normal 217 2 2 3 2 2" xfId="18254"/>
    <cellStyle name="Normal 217 2 2 3 3" xfId="18255"/>
    <cellStyle name="Normal 217 2 2 4" xfId="18256"/>
    <cellStyle name="Normal 217 2 2 4 2" xfId="18257"/>
    <cellStyle name="Normal 217 2 2 4 2 2" xfId="18258"/>
    <cellStyle name="Normal 217 2 2 4 3" xfId="18259"/>
    <cellStyle name="Normal 217 2 2 5" xfId="18260"/>
    <cellStyle name="Normal 217 2 3" xfId="18261"/>
    <cellStyle name="Normal 217 2 3 2" xfId="18262"/>
    <cellStyle name="Normal 217 2 3 2 2" xfId="18263"/>
    <cellStyle name="Normal 217 2 3 2 2 2" xfId="18264"/>
    <cellStyle name="Normal 217 2 3 2 3" xfId="18265"/>
    <cellStyle name="Normal 217 2 3 2 3 2" xfId="18266"/>
    <cellStyle name="Normal 217 2 3 2 3 2 2" xfId="18267"/>
    <cellStyle name="Normal 217 2 3 2 3 3" xfId="18268"/>
    <cellStyle name="Normal 217 2 3 2 4" xfId="18269"/>
    <cellStyle name="Normal 217 2 3 3" xfId="18270"/>
    <cellStyle name="Normal 217 2 3 3 2" xfId="18271"/>
    <cellStyle name="Normal 217 2 3 3 2 2" xfId="18272"/>
    <cellStyle name="Normal 217 2 3 3 3" xfId="18273"/>
    <cellStyle name="Normal 217 2 3 4" xfId="18274"/>
    <cellStyle name="Normal 217 2 3 4 2" xfId="18275"/>
    <cellStyle name="Normal 217 2 3 4 2 2" xfId="18276"/>
    <cellStyle name="Normal 217 2 3 4 3" xfId="18277"/>
    <cellStyle name="Normal 217 2 3 5" xfId="18278"/>
    <cellStyle name="Normal 217 2 3 5 2" xfId="18279"/>
    <cellStyle name="Normal 217 2 3 5 2 2" xfId="18280"/>
    <cellStyle name="Normal 217 2 3 5 3" xfId="18281"/>
    <cellStyle name="Normal 217 2 3 6" xfId="18282"/>
    <cellStyle name="Normal 217 2 4" xfId="18283"/>
    <cellStyle name="Normal 217 2 4 2" xfId="18284"/>
    <cellStyle name="Normal 217 2 4 2 2" xfId="18285"/>
    <cellStyle name="Normal 217 2 4 3" xfId="18286"/>
    <cellStyle name="Normal 217 2 5" xfId="18287"/>
    <cellStyle name="Normal 217 2 5 2" xfId="18288"/>
    <cellStyle name="Normal 217 2 5 2 2" xfId="18289"/>
    <cellStyle name="Normal 217 2 5 3" xfId="18290"/>
    <cellStyle name="Normal 217 2 6" xfId="18291"/>
    <cellStyle name="Normal 217 2 6 2" xfId="18292"/>
    <cellStyle name="Normal 217 2 6 2 2" xfId="18293"/>
    <cellStyle name="Normal 217 2 6 3" xfId="18294"/>
    <cellStyle name="Normal 217 2 7" xfId="18295"/>
    <cellStyle name="Normal 217 3" xfId="18296"/>
    <cellStyle name="Normal 217 3 2" xfId="18297"/>
    <cellStyle name="Normal 217 3 2 2" xfId="18298"/>
    <cellStyle name="Normal 217 3 3" xfId="18299"/>
    <cellStyle name="Normal 217 3 3 2" xfId="18300"/>
    <cellStyle name="Normal 217 3 3 2 2" xfId="18301"/>
    <cellStyle name="Normal 217 3 3 3" xfId="18302"/>
    <cellStyle name="Normal 217 3 4" xfId="18303"/>
    <cellStyle name="Normal 217 3 4 2" xfId="18304"/>
    <cellStyle name="Normal 217 3 4 2 2" xfId="18305"/>
    <cellStyle name="Normal 217 3 4 3" xfId="18306"/>
    <cellStyle name="Normal 217 3 5" xfId="18307"/>
    <cellStyle name="Normal 217 4" xfId="18308"/>
    <cellStyle name="Normal 217 4 2" xfId="18309"/>
    <cellStyle name="Normal 217 4 2 2" xfId="18310"/>
    <cellStyle name="Normal 217 4 2 2 2" xfId="18311"/>
    <cellStyle name="Normal 217 4 2 3" xfId="18312"/>
    <cellStyle name="Normal 217 4 2 3 2" xfId="18313"/>
    <cellStyle name="Normal 217 4 2 3 2 2" xfId="18314"/>
    <cellStyle name="Normal 217 4 2 3 3" xfId="18315"/>
    <cellStyle name="Normal 217 4 2 4" xfId="18316"/>
    <cellStyle name="Normal 217 4 3" xfId="18317"/>
    <cellStyle name="Normal 217 4 3 2" xfId="18318"/>
    <cellStyle name="Normal 217 4 3 2 2" xfId="18319"/>
    <cellStyle name="Normal 217 4 3 3" xfId="18320"/>
    <cellStyle name="Normal 217 4 4" xfId="18321"/>
    <cellStyle name="Normal 217 4 4 2" xfId="18322"/>
    <cellStyle name="Normal 217 4 4 2 2" xfId="18323"/>
    <cellStyle name="Normal 217 4 4 3" xfId="18324"/>
    <cellStyle name="Normal 217 4 5" xfId="18325"/>
    <cellStyle name="Normal 217 4 5 2" xfId="18326"/>
    <cellStyle name="Normal 217 4 5 2 2" xfId="18327"/>
    <cellStyle name="Normal 217 4 5 3" xfId="18328"/>
    <cellStyle name="Normal 217 4 6" xfId="18329"/>
    <cellStyle name="Normal 217 5" xfId="18330"/>
    <cellStyle name="Normal 217 5 2" xfId="18331"/>
    <cellStyle name="Normal 217 5 2 2" xfId="18332"/>
    <cellStyle name="Normal 217 5 3" xfId="18333"/>
    <cellStyle name="Normal 217 6" xfId="18334"/>
    <cellStyle name="Normal 217 6 2" xfId="18335"/>
    <cellStyle name="Normal 217 6 2 2" xfId="18336"/>
    <cellStyle name="Normal 217 6 3" xfId="18337"/>
    <cellStyle name="Normal 217 7" xfId="18338"/>
    <cellStyle name="Normal 217 7 2" xfId="18339"/>
    <cellStyle name="Normal 217 7 2 2" xfId="18340"/>
    <cellStyle name="Normal 217 7 3" xfId="18341"/>
    <cellStyle name="Normal 217 8" xfId="18342"/>
    <cellStyle name="Normal 218" xfId="18343"/>
    <cellStyle name="Normal 218 2" xfId="18344"/>
    <cellStyle name="Normal 218 2 2" xfId="18345"/>
    <cellStyle name="Normal 218 2 2 2" xfId="18346"/>
    <cellStyle name="Normal 218 2 2 2 2" xfId="18347"/>
    <cellStyle name="Normal 218 2 2 3" xfId="18348"/>
    <cellStyle name="Normal 218 2 2 3 2" xfId="18349"/>
    <cellStyle name="Normal 218 2 2 3 2 2" xfId="18350"/>
    <cellStyle name="Normal 218 2 2 3 3" xfId="18351"/>
    <cellStyle name="Normal 218 2 2 4" xfId="18352"/>
    <cellStyle name="Normal 218 2 2 4 2" xfId="18353"/>
    <cellStyle name="Normal 218 2 2 4 2 2" xfId="18354"/>
    <cellStyle name="Normal 218 2 2 4 3" xfId="18355"/>
    <cellStyle name="Normal 218 2 2 5" xfId="18356"/>
    <cellStyle name="Normal 218 2 3" xfId="18357"/>
    <cellStyle name="Normal 218 2 3 2" xfId="18358"/>
    <cellStyle name="Normal 218 2 3 2 2" xfId="18359"/>
    <cellStyle name="Normal 218 2 3 2 2 2" xfId="18360"/>
    <cellStyle name="Normal 218 2 3 2 3" xfId="18361"/>
    <cellStyle name="Normal 218 2 3 2 3 2" xfId="18362"/>
    <cellStyle name="Normal 218 2 3 2 3 2 2" xfId="18363"/>
    <cellStyle name="Normal 218 2 3 2 3 3" xfId="18364"/>
    <cellStyle name="Normal 218 2 3 2 4" xfId="18365"/>
    <cellStyle name="Normal 218 2 3 3" xfId="18366"/>
    <cellStyle name="Normal 218 2 3 3 2" xfId="18367"/>
    <cellStyle name="Normal 218 2 3 3 2 2" xfId="18368"/>
    <cellStyle name="Normal 218 2 3 3 3" xfId="18369"/>
    <cellStyle name="Normal 218 2 3 4" xfId="18370"/>
    <cellStyle name="Normal 218 2 3 4 2" xfId="18371"/>
    <cellStyle name="Normal 218 2 3 4 2 2" xfId="18372"/>
    <cellStyle name="Normal 218 2 3 4 3" xfId="18373"/>
    <cellStyle name="Normal 218 2 3 5" xfId="18374"/>
    <cellStyle name="Normal 218 2 3 5 2" xfId="18375"/>
    <cellStyle name="Normal 218 2 3 5 2 2" xfId="18376"/>
    <cellStyle name="Normal 218 2 3 5 3" xfId="18377"/>
    <cellStyle name="Normal 218 2 3 6" xfId="18378"/>
    <cellStyle name="Normal 218 2 4" xfId="18379"/>
    <cellStyle name="Normal 218 2 4 2" xfId="18380"/>
    <cellStyle name="Normal 218 2 4 2 2" xfId="18381"/>
    <cellStyle name="Normal 218 2 4 3" xfId="18382"/>
    <cellStyle name="Normal 218 2 5" xfId="18383"/>
    <cellStyle name="Normal 218 2 5 2" xfId="18384"/>
    <cellStyle name="Normal 218 2 5 2 2" xfId="18385"/>
    <cellStyle name="Normal 218 2 5 3" xfId="18386"/>
    <cellStyle name="Normal 218 2 6" xfId="18387"/>
    <cellStyle name="Normal 218 2 6 2" xfId="18388"/>
    <cellStyle name="Normal 218 2 6 2 2" xfId="18389"/>
    <cellStyle name="Normal 218 2 6 3" xfId="18390"/>
    <cellStyle name="Normal 218 2 7" xfId="18391"/>
    <cellStyle name="Normal 218 3" xfId="18392"/>
    <cellStyle name="Normal 218 3 2" xfId="18393"/>
    <cellStyle name="Normal 218 3 2 2" xfId="18394"/>
    <cellStyle name="Normal 218 3 3" xfId="18395"/>
    <cellStyle name="Normal 218 3 3 2" xfId="18396"/>
    <cellStyle name="Normal 218 3 3 2 2" xfId="18397"/>
    <cellStyle name="Normal 218 3 3 3" xfId="18398"/>
    <cellStyle name="Normal 218 3 4" xfId="18399"/>
    <cellStyle name="Normal 218 3 4 2" xfId="18400"/>
    <cellStyle name="Normal 218 3 4 2 2" xfId="18401"/>
    <cellStyle name="Normal 218 3 4 3" xfId="18402"/>
    <cellStyle name="Normal 218 3 5" xfId="18403"/>
    <cellStyle name="Normal 218 4" xfId="18404"/>
    <cellStyle name="Normal 218 4 2" xfId="18405"/>
    <cellStyle name="Normal 218 4 2 2" xfId="18406"/>
    <cellStyle name="Normal 218 4 2 2 2" xfId="18407"/>
    <cellStyle name="Normal 218 4 2 3" xfId="18408"/>
    <cellStyle name="Normal 218 4 2 3 2" xfId="18409"/>
    <cellStyle name="Normal 218 4 2 3 2 2" xfId="18410"/>
    <cellStyle name="Normal 218 4 2 3 3" xfId="18411"/>
    <cellStyle name="Normal 218 4 2 4" xfId="18412"/>
    <cellStyle name="Normal 218 4 3" xfId="18413"/>
    <cellStyle name="Normal 218 4 3 2" xfId="18414"/>
    <cellStyle name="Normal 218 4 3 2 2" xfId="18415"/>
    <cellStyle name="Normal 218 4 3 3" xfId="18416"/>
    <cellStyle name="Normal 218 4 4" xfId="18417"/>
    <cellStyle name="Normal 218 4 4 2" xfId="18418"/>
    <cellStyle name="Normal 218 4 4 2 2" xfId="18419"/>
    <cellStyle name="Normal 218 4 4 3" xfId="18420"/>
    <cellStyle name="Normal 218 4 5" xfId="18421"/>
    <cellStyle name="Normal 218 4 5 2" xfId="18422"/>
    <cellStyle name="Normal 218 4 5 2 2" xfId="18423"/>
    <cellStyle name="Normal 218 4 5 3" xfId="18424"/>
    <cellStyle name="Normal 218 4 6" xfId="18425"/>
    <cellStyle name="Normal 218 5" xfId="18426"/>
    <cellStyle name="Normal 218 5 2" xfId="18427"/>
    <cellStyle name="Normal 218 5 2 2" xfId="18428"/>
    <cellStyle name="Normal 218 5 3" xfId="18429"/>
    <cellStyle name="Normal 218 6" xfId="18430"/>
    <cellStyle name="Normal 218 6 2" xfId="18431"/>
    <cellStyle name="Normal 218 6 2 2" xfId="18432"/>
    <cellStyle name="Normal 218 6 3" xfId="18433"/>
    <cellStyle name="Normal 218 7" xfId="18434"/>
    <cellStyle name="Normal 218 7 2" xfId="18435"/>
    <cellStyle name="Normal 218 7 2 2" xfId="18436"/>
    <cellStyle name="Normal 218 7 3" xfId="18437"/>
    <cellStyle name="Normal 218 8" xfId="18438"/>
    <cellStyle name="Normal 219" xfId="18439"/>
    <cellStyle name="Normal 219 2" xfId="18440"/>
    <cellStyle name="Normal 219 2 2" xfId="18441"/>
    <cellStyle name="Normal 219 2 2 2" xfId="18442"/>
    <cellStyle name="Normal 219 2 2 2 2" xfId="18443"/>
    <cellStyle name="Normal 219 2 2 3" xfId="18444"/>
    <cellStyle name="Normal 219 2 2 3 2" xfId="18445"/>
    <cellStyle name="Normal 219 2 2 3 2 2" xfId="18446"/>
    <cellStyle name="Normal 219 2 2 3 3" xfId="18447"/>
    <cellStyle name="Normal 219 2 2 4" xfId="18448"/>
    <cellStyle name="Normal 219 2 2 4 2" xfId="18449"/>
    <cellStyle name="Normal 219 2 2 4 2 2" xfId="18450"/>
    <cellStyle name="Normal 219 2 2 4 3" xfId="18451"/>
    <cellStyle name="Normal 219 2 2 5" xfId="18452"/>
    <cellStyle name="Normal 219 2 3" xfId="18453"/>
    <cellStyle name="Normal 219 2 3 2" xfId="18454"/>
    <cellStyle name="Normal 219 2 3 2 2" xfId="18455"/>
    <cellStyle name="Normal 219 2 3 2 2 2" xfId="18456"/>
    <cellStyle name="Normal 219 2 3 2 3" xfId="18457"/>
    <cellStyle name="Normal 219 2 3 2 3 2" xfId="18458"/>
    <cellStyle name="Normal 219 2 3 2 3 2 2" xfId="18459"/>
    <cellStyle name="Normal 219 2 3 2 3 3" xfId="18460"/>
    <cellStyle name="Normal 219 2 3 2 4" xfId="18461"/>
    <cellStyle name="Normal 219 2 3 3" xfId="18462"/>
    <cellStyle name="Normal 219 2 3 3 2" xfId="18463"/>
    <cellStyle name="Normal 219 2 3 3 2 2" xfId="18464"/>
    <cellStyle name="Normal 219 2 3 3 3" xfId="18465"/>
    <cellStyle name="Normal 219 2 3 4" xfId="18466"/>
    <cellStyle name="Normal 219 2 3 4 2" xfId="18467"/>
    <cellStyle name="Normal 219 2 3 4 2 2" xfId="18468"/>
    <cellStyle name="Normal 219 2 3 4 3" xfId="18469"/>
    <cellStyle name="Normal 219 2 3 5" xfId="18470"/>
    <cellStyle name="Normal 219 2 3 5 2" xfId="18471"/>
    <cellStyle name="Normal 219 2 3 5 2 2" xfId="18472"/>
    <cellStyle name="Normal 219 2 3 5 3" xfId="18473"/>
    <cellStyle name="Normal 219 2 3 6" xfId="18474"/>
    <cellStyle name="Normal 219 2 4" xfId="18475"/>
    <cellStyle name="Normal 219 2 4 2" xfId="18476"/>
    <cellStyle name="Normal 219 2 4 2 2" xfId="18477"/>
    <cellStyle name="Normal 219 2 4 3" xfId="18478"/>
    <cellStyle name="Normal 219 2 5" xfId="18479"/>
    <cellStyle name="Normal 219 2 5 2" xfId="18480"/>
    <cellStyle name="Normal 219 2 5 2 2" xfId="18481"/>
    <cellStyle name="Normal 219 2 5 3" xfId="18482"/>
    <cellStyle name="Normal 219 2 6" xfId="18483"/>
    <cellStyle name="Normal 219 2 6 2" xfId="18484"/>
    <cellStyle name="Normal 219 2 6 2 2" xfId="18485"/>
    <cellStyle name="Normal 219 2 6 3" xfId="18486"/>
    <cellStyle name="Normal 219 2 7" xfId="18487"/>
    <cellStyle name="Normal 219 3" xfId="18488"/>
    <cellStyle name="Normal 219 3 2" xfId="18489"/>
    <cellStyle name="Normal 219 3 2 2" xfId="18490"/>
    <cellStyle name="Normal 219 3 3" xfId="18491"/>
    <cellStyle name="Normal 219 3 3 2" xfId="18492"/>
    <cellStyle name="Normal 219 3 3 2 2" xfId="18493"/>
    <cellStyle name="Normal 219 3 3 3" xfId="18494"/>
    <cellStyle name="Normal 219 3 4" xfId="18495"/>
    <cellStyle name="Normal 219 3 4 2" xfId="18496"/>
    <cellStyle name="Normal 219 3 4 2 2" xfId="18497"/>
    <cellStyle name="Normal 219 3 4 3" xfId="18498"/>
    <cellStyle name="Normal 219 3 5" xfId="18499"/>
    <cellStyle name="Normal 219 4" xfId="18500"/>
    <cellStyle name="Normal 219 4 2" xfId="18501"/>
    <cellStyle name="Normal 219 4 2 2" xfId="18502"/>
    <cellStyle name="Normal 219 4 2 2 2" xfId="18503"/>
    <cellStyle name="Normal 219 4 2 3" xfId="18504"/>
    <cellStyle name="Normal 219 4 2 3 2" xfId="18505"/>
    <cellStyle name="Normal 219 4 2 3 2 2" xfId="18506"/>
    <cellStyle name="Normal 219 4 2 3 3" xfId="18507"/>
    <cellStyle name="Normal 219 4 2 4" xfId="18508"/>
    <cellStyle name="Normal 219 4 3" xfId="18509"/>
    <cellStyle name="Normal 219 4 3 2" xfId="18510"/>
    <cellStyle name="Normal 219 4 3 2 2" xfId="18511"/>
    <cellStyle name="Normal 219 4 3 3" xfId="18512"/>
    <cellStyle name="Normal 219 4 4" xfId="18513"/>
    <cellStyle name="Normal 219 4 4 2" xfId="18514"/>
    <cellStyle name="Normal 219 4 4 2 2" xfId="18515"/>
    <cellStyle name="Normal 219 4 4 3" xfId="18516"/>
    <cellStyle name="Normal 219 4 5" xfId="18517"/>
    <cellStyle name="Normal 219 4 5 2" xfId="18518"/>
    <cellStyle name="Normal 219 4 5 2 2" xfId="18519"/>
    <cellStyle name="Normal 219 4 5 3" xfId="18520"/>
    <cellStyle name="Normal 219 4 6" xfId="18521"/>
    <cellStyle name="Normal 219 5" xfId="18522"/>
    <cellStyle name="Normal 219 5 2" xfId="18523"/>
    <cellStyle name="Normal 219 5 2 2" xfId="18524"/>
    <cellStyle name="Normal 219 5 3" xfId="18525"/>
    <cellStyle name="Normal 219 6" xfId="18526"/>
    <cellStyle name="Normal 219 6 2" xfId="18527"/>
    <cellStyle name="Normal 219 6 2 2" xfId="18528"/>
    <cellStyle name="Normal 219 6 3" xfId="18529"/>
    <cellStyle name="Normal 219 7" xfId="18530"/>
    <cellStyle name="Normal 219 7 2" xfId="18531"/>
    <cellStyle name="Normal 219 7 2 2" xfId="18532"/>
    <cellStyle name="Normal 219 7 3" xfId="18533"/>
    <cellStyle name="Normal 219 8" xfId="18534"/>
    <cellStyle name="Normal 22" xfId="18535"/>
    <cellStyle name="Normal 22 2" xfId="18536"/>
    <cellStyle name="Normal 22 2 2" xfId="18537"/>
    <cellStyle name="Normal 22 2 2 2" xfId="18538"/>
    <cellStyle name="Normal 22 2 2 2 2" xfId="18539"/>
    <cellStyle name="Normal 22 2 2 3" xfId="18540"/>
    <cellStyle name="Normal 22 2 2 3 2" xfId="18541"/>
    <cellStyle name="Normal 22 2 2 3 2 2" xfId="18542"/>
    <cellStyle name="Normal 22 2 2 3 3" xfId="18543"/>
    <cellStyle name="Normal 22 2 2 4" xfId="18544"/>
    <cellStyle name="Normal 22 2 2 4 2" xfId="18545"/>
    <cellStyle name="Normal 22 2 2 4 2 2" xfId="18546"/>
    <cellStyle name="Normal 22 2 2 4 3" xfId="18547"/>
    <cellStyle name="Normal 22 2 2 5" xfId="18548"/>
    <cellStyle name="Normal 22 2 3" xfId="18549"/>
    <cellStyle name="Normal 22 2 3 2" xfId="18550"/>
    <cellStyle name="Normal 22 2 3 2 2" xfId="18551"/>
    <cellStyle name="Normal 22 2 3 3" xfId="18552"/>
    <cellStyle name="Normal 22 2 4" xfId="18553"/>
    <cellStyle name="Normal 22 2 4 2" xfId="18554"/>
    <cellStyle name="Normal 22 2 4 2 2" xfId="18555"/>
    <cellStyle name="Normal 22 2 4 3" xfId="18556"/>
    <cellStyle name="Normal 22 2 5" xfId="18557"/>
    <cellStyle name="Normal 22 2 5 2" xfId="18558"/>
    <cellStyle name="Normal 22 2 5 2 2" xfId="18559"/>
    <cellStyle name="Normal 22 2 5 3" xfId="18560"/>
    <cellStyle name="Normal 22 2 6" xfId="18561"/>
    <cellStyle name="Normal 22 3" xfId="18562"/>
    <cellStyle name="Normal 22 3 2" xfId="18563"/>
    <cellStyle name="Normal 22 3 2 2" xfId="18564"/>
    <cellStyle name="Normal 22 3 3" xfId="18565"/>
    <cellStyle name="Normal 22 3 3 2" xfId="18566"/>
    <cellStyle name="Normal 22 3 3 2 2" xfId="18567"/>
    <cellStyle name="Normal 22 3 3 3" xfId="18568"/>
    <cellStyle name="Normal 22 3 4" xfId="18569"/>
    <cellStyle name="Normal 22 3 4 2" xfId="18570"/>
    <cellStyle name="Normal 22 3 4 2 2" xfId="18571"/>
    <cellStyle name="Normal 22 3 4 3" xfId="18572"/>
    <cellStyle name="Normal 22 3 5" xfId="18573"/>
    <cellStyle name="Normal 22 4" xfId="18574"/>
    <cellStyle name="Normal 22 4 2" xfId="18575"/>
    <cellStyle name="Normal 22 4 2 2" xfId="18576"/>
    <cellStyle name="Normal 22 4 2 2 2" xfId="18577"/>
    <cellStyle name="Normal 22 4 2 3" xfId="18578"/>
    <cellStyle name="Normal 22 4 2 3 2" xfId="18579"/>
    <cellStyle name="Normal 22 4 2 3 2 2" xfId="18580"/>
    <cellStyle name="Normal 22 4 2 3 3" xfId="18581"/>
    <cellStyle name="Normal 22 4 2 4" xfId="18582"/>
    <cellStyle name="Normal 22 4 3" xfId="18583"/>
    <cellStyle name="Normal 22 4 3 2" xfId="18584"/>
    <cellStyle name="Normal 22 4 3 2 2" xfId="18585"/>
    <cellStyle name="Normal 22 4 3 3" xfId="18586"/>
    <cellStyle name="Normal 22 4 4" xfId="18587"/>
    <cellStyle name="Normal 22 4 4 2" xfId="18588"/>
    <cellStyle name="Normal 22 4 4 2 2" xfId="18589"/>
    <cellStyle name="Normal 22 4 4 3" xfId="18590"/>
    <cellStyle name="Normal 22 4 5" xfId="18591"/>
    <cellStyle name="Normal 22 4 5 2" xfId="18592"/>
    <cellStyle name="Normal 22 4 5 2 2" xfId="18593"/>
    <cellStyle name="Normal 22 4 5 3" xfId="18594"/>
    <cellStyle name="Normal 22 4 6" xfId="18595"/>
    <cellStyle name="Normal 22 5" xfId="18596"/>
    <cellStyle name="Normal 220" xfId="18597"/>
    <cellStyle name="Normal 220 2" xfId="18598"/>
    <cellStyle name="Normal 220 2 2" xfId="18599"/>
    <cellStyle name="Normal 220 2 2 2" xfId="18600"/>
    <cellStyle name="Normal 220 2 2 2 2" xfId="18601"/>
    <cellStyle name="Normal 220 2 2 3" xfId="18602"/>
    <cellStyle name="Normal 220 2 2 3 2" xfId="18603"/>
    <cellStyle name="Normal 220 2 2 3 2 2" xfId="18604"/>
    <cellStyle name="Normal 220 2 2 3 3" xfId="18605"/>
    <cellStyle name="Normal 220 2 2 4" xfId="18606"/>
    <cellStyle name="Normal 220 2 2 4 2" xfId="18607"/>
    <cellStyle name="Normal 220 2 2 4 2 2" xfId="18608"/>
    <cellStyle name="Normal 220 2 2 4 3" xfId="18609"/>
    <cellStyle name="Normal 220 2 2 5" xfId="18610"/>
    <cellStyle name="Normal 220 2 3" xfId="18611"/>
    <cellStyle name="Normal 220 2 3 2" xfId="18612"/>
    <cellStyle name="Normal 220 2 3 2 2" xfId="18613"/>
    <cellStyle name="Normal 220 2 3 2 2 2" xfId="18614"/>
    <cellStyle name="Normal 220 2 3 2 3" xfId="18615"/>
    <cellStyle name="Normal 220 2 3 2 3 2" xfId="18616"/>
    <cellStyle name="Normal 220 2 3 2 3 2 2" xfId="18617"/>
    <cellStyle name="Normal 220 2 3 2 3 3" xfId="18618"/>
    <cellStyle name="Normal 220 2 3 2 4" xfId="18619"/>
    <cellStyle name="Normal 220 2 3 3" xfId="18620"/>
    <cellStyle name="Normal 220 2 3 3 2" xfId="18621"/>
    <cellStyle name="Normal 220 2 3 3 2 2" xfId="18622"/>
    <cellStyle name="Normal 220 2 3 3 3" xfId="18623"/>
    <cellStyle name="Normal 220 2 3 4" xfId="18624"/>
    <cellStyle name="Normal 220 2 3 4 2" xfId="18625"/>
    <cellStyle name="Normal 220 2 3 4 2 2" xfId="18626"/>
    <cellStyle name="Normal 220 2 3 4 3" xfId="18627"/>
    <cellStyle name="Normal 220 2 3 5" xfId="18628"/>
    <cellStyle name="Normal 220 2 3 5 2" xfId="18629"/>
    <cellStyle name="Normal 220 2 3 5 2 2" xfId="18630"/>
    <cellStyle name="Normal 220 2 3 5 3" xfId="18631"/>
    <cellStyle name="Normal 220 2 3 6" xfId="18632"/>
    <cellStyle name="Normal 220 2 4" xfId="18633"/>
    <cellStyle name="Normal 220 2 4 2" xfId="18634"/>
    <cellStyle name="Normal 220 2 4 2 2" xfId="18635"/>
    <cellStyle name="Normal 220 2 4 3" xfId="18636"/>
    <cellStyle name="Normal 220 2 5" xfId="18637"/>
    <cellStyle name="Normal 220 2 5 2" xfId="18638"/>
    <cellStyle name="Normal 220 2 5 2 2" xfId="18639"/>
    <cellStyle name="Normal 220 2 5 3" xfId="18640"/>
    <cellStyle name="Normal 220 2 6" xfId="18641"/>
    <cellStyle name="Normal 220 2 6 2" xfId="18642"/>
    <cellStyle name="Normal 220 2 6 2 2" xfId="18643"/>
    <cellStyle name="Normal 220 2 6 3" xfId="18644"/>
    <cellStyle name="Normal 220 2 7" xfId="18645"/>
    <cellStyle name="Normal 220 3" xfId="18646"/>
    <cellStyle name="Normal 220 3 2" xfId="18647"/>
    <cellStyle name="Normal 220 3 2 2" xfId="18648"/>
    <cellStyle name="Normal 220 3 3" xfId="18649"/>
    <cellStyle name="Normal 220 3 3 2" xfId="18650"/>
    <cellStyle name="Normal 220 3 3 2 2" xfId="18651"/>
    <cellStyle name="Normal 220 3 3 3" xfId="18652"/>
    <cellStyle name="Normal 220 3 4" xfId="18653"/>
    <cellStyle name="Normal 220 3 4 2" xfId="18654"/>
    <cellStyle name="Normal 220 3 4 2 2" xfId="18655"/>
    <cellStyle name="Normal 220 3 4 3" xfId="18656"/>
    <cellStyle name="Normal 220 3 5" xfId="18657"/>
    <cellStyle name="Normal 220 4" xfId="18658"/>
    <cellStyle name="Normal 220 4 2" xfId="18659"/>
    <cellStyle name="Normal 220 4 2 2" xfId="18660"/>
    <cellStyle name="Normal 220 4 2 2 2" xfId="18661"/>
    <cellStyle name="Normal 220 4 2 3" xfId="18662"/>
    <cellStyle name="Normal 220 4 2 3 2" xfId="18663"/>
    <cellStyle name="Normal 220 4 2 3 2 2" xfId="18664"/>
    <cellStyle name="Normal 220 4 2 3 3" xfId="18665"/>
    <cellStyle name="Normal 220 4 2 4" xfId="18666"/>
    <cellStyle name="Normal 220 4 3" xfId="18667"/>
    <cellStyle name="Normal 220 4 3 2" xfId="18668"/>
    <cellStyle name="Normal 220 4 3 2 2" xfId="18669"/>
    <cellStyle name="Normal 220 4 3 3" xfId="18670"/>
    <cellStyle name="Normal 220 4 4" xfId="18671"/>
    <cellStyle name="Normal 220 4 4 2" xfId="18672"/>
    <cellStyle name="Normal 220 4 4 2 2" xfId="18673"/>
    <cellStyle name="Normal 220 4 4 3" xfId="18674"/>
    <cellStyle name="Normal 220 4 5" xfId="18675"/>
    <cellStyle name="Normal 220 4 5 2" xfId="18676"/>
    <cellStyle name="Normal 220 4 5 2 2" xfId="18677"/>
    <cellStyle name="Normal 220 4 5 3" xfId="18678"/>
    <cellStyle name="Normal 220 4 6" xfId="18679"/>
    <cellStyle name="Normal 220 5" xfId="18680"/>
    <cellStyle name="Normal 220 5 2" xfId="18681"/>
    <cellStyle name="Normal 220 5 2 2" xfId="18682"/>
    <cellStyle name="Normal 220 5 3" xfId="18683"/>
    <cellStyle name="Normal 220 6" xfId="18684"/>
    <cellStyle name="Normal 220 6 2" xfId="18685"/>
    <cellStyle name="Normal 220 6 2 2" xfId="18686"/>
    <cellStyle name="Normal 220 6 3" xfId="18687"/>
    <cellStyle name="Normal 220 7" xfId="18688"/>
    <cellStyle name="Normal 220 7 2" xfId="18689"/>
    <cellStyle name="Normal 220 7 2 2" xfId="18690"/>
    <cellStyle name="Normal 220 7 3" xfId="18691"/>
    <cellStyle name="Normal 220 8" xfId="18692"/>
    <cellStyle name="Normal 221" xfId="18693"/>
    <cellStyle name="Normal 221 2" xfId="18694"/>
    <cellStyle name="Normal 221 2 2" xfId="18695"/>
    <cellStyle name="Normal 221 2 2 2" xfId="18696"/>
    <cellStyle name="Normal 221 2 2 2 2" xfId="18697"/>
    <cellStyle name="Normal 221 2 2 3" xfId="18698"/>
    <cellStyle name="Normal 221 2 2 3 2" xfId="18699"/>
    <cellStyle name="Normal 221 2 2 3 2 2" xfId="18700"/>
    <cellStyle name="Normal 221 2 2 3 3" xfId="18701"/>
    <cellStyle name="Normal 221 2 2 4" xfId="18702"/>
    <cellStyle name="Normal 221 2 2 4 2" xfId="18703"/>
    <cellStyle name="Normal 221 2 2 4 2 2" xfId="18704"/>
    <cellStyle name="Normal 221 2 2 4 3" xfId="18705"/>
    <cellStyle name="Normal 221 2 2 5" xfId="18706"/>
    <cellStyle name="Normal 221 2 3" xfId="18707"/>
    <cellStyle name="Normal 221 2 3 2" xfId="18708"/>
    <cellStyle name="Normal 221 2 3 2 2" xfId="18709"/>
    <cellStyle name="Normal 221 2 3 2 2 2" xfId="18710"/>
    <cellStyle name="Normal 221 2 3 2 3" xfId="18711"/>
    <cellStyle name="Normal 221 2 3 2 3 2" xfId="18712"/>
    <cellStyle name="Normal 221 2 3 2 3 2 2" xfId="18713"/>
    <cellStyle name="Normal 221 2 3 2 3 3" xfId="18714"/>
    <cellStyle name="Normal 221 2 3 2 4" xfId="18715"/>
    <cellStyle name="Normal 221 2 3 3" xfId="18716"/>
    <cellStyle name="Normal 221 2 3 3 2" xfId="18717"/>
    <cellStyle name="Normal 221 2 3 3 2 2" xfId="18718"/>
    <cellStyle name="Normal 221 2 3 3 3" xfId="18719"/>
    <cellStyle name="Normal 221 2 3 4" xfId="18720"/>
    <cellStyle name="Normal 221 2 3 4 2" xfId="18721"/>
    <cellStyle name="Normal 221 2 3 4 2 2" xfId="18722"/>
    <cellStyle name="Normal 221 2 3 4 3" xfId="18723"/>
    <cellStyle name="Normal 221 2 3 5" xfId="18724"/>
    <cellStyle name="Normal 221 2 3 5 2" xfId="18725"/>
    <cellStyle name="Normal 221 2 3 5 2 2" xfId="18726"/>
    <cellStyle name="Normal 221 2 3 5 3" xfId="18727"/>
    <cellStyle name="Normal 221 2 3 6" xfId="18728"/>
    <cellStyle name="Normal 221 2 4" xfId="18729"/>
    <cellStyle name="Normal 221 2 4 2" xfId="18730"/>
    <cellStyle name="Normal 221 2 4 2 2" xfId="18731"/>
    <cellStyle name="Normal 221 2 4 3" xfId="18732"/>
    <cellStyle name="Normal 221 2 5" xfId="18733"/>
    <cellStyle name="Normal 221 2 5 2" xfId="18734"/>
    <cellStyle name="Normal 221 2 5 2 2" xfId="18735"/>
    <cellStyle name="Normal 221 2 5 3" xfId="18736"/>
    <cellStyle name="Normal 221 2 6" xfId="18737"/>
    <cellStyle name="Normal 221 2 6 2" xfId="18738"/>
    <cellStyle name="Normal 221 2 6 2 2" xfId="18739"/>
    <cellStyle name="Normal 221 2 6 3" xfId="18740"/>
    <cellStyle name="Normal 221 2 7" xfId="18741"/>
    <cellStyle name="Normal 221 3" xfId="18742"/>
    <cellStyle name="Normal 221 3 2" xfId="18743"/>
    <cellStyle name="Normal 221 3 2 2" xfId="18744"/>
    <cellStyle name="Normal 221 3 3" xfId="18745"/>
    <cellStyle name="Normal 221 3 3 2" xfId="18746"/>
    <cellStyle name="Normal 221 3 3 2 2" xfId="18747"/>
    <cellStyle name="Normal 221 3 3 3" xfId="18748"/>
    <cellStyle name="Normal 221 3 4" xfId="18749"/>
    <cellStyle name="Normal 221 3 4 2" xfId="18750"/>
    <cellStyle name="Normal 221 3 4 2 2" xfId="18751"/>
    <cellStyle name="Normal 221 3 4 3" xfId="18752"/>
    <cellStyle name="Normal 221 3 5" xfId="18753"/>
    <cellStyle name="Normal 221 4" xfId="18754"/>
    <cellStyle name="Normal 221 4 2" xfId="18755"/>
    <cellStyle name="Normal 221 4 2 2" xfId="18756"/>
    <cellStyle name="Normal 221 4 2 2 2" xfId="18757"/>
    <cellStyle name="Normal 221 4 2 3" xfId="18758"/>
    <cellStyle name="Normal 221 4 2 3 2" xfId="18759"/>
    <cellStyle name="Normal 221 4 2 3 2 2" xfId="18760"/>
    <cellStyle name="Normal 221 4 2 3 3" xfId="18761"/>
    <cellStyle name="Normal 221 4 2 4" xfId="18762"/>
    <cellStyle name="Normal 221 4 3" xfId="18763"/>
    <cellStyle name="Normal 221 4 3 2" xfId="18764"/>
    <cellStyle name="Normal 221 4 3 2 2" xfId="18765"/>
    <cellStyle name="Normal 221 4 3 3" xfId="18766"/>
    <cellStyle name="Normal 221 4 4" xfId="18767"/>
    <cellStyle name="Normal 221 4 4 2" xfId="18768"/>
    <cellStyle name="Normal 221 4 4 2 2" xfId="18769"/>
    <cellStyle name="Normal 221 4 4 3" xfId="18770"/>
    <cellStyle name="Normal 221 4 5" xfId="18771"/>
    <cellStyle name="Normal 221 4 5 2" xfId="18772"/>
    <cellStyle name="Normal 221 4 5 2 2" xfId="18773"/>
    <cellStyle name="Normal 221 4 5 3" xfId="18774"/>
    <cellStyle name="Normal 221 4 6" xfId="18775"/>
    <cellStyle name="Normal 221 5" xfId="18776"/>
    <cellStyle name="Normal 221 5 2" xfId="18777"/>
    <cellStyle name="Normal 221 5 2 2" xfId="18778"/>
    <cellStyle name="Normal 221 5 3" xfId="18779"/>
    <cellStyle name="Normal 221 6" xfId="18780"/>
    <cellStyle name="Normal 221 6 2" xfId="18781"/>
    <cellStyle name="Normal 221 6 2 2" xfId="18782"/>
    <cellStyle name="Normal 221 6 3" xfId="18783"/>
    <cellStyle name="Normal 221 7" xfId="18784"/>
    <cellStyle name="Normal 221 7 2" xfId="18785"/>
    <cellStyle name="Normal 221 7 2 2" xfId="18786"/>
    <cellStyle name="Normal 221 7 3" xfId="18787"/>
    <cellStyle name="Normal 221 8" xfId="18788"/>
    <cellStyle name="Normal 222" xfId="18789"/>
    <cellStyle name="Normal 222 2" xfId="18790"/>
    <cellStyle name="Normal 222 2 2" xfId="18791"/>
    <cellStyle name="Normal 222 2 2 2" xfId="18792"/>
    <cellStyle name="Normal 222 2 2 2 2" xfId="18793"/>
    <cellStyle name="Normal 222 2 2 3" xfId="18794"/>
    <cellStyle name="Normal 222 2 2 3 2" xfId="18795"/>
    <cellStyle name="Normal 222 2 2 3 2 2" xfId="18796"/>
    <cellStyle name="Normal 222 2 2 3 3" xfId="18797"/>
    <cellStyle name="Normal 222 2 2 4" xfId="18798"/>
    <cellStyle name="Normal 222 2 2 4 2" xfId="18799"/>
    <cellStyle name="Normal 222 2 2 4 2 2" xfId="18800"/>
    <cellStyle name="Normal 222 2 2 4 3" xfId="18801"/>
    <cellStyle name="Normal 222 2 2 5" xfId="18802"/>
    <cellStyle name="Normal 222 2 3" xfId="18803"/>
    <cellStyle name="Normal 222 2 3 2" xfId="18804"/>
    <cellStyle name="Normal 222 2 3 2 2" xfId="18805"/>
    <cellStyle name="Normal 222 2 3 2 2 2" xfId="18806"/>
    <cellStyle name="Normal 222 2 3 2 3" xfId="18807"/>
    <cellStyle name="Normal 222 2 3 2 3 2" xfId="18808"/>
    <cellStyle name="Normal 222 2 3 2 3 2 2" xfId="18809"/>
    <cellStyle name="Normal 222 2 3 2 3 3" xfId="18810"/>
    <cellStyle name="Normal 222 2 3 2 4" xfId="18811"/>
    <cellStyle name="Normal 222 2 3 3" xfId="18812"/>
    <cellStyle name="Normal 222 2 3 3 2" xfId="18813"/>
    <cellStyle name="Normal 222 2 3 3 2 2" xfId="18814"/>
    <cellStyle name="Normal 222 2 3 3 3" xfId="18815"/>
    <cellStyle name="Normal 222 2 3 4" xfId="18816"/>
    <cellStyle name="Normal 222 2 3 4 2" xfId="18817"/>
    <cellStyle name="Normal 222 2 3 4 2 2" xfId="18818"/>
    <cellStyle name="Normal 222 2 3 4 3" xfId="18819"/>
    <cellStyle name="Normal 222 2 3 5" xfId="18820"/>
    <cellStyle name="Normal 222 2 3 5 2" xfId="18821"/>
    <cellStyle name="Normal 222 2 3 5 2 2" xfId="18822"/>
    <cellStyle name="Normal 222 2 3 5 3" xfId="18823"/>
    <cellStyle name="Normal 222 2 3 6" xfId="18824"/>
    <cellStyle name="Normal 222 2 4" xfId="18825"/>
    <cellStyle name="Normal 222 2 4 2" xfId="18826"/>
    <cellStyle name="Normal 222 2 4 2 2" xfId="18827"/>
    <cellStyle name="Normal 222 2 4 3" xfId="18828"/>
    <cellStyle name="Normal 222 2 5" xfId="18829"/>
    <cellStyle name="Normal 222 2 5 2" xfId="18830"/>
    <cellStyle name="Normal 222 2 5 2 2" xfId="18831"/>
    <cellStyle name="Normal 222 2 5 3" xfId="18832"/>
    <cellStyle name="Normal 222 2 6" xfId="18833"/>
    <cellStyle name="Normal 222 2 6 2" xfId="18834"/>
    <cellStyle name="Normal 222 2 6 2 2" xfId="18835"/>
    <cellStyle name="Normal 222 2 6 3" xfId="18836"/>
    <cellStyle name="Normal 222 2 7" xfId="18837"/>
    <cellStyle name="Normal 222 3" xfId="18838"/>
    <cellStyle name="Normal 222 3 2" xfId="18839"/>
    <cellStyle name="Normal 222 3 2 2" xfId="18840"/>
    <cellStyle name="Normal 222 3 3" xfId="18841"/>
    <cellStyle name="Normal 222 3 3 2" xfId="18842"/>
    <cellStyle name="Normal 222 3 3 2 2" xfId="18843"/>
    <cellStyle name="Normal 222 3 3 3" xfId="18844"/>
    <cellStyle name="Normal 222 3 4" xfId="18845"/>
    <cellStyle name="Normal 222 3 4 2" xfId="18846"/>
    <cellStyle name="Normal 222 3 4 2 2" xfId="18847"/>
    <cellStyle name="Normal 222 3 4 3" xfId="18848"/>
    <cellStyle name="Normal 222 3 5" xfId="18849"/>
    <cellStyle name="Normal 222 4" xfId="18850"/>
    <cellStyle name="Normal 222 4 2" xfId="18851"/>
    <cellStyle name="Normal 222 4 2 2" xfId="18852"/>
    <cellStyle name="Normal 222 4 2 2 2" xfId="18853"/>
    <cellStyle name="Normal 222 4 2 3" xfId="18854"/>
    <cellStyle name="Normal 222 4 2 3 2" xfId="18855"/>
    <cellStyle name="Normal 222 4 2 3 2 2" xfId="18856"/>
    <cellStyle name="Normal 222 4 2 3 3" xfId="18857"/>
    <cellStyle name="Normal 222 4 2 4" xfId="18858"/>
    <cellStyle name="Normal 222 4 3" xfId="18859"/>
    <cellStyle name="Normal 222 4 3 2" xfId="18860"/>
    <cellStyle name="Normal 222 4 3 2 2" xfId="18861"/>
    <cellStyle name="Normal 222 4 3 3" xfId="18862"/>
    <cellStyle name="Normal 222 4 4" xfId="18863"/>
    <cellStyle name="Normal 222 4 4 2" xfId="18864"/>
    <cellStyle name="Normal 222 4 4 2 2" xfId="18865"/>
    <cellStyle name="Normal 222 4 4 3" xfId="18866"/>
    <cellStyle name="Normal 222 4 5" xfId="18867"/>
    <cellStyle name="Normal 222 4 5 2" xfId="18868"/>
    <cellStyle name="Normal 222 4 5 2 2" xfId="18869"/>
    <cellStyle name="Normal 222 4 5 3" xfId="18870"/>
    <cellStyle name="Normal 222 4 6" xfId="18871"/>
    <cellStyle name="Normal 222 5" xfId="18872"/>
    <cellStyle name="Normal 222 5 2" xfId="18873"/>
    <cellStyle name="Normal 222 5 2 2" xfId="18874"/>
    <cellStyle name="Normal 222 5 3" xfId="18875"/>
    <cellStyle name="Normal 222 6" xfId="18876"/>
    <cellStyle name="Normal 222 6 2" xfId="18877"/>
    <cellStyle name="Normal 222 6 2 2" xfId="18878"/>
    <cellStyle name="Normal 222 6 3" xfId="18879"/>
    <cellStyle name="Normal 222 7" xfId="18880"/>
    <cellStyle name="Normal 222 7 2" xfId="18881"/>
    <cellStyle name="Normal 222 7 2 2" xfId="18882"/>
    <cellStyle name="Normal 222 7 3" xfId="18883"/>
    <cellStyle name="Normal 222 8" xfId="18884"/>
    <cellStyle name="Normal 223" xfId="18885"/>
    <cellStyle name="Normal 223 2" xfId="18886"/>
    <cellStyle name="Normal 223 2 2" xfId="18887"/>
    <cellStyle name="Normal 223 2 2 2" xfId="18888"/>
    <cellStyle name="Normal 223 2 2 2 2" xfId="18889"/>
    <cellStyle name="Normal 223 2 2 3" xfId="18890"/>
    <cellStyle name="Normal 223 2 2 3 2" xfId="18891"/>
    <cellStyle name="Normal 223 2 2 3 2 2" xfId="18892"/>
    <cellStyle name="Normal 223 2 2 3 3" xfId="18893"/>
    <cellStyle name="Normal 223 2 2 4" xfId="18894"/>
    <cellStyle name="Normal 223 2 2 4 2" xfId="18895"/>
    <cellStyle name="Normal 223 2 2 4 2 2" xfId="18896"/>
    <cellStyle name="Normal 223 2 2 4 3" xfId="18897"/>
    <cellStyle name="Normal 223 2 2 5" xfId="18898"/>
    <cellStyle name="Normal 223 2 3" xfId="18899"/>
    <cellStyle name="Normal 223 2 3 2" xfId="18900"/>
    <cellStyle name="Normal 223 2 3 2 2" xfId="18901"/>
    <cellStyle name="Normal 223 2 3 2 2 2" xfId="18902"/>
    <cellStyle name="Normal 223 2 3 2 3" xfId="18903"/>
    <cellStyle name="Normal 223 2 3 2 3 2" xfId="18904"/>
    <cellStyle name="Normal 223 2 3 2 3 2 2" xfId="18905"/>
    <cellStyle name="Normal 223 2 3 2 3 3" xfId="18906"/>
    <cellStyle name="Normal 223 2 3 2 4" xfId="18907"/>
    <cellStyle name="Normal 223 2 3 3" xfId="18908"/>
    <cellStyle name="Normal 223 2 3 3 2" xfId="18909"/>
    <cellStyle name="Normal 223 2 3 3 2 2" xfId="18910"/>
    <cellStyle name="Normal 223 2 3 3 3" xfId="18911"/>
    <cellStyle name="Normal 223 2 3 4" xfId="18912"/>
    <cellStyle name="Normal 223 2 3 4 2" xfId="18913"/>
    <cellStyle name="Normal 223 2 3 4 2 2" xfId="18914"/>
    <cellStyle name="Normal 223 2 3 4 3" xfId="18915"/>
    <cellStyle name="Normal 223 2 3 5" xfId="18916"/>
    <cellStyle name="Normal 223 2 3 5 2" xfId="18917"/>
    <cellStyle name="Normal 223 2 3 5 2 2" xfId="18918"/>
    <cellStyle name="Normal 223 2 3 5 3" xfId="18919"/>
    <cellStyle name="Normal 223 2 3 6" xfId="18920"/>
    <cellStyle name="Normal 223 2 4" xfId="18921"/>
    <cellStyle name="Normal 223 2 4 2" xfId="18922"/>
    <cellStyle name="Normal 223 2 4 2 2" xfId="18923"/>
    <cellStyle name="Normal 223 2 4 3" xfId="18924"/>
    <cellStyle name="Normal 223 2 5" xfId="18925"/>
    <cellStyle name="Normal 223 2 5 2" xfId="18926"/>
    <cellStyle name="Normal 223 2 5 2 2" xfId="18927"/>
    <cellStyle name="Normal 223 2 5 3" xfId="18928"/>
    <cellStyle name="Normal 223 2 6" xfId="18929"/>
    <cellStyle name="Normal 223 2 6 2" xfId="18930"/>
    <cellStyle name="Normal 223 2 6 2 2" xfId="18931"/>
    <cellStyle name="Normal 223 2 6 3" xfId="18932"/>
    <cellStyle name="Normal 223 2 7" xfId="18933"/>
    <cellStyle name="Normal 223 3" xfId="18934"/>
    <cellStyle name="Normal 223 3 2" xfId="18935"/>
    <cellStyle name="Normal 223 3 2 2" xfId="18936"/>
    <cellStyle name="Normal 223 3 3" xfId="18937"/>
    <cellStyle name="Normal 223 3 3 2" xfId="18938"/>
    <cellStyle name="Normal 223 3 3 2 2" xfId="18939"/>
    <cellStyle name="Normal 223 3 3 3" xfId="18940"/>
    <cellStyle name="Normal 223 3 4" xfId="18941"/>
    <cellStyle name="Normal 223 3 4 2" xfId="18942"/>
    <cellStyle name="Normal 223 3 4 2 2" xfId="18943"/>
    <cellStyle name="Normal 223 3 4 3" xfId="18944"/>
    <cellStyle name="Normal 223 3 5" xfId="18945"/>
    <cellStyle name="Normal 223 4" xfId="18946"/>
    <cellStyle name="Normal 223 4 2" xfId="18947"/>
    <cellStyle name="Normal 223 4 2 2" xfId="18948"/>
    <cellStyle name="Normal 223 4 2 2 2" xfId="18949"/>
    <cellStyle name="Normal 223 4 2 3" xfId="18950"/>
    <cellStyle name="Normal 223 4 2 3 2" xfId="18951"/>
    <cellStyle name="Normal 223 4 2 3 2 2" xfId="18952"/>
    <cellStyle name="Normal 223 4 2 3 3" xfId="18953"/>
    <cellStyle name="Normal 223 4 2 4" xfId="18954"/>
    <cellStyle name="Normal 223 4 3" xfId="18955"/>
    <cellStyle name="Normal 223 4 3 2" xfId="18956"/>
    <cellStyle name="Normal 223 4 3 2 2" xfId="18957"/>
    <cellStyle name="Normal 223 4 3 3" xfId="18958"/>
    <cellStyle name="Normal 223 4 4" xfId="18959"/>
    <cellStyle name="Normal 223 4 4 2" xfId="18960"/>
    <cellStyle name="Normal 223 4 4 2 2" xfId="18961"/>
    <cellStyle name="Normal 223 4 4 3" xfId="18962"/>
    <cellStyle name="Normal 223 4 5" xfId="18963"/>
    <cellStyle name="Normal 223 4 5 2" xfId="18964"/>
    <cellStyle name="Normal 223 4 5 2 2" xfId="18965"/>
    <cellStyle name="Normal 223 4 5 3" xfId="18966"/>
    <cellStyle name="Normal 223 4 6" xfId="18967"/>
    <cellStyle name="Normal 223 5" xfId="18968"/>
    <cellStyle name="Normal 223 5 2" xfId="18969"/>
    <cellStyle name="Normal 223 5 2 2" xfId="18970"/>
    <cellStyle name="Normal 223 5 3" xfId="18971"/>
    <cellStyle name="Normal 223 6" xfId="18972"/>
    <cellStyle name="Normal 223 6 2" xfId="18973"/>
    <cellStyle name="Normal 223 6 2 2" xfId="18974"/>
    <cellStyle name="Normal 223 6 3" xfId="18975"/>
    <cellStyle name="Normal 223 7" xfId="18976"/>
    <cellStyle name="Normal 223 7 2" xfId="18977"/>
    <cellStyle name="Normal 223 7 2 2" xfId="18978"/>
    <cellStyle name="Normal 223 7 3" xfId="18979"/>
    <cellStyle name="Normal 223 8" xfId="18980"/>
    <cellStyle name="Normal 224" xfId="18981"/>
    <cellStyle name="Normal 224 2" xfId="18982"/>
    <cellStyle name="Normal 224 2 2" xfId="18983"/>
    <cellStyle name="Normal 224 2 2 2" xfId="18984"/>
    <cellStyle name="Normal 224 2 2 2 2" xfId="18985"/>
    <cellStyle name="Normal 224 2 2 3" xfId="18986"/>
    <cellStyle name="Normal 224 2 2 3 2" xfId="18987"/>
    <cellStyle name="Normal 224 2 2 3 2 2" xfId="18988"/>
    <cellStyle name="Normal 224 2 2 3 3" xfId="18989"/>
    <cellStyle name="Normal 224 2 2 4" xfId="18990"/>
    <cellStyle name="Normal 224 2 2 4 2" xfId="18991"/>
    <cellStyle name="Normal 224 2 2 4 2 2" xfId="18992"/>
    <cellStyle name="Normal 224 2 2 4 3" xfId="18993"/>
    <cellStyle name="Normal 224 2 2 5" xfId="18994"/>
    <cellStyle name="Normal 224 2 3" xfId="18995"/>
    <cellStyle name="Normal 224 2 3 2" xfId="18996"/>
    <cellStyle name="Normal 224 2 3 2 2" xfId="18997"/>
    <cellStyle name="Normal 224 2 3 2 2 2" xfId="18998"/>
    <cellStyle name="Normal 224 2 3 2 3" xfId="18999"/>
    <cellStyle name="Normal 224 2 3 2 3 2" xfId="19000"/>
    <cellStyle name="Normal 224 2 3 2 3 2 2" xfId="19001"/>
    <cellStyle name="Normal 224 2 3 2 3 3" xfId="19002"/>
    <cellStyle name="Normal 224 2 3 2 4" xfId="19003"/>
    <cellStyle name="Normal 224 2 3 3" xfId="19004"/>
    <cellStyle name="Normal 224 2 3 3 2" xfId="19005"/>
    <cellStyle name="Normal 224 2 3 3 2 2" xfId="19006"/>
    <cellStyle name="Normal 224 2 3 3 3" xfId="19007"/>
    <cellStyle name="Normal 224 2 3 4" xfId="19008"/>
    <cellStyle name="Normal 224 2 3 4 2" xfId="19009"/>
    <cellStyle name="Normal 224 2 3 4 2 2" xfId="19010"/>
    <cellStyle name="Normal 224 2 3 4 3" xfId="19011"/>
    <cellStyle name="Normal 224 2 3 5" xfId="19012"/>
    <cellStyle name="Normal 224 2 3 5 2" xfId="19013"/>
    <cellStyle name="Normal 224 2 3 5 2 2" xfId="19014"/>
    <cellStyle name="Normal 224 2 3 5 3" xfId="19015"/>
    <cellStyle name="Normal 224 2 3 6" xfId="19016"/>
    <cellStyle name="Normal 224 2 4" xfId="19017"/>
    <cellStyle name="Normal 224 2 4 2" xfId="19018"/>
    <cellStyle name="Normal 224 2 4 2 2" xfId="19019"/>
    <cellStyle name="Normal 224 2 4 3" xfId="19020"/>
    <cellStyle name="Normal 224 2 5" xfId="19021"/>
    <cellStyle name="Normal 224 2 5 2" xfId="19022"/>
    <cellStyle name="Normal 224 2 5 2 2" xfId="19023"/>
    <cellStyle name="Normal 224 2 5 3" xfId="19024"/>
    <cellStyle name="Normal 224 2 6" xfId="19025"/>
    <cellStyle name="Normal 224 2 6 2" xfId="19026"/>
    <cellStyle name="Normal 224 2 6 2 2" xfId="19027"/>
    <cellStyle name="Normal 224 2 6 3" xfId="19028"/>
    <cellStyle name="Normal 224 2 7" xfId="19029"/>
    <cellStyle name="Normal 224 3" xfId="19030"/>
    <cellStyle name="Normal 224 3 2" xfId="19031"/>
    <cellStyle name="Normal 224 3 2 2" xfId="19032"/>
    <cellStyle name="Normal 224 3 3" xfId="19033"/>
    <cellStyle name="Normal 224 3 3 2" xfId="19034"/>
    <cellStyle name="Normal 224 3 3 2 2" xfId="19035"/>
    <cellStyle name="Normal 224 3 3 3" xfId="19036"/>
    <cellStyle name="Normal 224 3 4" xfId="19037"/>
    <cellStyle name="Normal 224 3 4 2" xfId="19038"/>
    <cellStyle name="Normal 224 3 4 2 2" xfId="19039"/>
    <cellStyle name="Normal 224 3 4 3" xfId="19040"/>
    <cellStyle name="Normal 224 3 5" xfId="19041"/>
    <cellStyle name="Normal 224 4" xfId="19042"/>
    <cellStyle name="Normal 224 4 2" xfId="19043"/>
    <cellStyle name="Normal 224 4 2 2" xfId="19044"/>
    <cellStyle name="Normal 224 4 2 2 2" xfId="19045"/>
    <cellStyle name="Normal 224 4 2 3" xfId="19046"/>
    <cellStyle name="Normal 224 4 2 3 2" xfId="19047"/>
    <cellStyle name="Normal 224 4 2 3 2 2" xfId="19048"/>
    <cellStyle name="Normal 224 4 2 3 3" xfId="19049"/>
    <cellStyle name="Normal 224 4 2 4" xfId="19050"/>
    <cellStyle name="Normal 224 4 3" xfId="19051"/>
    <cellStyle name="Normal 224 4 3 2" xfId="19052"/>
    <cellStyle name="Normal 224 4 3 2 2" xfId="19053"/>
    <cellStyle name="Normal 224 4 3 3" xfId="19054"/>
    <cellStyle name="Normal 224 4 4" xfId="19055"/>
    <cellStyle name="Normal 224 4 4 2" xfId="19056"/>
    <cellStyle name="Normal 224 4 4 2 2" xfId="19057"/>
    <cellStyle name="Normal 224 4 4 3" xfId="19058"/>
    <cellStyle name="Normal 224 4 5" xfId="19059"/>
    <cellStyle name="Normal 224 4 5 2" xfId="19060"/>
    <cellStyle name="Normal 224 4 5 2 2" xfId="19061"/>
    <cellStyle name="Normal 224 4 5 3" xfId="19062"/>
    <cellStyle name="Normal 224 4 6" xfId="19063"/>
    <cellStyle name="Normal 224 5" xfId="19064"/>
    <cellStyle name="Normal 224 5 2" xfId="19065"/>
    <cellStyle name="Normal 224 5 2 2" xfId="19066"/>
    <cellStyle name="Normal 224 5 3" xfId="19067"/>
    <cellStyle name="Normal 224 6" xfId="19068"/>
    <cellStyle name="Normal 224 6 2" xfId="19069"/>
    <cellStyle name="Normal 224 6 2 2" xfId="19070"/>
    <cellStyle name="Normal 224 6 3" xfId="19071"/>
    <cellStyle name="Normal 224 7" xfId="19072"/>
    <cellStyle name="Normal 224 7 2" xfId="19073"/>
    <cellStyle name="Normal 224 7 2 2" xfId="19074"/>
    <cellStyle name="Normal 224 7 3" xfId="19075"/>
    <cellStyle name="Normal 224 8" xfId="19076"/>
    <cellStyle name="Normal 225" xfId="19077"/>
    <cellStyle name="Normal 225 2" xfId="19078"/>
    <cellStyle name="Normal 225 2 2" xfId="19079"/>
    <cellStyle name="Normal 225 2 2 2" xfId="19080"/>
    <cellStyle name="Normal 225 2 2 2 2" xfId="19081"/>
    <cellStyle name="Normal 225 2 2 3" xfId="19082"/>
    <cellStyle name="Normal 225 2 2 3 2" xfId="19083"/>
    <cellStyle name="Normal 225 2 2 3 2 2" xfId="19084"/>
    <cellStyle name="Normal 225 2 2 3 3" xfId="19085"/>
    <cellStyle name="Normal 225 2 2 4" xfId="19086"/>
    <cellStyle name="Normal 225 2 2 4 2" xfId="19087"/>
    <cellStyle name="Normal 225 2 2 4 2 2" xfId="19088"/>
    <cellStyle name="Normal 225 2 2 4 3" xfId="19089"/>
    <cellStyle name="Normal 225 2 2 5" xfId="19090"/>
    <cellStyle name="Normal 225 2 3" xfId="19091"/>
    <cellStyle name="Normal 225 2 3 2" xfId="19092"/>
    <cellStyle name="Normal 225 2 3 2 2" xfId="19093"/>
    <cellStyle name="Normal 225 2 3 2 2 2" xfId="19094"/>
    <cellStyle name="Normal 225 2 3 2 3" xfId="19095"/>
    <cellStyle name="Normal 225 2 3 2 3 2" xfId="19096"/>
    <cellStyle name="Normal 225 2 3 2 3 2 2" xfId="19097"/>
    <cellStyle name="Normal 225 2 3 2 3 3" xfId="19098"/>
    <cellStyle name="Normal 225 2 3 2 4" xfId="19099"/>
    <cellStyle name="Normal 225 2 3 3" xfId="19100"/>
    <cellStyle name="Normal 225 2 3 3 2" xfId="19101"/>
    <cellStyle name="Normal 225 2 3 3 2 2" xfId="19102"/>
    <cellStyle name="Normal 225 2 3 3 3" xfId="19103"/>
    <cellStyle name="Normal 225 2 3 4" xfId="19104"/>
    <cellStyle name="Normal 225 2 3 4 2" xfId="19105"/>
    <cellStyle name="Normal 225 2 3 4 2 2" xfId="19106"/>
    <cellStyle name="Normal 225 2 3 4 3" xfId="19107"/>
    <cellStyle name="Normal 225 2 3 5" xfId="19108"/>
    <cellStyle name="Normal 225 2 3 5 2" xfId="19109"/>
    <cellStyle name="Normal 225 2 3 5 2 2" xfId="19110"/>
    <cellStyle name="Normal 225 2 3 5 3" xfId="19111"/>
    <cellStyle name="Normal 225 2 3 6" xfId="19112"/>
    <cellStyle name="Normal 225 2 4" xfId="19113"/>
    <cellStyle name="Normal 225 2 4 2" xfId="19114"/>
    <cellStyle name="Normal 225 2 4 2 2" xfId="19115"/>
    <cellStyle name="Normal 225 2 4 3" xfId="19116"/>
    <cellStyle name="Normal 225 2 5" xfId="19117"/>
    <cellStyle name="Normal 225 2 5 2" xfId="19118"/>
    <cellStyle name="Normal 225 2 5 2 2" xfId="19119"/>
    <cellStyle name="Normal 225 2 5 3" xfId="19120"/>
    <cellStyle name="Normal 225 2 6" xfId="19121"/>
    <cellStyle name="Normal 225 2 6 2" xfId="19122"/>
    <cellStyle name="Normal 225 2 6 2 2" xfId="19123"/>
    <cellStyle name="Normal 225 2 6 3" xfId="19124"/>
    <cellStyle name="Normal 225 2 7" xfId="19125"/>
    <cellStyle name="Normal 225 3" xfId="19126"/>
    <cellStyle name="Normal 225 3 2" xfId="19127"/>
    <cellStyle name="Normal 225 3 2 2" xfId="19128"/>
    <cellStyle name="Normal 225 3 3" xfId="19129"/>
    <cellStyle name="Normal 225 3 3 2" xfId="19130"/>
    <cellStyle name="Normal 225 3 3 2 2" xfId="19131"/>
    <cellStyle name="Normal 225 3 3 3" xfId="19132"/>
    <cellStyle name="Normal 225 3 4" xfId="19133"/>
    <cellStyle name="Normal 225 3 4 2" xfId="19134"/>
    <cellStyle name="Normal 225 3 4 2 2" xfId="19135"/>
    <cellStyle name="Normal 225 3 4 3" xfId="19136"/>
    <cellStyle name="Normal 225 3 5" xfId="19137"/>
    <cellStyle name="Normal 225 4" xfId="19138"/>
    <cellStyle name="Normal 225 4 2" xfId="19139"/>
    <cellStyle name="Normal 225 4 2 2" xfId="19140"/>
    <cellStyle name="Normal 225 4 2 2 2" xfId="19141"/>
    <cellStyle name="Normal 225 4 2 3" xfId="19142"/>
    <cellStyle name="Normal 225 4 2 3 2" xfId="19143"/>
    <cellStyle name="Normal 225 4 2 3 2 2" xfId="19144"/>
    <cellStyle name="Normal 225 4 2 3 3" xfId="19145"/>
    <cellStyle name="Normal 225 4 2 4" xfId="19146"/>
    <cellStyle name="Normal 225 4 3" xfId="19147"/>
    <cellStyle name="Normal 225 4 3 2" xfId="19148"/>
    <cellStyle name="Normal 225 4 3 2 2" xfId="19149"/>
    <cellStyle name="Normal 225 4 3 3" xfId="19150"/>
    <cellStyle name="Normal 225 4 4" xfId="19151"/>
    <cellStyle name="Normal 225 4 4 2" xfId="19152"/>
    <cellStyle name="Normal 225 4 4 2 2" xfId="19153"/>
    <cellStyle name="Normal 225 4 4 3" xfId="19154"/>
    <cellStyle name="Normal 225 4 5" xfId="19155"/>
    <cellStyle name="Normal 225 4 5 2" xfId="19156"/>
    <cellStyle name="Normal 225 4 5 2 2" xfId="19157"/>
    <cellStyle name="Normal 225 4 5 3" xfId="19158"/>
    <cellStyle name="Normal 225 4 6" xfId="19159"/>
    <cellStyle name="Normal 225 5" xfId="19160"/>
    <cellStyle name="Normal 225 5 2" xfId="19161"/>
    <cellStyle name="Normal 225 5 2 2" xfId="19162"/>
    <cellStyle name="Normal 225 5 3" xfId="19163"/>
    <cellStyle name="Normal 225 6" xfId="19164"/>
    <cellStyle name="Normal 225 6 2" xfId="19165"/>
    <cellStyle name="Normal 225 6 2 2" xfId="19166"/>
    <cellStyle name="Normal 225 6 3" xfId="19167"/>
    <cellStyle name="Normal 225 7" xfId="19168"/>
    <cellStyle name="Normal 225 7 2" xfId="19169"/>
    <cellStyle name="Normal 225 7 2 2" xfId="19170"/>
    <cellStyle name="Normal 225 7 3" xfId="19171"/>
    <cellStyle name="Normal 225 8" xfId="19172"/>
    <cellStyle name="Normal 226" xfId="19173"/>
    <cellStyle name="Normal 226 2" xfId="19174"/>
    <cellStyle name="Normal 226 2 2" xfId="19175"/>
    <cellStyle name="Normal 226 2 2 2" xfId="19176"/>
    <cellStyle name="Normal 226 2 2 2 2" xfId="19177"/>
    <cellStyle name="Normal 226 2 2 3" xfId="19178"/>
    <cellStyle name="Normal 226 2 2 3 2" xfId="19179"/>
    <cellStyle name="Normal 226 2 2 3 2 2" xfId="19180"/>
    <cellStyle name="Normal 226 2 2 3 3" xfId="19181"/>
    <cellStyle name="Normal 226 2 2 4" xfId="19182"/>
    <cellStyle name="Normal 226 2 2 4 2" xfId="19183"/>
    <cellStyle name="Normal 226 2 2 4 2 2" xfId="19184"/>
    <cellStyle name="Normal 226 2 2 4 3" xfId="19185"/>
    <cellStyle name="Normal 226 2 2 5" xfId="19186"/>
    <cellStyle name="Normal 226 2 3" xfId="19187"/>
    <cellStyle name="Normal 226 2 3 2" xfId="19188"/>
    <cellStyle name="Normal 226 2 3 2 2" xfId="19189"/>
    <cellStyle name="Normal 226 2 3 2 2 2" xfId="19190"/>
    <cellStyle name="Normal 226 2 3 2 3" xfId="19191"/>
    <cellStyle name="Normal 226 2 3 2 3 2" xfId="19192"/>
    <cellStyle name="Normal 226 2 3 2 3 2 2" xfId="19193"/>
    <cellStyle name="Normal 226 2 3 2 3 3" xfId="19194"/>
    <cellStyle name="Normal 226 2 3 2 4" xfId="19195"/>
    <cellStyle name="Normal 226 2 3 3" xfId="19196"/>
    <cellStyle name="Normal 226 2 3 3 2" xfId="19197"/>
    <cellStyle name="Normal 226 2 3 3 2 2" xfId="19198"/>
    <cellStyle name="Normal 226 2 3 3 3" xfId="19199"/>
    <cellStyle name="Normal 226 2 3 4" xfId="19200"/>
    <cellStyle name="Normal 226 2 3 4 2" xfId="19201"/>
    <cellStyle name="Normal 226 2 3 4 2 2" xfId="19202"/>
    <cellStyle name="Normal 226 2 3 4 3" xfId="19203"/>
    <cellStyle name="Normal 226 2 3 5" xfId="19204"/>
    <cellStyle name="Normal 226 2 3 5 2" xfId="19205"/>
    <cellStyle name="Normal 226 2 3 5 2 2" xfId="19206"/>
    <cellStyle name="Normal 226 2 3 5 3" xfId="19207"/>
    <cellStyle name="Normal 226 2 3 6" xfId="19208"/>
    <cellStyle name="Normal 226 2 4" xfId="19209"/>
    <cellStyle name="Normal 226 2 4 2" xfId="19210"/>
    <cellStyle name="Normal 226 2 4 2 2" xfId="19211"/>
    <cellStyle name="Normal 226 2 4 3" xfId="19212"/>
    <cellStyle name="Normal 226 2 5" xfId="19213"/>
    <cellStyle name="Normal 226 2 5 2" xfId="19214"/>
    <cellStyle name="Normal 226 2 5 2 2" xfId="19215"/>
    <cellStyle name="Normal 226 2 5 3" xfId="19216"/>
    <cellStyle name="Normal 226 2 6" xfId="19217"/>
    <cellStyle name="Normal 226 2 6 2" xfId="19218"/>
    <cellStyle name="Normal 226 2 6 2 2" xfId="19219"/>
    <cellStyle name="Normal 226 2 6 3" xfId="19220"/>
    <cellStyle name="Normal 226 2 7" xfId="19221"/>
    <cellStyle name="Normal 226 3" xfId="19222"/>
    <cellStyle name="Normal 226 3 2" xfId="19223"/>
    <cellStyle name="Normal 226 3 2 2" xfId="19224"/>
    <cellStyle name="Normal 226 3 3" xfId="19225"/>
    <cellStyle name="Normal 226 3 3 2" xfId="19226"/>
    <cellStyle name="Normal 226 3 3 2 2" xfId="19227"/>
    <cellStyle name="Normal 226 3 3 3" xfId="19228"/>
    <cellStyle name="Normal 226 3 4" xfId="19229"/>
    <cellStyle name="Normal 226 3 4 2" xfId="19230"/>
    <cellStyle name="Normal 226 3 4 2 2" xfId="19231"/>
    <cellStyle name="Normal 226 3 4 3" xfId="19232"/>
    <cellStyle name="Normal 226 3 5" xfId="19233"/>
    <cellStyle name="Normal 226 4" xfId="19234"/>
    <cellStyle name="Normal 226 4 2" xfId="19235"/>
    <cellStyle name="Normal 226 4 2 2" xfId="19236"/>
    <cellStyle name="Normal 226 4 2 2 2" xfId="19237"/>
    <cellStyle name="Normal 226 4 2 3" xfId="19238"/>
    <cellStyle name="Normal 226 4 2 3 2" xfId="19239"/>
    <cellStyle name="Normal 226 4 2 3 2 2" xfId="19240"/>
    <cellStyle name="Normal 226 4 2 3 3" xfId="19241"/>
    <cellStyle name="Normal 226 4 2 4" xfId="19242"/>
    <cellStyle name="Normal 226 4 3" xfId="19243"/>
    <cellStyle name="Normal 226 4 3 2" xfId="19244"/>
    <cellStyle name="Normal 226 4 3 2 2" xfId="19245"/>
    <cellStyle name="Normal 226 4 3 3" xfId="19246"/>
    <cellStyle name="Normal 226 4 4" xfId="19247"/>
    <cellStyle name="Normal 226 4 4 2" xfId="19248"/>
    <cellStyle name="Normal 226 4 4 2 2" xfId="19249"/>
    <cellStyle name="Normal 226 4 4 3" xfId="19250"/>
    <cellStyle name="Normal 226 4 5" xfId="19251"/>
    <cellStyle name="Normal 226 4 5 2" xfId="19252"/>
    <cellStyle name="Normal 226 4 5 2 2" xfId="19253"/>
    <cellStyle name="Normal 226 4 5 3" xfId="19254"/>
    <cellStyle name="Normal 226 4 6" xfId="19255"/>
    <cellStyle name="Normal 226 5" xfId="19256"/>
    <cellStyle name="Normal 226 5 2" xfId="19257"/>
    <cellStyle name="Normal 226 5 2 2" xfId="19258"/>
    <cellStyle name="Normal 226 5 3" xfId="19259"/>
    <cellStyle name="Normal 226 6" xfId="19260"/>
    <cellStyle name="Normal 226 6 2" xfId="19261"/>
    <cellStyle name="Normal 226 6 2 2" xfId="19262"/>
    <cellStyle name="Normal 226 6 3" xfId="19263"/>
    <cellStyle name="Normal 226 7" xfId="19264"/>
    <cellStyle name="Normal 226 7 2" xfId="19265"/>
    <cellStyle name="Normal 226 7 2 2" xfId="19266"/>
    <cellStyle name="Normal 226 7 3" xfId="19267"/>
    <cellStyle name="Normal 226 8" xfId="19268"/>
    <cellStyle name="Normal 227" xfId="19269"/>
    <cellStyle name="Normal 227 2" xfId="19270"/>
    <cellStyle name="Normal 227 2 2" xfId="19271"/>
    <cellStyle name="Normal 227 2 2 2" xfId="19272"/>
    <cellStyle name="Normal 227 2 2 2 2" xfId="19273"/>
    <cellStyle name="Normal 227 2 2 3" xfId="19274"/>
    <cellStyle name="Normal 227 2 2 3 2" xfId="19275"/>
    <cellStyle name="Normal 227 2 2 3 2 2" xfId="19276"/>
    <cellStyle name="Normal 227 2 2 3 3" xfId="19277"/>
    <cellStyle name="Normal 227 2 2 4" xfId="19278"/>
    <cellStyle name="Normal 227 2 2 4 2" xfId="19279"/>
    <cellStyle name="Normal 227 2 2 4 2 2" xfId="19280"/>
    <cellStyle name="Normal 227 2 2 4 3" xfId="19281"/>
    <cellStyle name="Normal 227 2 2 5" xfId="19282"/>
    <cellStyle name="Normal 227 2 3" xfId="19283"/>
    <cellStyle name="Normal 227 2 3 2" xfId="19284"/>
    <cellStyle name="Normal 227 2 3 2 2" xfId="19285"/>
    <cellStyle name="Normal 227 2 3 2 2 2" xfId="19286"/>
    <cellStyle name="Normal 227 2 3 2 3" xfId="19287"/>
    <cellStyle name="Normal 227 2 3 2 3 2" xfId="19288"/>
    <cellStyle name="Normal 227 2 3 2 3 2 2" xfId="19289"/>
    <cellStyle name="Normal 227 2 3 2 3 3" xfId="19290"/>
    <cellStyle name="Normal 227 2 3 2 4" xfId="19291"/>
    <cellStyle name="Normal 227 2 3 3" xfId="19292"/>
    <cellStyle name="Normal 227 2 3 3 2" xfId="19293"/>
    <cellStyle name="Normal 227 2 3 3 2 2" xfId="19294"/>
    <cellStyle name="Normal 227 2 3 3 3" xfId="19295"/>
    <cellStyle name="Normal 227 2 3 4" xfId="19296"/>
    <cellStyle name="Normal 227 2 3 4 2" xfId="19297"/>
    <cellStyle name="Normal 227 2 3 4 2 2" xfId="19298"/>
    <cellStyle name="Normal 227 2 3 4 3" xfId="19299"/>
    <cellStyle name="Normal 227 2 3 5" xfId="19300"/>
    <cellStyle name="Normal 227 2 3 5 2" xfId="19301"/>
    <cellStyle name="Normal 227 2 3 5 2 2" xfId="19302"/>
    <cellStyle name="Normal 227 2 3 5 3" xfId="19303"/>
    <cellStyle name="Normal 227 2 3 6" xfId="19304"/>
    <cellStyle name="Normal 227 2 4" xfId="19305"/>
    <cellStyle name="Normal 227 2 4 2" xfId="19306"/>
    <cellStyle name="Normal 227 2 4 2 2" xfId="19307"/>
    <cellStyle name="Normal 227 2 4 3" xfId="19308"/>
    <cellStyle name="Normal 227 2 5" xfId="19309"/>
    <cellStyle name="Normal 227 2 5 2" xfId="19310"/>
    <cellStyle name="Normal 227 2 5 2 2" xfId="19311"/>
    <cellStyle name="Normal 227 2 5 3" xfId="19312"/>
    <cellStyle name="Normal 227 2 6" xfId="19313"/>
    <cellStyle name="Normal 227 2 6 2" xfId="19314"/>
    <cellStyle name="Normal 227 2 6 2 2" xfId="19315"/>
    <cellStyle name="Normal 227 2 6 3" xfId="19316"/>
    <cellStyle name="Normal 227 2 7" xfId="19317"/>
    <cellStyle name="Normal 227 3" xfId="19318"/>
    <cellStyle name="Normal 227 3 2" xfId="19319"/>
    <cellStyle name="Normal 227 3 2 2" xfId="19320"/>
    <cellStyle name="Normal 227 3 3" xfId="19321"/>
    <cellStyle name="Normal 227 3 3 2" xfId="19322"/>
    <cellStyle name="Normal 227 3 3 2 2" xfId="19323"/>
    <cellStyle name="Normal 227 3 3 3" xfId="19324"/>
    <cellStyle name="Normal 227 3 4" xfId="19325"/>
    <cellStyle name="Normal 227 3 4 2" xfId="19326"/>
    <cellStyle name="Normal 227 3 4 2 2" xfId="19327"/>
    <cellStyle name="Normal 227 3 4 3" xfId="19328"/>
    <cellStyle name="Normal 227 3 5" xfId="19329"/>
    <cellStyle name="Normal 227 4" xfId="19330"/>
    <cellStyle name="Normal 227 4 2" xfId="19331"/>
    <cellStyle name="Normal 227 4 2 2" xfId="19332"/>
    <cellStyle name="Normal 227 4 2 2 2" xfId="19333"/>
    <cellStyle name="Normal 227 4 2 3" xfId="19334"/>
    <cellStyle name="Normal 227 4 2 3 2" xfId="19335"/>
    <cellStyle name="Normal 227 4 2 3 2 2" xfId="19336"/>
    <cellStyle name="Normal 227 4 2 3 3" xfId="19337"/>
    <cellStyle name="Normal 227 4 2 4" xfId="19338"/>
    <cellStyle name="Normal 227 4 3" xfId="19339"/>
    <cellStyle name="Normal 227 4 3 2" xfId="19340"/>
    <cellStyle name="Normal 227 4 3 2 2" xfId="19341"/>
    <cellStyle name="Normal 227 4 3 3" xfId="19342"/>
    <cellStyle name="Normal 227 4 4" xfId="19343"/>
    <cellStyle name="Normal 227 4 4 2" xfId="19344"/>
    <cellStyle name="Normal 227 4 4 2 2" xfId="19345"/>
    <cellStyle name="Normal 227 4 4 3" xfId="19346"/>
    <cellStyle name="Normal 227 4 5" xfId="19347"/>
    <cellStyle name="Normal 227 4 5 2" xfId="19348"/>
    <cellStyle name="Normal 227 4 5 2 2" xfId="19349"/>
    <cellStyle name="Normal 227 4 5 3" xfId="19350"/>
    <cellStyle name="Normal 227 4 6" xfId="19351"/>
    <cellStyle name="Normal 227 5" xfId="19352"/>
    <cellStyle name="Normal 227 5 2" xfId="19353"/>
    <cellStyle name="Normal 227 5 2 2" xfId="19354"/>
    <cellStyle name="Normal 227 5 3" xfId="19355"/>
    <cellStyle name="Normal 227 6" xfId="19356"/>
    <cellStyle name="Normal 227 6 2" xfId="19357"/>
    <cellStyle name="Normal 227 6 2 2" xfId="19358"/>
    <cellStyle name="Normal 227 6 3" xfId="19359"/>
    <cellStyle name="Normal 227 7" xfId="19360"/>
    <cellStyle name="Normal 227 7 2" xfId="19361"/>
    <cellStyle name="Normal 227 7 2 2" xfId="19362"/>
    <cellStyle name="Normal 227 7 3" xfId="19363"/>
    <cellStyle name="Normal 227 8" xfId="19364"/>
    <cellStyle name="Normal 228" xfId="19365"/>
    <cellStyle name="Normal 228 2" xfId="19366"/>
    <cellStyle name="Normal 228 2 2" xfId="19367"/>
    <cellStyle name="Normal 228 2 2 2" xfId="19368"/>
    <cellStyle name="Normal 228 2 2 2 2" xfId="19369"/>
    <cellStyle name="Normal 228 2 2 3" xfId="19370"/>
    <cellStyle name="Normal 228 2 2 3 2" xfId="19371"/>
    <cellStyle name="Normal 228 2 2 3 2 2" xfId="19372"/>
    <cellStyle name="Normal 228 2 2 3 3" xfId="19373"/>
    <cellStyle name="Normal 228 2 2 4" xfId="19374"/>
    <cellStyle name="Normal 228 2 2 4 2" xfId="19375"/>
    <cellStyle name="Normal 228 2 2 4 2 2" xfId="19376"/>
    <cellStyle name="Normal 228 2 2 4 3" xfId="19377"/>
    <cellStyle name="Normal 228 2 2 5" xfId="19378"/>
    <cellStyle name="Normal 228 2 3" xfId="19379"/>
    <cellStyle name="Normal 228 2 3 2" xfId="19380"/>
    <cellStyle name="Normal 228 2 3 2 2" xfId="19381"/>
    <cellStyle name="Normal 228 2 3 2 2 2" xfId="19382"/>
    <cellStyle name="Normal 228 2 3 2 3" xfId="19383"/>
    <cellStyle name="Normal 228 2 3 2 3 2" xfId="19384"/>
    <cellStyle name="Normal 228 2 3 2 3 2 2" xfId="19385"/>
    <cellStyle name="Normal 228 2 3 2 3 3" xfId="19386"/>
    <cellStyle name="Normal 228 2 3 2 4" xfId="19387"/>
    <cellStyle name="Normal 228 2 3 3" xfId="19388"/>
    <cellStyle name="Normal 228 2 3 3 2" xfId="19389"/>
    <cellStyle name="Normal 228 2 3 3 2 2" xfId="19390"/>
    <cellStyle name="Normal 228 2 3 3 3" xfId="19391"/>
    <cellStyle name="Normal 228 2 3 4" xfId="19392"/>
    <cellStyle name="Normal 228 2 3 4 2" xfId="19393"/>
    <cellStyle name="Normal 228 2 3 4 2 2" xfId="19394"/>
    <cellStyle name="Normal 228 2 3 4 3" xfId="19395"/>
    <cellStyle name="Normal 228 2 3 5" xfId="19396"/>
    <cellStyle name="Normal 228 2 3 5 2" xfId="19397"/>
    <cellStyle name="Normal 228 2 3 5 2 2" xfId="19398"/>
    <cellStyle name="Normal 228 2 3 5 3" xfId="19399"/>
    <cellStyle name="Normal 228 2 3 6" xfId="19400"/>
    <cellStyle name="Normal 228 2 4" xfId="19401"/>
    <cellStyle name="Normal 228 2 4 2" xfId="19402"/>
    <cellStyle name="Normal 228 2 4 2 2" xfId="19403"/>
    <cellStyle name="Normal 228 2 4 3" xfId="19404"/>
    <cellStyle name="Normal 228 2 5" xfId="19405"/>
    <cellStyle name="Normal 228 2 5 2" xfId="19406"/>
    <cellStyle name="Normal 228 2 5 2 2" xfId="19407"/>
    <cellStyle name="Normal 228 2 5 3" xfId="19408"/>
    <cellStyle name="Normal 228 2 6" xfId="19409"/>
    <cellStyle name="Normal 228 2 6 2" xfId="19410"/>
    <cellStyle name="Normal 228 2 6 2 2" xfId="19411"/>
    <cellStyle name="Normal 228 2 6 3" xfId="19412"/>
    <cellStyle name="Normal 228 2 7" xfId="19413"/>
    <cellStyle name="Normal 228 3" xfId="19414"/>
    <cellStyle name="Normal 228 3 2" xfId="19415"/>
    <cellStyle name="Normal 228 3 2 2" xfId="19416"/>
    <cellStyle name="Normal 228 3 3" xfId="19417"/>
    <cellStyle name="Normal 228 3 3 2" xfId="19418"/>
    <cellStyle name="Normal 228 3 3 2 2" xfId="19419"/>
    <cellStyle name="Normal 228 3 3 3" xfId="19420"/>
    <cellStyle name="Normal 228 3 4" xfId="19421"/>
    <cellStyle name="Normal 228 3 4 2" xfId="19422"/>
    <cellStyle name="Normal 228 3 4 2 2" xfId="19423"/>
    <cellStyle name="Normal 228 3 4 3" xfId="19424"/>
    <cellStyle name="Normal 228 3 5" xfId="19425"/>
    <cellStyle name="Normal 228 4" xfId="19426"/>
    <cellStyle name="Normal 228 4 2" xfId="19427"/>
    <cellStyle name="Normal 228 4 2 2" xfId="19428"/>
    <cellStyle name="Normal 228 4 2 2 2" xfId="19429"/>
    <cellStyle name="Normal 228 4 2 3" xfId="19430"/>
    <cellStyle name="Normal 228 4 2 3 2" xfId="19431"/>
    <cellStyle name="Normal 228 4 2 3 2 2" xfId="19432"/>
    <cellStyle name="Normal 228 4 2 3 3" xfId="19433"/>
    <cellStyle name="Normal 228 4 2 4" xfId="19434"/>
    <cellStyle name="Normal 228 4 3" xfId="19435"/>
    <cellStyle name="Normal 228 4 3 2" xfId="19436"/>
    <cellStyle name="Normal 228 4 3 2 2" xfId="19437"/>
    <cellStyle name="Normal 228 4 3 3" xfId="19438"/>
    <cellStyle name="Normal 228 4 4" xfId="19439"/>
    <cellStyle name="Normal 228 4 4 2" xfId="19440"/>
    <cellStyle name="Normal 228 4 4 2 2" xfId="19441"/>
    <cellStyle name="Normal 228 4 4 3" xfId="19442"/>
    <cellStyle name="Normal 228 4 5" xfId="19443"/>
    <cellStyle name="Normal 228 4 5 2" xfId="19444"/>
    <cellStyle name="Normal 228 4 5 2 2" xfId="19445"/>
    <cellStyle name="Normal 228 4 5 3" xfId="19446"/>
    <cellStyle name="Normal 228 4 6" xfId="19447"/>
    <cellStyle name="Normal 228 5" xfId="19448"/>
    <cellStyle name="Normal 228 5 2" xfId="19449"/>
    <cellStyle name="Normal 228 5 2 2" xfId="19450"/>
    <cellStyle name="Normal 228 5 3" xfId="19451"/>
    <cellStyle name="Normal 228 6" xfId="19452"/>
    <cellStyle name="Normal 228 6 2" xfId="19453"/>
    <cellStyle name="Normal 228 6 2 2" xfId="19454"/>
    <cellStyle name="Normal 228 6 3" xfId="19455"/>
    <cellStyle name="Normal 228 7" xfId="19456"/>
    <cellStyle name="Normal 228 7 2" xfId="19457"/>
    <cellStyle name="Normal 228 7 2 2" xfId="19458"/>
    <cellStyle name="Normal 228 7 3" xfId="19459"/>
    <cellStyle name="Normal 228 8" xfId="19460"/>
    <cellStyle name="Normal 229" xfId="19461"/>
    <cellStyle name="Normal 229 2" xfId="19462"/>
    <cellStyle name="Normal 229 2 2" xfId="19463"/>
    <cellStyle name="Normal 229 2 2 2" xfId="19464"/>
    <cellStyle name="Normal 229 2 2 2 2" xfId="19465"/>
    <cellStyle name="Normal 229 2 2 3" xfId="19466"/>
    <cellStyle name="Normal 229 2 2 3 2" xfId="19467"/>
    <cellStyle name="Normal 229 2 2 3 2 2" xfId="19468"/>
    <cellStyle name="Normal 229 2 2 3 3" xfId="19469"/>
    <cellStyle name="Normal 229 2 2 4" xfId="19470"/>
    <cellStyle name="Normal 229 2 2 4 2" xfId="19471"/>
    <cellStyle name="Normal 229 2 2 4 2 2" xfId="19472"/>
    <cellStyle name="Normal 229 2 2 4 3" xfId="19473"/>
    <cellStyle name="Normal 229 2 2 5" xfId="19474"/>
    <cellStyle name="Normal 229 2 3" xfId="19475"/>
    <cellStyle name="Normal 229 2 3 2" xfId="19476"/>
    <cellStyle name="Normal 229 2 3 2 2" xfId="19477"/>
    <cellStyle name="Normal 229 2 3 2 2 2" xfId="19478"/>
    <cellStyle name="Normal 229 2 3 2 3" xfId="19479"/>
    <cellStyle name="Normal 229 2 3 2 3 2" xfId="19480"/>
    <cellStyle name="Normal 229 2 3 2 3 2 2" xfId="19481"/>
    <cellStyle name="Normal 229 2 3 2 3 3" xfId="19482"/>
    <cellStyle name="Normal 229 2 3 2 4" xfId="19483"/>
    <cellStyle name="Normal 229 2 3 3" xfId="19484"/>
    <cellStyle name="Normal 229 2 3 3 2" xfId="19485"/>
    <cellStyle name="Normal 229 2 3 3 2 2" xfId="19486"/>
    <cellStyle name="Normal 229 2 3 3 3" xfId="19487"/>
    <cellStyle name="Normal 229 2 3 4" xfId="19488"/>
    <cellStyle name="Normal 229 2 3 4 2" xfId="19489"/>
    <cellStyle name="Normal 229 2 3 4 2 2" xfId="19490"/>
    <cellStyle name="Normal 229 2 3 4 3" xfId="19491"/>
    <cellStyle name="Normal 229 2 3 5" xfId="19492"/>
    <cellStyle name="Normal 229 2 3 5 2" xfId="19493"/>
    <cellStyle name="Normal 229 2 3 5 2 2" xfId="19494"/>
    <cellStyle name="Normal 229 2 3 5 3" xfId="19495"/>
    <cellStyle name="Normal 229 2 3 6" xfId="19496"/>
    <cellStyle name="Normal 229 2 4" xfId="19497"/>
    <cellStyle name="Normal 229 2 4 2" xfId="19498"/>
    <cellStyle name="Normal 229 2 4 2 2" xfId="19499"/>
    <cellStyle name="Normal 229 2 4 3" xfId="19500"/>
    <cellStyle name="Normal 229 2 5" xfId="19501"/>
    <cellStyle name="Normal 229 2 5 2" xfId="19502"/>
    <cellStyle name="Normal 229 2 5 2 2" xfId="19503"/>
    <cellStyle name="Normal 229 2 5 3" xfId="19504"/>
    <cellStyle name="Normal 229 2 6" xfId="19505"/>
    <cellStyle name="Normal 229 2 6 2" xfId="19506"/>
    <cellStyle name="Normal 229 2 6 2 2" xfId="19507"/>
    <cellStyle name="Normal 229 2 6 3" xfId="19508"/>
    <cellStyle name="Normal 229 2 7" xfId="19509"/>
    <cellStyle name="Normal 229 3" xfId="19510"/>
    <cellStyle name="Normal 229 3 2" xfId="19511"/>
    <cellStyle name="Normal 229 3 2 2" xfId="19512"/>
    <cellStyle name="Normal 229 3 3" xfId="19513"/>
    <cellStyle name="Normal 229 3 3 2" xfId="19514"/>
    <cellStyle name="Normal 229 3 3 2 2" xfId="19515"/>
    <cellStyle name="Normal 229 3 3 3" xfId="19516"/>
    <cellStyle name="Normal 229 3 4" xfId="19517"/>
    <cellStyle name="Normal 229 3 4 2" xfId="19518"/>
    <cellStyle name="Normal 229 3 4 2 2" xfId="19519"/>
    <cellStyle name="Normal 229 3 4 3" xfId="19520"/>
    <cellStyle name="Normal 229 3 5" xfId="19521"/>
    <cellStyle name="Normal 229 4" xfId="19522"/>
    <cellStyle name="Normal 229 4 2" xfId="19523"/>
    <cellStyle name="Normal 229 4 2 2" xfId="19524"/>
    <cellStyle name="Normal 229 4 2 2 2" xfId="19525"/>
    <cellStyle name="Normal 229 4 2 3" xfId="19526"/>
    <cellStyle name="Normal 229 4 2 3 2" xfId="19527"/>
    <cellStyle name="Normal 229 4 2 3 2 2" xfId="19528"/>
    <cellStyle name="Normal 229 4 2 3 3" xfId="19529"/>
    <cellStyle name="Normal 229 4 2 4" xfId="19530"/>
    <cellStyle name="Normal 229 4 3" xfId="19531"/>
    <cellStyle name="Normal 229 4 3 2" xfId="19532"/>
    <cellStyle name="Normal 229 4 3 2 2" xfId="19533"/>
    <cellStyle name="Normal 229 4 3 3" xfId="19534"/>
    <cellStyle name="Normal 229 4 4" xfId="19535"/>
    <cellStyle name="Normal 229 4 4 2" xfId="19536"/>
    <cellStyle name="Normal 229 4 4 2 2" xfId="19537"/>
    <cellStyle name="Normal 229 4 4 3" xfId="19538"/>
    <cellStyle name="Normal 229 4 5" xfId="19539"/>
    <cellStyle name="Normal 229 4 5 2" xfId="19540"/>
    <cellStyle name="Normal 229 4 5 2 2" xfId="19541"/>
    <cellStyle name="Normal 229 4 5 3" xfId="19542"/>
    <cellStyle name="Normal 229 4 6" xfId="19543"/>
    <cellStyle name="Normal 229 5" xfId="19544"/>
    <cellStyle name="Normal 229 5 2" xfId="19545"/>
    <cellStyle name="Normal 229 5 2 2" xfId="19546"/>
    <cellStyle name="Normal 229 5 3" xfId="19547"/>
    <cellStyle name="Normal 229 6" xfId="19548"/>
    <cellStyle name="Normal 229 6 2" xfId="19549"/>
    <cellStyle name="Normal 229 6 2 2" xfId="19550"/>
    <cellStyle name="Normal 229 6 3" xfId="19551"/>
    <cellStyle name="Normal 229 7" xfId="19552"/>
    <cellStyle name="Normal 229 7 2" xfId="19553"/>
    <cellStyle name="Normal 229 7 2 2" xfId="19554"/>
    <cellStyle name="Normal 229 7 3" xfId="19555"/>
    <cellStyle name="Normal 229 8" xfId="19556"/>
    <cellStyle name="Normal 23" xfId="19557"/>
    <cellStyle name="Normal 23 2" xfId="19558"/>
    <cellStyle name="Normal 23 2 2" xfId="19559"/>
    <cellStyle name="Normal 23 2 2 2" xfId="19560"/>
    <cellStyle name="Normal 23 2 2 2 2" xfId="19561"/>
    <cellStyle name="Normal 23 2 2 3" xfId="19562"/>
    <cellStyle name="Normal 23 2 2 3 2" xfId="19563"/>
    <cellStyle name="Normal 23 2 2 3 2 2" xfId="19564"/>
    <cellStyle name="Normal 23 2 2 3 3" xfId="19565"/>
    <cellStyle name="Normal 23 2 2 4" xfId="19566"/>
    <cellStyle name="Normal 23 2 2 4 2" xfId="19567"/>
    <cellStyle name="Normal 23 2 2 4 2 2" xfId="19568"/>
    <cellStyle name="Normal 23 2 2 4 3" xfId="19569"/>
    <cellStyle name="Normal 23 2 2 5" xfId="19570"/>
    <cellStyle name="Normal 23 2 3" xfId="19571"/>
    <cellStyle name="Normal 23 2 3 2" xfId="19572"/>
    <cellStyle name="Normal 23 2 3 2 2" xfId="19573"/>
    <cellStyle name="Normal 23 2 3 3" xfId="19574"/>
    <cellStyle name="Normal 23 2 4" xfId="19575"/>
    <cellStyle name="Normal 23 2 4 2" xfId="19576"/>
    <cellStyle name="Normal 23 2 4 2 2" xfId="19577"/>
    <cellStyle name="Normal 23 2 4 3" xfId="19578"/>
    <cellStyle name="Normal 23 2 5" xfId="19579"/>
    <cellStyle name="Normal 23 2 5 2" xfId="19580"/>
    <cellStyle name="Normal 23 2 5 2 2" xfId="19581"/>
    <cellStyle name="Normal 23 2 5 3" xfId="19582"/>
    <cellStyle name="Normal 23 2 6" xfId="19583"/>
    <cellStyle name="Normal 23 3" xfId="19584"/>
    <cellStyle name="Normal 23 3 2" xfId="19585"/>
    <cellStyle name="Normal 23 3 2 2" xfId="19586"/>
    <cellStyle name="Normal 23 3 3" xfId="19587"/>
    <cellStyle name="Normal 23 3 3 2" xfId="19588"/>
    <cellStyle name="Normal 23 3 3 2 2" xfId="19589"/>
    <cellStyle name="Normal 23 3 3 3" xfId="19590"/>
    <cellStyle name="Normal 23 3 4" xfId="19591"/>
    <cellStyle name="Normal 23 3 4 2" xfId="19592"/>
    <cellStyle name="Normal 23 3 4 2 2" xfId="19593"/>
    <cellStyle name="Normal 23 3 4 3" xfId="19594"/>
    <cellStyle name="Normal 23 3 5" xfId="19595"/>
    <cellStyle name="Normal 23 4" xfId="19596"/>
    <cellStyle name="Normal 23 4 2" xfId="19597"/>
    <cellStyle name="Normal 23 4 2 2" xfId="19598"/>
    <cellStyle name="Normal 23 4 2 2 2" xfId="19599"/>
    <cellStyle name="Normal 23 4 2 3" xfId="19600"/>
    <cellStyle name="Normal 23 4 2 3 2" xfId="19601"/>
    <cellStyle name="Normal 23 4 2 3 2 2" xfId="19602"/>
    <cellStyle name="Normal 23 4 2 3 3" xfId="19603"/>
    <cellStyle name="Normal 23 4 2 4" xfId="19604"/>
    <cellStyle name="Normal 23 4 3" xfId="19605"/>
    <cellStyle name="Normal 23 4 3 2" xfId="19606"/>
    <cellStyle name="Normal 23 4 3 2 2" xfId="19607"/>
    <cellStyle name="Normal 23 4 3 3" xfId="19608"/>
    <cellStyle name="Normal 23 4 4" xfId="19609"/>
    <cellStyle name="Normal 23 4 4 2" xfId="19610"/>
    <cellStyle name="Normal 23 4 4 2 2" xfId="19611"/>
    <cellStyle name="Normal 23 4 4 3" xfId="19612"/>
    <cellStyle name="Normal 23 4 5" xfId="19613"/>
    <cellStyle name="Normal 23 4 5 2" xfId="19614"/>
    <cellStyle name="Normal 23 4 5 2 2" xfId="19615"/>
    <cellStyle name="Normal 23 4 5 3" xfId="19616"/>
    <cellStyle name="Normal 23 4 6" xfId="19617"/>
    <cellStyle name="Normal 23 5" xfId="19618"/>
    <cellStyle name="Normal 230" xfId="19619"/>
    <cellStyle name="Normal 230 2" xfId="19620"/>
    <cellStyle name="Normal 230 2 2" xfId="19621"/>
    <cellStyle name="Normal 230 2 2 2" xfId="19622"/>
    <cellStyle name="Normal 230 2 2 2 2" xfId="19623"/>
    <cellStyle name="Normal 230 2 2 3" xfId="19624"/>
    <cellStyle name="Normal 230 2 2 3 2" xfId="19625"/>
    <cellStyle name="Normal 230 2 2 3 2 2" xfId="19626"/>
    <cellStyle name="Normal 230 2 2 3 3" xfId="19627"/>
    <cellStyle name="Normal 230 2 2 4" xfId="19628"/>
    <cellStyle name="Normal 230 2 2 4 2" xfId="19629"/>
    <cellStyle name="Normal 230 2 2 4 2 2" xfId="19630"/>
    <cellStyle name="Normal 230 2 2 4 3" xfId="19631"/>
    <cellStyle name="Normal 230 2 2 5" xfId="19632"/>
    <cellStyle name="Normal 230 2 3" xfId="19633"/>
    <cellStyle name="Normal 230 2 3 2" xfId="19634"/>
    <cellStyle name="Normal 230 2 3 2 2" xfId="19635"/>
    <cellStyle name="Normal 230 2 3 2 2 2" xfId="19636"/>
    <cellStyle name="Normal 230 2 3 2 3" xfId="19637"/>
    <cellStyle name="Normal 230 2 3 2 3 2" xfId="19638"/>
    <cellStyle name="Normal 230 2 3 2 3 2 2" xfId="19639"/>
    <cellStyle name="Normal 230 2 3 2 3 3" xfId="19640"/>
    <cellStyle name="Normal 230 2 3 2 4" xfId="19641"/>
    <cellStyle name="Normal 230 2 3 3" xfId="19642"/>
    <cellStyle name="Normal 230 2 3 3 2" xfId="19643"/>
    <cellStyle name="Normal 230 2 3 3 2 2" xfId="19644"/>
    <cellStyle name="Normal 230 2 3 3 3" xfId="19645"/>
    <cellStyle name="Normal 230 2 3 4" xfId="19646"/>
    <cellStyle name="Normal 230 2 3 4 2" xfId="19647"/>
    <cellStyle name="Normal 230 2 3 4 2 2" xfId="19648"/>
    <cellStyle name="Normal 230 2 3 4 3" xfId="19649"/>
    <cellStyle name="Normal 230 2 3 5" xfId="19650"/>
    <cellStyle name="Normal 230 2 3 5 2" xfId="19651"/>
    <cellStyle name="Normal 230 2 3 5 2 2" xfId="19652"/>
    <cellStyle name="Normal 230 2 3 5 3" xfId="19653"/>
    <cellStyle name="Normal 230 2 3 6" xfId="19654"/>
    <cellStyle name="Normal 230 2 4" xfId="19655"/>
    <cellStyle name="Normal 230 2 4 2" xfId="19656"/>
    <cellStyle name="Normal 230 2 4 2 2" xfId="19657"/>
    <cellStyle name="Normal 230 2 4 3" xfId="19658"/>
    <cellStyle name="Normal 230 2 5" xfId="19659"/>
    <cellStyle name="Normal 230 2 5 2" xfId="19660"/>
    <cellStyle name="Normal 230 2 5 2 2" xfId="19661"/>
    <cellStyle name="Normal 230 2 5 3" xfId="19662"/>
    <cellStyle name="Normal 230 2 6" xfId="19663"/>
    <cellStyle name="Normal 230 2 6 2" xfId="19664"/>
    <cellStyle name="Normal 230 2 6 2 2" xfId="19665"/>
    <cellStyle name="Normal 230 2 6 3" xfId="19666"/>
    <cellStyle name="Normal 230 2 7" xfId="19667"/>
    <cellStyle name="Normal 230 3" xfId="19668"/>
    <cellStyle name="Normal 230 3 2" xfId="19669"/>
    <cellStyle name="Normal 230 3 2 2" xfId="19670"/>
    <cellStyle name="Normal 230 3 3" xfId="19671"/>
    <cellStyle name="Normal 230 3 3 2" xfId="19672"/>
    <cellStyle name="Normal 230 3 3 2 2" xfId="19673"/>
    <cellStyle name="Normal 230 3 3 3" xfId="19674"/>
    <cellStyle name="Normal 230 3 4" xfId="19675"/>
    <cellStyle name="Normal 230 3 4 2" xfId="19676"/>
    <cellStyle name="Normal 230 3 4 2 2" xfId="19677"/>
    <cellStyle name="Normal 230 3 4 3" xfId="19678"/>
    <cellStyle name="Normal 230 3 5" xfId="19679"/>
    <cellStyle name="Normal 230 4" xfId="19680"/>
    <cellStyle name="Normal 230 4 2" xfId="19681"/>
    <cellStyle name="Normal 230 4 2 2" xfId="19682"/>
    <cellStyle name="Normal 230 4 2 2 2" xfId="19683"/>
    <cellStyle name="Normal 230 4 2 3" xfId="19684"/>
    <cellStyle name="Normal 230 4 2 3 2" xfId="19685"/>
    <cellStyle name="Normal 230 4 2 3 2 2" xfId="19686"/>
    <cellStyle name="Normal 230 4 2 3 3" xfId="19687"/>
    <cellStyle name="Normal 230 4 2 4" xfId="19688"/>
    <cellStyle name="Normal 230 4 3" xfId="19689"/>
    <cellStyle name="Normal 230 4 3 2" xfId="19690"/>
    <cellStyle name="Normal 230 4 3 2 2" xfId="19691"/>
    <cellStyle name="Normal 230 4 3 3" xfId="19692"/>
    <cellStyle name="Normal 230 4 4" xfId="19693"/>
    <cellStyle name="Normal 230 4 4 2" xfId="19694"/>
    <cellStyle name="Normal 230 4 4 2 2" xfId="19695"/>
    <cellStyle name="Normal 230 4 4 3" xfId="19696"/>
    <cellStyle name="Normal 230 4 5" xfId="19697"/>
    <cellStyle name="Normal 230 4 5 2" xfId="19698"/>
    <cellStyle name="Normal 230 4 5 2 2" xfId="19699"/>
    <cellStyle name="Normal 230 4 5 3" xfId="19700"/>
    <cellStyle name="Normal 230 4 6" xfId="19701"/>
    <cellStyle name="Normal 230 5" xfId="19702"/>
    <cellStyle name="Normal 230 5 2" xfId="19703"/>
    <cellStyle name="Normal 230 5 2 2" xfId="19704"/>
    <cellStyle name="Normal 230 5 3" xfId="19705"/>
    <cellStyle name="Normal 230 6" xfId="19706"/>
    <cellStyle name="Normal 230 6 2" xfId="19707"/>
    <cellStyle name="Normal 230 6 2 2" xfId="19708"/>
    <cellStyle name="Normal 230 6 3" xfId="19709"/>
    <cellStyle name="Normal 230 7" xfId="19710"/>
    <cellStyle name="Normal 230 7 2" xfId="19711"/>
    <cellStyle name="Normal 230 7 2 2" xfId="19712"/>
    <cellStyle name="Normal 230 7 3" xfId="19713"/>
    <cellStyle name="Normal 230 8" xfId="19714"/>
    <cellStyle name="Normal 231" xfId="19715"/>
    <cellStyle name="Normal 231 2" xfId="19716"/>
    <cellStyle name="Normal 231 2 2" xfId="19717"/>
    <cellStyle name="Normal 231 2 2 2" xfId="19718"/>
    <cellStyle name="Normal 231 2 2 2 2" xfId="19719"/>
    <cellStyle name="Normal 231 2 2 3" xfId="19720"/>
    <cellStyle name="Normal 231 2 2 3 2" xfId="19721"/>
    <cellStyle name="Normal 231 2 2 3 2 2" xfId="19722"/>
    <cellStyle name="Normal 231 2 2 3 3" xfId="19723"/>
    <cellStyle name="Normal 231 2 2 4" xfId="19724"/>
    <cellStyle name="Normal 231 2 2 4 2" xfId="19725"/>
    <cellStyle name="Normal 231 2 2 4 2 2" xfId="19726"/>
    <cellStyle name="Normal 231 2 2 4 3" xfId="19727"/>
    <cellStyle name="Normal 231 2 2 5" xfId="19728"/>
    <cellStyle name="Normal 231 2 3" xfId="19729"/>
    <cellStyle name="Normal 231 2 3 2" xfId="19730"/>
    <cellStyle name="Normal 231 2 3 2 2" xfId="19731"/>
    <cellStyle name="Normal 231 2 3 2 2 2" xfId="19732"/>
    <cellStyle name="Normal 231 2 3 2 3" xfId="19733"/>
    <cellStyle name="Normal 231 2 3 2 3 2" xfId="19734"/>
    <cellStyle name="Normal 231 2 3 2 3 2 2" xfId="19735"/>
    <cellStyle name="Normal 231 2 3 2 3 3" xfId="19736"/>
    <cellStyle name="Normal 231 2 3 2 4" xfId="19737"/>
    <cellStyle name="Normal 231 2 3 3" xfId="19738"/>
    <cellStyle name="Normal 231 2 3 3 2" xfId="19739"/>
    <cellStyle name="Normal 231 2 3 3 2 2" xfId="19740"/>
    <cellStyle name="Normal 231 2 3 3 3" xfId="19741"/>
    <cellStyle name="Normal 231 2 3 4" xfId="19742"/>
    <cellStyle name="Normal 231 2 3 4 2" xfId="19743"/>
    <cellStyle name="Normal 231 2 3 4 2 2" xfId="19744"/>
    <cellStyle name="Normal 231 2 3 4 3" xfId="19745"/>
    <cellStyle name="Normal 231 2 3 5" xfId="19746"/>
    <cellStyle name="Normal 231 2 3 5 2" xfId="19747"/>
    <cellStyle name="Normal 231 2 3 5 2 2" xfId="19748"/>
    <cellStyle name="Normal 231 2 3 5 3" xfId="19749"/>
    <cellStyle name="Normal 231 2 3 6" xfId="19750"/>
    <cellStyle name="Normal 231 2 4" xfId="19751"/>
    <cellStyle name="Normal 231 2 4 2" xfId="19752"/>
    <cellStyle name="Normal 231 2 4 2 2" xfId="19753"/>
    <cellStyle name="Normal 231 2 4 3" xfId="19754"/>
    <cellStyle name="Normal 231 2 5" xfId="19755"/>
    <cellStyle name="Normal 231 2 5 2" xfId="19756"/>
    <cellStyle name="Normal 231 2 5 2 2" xfId="19757"/>
    <cellStyle name="Normal 231 2 5 3" xfId="19758"/>
    <cellStyle name="Normal 231 2 6" xfId="19759"/>
    <cellStyle name="Normal 231 2 6 2" xfId="19760"/>
    <cellStyle name="Normal 231 2 6 2 2" xfId="19761"/>
    <cellStyle name="Normal 231 2 6 3" xfId="19762"/>
    <cellStyle name="Normal 231 2 7" xfId="19763"/>
    <cellStyle name="Normal 231 3" xfId="19764"/>
    <cellStyle name="Normal 231 3 2" xfId="19765"/>
    <cellStyle name="Normal 231 3 2 2" xfId="19766"/>
    <cellStyle name="Normal 231 3 3" xfId="19767"/>
    <cellStyle name="Normal 231 3 3 2" xfId="19768"/>
    <cellStyle name="Normal 231 3 3 2 2" xfId="19769"/>
    <cellStyle name="Normal 231 3 3 3" xfId="19770"/>
    <cellStyle name="Normal 231 3 4" xfId="19771"/>
    <cellStyle name="Normal 231 3 4 2" xfId="19772"/>
    <cellStyle name="Normal 231 3 4 2 2" xfId="19773"/>
    <cellStyle name="Normal 231 3 4 3" xfId="19774"/>
    <cellStyle name="Normal 231 3 5" xfId="19775"/>
    <cellStyle name="Normal 231 4" xfId="19776"/>
    <cellStyle name="Normal 231 4 2" xfId="19777"/>
    <cellStyle name="Normal 231 4 2 2" xfId="19778"/>
    <cellStyle name="Normal 231 4 2 2 2" xfId="19779"/>
    <cellStyle name="Normal 231 4 2 3" xfId="19780"/>
    <cellStyle name="Normal 231 4 2 3 2" xfId="19781"/>
    <cellStyle name="Normal 231 4 2 3 2 2" xfId="19782"/>
    <cellStyle name="Normal 231 4 2 3 3" xfId="19783"/>
    <cellStyle name="Normal 231 4 2 4" xfId="19784"/>
    <cellStyle name="Normal 231 4 3" xfId="19785"/>
    <cellStyle name="Normal 231 4 3 2" xfId="19786"/>
    <cellStyle name="Normal 231 4 3 2 2" xfId="19787"/>
    <cellStyle name="Normal 231 4 3 3" xfId="19788"/>
    <cellStyle name="Normal 231 4 4" xfId="19789"/>
    <cellStyle name="Normal 231 4 4 2" xfId="19790"/>
    <cellStyle name="Normal 231 4 4 2 2" xfId="19791"/>
    <cellStyle name="Normal 231 4 4 3" xfId="19792"/>
    <cellStyle name="Normal 231 4 5" xfId="19793"/>
    <cellStyle name="Normal 231 4 5 2" xfId="19794"/>
    <cellStyle name="Normal 231 4 5 2 2" xfId="19795"/>
    <cellStyle name="Normal 231 4 5 3" xfId="19796"/>
    <cellStyle name="Normal 231 4 6" xfId="19797"/>
    <cellStyle name="Normal 231 5" xfId="19798"/>
    <cellStyle name="Normal 231 5 2" xfId="19799"/>
    <cellStyle name="Normal 231 5 2 2" xfId="19800"/>
    <cellStyle name="Normal 231 5 3" xfId="19801"/>
    <cellStyle name="Normal 231 6" xfId="19802"/>
    <cellStyle name="Normal 231 6 2" xfId="19803"/>
    <cellStyle name="Normal 231 6 2 2" xfId="19804"/>
    <cellStyle name="Normal 231 6 3" xfId="19805"/>
    <cellStyle name="Normal 231 7" xfId="19806"/>
    <cellStyle name="Normal 231 7 2" xfId="19807"/>
    <cellStyle name="Normal 231 7 2 2" xfId="19808"/>
    <cellStyle name="Normal 231 7 3" xfId="19809"/>
    <cellStyle name="Normal 231 8" xfId="19810"/>
    <cellStyle name="Normal 232" xfId="19811"/>
    <cellStyle name="Normal 232 2" xfId="19812"/>
    <cellStyle name="Normal 232 2 2" xfId="19813"/>
    <cellStyle name="Normal 232 2 2 2" xfId="19814"/>
    <cellStyle name="Normal 232 2 2 2 2" xfId="19815"/>
    <cellStyle name="Normal 232 2 2 3" xfId="19816"/>
    <cellStyle name="Normal 232 2 2 3 2" xfId="19817"/>
    <cellStyle name="Normal 232 2 2 3 2 2" xfId="19818"/>
    <cellStyle name="Normal 232 2 2 3 3" xfId="19819"/>
    <cellStyle name="Normal 232 2 2 4" xfId="19820"/>
    <cellStyle name="Normal 232 2 2 4 2" xfId="19821"/>
    <cellStyle name="Normal 232 2 2 4 2 2" xfId="19822"/>
    <cellStyle name="Normal 232 2 2 4 3" xfId="19823"/>
    <cellStyle name="Normal 232 2 2 5" xfId="19824"/>
    <cellStyle name="Normal 232 2 3" xfId="19825"/>
    <cellStyle name="Normal 232 2 3 2" xfId="19826"/>
    <cellStyle name="Normal 232 2 3 2 2" xfId="19827"/>
    <cellStyle name="Normal 232 2 3 2 2 2" xfId="19828"/>
    <cellStyle name="Normal 232 2 3 2 3" xfId="19829"/>
    <cellStyle name="Normal 232 2 3 2 3 2" xfId="19830"/>
    <cellStyle name="Normal 232 2 3 2 3 2 2" xfId="19831"/>
    <cellStyle name="Normal 232 2 3 2 3 3" xfId="19832"/>
    <cellStyle name="Normal 232 2 3 2 4" xfId="19833"/>
    <cellStyle name="Normal 232 2 3 3" xfId="19834"/>
    <cellStyle name="Normal 232 2 3 3 2" xfId="19835"/>
    <cellStyle name="Normal 232 2 3 3 2 2" xfId="19836"/>
    <cellStyle name="Normal 232 2 3 3 3" xfId="19837"/>
    <cellStyle name="Normal 232 2 3 4" xfId="19838"/>
    <cellStyle name="Normal 232 2 3 4 2" xfId="19839"/>
    <cellStyle name="Normal 232 2 3 4 2 2" xfId="19840"/>
    <cellStyle name="Normal 232 2 3 4 3" xfId="19841"/>
    <cellStyle name="Normal 232 2 3 5" xfId="19842"/>
    <cellStyle name="Normal 232 2 3 5 2" xfId="19843"/>
    <cellStyle name="Normal 232 2 3 5 2 2" xfId="19844"/>
    <cellStyle name="Normal 232 2 3 5 3" xfId="19845"/>
    <cellStyle name="Normal 232 2 3 6" xfId="19846"/>
    <cellStyle name="Normal 232 2 4" xfId="19847"/>
    <cellStyle name="Normal 232 2 4 2" xfId="19848"/>
    <cellStyle name="Normal 232 2 4 2 2" xfId="19849"/>
    <cellStyle name="Normal 232 2 4 3" xfId="19850"/>
    <cellStyle name="Normal 232 2 5" xfId="19851"/>
    <cellStyle name="Normal 232 2 5 2" xfId="19852"/>
    <cellStyle name="Normal 232 2 5 2 2" xfId="19853"/>
    <cellStyle name="Normal 232 2 5 3" xfId="19854"/>
    <cellStyle name="Normal 232 2 6" xfId="19855"/>
    <cellStyle name="Normal 232 2 6 2" xfId="19856"/>
    <cellStyle name="Normal 232 2 6 2 2" xfId="19857"/>
    <cellStyle name="Normal 232 2 6 3" xfId="19858"/>
    <cellStyle name="Normal 232 2 7" xfId="19859"/>
    <cellStyle name="Normal 232 3" xfId="19860"/>
    <cellStyle name="Normal 232 3 2" xfId="19861"/>
    <cellStyle name="Normal 232 3 2 2" xfId="19862"/>
    <cellStyle name="Normal 232 3 3" xfId="19863"/>
    <cellStyle name="Normal 232 3 3 2" xfId="19864"/>
    <cellStyle name="Normal 232 3 3 2 2" xfId="19865"/>
    <cellStyle name="Normal 232 3 3 3" xfId="19866"/>
    <cellStyle name="Normal 232 3 4" xfId="19867"/>
    <cellStyle name="Normal 232 3 4 2" xfId="19868"/>
    <cellStyle name="Normal 232 3 4 2 2" xfId="19869"/>
    <cellStyle name="Normal 232 3 4 3" xfId="19870"/>
    <cellStyle name="Normal 232 3 5" xfId="19871"/>
    <cellStyle name="Normal 232 4" xfId="19872"/>
    <cellStyle name="Normal 232 4 2" xfId="19873"/>
    <cellStyle name="Normal 232 4 2 2" xfId="19874"/>
    <cellStyle name="Normal 232 4 2 2 2" xfId="19875"/>
    <cellStyle name="Normal 232 4 2 3" xfId="19876"/>
    <cellStyle name="Normal 232 4 2 3 2" xfId="19877"/>
    <cellStyle name="Normal 232 4 2 3 2 2" xfId="19878"/>
    <cellStyle name="Normal 232 4 2 3 3" xfId="19879"/>
    <cellStyle name="Normal 232 4 2 4" xfId="19880"/>
    <cellStyle name="Normal 232 4 3" xfId="19881"/>
    <cellStyle name="Normal 232 4 3 2" xfId="19882"/>
    <cellStyle name="Normal 232 4 3 2 2" xfId="19883"/>
    <cellStyle name="Normal 232 4 3 3" xfId="19884"/>
    <cellStyle name="Normal 232 4 4" xfId="19885"/>
    <cellStyle name="Normal 232 4 4 2" xfId="19886"/>
    <cellStyle name="Normal 232 4 4 2 2" xfId="19887"/>
    <cellStyle name="Normal 232 4 4 3" xfId="19888"/>
    <cellStyle name="Normal 232 4 5" xfId="19889"/>
    <cellStyle name="Normal 232 4 5 2" xfId="19890"/>
    <cellStyle name="Normal 232 4 5 2 2" xfId="19891"/>
    <cellStyle name="Normal 232 4 5 3" xfId="19892"/>
    <cellStyle name="Normal 232 4 6" xfId="19893"/>
    <cellStyle name="Normal 232 5" xfId="19894"/>
    <cellStyle name="Normal 232 5 2" xfId="19895"/>
    <cellStyle name="Normal 232 5 2 2" xfId="19896"/>
    <cellStyle name="Normal 232 5 3" xfId="19897"/>
    <cellStyle name="Normal 232 6" xfId="19898"/>
    <cellStyle name="Normal 232 6 2" xfId="19899"/>
    <cellStyle name="Normal 232 6 2 2" xfId="19900"/>
    <cellStyle name="Normal 232 6 3" xfId="19901"/>
    <cellStyle name="Normal 232 7" xfId="19902"/>
    <cellStyle name="Normal 232 7 2" xfId="19903"/>
    <cellStyle name="Normal 232 7 2 2" xfId="19904"/>
    <cellStyle name="Normal 232 7 3" xfId="19905"/>
    <cellStyle name="Normal 232 8" xfId="19906"/>
    <cellStyle name="Normal 233" xfId="19907"/>
    <cellStyle name="Normal 233 2" xfId="19908"/>
    <cellStyle name="Normal 233 2 2" xfId="19909"/>
    <cellStyle name="Normal 233 2 2 2" xfId="19910"/>
    <cellStyle name="Normal 233 2 2 2 2" xfId="19911"/>
    <cellStyle name="Normal 233 2 2 3" xfId="19912"/>
    <cellStyle name="Normal 233 2 2 3 2" xfId="19913"/>
    <cellStyle name="Normal 233 2 2 3 2 2" xfId="19914"/>
    <cellStyle name="Normal 233 2 2 3 3" xfId="19915"/>
    <cellStyle name="Normal 233 2 2 4" xfId="19916"/>
    <cellStyle name="Normal 233 2 2 4 2" xfId="19917"/>
    <cellStyle name="Normal 233 2 2 4 2 2" xfId="19918"/>
    <cellStyle name="Normal 233 2 2 4 3" xfId="19919"/>
    <cellStyle name="Normal 233 2 2 5" xfId="19920"/>
    <cellStyle name="Normal 233 2 3" xfId="19921"/>
    <cellStyle name="Normal 233 2 3 2" xfId="19922"/>
    <cellStyle name="Normal 233 2 3 2 2" xfId="19923"/>
    <cellStyle name="Normal 233 2 3 2 2 2" xfId="19924"/>
    <cellStyle name="Normal 233 2 3 2 3" xfId="19925"/>
    <cellStyle name="Normal 233 2 3 2 3 2" xfId="19926"/>
    <cellStyle name="Normal 233 2 3 2 3 2 2" xfId="19927"/>
    <cellStyle name="Normal 233 2 3 2 3 3" xfId="19928"/>
    <cellStyle name="Normal 233 2 3 2 4" xfId="19929"/>
    <cellStyle name="Normal 233 2 3 3" xfId="19930"/>
    <cellStyle name="Normal 233 2 3 3 2" xfId="19931"/>
    <cellStyle name="Normal 233 2 3 3 2 2" xfId="19932"/>
    <cellStyle name="Normal 233 2 3 3 3" xfId="19933"/>
    <cellStyle name="Normal 233 2 3 4" xfId="19934"/>
    <cellStyle name="Normal 233 2 3 4 2" xfId="19935"/>
    <cellStyle name="Normal 233 2 3 4 2 2" xfId="19936"/>
    <cellStyle name="Normal 233 2 3 4 3" xfId="19937"/>
    <cellStyle name="Normal 233 2 3 5" xfId="19938"/>
    <cellStyle name="Normal 233 2 3 5 2" xfId="19939"/>
    <cellStyle name="Normal 233 2 3 5 2 2" xfId="19940"/>
    <cellStyle name="Normal 233 2 3 5 3" xfId="19941"/>
    <cellStyle name="Normal 233 2 3 6" xfId="19942"/>
    <cellStyle name="Normal 233 2 4" xfId="19943"/>
    <cellStyle name="Normal 233 2 4 2" xfId="19944"/>
    <cellStyle name="Normal 233 2 4 2 2" xfId="19945"/>
    <cellStyle name="Normal 233 2 4 3" xfId="19946"/>
    <cellStyle name="Normal 233 2 5" xfId="19947"/>
    <cellStyle name="Normal 233 2 5 2" xfId="19948"/>
    <cellStyle name="Normal 233 2 5 2 2" xfId="19949"/>
    <cellStyle name="Normal 233 2 5 3" xfId="19950"/>
    <cellStyle name="Normal 233 2 6" xfId="19951"/>
    <cellStyle name="Normal 233 2 6 2" xfId="19952"/>
    <cellStyle name="Normal 233 2 6 2 2" xfId="19953"/>
    <cellStyle name="Normal 233 2 6 3" xfId="19954"/>
    <cellStyle name="Normal 233 2 7" xfId="19955"/>
    <cellStyle name="Normal 233 3" xfId="19956"/>
    <cellStyle name="Normal 233 3 2" xfId="19957"/>
    <cellStyle name="Normal 233 3 2 2" xfId="19958"/>
    <cellStyle name="Normal 233 3 3" xfId="19959"/>
    <cellStyle name="Normal 233 3 3 2" xfId="19960"/>
    <cellStyle name="Normal 233 3 3 2 2" xfId="19961"/>
    <cellStyle name="Normal 233 3 3 3" xfId="19962"/>
    <cellStyle name="Normal 233 3 4" xfId="19963"/>
    <cellStyle name="Normal 233 3 4 2" xfId="19964"/>
    <cellStyle name="Normal 233 3 4 2 2" xfId="19965"/>
    <cellStyle name="Normal 233 3 4 3" xfId="19966"/>
    <cellStyle name="Normal 233 3 5" xfId="19967"/>
    <cellStyle name="Normal 233 4" xfId="19968"/>
    <cellStyle name="Normal 233 4 2" xfId="19969"/>
    <cellStyle name="Normal 233 4 2 2" xfId="19970"/>
    <cellStyle name="Normal 233 4 2 2 2" xfId="19971"/>
    <cellStyle name="Normal 233 4 2 3" xfId="19972"/>
    <cellStyle name="Normal 233 4 2 3 2" xfId="19973"/>
    <cellStyle name="Normal 233 4 2 3 2 2" xfId="19974"/>
    <cellStyle name="Normal 233 4 2 3 3" xfId="19975"/>
    <cellStyle name="Normal 233 4 2 4" xfId="19976"/>
    <cellStyle name="Normal 233 4 3" xfId="19977"/>
    <cellStyle name="Normal 233 4 3 2" xfId="19978"/>
    <cellStyle name="Normal 233 4 3 2 2" xfId="19979"/>
    <cellStyle name="Normal 233 4 3 3" xfId="19980"/>
    <cellStyle name="Normal 233 4 4" xfId="19981"/>
    <cellStyle name="Normal 233 4 4 2" xfId="19982"/>
    <cellStyle name="Normal 233 4 4 2 2" xfId="19983"/>
    <cellStyle name="Normal 233 4 4 3" xfId="19984"/>
    <cellStyle name="Normal 233 4 5" xfId="19985"/>
    <cellStyle name="Normal 233 4 5 2" xfId="19986"/>
    <cellStyle name="Normal 233 4 5 2 2" xfId="19987"/>
    <cellStyle name="Normal 233 4 5 3" xfId="19988"/>
    <cellStyle name="Normal 233 4 6" xfId="19989"/>
    <cellStyle name="Normal 233 5" xfId="19990"/>
    <cellStyle name="Normal 233 5 2" xfId="19991"/>
    <cellStyle name="Normal 233 5 2 2" xfId="19992"/>
    <cellStyle name="Normal 233 5 3" xfId="19993"/>
    <cellStyle name="Normal 233 6" xfId="19994"/>
    <cellStyle name="Normal 233 6 2" xfId="19995"/>
    <cellStyle name="Normal 233 6 2 2" xfId="19996"/>
    <cellStyle name="Normal 233 6 3" xfId="19997"/>
    <cellStyle name="Normal 233 7" xfId="19998"/>
    <cellStyle name="Normal 233 7 2" xfId="19999"/>
    <cellStyle name="Normal 233 7 2 2" xfId="20000"/>
    <cellStyle name="Normal 233 7 3" xfId="20001"/>
    <cellStyle name="Normal 233 8" xfId="20002"/>
    <cellStyle name="Normal 234" xfId="20003"/>
    <cellStyle name="Normal 234 2" xfId="20004"/>
    <cellStyle name="Normal 234 2 2" xfId="20005"/>
    <cellStyle name="Normal 234 2 2 2" xfId="20006"/>
    <cellStyle name="Normal 234 2 2 2 2" xfId="20007"/>
    <cellStyle name="Normal 234 2 2 3" xfId="20008"/>
    <cellStyle name="Normal 234 2 2 3 2" xfId="20009"/>
    <cellStyle name="Normal 234 2 2 3 2 2" xfId="20010"/>
    <cellStyle name="Normal 234 2 2 3 3" xfId="20011"/>
    <cellStyle name="Normal 234 2 2 4" xfId="20012"/>
    <cellStyle name="Normal 234 2 2 4 2" xfId="20013"/>
    <cellStyle name="Normal 234 2 2 4 2 2" xfId="20014"/>
    <cellStyle name="Normal 234 2 2 4 3" xfId="20015"/>
    <cellStyle name="Normal 234 2 2 5" xfId="20016"/>
    <cellStyle name="Normal 234 2 3" xfId="20017"/>
    <cellStyle name="Normal 234 2 3 2" xfId="20018"/>
    <cellStyle name="Normal 234 2 3 2 2" xfId="20019"/>
    <cellStyle name="Normal 234 2 3 2 2 2" xfId="20020"/>
    <cellStyle name="Normal 234 2 3 2 3" xfId="20021"/>
    <cellStyle name="Normal 234 2 3 2 3 2" xfId="20022"/>
    <cellStyle name="Normal 234 2 3 2 3 2 2" xfId="20023"/>
    <cellStyle name="Normal 234 2 3 2 3 3" xfId="20024"/>
    <cellStyle name="Normal 234 2 3 2 4" xfId="20025"/>
    <cellStyle name="Normal 234 2 3 3" xfId="20026"/>
    <cellStyle name="Normal 234 2 3 3 2" xfId="20027"/>
    <cellStyle name="Normal 234 2 3 3 2 2" xfId="20028"/>
    <cellStyle name="Normal 234 2 3 3 3" xfId="20029"/>
    <cellStyle name="Normal 234 2 3 4" xfId="20030"/>
    <cellStyle name="Normal 234 2 3 4 2" xfId="20031"/>
    <cellStyle name="Normal 234 2 3 4 2 2" xfId="20032"/>
    <cellStyle name="Normal 234 2 3 4 3" xfId="20033"/>
    <cellStyle name="Normal 234 2 3 5" xfId="20034"/>
    <cellStyle name="Normal 234 2 3 5 2" xfId="20035"/>
    <cellStyle name="Normal 234 2 3 5 2 2" xfId="20036"/>
    <cellStyle name="Normal 234 2 3 5 3" xfId="20037"/>
    <cellStyle name="Normal 234 2 3 6" xfId="20038"/>
    <cellStyle name="Normal 234 2 4" xfId="20039"/>
    <cellStyle name="Normal 234 2 4 2" xfId="20040"/>
    <cellStyle name="Normal 234 2 4 2 2" xfId="20041"/>
    <cellStyle name="Normal 234 2 4 3" xfId="20042"/>
    <cellStyle name="Normal 234 2 5" xfId="20043"/>
    <cellStyle name="Normal 234 2 5 2" xfId="20044"/>
    <cellStyle name="Normal 234 2 5 2 2" xfId="20045"/>
    <cellStyle name="Normal 234 2 5 3" xfId="20046"/>
    <cellStyle name="Normal 234 2 6" xfId="20047"/>
    <cellStyle name="Normal 234 2 6 2" xfId="20048"/>
    <cellStyle name="Normal 234 2 6 2 2" xfId="20049"/>
    <cellStyle name="Normal 234 2 6 3" xfId="20050"/>
    <cellStyle name="Normal 234 2 7" xfId="20051"/>
    <cellStyle name="Normal 234 3" xfId="20052"/>
    <cellStyle name="Normal 234 3 2" xfId="20053"/>
    <cellStyle name="Normal 234 3 2 2" xfId="20054"/>
    <cellStyle name="Normal 234 3 3" xfId="20055"/>
    <cellStyle name="Normal 234 3 3 2" xfId="20056"/>
    <cellStyle name="Normal 234 3 3 2 2" xfId="20057"/>
    <cellStyle name="Normal 234 3 3 3" xfId="20058"/>
    <cellStyle name="Normal 234 3 4" xfId="20059"/>
    <cellStyle name="Normal 234 3 4 2" xfId="20060"/>
    <cellStyle name="Normal 234 3 4 2 2" xfId="20061"/>
    <cellStyle name="Normal 234 3 4 3" xfId="20062"/>
    <cellStyle name="Normal 234 3 5" xfId="20063"/>
    <cellStyle name="Normal 234 4" xfId="20064"/>
    <cellStyle name="Normal 234 4 2" xfId="20065"/>
    <cellStyle name="Normal 234 4 2 2" xfId="20066"/>
    <cellStyle name="Normal 234 4 2 2 2" xfId="20067"/>
    <cellStyle name="Normal 234 4 2 3" xfId="20068"/>
    <cellStyle name="Normal 234 4 2 3 2" xfId="20069"/>
    <cellStyle name="Normal 234 4 2 3 2 2" xfId="20070"/>
    <cellStyle name="Normal 234 4 2 3 3" xfId="20071"/>
    <cellStyle name="Normal 234 4 2 4" xfId="20072"/>
    <cellStyle name="Normal 234 4 3" xfId="20073"/>
    <cellStyle name="Normal 234 4 3 2" xfId="20074"/>
    <cellStyle name="Normal 234 4 3 2 2" xfId="20075"/>
    <cellStyle name="Normal 234 4 3 3" xfId="20076"/>
    <cellStyle name="Normal 234 4 4" xfId="20077"/>
    <cellStyle name="Normal 234 4 4 2" xfId="20078"/>
    <cellStyle name="Normal 234 4 4 2 2" xfId="20079"/>
    <cellStyle name="Normal 234 4 4 3" xfId="20080"/>
    <cellStyle name="Normal 234 4 5" xfId="20081"/>
    <cellStyle name="Normal 234 4 5 2" xfId="20082"/>
    <cellStyle name="Normal 234 4 5 2 2" xfId="20083"/>
    <cellStyle name="Normal 234 4 5 3" xfId="20084"/>
    <cellStyle name="Normal 234 4 6" xfId="20085"/>
    <cellStyle name="Normal 234 5" xfId="20086"/>
    <cellStyle name="Normal 234 5 2" xfId="20087"/>
    <cellStyle name="Normal 234 5 2 2" xfId="20088"/>
    <cellStyle name="Normal 234 5 3" xfId="20089"/>
    <cellStyle name="Normal 234 6" xfId="20090"/>
    <cellStyle name="Normal 234 6 2" xfId="20091"/>
    <cellStyle name="Normal 234 6 2 2" xfId="20092"/>
    <cellStyle name="Normal 234 6 3" xfId="20093"/>
    <cellStyle name="Normal 234 7" xfId="20094"/>
    <cellStyle name="Normal 234 7 2" xfId="20095"/>
    <cellStyle name="Normal 234 7 2 2" xfId="20096"/>
    <cellStyle name="Normal 234 7 3" xfId="20097"/>
    <cellStyle name="Normal 234 8" xfId="20098"/>
    <cellStyle name="Normal 235" xfId="20099"/>
    <cellStyle name="Normal 235 2" xfId="20100"/>
    <cellStyle name="Normal 235 2 2" xfId="20101"/>
    <cellStyle name="Normal 235 2 2 2" xfId="20102"/>
    <cellStyle name="Normal 235 2 2 2 2" xfId="20103"/>
    <cellStyle name="Normal 235 2 2 3" xfId="20104"/>
    <cellStyle name="Normal 235 2 2 3 2" xfId="20105"/>
    <cellStyle name="Normal 235 2 2 3 2 2" xfId="20106"/>
    <cellStyle name="Normal 235 2 2 3 3" xfId="20107"/>
    <cellStyle name="Normal 235 2 2 4" xfId="20108"/>
    <cellStyle name="Normal 235 2 2 4 2" xfId="20109"/>
    <cellStyle name="Normal 235 2 2 4 2 2" xfId="20110"/>
    <cellStyle name="Normal 235 2 2 4 3" xfId="20111"/>
    <cellStyle name="Normal 235 2 2 5" xfId="20112"/>
    <cellStyle name="Normal 235 2 3" xfId="20113"/>
    <cellStyle name="Normal 235 2 3 2" xfId="20114"/>
    <cellStyle name="Normal 235 2 3 2 2" xfId="20115"/>
    <cellStyle name="Normal 235 2 3 2 2 2" xfId="20116"/>
    <cellStyle name="Normal 235 2 3 2 3" xfId="20117"/>
    <cellStyle name="Normal 235 2 3 2 3 2" xfId="20118"/>
    <cellStyle name="Normal 235 2 3 2 3 2 2" xfId="20119"/>
    <cellStyle name="Normal 235 2 3 2 3 3" xfId="20120"/>
    <cellStyle name="Normal 235 2 3 2 4" xfId="20121"/>
    <cellStyle name="Normal 235 2 3 3" xfId="20122"/>
    <cellStyle name="Normal 235 2 3 3 2" xfId="20123"/>
    <cellStyle name="Normal 235 2 3 3 2 2" xfId="20124"/>
    <cellStyle name="Normal 235 2 3 3 3" xfId="20125"/>
    <cellStyle name="Normal 235 2 3 4" xfId="20126"/>
    <cellStyle name="Normal 235 2 3 4 2" xfId="20127"/>
    <cellStyle name="Normal 235 2 3 4 2 2" xfId="20128"/>
    <cellStyle name="Normal 235 2 3 4 3" xfId="20129"/>
    <cellStyle name="Normal 235 2 3 5" xfId="20130"/>
    <cellStyle name="Normal 235 2 3 5 2" xfId="20131"/>
    <cellStyle name="Normal 235 2 3 5 2 2" xfId="20132"/>
    <cellStyle name="Normal 235 2 3 5 3" xfId="20133"/>
    <cellStyle name="Normal 235 2 3 6" xfId="20134"/>
    <cellStyle name="Normal 235 2 4" xfId="20135"/>
    <cellStyle name="Normal 235 2 4 2" xfId="20136"/>
    <cellStyle name="Normal 235 2 4 2 2" xfId="20137"/>
    <cellStyle name="Normal 235 2 4 3" xfId="20138"/>
    <cellStyle name="Normal 235 2 5" xfId="20139"/>
    <cellStyle name="Normal 235 2 5 2" xfId="20140"/>
    <cellStyle name="Normal 235 2 5 2 2" xfId="20141"/>
    <cellStyle name="Normal 235 2 5 3" xfId="20142"/>
    <cellStyle name="Normal 235 2 6" xfId="20143"/>
    <cellStyle name="Normal 235 2 6 2" xfId="20144"/>
    <cellStyle name="Normal 235 2 6 2 2" xfId="20145"/>
    <cellStyle name="Normal 235 2 6 3" xfId="20146"/>
    <cellStyle name="Normal 235 2 7" xfId="20147"/>
    <cellStyle name="Normal 235 3" xfId="20148"/>
    <cellStyle name="Normal 235 3 2" xfId="20149"/>
    <cellStyle name="Normal 235 3 2 2" xfId="20150"/>
    <cellStyle name="Normal 235 3 3" xfId="20151"/>
    <cellStyle name="Normal 235 3 3 2" xfId="20152"/>
    <cellStyle name="Normal 235 3 3 2 2" xfId="20153"/>
    <cellStyle name="Normal 235 3 3 3" xfId="20154"/>
    <cellStyle name="Normal 235 3 4" xfId="20155"/>
    <cellStyle name="Normal 235 3 4 2" xfId="20156"/>
    <cellStyle name="Normal 235 3 4 2 2" xfId="20157"/>
    <cellStyle name="Normal 235 3 4 3" xfId="20158"/>
    <cellStyle name="Normal 235 3 5" xfId="20159"/>
    <cellStyle name="Normal 235 4" xfId="20160"/>
    <cellStyle name="Normal 235 4 2" xfId="20161"/>
    <cellStyle name="Normal 235 4 2 2" xfId="20162"/>
    <cellStyle name="Normal 235 4 2 2 2" xfId="20163"/>
    <cellStyle name="Normal 235 4 2 3" xfId="20164"/>
    <cellStyle name="Normal 235 4 2 3 2" xfId="20165"/>
    <cellStyle name="Normal 235 4 2 3 2 2" xfId="20166"/>
    <cellStyle name="Normal 235 4 2 3 3" xfId="20167"/>
    <cellStyle name="Normal 235 4 2 4" xfId="20168"/>
    <cellStyle name="Normal 235 4 3" xfId="20169"/>
    <cellStyle name="Normal 235 4 3 2" xfId="20170"/>
    <cellStyle name="Normal 235 4 3 2 2" xfId="20171"/>
    <cellStyle name="Normal 235 4 3 3" xfId="20172"/>
    <cellStyle name="Normal 235 4 4" xfId="20173"/>
    <cellStyle name="Normal 235 4 4 2" xfId="20174"/>
    <cellStyle name="Normal 235 4 4 2 2" xfId="20175"/>
    <cellStyle name="Normal 235 4 4 3" xfId="20176"/>
    <cellStyle name="Normal 235 4 5" xfId="20177"/>
    <cellStyle name="Normal 235 4 5 2" xfId="20178"/>
    <cellStyle name="Normal 235 4 5 2 2" xfId="20179"/>
    <cellStyle name="Normal 235 4 5 3" xfId="20180"/>
    <cellStyle name="Normal 235 4 6" xfId="20181"/>
    <cellStyle name="Normal 235 5" xfId="20182"/>
    <cellStyle name="Normal 235 5 2" xfId="20183"/>
    <cellStyle name="Normal 235 5 2 2" xfId="20184"/>
    <cellStyle name="Normal 235 5 3" xfId="20185"/>
    <cellStyle name="Normal 235 6" xfId="20186"/>
    <cellStyle name="Normal 235 6 2" xfId="20187"/>
    <cellStyle name="Normal 235 6 2 2" xfId="20188"/>
    <cellStyle name="Normal 235 6 3" xfId="20189"/>
    <cellStyle name="Normal 235 7" xfId="20190"/>
    <cellStyle name="Normal 235 7 2" xfId="20191"/>
    <cellStyle name="Normal 235 7 2 2" xfId="20192"/>
    <cellStyle name="Normal 235 7 3" xfId="20193"/>
    <cellStyle name="Normal 235 8" xfId="20194"/>
    <cellStyle name="Normal 236" xfId="20195"/>
    <cellStyle name="Normal 236 2" xfId="20196"/>
    <cellStyle name="Normal 236 2 2" xfId="20197"/>
    <cellStyle name="Normal 236 2 2 2" xfId="20198"/>
    <cellStyle name="Normal 236 2 2 2 2" xfId="20199"/>
    <cellStyle name="Normal 236 2 2 3" xfId="20200"/>
    <cellStyle name="Normal 236 2 2 3 2" xfId="20201"/>
    <cellStyle name="Normal 236 2 2 3 2 2" xfId="20202"/>
    <cellStyle name="Normal 236 2 2 3 3" xfId="20203"/>
    <cellStyle name="Normal 236 2 2 4" xfId="20204"/>
    <cellStyle name="Normal 236 2 2 4 2" xfId="20205"/>
    <cellStyle name="Normal 236 2 2 4 2 2" xfId="20206"/>
    <cellStyle name="Normal 236 2 2 4 3" xfId="20207"/>
    <cellStyle name="Normal 236 2 2 5" xfId="20208"/>
    <cellStyle name="Normal 236 2 3" xfId="20209"/>
    <cellStyle name="Normal 236 2 3 2" xfId="20210"/>
    <cellStyle name="Normal 236 2 3 2 2" xfId="20211"/>
    <cellStyle name="Normal 236 2 3 2 2 2" xfId="20212"/>
    <cellStyle name="Normal 236 2 3 2 3" xfId="20213"/>
    <cellStyle name="Normal 236 2 3 2 3 2" xfId="20214"/>
    <cellStyle name="Normal 236 2 3 2 3 2 2" xfId="20215"/>
    <cellStyle name="Normal 236 2 3 2 3 3" xfId="20216"/>
    <cellStyle name="Normal 236 2 3 2 4" xfId="20217"/>
    <cellStyle name="Normal 236 2 3 3" xfId="20218"/>
    <cellStyle name="Normal 236 2 3 3 2" xfId="20219"/>
    <cellStyle name="Normal 236 2 3 3 2 2" xfId="20220"/>
    <cellStyle name="Normal 236 2 3 3 3" xfId="20221"/>
    <cellStyle name="Normal 236 2 3 4" xfId="20222"/>
    <cellStyle name="Normal 236 2 3 4 2" xfId="20223"/>
    <cellStyle name="Normal 236 2 3 4 2 2" xfId="20224"/>
    <cellStyle name="Normal 236 2 3 4 3" xfId="20225"/>
    <cellStyle name="Normal 236 2 3 5" xfId="20226"/>
    <cellStyle name="Normal 236 2 3 5 2" xfId="20227"/>
    <cellStyle name="Normal 236 2 3 5 2 2" xfId="20228"/>
    <cellStyle name="Normal 236 2 3 5 3" xfId="20229"/>
    <cellStyle name="Normal 236 2 3 6" xfId="20230"/>
    <cellStyle name="Normal 236 2 4" xfId="20231"/>
    <cellStyle name="Normal 236 2 4 2" xfId="20232"/>
    <cellStyle name="Normal 236 2 4 2 2" xfId="20233"/>
    <cellStyle name="Normal 236 2 4 3" xfId="20234"/>
    <cellStyle name="Normal 236 2 5" xfId="20235"/>
    <cellStyle name="Normal 236 2 5 2" xfId="20236"/>
    <cellStyle name="Normal 236 2 5 2 2" xfId="20237"/>
    <cellStyle name="Normal 236 2 5 3" xfId="20238"/>
    <cellStyle name="Normal 236 2 6" xfId="20239"/>
    <cellStyle name="Normal 236 2 6 2" xfId="20240"/>
    <cellStyle name="Normal 236 2 6 2 2" xfId="20241"/>
    <cellStyle name="Normal 236 2 6 3" xfId="20242"/>
    <cellStyle name="Normal 236 2 7" xfId="20243"/>
    <cellStyle name="Normal 236 3" xfId="20244"/>
    <cellStyle name="Normal 236 3 2" xfId="20245"/>
    <cellStyle name="Normal 236 3 2 2" xfId="20246"/>
    <cellStyle name="Normal 236 3 3" xfId="20247"/>
    <cellStyle name="Normal 236 3 3 2" xfId="20248"/>
    <cellStyle name="Normal 236 3 3 2 2" xfId="20249"/>
    <cellStyle name="Normal 236 3 3 3" xfId="20250"/>
    <cellStyle name="Normal 236 3 4" xfId="20251"/>
    <cellStyle name="Normal 236 3 4 2" xfId="20252"/>
    <cellStyle name="Normal 236 3 4 2 2" xfId="20253"/>
    <cellStyle name="Normal 236 3 4 3" xfId="20254"/>
    <cellStyle name="Normal 236 3 5" xfId="20255"/>
    <cellStyle name="Normal 236 4" xfId="20256"/>
    <cellStyle name="Normal 236 4 2" xfId="20257"/>
    <cellStyle name="Normal 236 4 2 2" xfId="20258"/>
    <cellStyle name="Normal 236 4 2 2 2" xfId="20259"/>
    <cellStyle name="Normal 236 4 2 3" xfId="20260"/>
    <cellStyle name="Normal 236 4 2 3 2" xfId="20261"/>
    <cellStyle name="Normal 236 4 2 3 2 2" xfId="20262"/>
    <cellStyle name="Normal 236 4 2 3 3" xfId="20263"/>
    <cellStyle name="Normal 236 4 2 4" xfId="20264"/>
    <cellStyle name="Normal 236 4 3" xfId="20265"/>
    <cellStyle name="Normal 236 4 3 2" xfId="20266"/>
    <cellStyle name="Normal 236 4 3 2 2" xfId="20267"/>
    <cellStyle name="Normal 236 4 3 3" xfId="20268"/>
    <cellStyle name="Normal 236 4 4" xfId="20269"/>
    <cellStyle name="Normal 236 4 4 2" xfId="20270"/>
    <cellStyle name="Normal 236 4 4 2 2" xfId="20271"/>
    <cellStyle name="Normal 236 4 4 3" xfId="20272"/>
    <cellStyle name="Normal 236 4 5" xfId="20273"/>
    <cellStyle name="Normal 236 4 5 2" xfId="20274"/>
    <cellStyle name="Normal 236 4 5 2 2" xfId="20275"/>
    <cellStyle name="Normal 236 4 5 3" xfId="20276"/>
    <cellStyle name="Normal 236 4 6" xfId="20277"/>
    <cellStyle name="Normal 236 5" xfId="20278"/>
    <cellStyle name="Normal 236 5 2" xfId="20279"/>
    <cellStyle name="Normal 236 5 2 2" xfId="20280"/>
    <cellStyle name="Normal 236 5 3" xfId="20281"/>
    <cellStyle name="Normal 236 6" xfId="20282"/>
    <cellStyle name="Normal 236 6 2" xfId="20283"/>
    <cellStyle name="Normal 236 6 2 2" xfId="20284"/>
    <cellStyle name="Normal 236 6 3" xfId="20285"/>
    <cellStyle name="Normal 236 7" xfId="20286"/>
    <cellStyle name="Normal 236 7 2" xfId="20287"/>
    <cellStyle name="Normal 236 7 2 2" xfId="20288"/>
    <cellStyle name="Normal 236 7 3" xfId="20289"/>
    <cellStyle name="Normal 236 8" xfId="20290"/>
    <cellStyle name="Normal 237" xfId="20291"/>
    <cellStyle name="Normal 237 2" xfId="20292"/>
    <cellStyle name="Normal 237 2 2" xfId="20293"/>
    <cellStyle name="Normal 237 2 2 2" xfId="20294"/>
    <cellStyle name="Normal 237 2 2 2 2" xfId="20295"/>
    <cellStyle name="Normal 237 2 2 3" xfId="20296"/>
    <cellStyle name="Normal 237 2 2 3 2" xfId="20297"/>
    <cellStyle name="Normal 237 2 2 3 2 2" xfId="20298"/>
    <cellStyle name="Normal 237 2 2 3 3" xfId="20299"/>
    <cellStyle name="Normal 237 2 2 4" xfId="20300"/>
    <cellStyle name="Normal 237 2 2 4 2" xfId="20301"/>
    <cellStyle name="Normal 237 2 2 4 2 2" xfId="20302"/>
    <cellStyle name="Normal 237 2 2 4 3" xfId="20303"/>
    <cellStyle name="Normal 237 2 2 5" xfId="20304"/>
    <cellStyle name="Normal 237 2 3" xfId="20305"/>
    <cellStyle name="Normal 237 2 3 2" xfId="20306"/>
    <cellStyle name="Normal 237 2 3 2 2" xfId="20307"/>
    <cellStyle name="Normal 237 2 3 2 2 2" xfId="20308"/>
    <cellStyle name="Normal 237 2 3 2 3" xfId="20309"/>
    <cellStyle name="Normal 237 2 3 2 3 2" xfId="20310"/>
    <cellStyle name="Normal 237 2 3 2 3 2 2" xfId="20311"/>
    <cellStyle name="Normal 237 2 3 2 3 3" xfId="20312"/>
    <cellStyle name="Normal 237 2 3 2 4" xfId="20313"/>
    <cellStyle name="Normal 237 2 3 3" xfId="20314"/>
    <cellStyle name="Normal 237 2 3 3 2" xfId="20315"/>
    <cellStyle name="Normal 237 2 3 3 2 2" xfId="20316"/>
    <cellStyle name="Normal 237 2 3 3 3" xfId="20317"/>
    <cellStyle name="Normal 237 2 3 4" xfId="20318"/>
    <cellStyle name="Normal 237 2 3 4 2" xfId="20319"/>
    <cellStyle name="Normal 237 2 3 4 2 2" xfId="20320"/>
    <cellStyle name="Normal 237 2 3 4 3" xfId="20321"/>
    <cellStyle name="Normal 237 2 3 5" xfId="20322"/>
    <cellStyle name="Normal 237 2 3 5 2" xfId="20323"/>
    <cellStyle name="Normal 237 2 3 5 2 2" xfId="20324"/>
    <cellStyle name="Normal 237 2 3 5 3" xfId="20325"/>
    <cellStyle name="Normal 237 2 3 6" xfId="20326"/>
    <cellStyle name="Normal 237 2 4" xfId="20327"/>
    <cellStyle name="Normal 237 2 4 2" xfId="20328"/>
    <cellStyle name="Normal 237 2 4 2 2" xfId="20329"/>
    <cellStyle name="Normal 237 2 4 3" xfId="20330"/>
    <cellStyle name="Normal 237 2 5" xfId="20331"/>
    <cellStyle name="Normal 237 2 5 2" xfId="20332"/>
    <cellStyle name="Normal 237 2 5 2 2" xfId="20333"/>
    <cellStyle name="Normal 237 2 5 3" xfId="20334"/>
    <cellStyle name="Normal 237 2 6" xfId="20335"/>
    <cellStyle name="Normal 237 2 6 2" xfId="20336"/>
    <cellStyle name="Normal 237 2 6 2 2" xfId="20337"/>
    <cellStyle name="Normal 237 2 6 3" xfId="20338"/>
    <cellStyle name="Normal 237 2 7" xfId="20339"/>
    <cellStyle name="Normal 237 3" xfId="20340"/>
    <cellStyle name="Normal 237 3 2" xfId="20341"/>
    <cellStyle name="Normal 237 3 2 2" xfId="20342"/>
    <cellStyle name="Normal 237 3 3" xfId="20343"/>
    <cellStyle name="Normal 237 3 3 2" xfId="20344"/>
    <cellStyle name="Normal 237 3 3 2 2" xfId="20345"/>
    <cellStyle name="Normal 237 3 3 3" xfId="20346"/>
    <cellStyle name="Normal 237 3 4" xfId="20347"/>
    <cellStyle name="Normal 237 3 4 2" xfId="20348"/>
    <cellStyle name="Normal 237 3 4 2 2" xfId="20349"/>
    <cellStyle name="Normal 237 3 4 3" xfId="20350"/>
    <cellStyle name="Normal 237 3 5" xfId="20351"/>
    <cellStyle name="Normal 237 4" xfId="20352"/>
    <cellStyle name="Normal 237 4 2" xfId="20353"/>
    <cellStyle name="Normal 237 4 2 2" xfId="20354"/>
    <cellStyle name="Normal 237 4 2 2 2" xfId="20355"/>
    <cellStyle name="Normal 237 4 2 3" xfId="20356"/>
    <cellStyle name="Normal 237 4 2 3 2" xfId="20357"/>
    <cellStyle name="Normal 237 4 2 3 2 2" xfId="20358"/>
    <cellStyle name="Normal 237 4 2 3 3" xfId="20359"/>
    <cellStyle name="Normal 237 4 2 4" xfId="20360"/>
    <cellStyle name="Normal 237 4 3" xfId="20361"/>
    <cellStyle name="Normal 237 4 3 2" xfId="20362"/>
    <cellStyle name="Normal 237 4 3 2 2" xfId="20363"/>
    <cellStyle name="Normal 237 4 3 3" xfId="20364"/>
    <cellStyle name="Normal 237 4 4" xfId="20365"/>
    <cellStyle name="Normal 237 4 4 2" xfId="20366"/>
    <cellStyle name="Normal 237 4 4 2 2" xfId="20367"/>
    <cellStyle name="Normal 237 4 4 3" xfId="20368"/>
    <cellStyle name="Normal 237 4 5" xfId="20369"/>
    <cellStyle name="Normal 237 4 5 2" xfId="20370"/>
    <cellStyle name="Normal 237 4 5 2 2" xfId="20371"/>
    <cellStyle name="Normal 237 4 5 3" xfId="20372"/>
    <cellStyle name="Normal 237 4 6" xfId="20373"/>
    <cellStyle name="Normal 237 5" xfId="20374"/>
    <cellStyle name="Normal 237 5 2" xfId="20375"/>
    <cellStyle name="Normal 237 5 2 2" xfId="20376"/>
    <cellStyle name="Normal 237 5 3" xfId="20377"/>
    <cellStyle name="Normal 237 6" xfId="20378"/>
    <cellStyle name="Normal 237 6 2" xfId="20379"/>
    <cellStyle name="Normal 237 6 2 2" xfId="20380"/>
    <cellStyle name="Normal 237 6 3" xfId="20381"/>
    <cellStyle name="Normal 237 7" xfId="20382"/>
    <cellStyle name="Normal 237 7 2" xfId="20383"/>
    <cellStyle name="Normal 237 7 2 2" xfId="20384"/>
    <cellStyle name="Normal 237 7 3" xfId="20385"/>
    <cellStyle name="Normal 237 8" xfId="20386"/>
    <cellStyle name="Normal 238" xfId="20387"/>
    <cellStyle name="Normal 238 2" xfId="20388"/>
    <cellStyle name="Normal 238 2 2" xfId="20389"/>
    <cellStyle name="Normal 238 2 2 2" xfId="20390"/>
    <cellStyle name="Normal 238 2 2 2 2" xfId="20391"/>
    <cellStyle name="Normal 238 2 2 3" xfId="20392"/>
    <cellStyle name="Normal 238 2 2 3 2" xfId="20393"/>
    <cellStyle name="Normal 238 2 2 3 2 2" xfId="20394"/>
    <cellStyle name="Normal 238 2 2 3 3" xfId="20395"/>
    <cellStyle name="Normal 238 2 2 4" xfId="20396"/>
    <cellStyle name="Normal 238 2 2 4 2" xfId="20397"/>
    <cellStyle name="Normal 238 2 2 4 2 2" xfId="20398"/>
    <cellStyle name="Normal 238 2 2 4 3" xfId="20399"/>
    <cellStyle name="Normal 238 2 2 5" xfId="20400"/>
    <cellStyle name="Normal 238 2 3" xfId="20401"/>
    <cellStyle name="Normal 238 2 3 2" xfId="20402"/>
    <cellStyle name="Normal 238 2 3 2 2" xfId="20403"/>
    <cellStyle name="Normal 238 2 3 2 2 2" xfId="20404"/>
    <cellStyle name="Normal 238 2 3 2 3" xfId="20405"/>
    <cellStyle name="Normal 238 2 3 2 3 2" xfId="20406"/>
    <cellStyle name="Normal 238 2 3 2 3 2 2" xfId="20407"/>
    <cellStyle name="Normal 238 2 3 2 3 3" xfId="20408"/>
    <cellStyle name="Normal 238 2 3 2 4" xfId="20409"/>
    <cellStyle name="Normal 238 2 3 3" xfId="20410"/>
    <cellStyle name="Normal 238 2 3 3 2" xfId="20411"/>
    <cellStyle name="Normal 238 2 3 3 2 2" xfId="20412"/>
    <cellStyle name="Normal 238 2 3 3 3" xfId="20413"/>
    <cellStyle name="Normal 238 2 3 4" xfId="20414"/>
    <cellStyle name="Normal 238 2 3 4 2" xfId="20415"/>
    <cellStyle name="Normal 238 2 3 4 2 2" xfId="20416"/>
    <cellStyle name="Normal 238 2 3 4 3" xfId="20417"/>
    <cellStyle name="Normal 238 2 3 5" xfId="20418"/>
    <cellStyle name="Normal 238 2 3 5 2" xfId="20419"/>
    <cellStyle name="Normal 238 2 3 5 2 2" xfId="20420"/>
    <cellStyle name="Normal 238 2 3 5 3" xfId="20421"/>
    <cellStyle name="Normal 238 2 3 6" xfId="20422"/>
    <cellStyle name="Normal 238 2 4" xfId="20423"/>
    <cellStyle name="Normal 238 2 4 2" xfId="20424"/>
    <cellStyle name="Normal 238 2 4 2 2" xfId="20425"/>
    <cellStyle name="Normal 238 2 4 3" xfId="20426"/>
    <cellStyle name="Normal 238 2 5" xfId="20427"/>
    <cellStyle name="Normal 238 2 5 2" xfId="20428"/>
    <cellStyle name="Normal 238 2 5 2 2" xfId="20429"/>
    <cellStyle name="Normal 238 2 5 3" xfId="20430"/>
    <cellStyle name="Normal 238 2 6" xfId="20431"/>
    <cellStyle name="Normal 238 2 6 2" xfId="20432"/>
    <cellStyle name="Normal 238 2 6 2 2" xfId="20433"/>
    <cellStyle name="Normal 238 2 6 3" xfId="20434"/>
    <cellStyle name="Normal 238 2 7" xfId="20435"/>
    <cellStyle name="Normal 238 3" xfId="20436"/>
    <cellStyle name="Normal 238 3 2" xfId="20437"/>
    <cellStyle name="Normal 238 3 2 2" xfId="20438"/>
    <cellStyle name="Normal 238 3 3" xfId="20439"/>
    <cellStyle name="Normal 238 3 3 2" xfId="20440"/>
    <cellStyle name="Normal 238 3 3 2 2" xfId="20441"/>
    <cellStyle name="Normal 238 3 3 3" xfId="20442"/>
    <cellStyle name="Normal 238 3 4" xfId="20443"/>
    <cellStyle name="Normal 238 3 4 2" xfId="20444"/>
    <cellStyle name="Normal 238 3 4 2 2" xfId="20445"/>
    <cellStyle name="Normal 238 3 4 3" xfId="20446"/>
    <cellStyle name="Normal 238 3 5" xfId="20447"/>
    <cellStyle name="Normal 238 4" xfId="20448"/>
    <cellStyle name="Normal 238 4 2" xfId="20449"/>
    <cellStyle name="Normal 238 4 2 2" xfId="20450"/>
    <cellStyle name="Normal 238 4 2 2 2" xfId="20451"/>
    <cellStyle name="Normal 238 4 2 3" xfId="20452"/>
    <cellStyle name="Normal 238 4 2 3 2" xfId="20453"/>
    <cellStyle name="Normal 238 4 2 3 2 2" xfId="20454"/>
    <cellStyle name="Normal 238 4 2 3 3" xfId="20455"/>
    <cellStyle name="Normal 238 4 2 4" xfId="20456"/>
    <cellStyle name="Normal 238 4 3" xfId="20457"/>
    <cellStyle name="Normal 238 4 3 2" xfId="20458"/>
    <cellStyle name="Normal 238 4 3 2 2" xfId="20459"/>
    <cellStyle name="Normal 238 4 3 3" xfId="20460"/>
    <cellStyle name="Normal 238 4 4" xfId="20461"/>
    <cellStyle name="Normal 238 4 4 2" xfId="20462"/>
    <cellStyle name="Normal 238 4 4 2 2" xfId="20463"/>
    <cellStyle name="Normal 238 4 4 3" xfId="20464"/>
    <cellStyle name="Normal 238 4 5" xfId="20465"/>
    <cellStyle name="Normal 238 4 5 2" xfId="20466"/>
    <cellStyle name="Normal 238 4 5 2 2" xfId="20467"/>
    <cellStyle name="Normal 238 4 5 3" xfId="20468"/>
    <cellStyle name="Normal 238 4 6" xfId="20469"/>
    <cellStyle name="Normal 238 5" xfId="20470"/>
    <cellStyle name="Normal 238 5 2" xfId="20471"/>
    <cellStyle name="Normal 238 5 2 2" xfId="20472"/>
    <cellStyle name="Normal 238 5 3" xfId="20473"/>
    <cellStyle name="Normal 238 6" xfId="20474"/>
    <cellStyle name="Normal 238 6 2" xfId="20475"/>
    <cellStyle name="Normal 238 6 2 2" xfId="20476"/>
    <cellStyle name="Normal 238 6 3" xfId="20477"/>
    <cellStyle name="Normal 238 7" xfId="20478"/>
    <cellStyle name="Normal 238 7 2" xfId="20479"/>
    <cellStyle name="Normal 238 7 2 2" xfId="20480"/>
    <cellStyle name="Normal 238 7 3" xfId="20481"/>
    <cellStyle name="Normal 238 8" xfId="20482"/>
    <cellStyle name="Normal 239" xfId="20483"/>
    <cellStyle name="Normal 239 2" xfId="20484"/>
    <cellStyle name="Normal 239 2 2" xfId="20485"/>
    <cellStyle name="Normal 239 2 2 2" xfId="20486"/>
    <cellStyle name="Normal 239 2 2 2 2" xfId="20487"/>
    <cellStyle name="Normal 239 2 2 3" xfId="20488"/>
    <cellStyle name="Normal 239 2 2 3 2" xfId="20489"/>
    <cellStyle name="Normal 239 2 2 3 2 2" xfId="20490"/>
    <cellStyle name="Normal 239 2 2 3 3" xfId="20491"/>
    <cellStyle name="Normal 239 2 2 4" xfId="20492"/>
    <cellStyle name="Normal 239 2 2 4 2" xfId="20493"/>
    <cellStyle name="Normal 239 2 2 4 2 2" xfId="20494"/>
    <cellStyle name="Normal 239 2 2 4 3" xfId="20495"/>
    <cellStyle name="Normal 239 2 2 5" xfId="20496"/>
    <cellStyle name="Normal 239 2 3" xfId="20497"/>
    <cellStyle name="Normal 239 2 3 2" xfId="20498"/>
    <cellStyle name="Normal 239 2 3 2 2" xfId="20499"/>
    <cellStyle name="Normal 239 2 3 2 2 2" xfId="20500"/>
    <cellStyle name="Normal 239 2 3 2 3" xfId="20501"/>
    <cellStyle name="Normal 239 2 3 2 3 2" xfId="20502"/>
    <cellStyle name="Normal 239 2 3 2 3 2 2" xfId="20503"/>
    <cellStyle name="Normal 239 2 3 2 3 3" xfId="20504"/>
    <cellStyle name="Normal 239 2 3 2 4" xfId="20505"/>
    <cellStyle name="Normal 239 2 3 3" xfId="20506"/>
    <cellStyle name="Normal 239 2 3 3 2" xfId="20507"/>
    <cellStyle name="Normal 239 2 3 3 2 2" xfId="20508"/>
    <cellStyle name="Normal 239 2 3 3 3" xfId="20509"/>
    <cellStyle name="Normal 239 2 3 4" xfId="20510"/>
    <cellStyle name="Normal 239 2 3 4 2" xfId="20511"/>
    <cellStyle name="Normal 239 2 3 4 2 2" xfId="20512"/>
    <cellStyle name="Normal 239 2 3 4 3" xfId="20513"/>
    <cellStyle name="Normal 239 2 3 5" xfId="20514"/>
    <cellStyle name="Normal 239 2 3 5 2" xfId="20515"/>
    <cellStyle name="Normal 239 2 3 5 2 2" xfId="20516"/>
    <cellStyle name="Normal 239 2 3 5 3" xfId="20517"/>
    <cellStyle name="Normal 239 2 3 6" xfId="20518"/>
    <cellStyle name="Normal 239 2 4" xfId="20519"/>
    <cellStyle name="Normal 239 2 4 2" xfId="20520"/>
    <cellStyle name="Normal 239 2 4 2 2" xfId="20521"/>
    <cellStyle name="Normal 239 2 4 3" xfId="20522"/>
    <cellStyle name="Normal 239 2 5" xfId="20523"/>
    <cellStyle name="Normal 239 2 5 2" xfId="20524"/>
    <cellStyle name="Normal 239 2 5 2 2" xfId="20525"/>
    <cellStyle name="Normal 239 2 5 3" xfId="20526"/>
    <cellStyle name="Normal 239 2 6" xfId="20527"/>
    <cellStyle name="Normal 239 2 6 2" xfId="20528"/>
    <cellStyle name="Normal 239 2 6 2 2" xfId="20529"/>
    <cellStyle name="Normal 239 2 6 3" xfId="20530"/>
    <cellStyle name="Normal 239 2 7" xfId="20531"/>
    <cellStyle name="Normal 239 3" xfId="20532"/>
    <cellStyle name="Normal 239 3 2" xfId="20533"/>
    <cellStyle name="Normal 239 3 2 2" xfId="20534"/>
    <cellStyle name="Normal 239 3 3" xfId="20535"/>
    <cellStyle name="Normal 239 3 3 2" xfId="20536"/>
    <cellStyle name="Normal 239 3 3 2 2" xfId="20537"/>
    <cellStyle name="Normal 239 3 3 3" xfId="20538"/>
    <cellStyle name="Normal 239 3 4" xfId="20539"/>
    <cellStyle name="Normal 239 3 4 2" xfId="20540"/>
    <cellStyle name="Normal 239 3 4 2 2" xfId="20541"/>
    <cellStyle name="Normal 239 3 4 3" xfId="20542"/>
    <cellStyle name="Normal 239 3 5" xfId="20543"/>
    <cellStyle name="Normal 239 4" xfId="20544"/>
    <cellStyle name="Normal 239 4 2" xfId="20545"/>
    <cellStyle name="Normal 239 4 2 2" xfId="20546"/>
    <cellStyle name="Normal 239 4 2 2 2" xfId="20547"/>
    <cellStyle name="Normal 239 4 2 3" xfId="20548"/>
    <cellStyle name="Normal 239 4 2 3 2" xfId="20549"/>
    <cellStyle name="Normal 239 4 2 3 2 2" xfId="20550"/>
    <cellStyle name="Normal 239 4 2 3 3" xfId="20551"/>
    <cellStyle name="Normal 239 4 2 4" xfId="20552"/>
    <cellStyle name="Normal 239 4 3" xfId="20553"/>
    <cellStyle name="Normal 239 4 3 2" xfId="20554"/>
    <cellStyle name="Normal 239 4 3 2 2" xfId="20555"/>
    <cellStyle name="Normal 239 4 3 3" xfId="20556"/>
    <cellStyle name="Normal 239 4 4" xfId="20557"/>
    <cellStyle name="Normal 239 4 4 2" xfId="20558"/>
    <cellStyle name="Normal 239 4 4 2 2" xfId="20559"/>
    <cellStyle name="Normal 239 4 4 3" xfId="20560"/>
    <cellStyle name="Normal 239 4 5" xfId="20561"/>
    <cellStyle name="Normal 239 4 5 2" xfId="20562"/>
    <cellStyle name="Normal 239 4 5 2 2" xfId="20563"/>
    <cellStyle name="Normal 239 4 5 3" xfId="20564"/>
    <cellStyle name="Normal 239 4 6" xfId="20565"/>
    <cellStyle name="Normal 239 5" xfId="20566"/>
    <cellStyle name="Normal 239 5 2" xfId="20567"/>
    <cellStyle name="Normal 239 5 2 2" xfId="20568"/>
    <cellStyle name="Normal 239 5 3" xfId="20569"/>
    <cellStyle name="Normal 239 6" xfId="20570"/>
    <cellStyle name="Normal 239 6 2" xfId="20571"/>
    <cellStyle name="Normal 239 6 2 2" xfId="20572"/>
    <cellStyle name="Normal 239 6 3" xfId="20573"/>
    <cellStyle name="Normal 239 7" xfId="20574"/>
    <cellStyle name="Normal 239 7 2" xfId="20575"/>
    <cellStyle name="Normal 239 7 2 2" xfId="20576"/>
    <cellStyle name="Normal 239 7 3" xfId="20577"/>
    <cellStyle name="Normal 239 8" xfId="20578"/>
    <cellStyle name="Normal 24" xfId="20579"/>
    <cellStyle name="Normal 24 2" xfId="20580"/>
    <cellStyle name="Normal 24 2 2" xfId="20581"/>
    <cellStyle name="Normal 24 2 2 2" xfId="20582"/>
    <cellStyle name="Normal 24 2 2 2 2" xfId="20583"/>
    <cellStyle name="Normal 24 2 2 3" xfId="20584"/>
    <cellStyle name="Normal 24 2 2 3 2" xfId="20585"/>
    <cellStyle name="Normal 24 2 2 3 2 2" xfId="20586"/>
    <cellStyle name="Normal 24 2 2 3 3" xfId="20587"/>
    <cellStyle name="Normal 24 2 2 4" xfId="20588"/>
    <cellStyle name="Normal 24 2 2 4 2" xfId="20589"/>
    <cellStyle name="Normal 24 2 2 4 2 2" xfId="20590"/>
    <cellStyle name="Normal 24 2 2 4 3" xfId="20591"/>
    <cellStyle name="Normal 24 2 2 5" xfId="20592"/>
    <cellStyle name="Normal 24 2 3" xfId="20593"/>
    <cellStyle name="Normal 24 2 3 2" xfId="20594"/>
    <cellStyle name="Normal 24 2 3 2 2" xfId="20595"/>
    <cellStyle name="Normal 24 2 3 3" xfId="20596"/>
    <cellStyle name="Normal 24 2 4" xfId="20597"/>
    <cellStyle name="Normal 24 2 4 2" xfId="20598"/>
    <cellStyle name="Normal 24 2 4 2 2" xfId="20599"/>
    <cellStyle name="Normal 24 2 4 3" xfId="20600"/>
    <cellStyle name="Normal 24 2 5" xfId="20601"/>
    <cellStyle name="Normal 24 2 5 2" xfId="20602"/>
    <cellStyle name="Normal 24 2 5 2 2" xfId="20603"/>
    <cellStyle name="Normal 24 2 5 3" xfId="20604"/>
    <cellStyle name="Normal 24 2 6" xfId="20605"/>
    <cellStyle name="Normal 24 3" xfId="20606"/>
    <cellStyle name="Normal 24 3 2" xfId="20607"/>
    <cellStyle name="Normal 24 3 2 2" xfId="20608"/>
    <cellStyle name="Normal 24 3 3" xfId="20609"/>
    <cellStyle name="Normal 24 3 3 2" xfId="20610"/>
    <cellStyle name="Normal 24 3 3 2 2" xfId="20611"/>
    <cellStyle name="Normal 24 3 3 3" xfId="20612"/>
    <cellStyle name="Normal 24 3 4" xfId="20613"/>
    <cellStyle name="Normal 24 3 4 2" xfId="20614"/>
    <cellStyle name="Normal 24 3 4 2 2" xfId="20615"/>
    <cellStyle name="Normal 24 3 4 3" xfId="20616"/>
    <cellStyle name="Normal 24 3 5" xfId="20617"/>
    <cellStyle name="Normal 24 4" xfId="20618"/>
    <cellStyle name="Normal 24 4 2" xfId="20619"/>
    <cellStyle name="Normal 24 4 2 2" xfId="20620"/>
    <cellStyle name="Normal 24 4 3" xfId="20621"/>
    <cellStyle name="Normal 24 4 3 2" xfId="20622"/>
    <cellStyle name="Normal 24 4 3 2 2" xfId="20623"/>
    <cellStyle name="Normal 24 4 3 3" xfId="20624"/>
    <cellStyle name="Normal 24 4 4" xfId="20625"/>
    <cellStyle name="Normal 24 4 4 2" xfId="20626"/>
    <cellStyle name="Normal 24 4 4 2 2" xfId="20627"/>
    <cellStyle name="Normal 24 4 4 3" xfId="20628"/>
    <cellStyle name="Normal 24 4 5" xfId="20629"/>
    <cellStyle name="Normal 24 5" xfId="20630"/>
    <cellStyle name="Normal 24 5 2" xfId="20631"/>
    <cellStyle name="Normal 24 5 2 2" xfId="20632"/>
    <cellStyle name="Normal 24 5 3" xfId="20633"/>
    <cellStyle name="Normal 24 6" xfId="20634"/>
    <cellStyle name="Normal 24 6 2" xfId="20635"/>
    <cellStyle name="Normal 24 6 2 2" xfId="20636"/>
    <cellStyle name="Normal 24 6 3" xfId="20637"/>
    <cellStyle name="Normal 24 7" xfId="20638"/>
    <cellStyle name="Normal 24 7 2" xfId="20639"/>
    <cellStyle name="Normal 24 7 2 2" xfId="20640"/>
    <cellStyle name="Normal 24 7 3" xfId="20641"/>
    <cellStyle name="Normal 24 8" xfId="20642"/>
    <cellStyle name="Normal 240" xfId="20643"/>
    <cellStyle name="Normal 240 2" xfId="20644"/>
    <cellStyle name="Normal 240 2 2" xfId="20645"/>
    <cellStyle name="Normal 240 2 2 2" xfId="20646"/>
    <cellStyle name="Normal 240 2 2 2 2" xfId="20647"/>
    <cellStyle name="Normal 240 2 2 3" xfId="20648"/>
    <cellStyle name="Normal 240 2 2 3 2" xfId="20649"/>
    <cellStyle name="Normal 240 2 2 3 2 2" xfId="20650"/>
    <cellStyle name="Normal 240 2 2 3 3" xfId="20651"/>
    <cellStyle name="Normal 240 2 2 4" xfId="20652"/>
    <cellStyle name="Normal 240 2 2 4 2" xfId="20653"/>
    <cellStyle name="Normal 240 2 2 4 2 2" xfId="20654"/>
    <cellStyle name="Normal 240 2 2 4 3" xfId="20655"/>
    <cellStyle name="Normal 240 2 2 5" xfId="20656"/>
    <cellStyle name="Normal 240 2 3" xfId="20657"/>
    <cellStyle name="Normal 240 2 3 2" xfId="20658"/>
    <cellStyle name="Normal 240 2 3 2 2" xfId="20659"/>
    <cellStyle name="Normal 240 2 3 2 2 2" xfId="20660"/>
    <cellStyle name="Normal 240 2 3 2 3" xfId="20661"/>
    <cellStyle name="Normal 240 2 3 2 3 2" xfId="20662"/>
    <cellStyle name="Normal 240 2 3 2 3 2 2" xfId="20663"/>
    <cellStyle name="Normal 240 2 3 2 3 3" xfId="20664"/>
    <cellStyle name="Normal 240 2 3 2 4" xfId="20665"/>
    <cellStyle name="Normal 240 2 3 3" xfId="20666"/>
    <cellStyle name="Normal 240 2 3 3 2" xfId="20667"/>
    <cellStyle name="Normal 240 2 3 3 2 2" xfId="20668"/>
    <cellStyle name="Normal 240 2 3 3 3" xfId="20669"/>
    <cellStyle name="Normal 240 2 3 4" xfId="20670"/>
    <cellStyle name="Normal 240 2 3 4 2" xfId="20671"/>
    <cellStyle name="Normal 240 2 3 4 2 2" xfId="20672"/>
    <cellStyle name="Normal 240 2 3 4 3" xfId="20673"/>
    <cellStyle name="Normal 240 2 3 5" xfId="20674"/>
    <cellStyle name="Normal 240 2 3 5 2" xfId="20675"/>
    <cellStyle name="Normal 240 2 3 5 2 2" xfId="20676"/>
    <cellStyle name="Normal 240 2 3 5 3" xfId="20677"/>
    <cellStyle name="Normal 240 2 3 6" xfId="20678"/>
    <cellStyle name="Normal 240 2 4" xfId="20679"/>
    <cellStyle name="Normal 240 2 4 2" xfId="20680"/>
    <cellStyle name="Normal 240 2 4 2 2" xfId="20681"/>
    <cellStyle name="Normal 240 2 4 3" xfId="20682"/>
    <cellStyle name="Normal 240 2 5" xfId="20683"/>
    <cellStyle name="Normal 240 2 5 2" xfId="20684"/>
    <cellStyle name="Normal 240 2 5 2 2" xfId="20685"/>
    <cellStyle name="Normal 240 2 5 3" xfId="20686"/>
    <cellStyle name="Normal 240 2 6" xfId="20687"/>
    <cellStyle name="Normal 240 2 6 2" xfId="20688"/>
    <cellStyle name="Normal 240 2 6 2 2" xfId="20689"/>
    <cellStyle name="Normal 240 2 6 3" xfId="20690"/>
    <cellStyle name="Normal 240 2 7" xfId="20691"/>
    <cellStyle name="Normal 240 3" xfId="20692"/>
    <cellStyle name="Normal 240 3 2" xfId="20693"/>
    <cellStyle name="Normal 240 3 2 2" xfId="20694"/>
    <cellStyle name="Normal 240 3 3" xfId="20695"/>
    <cellStyle name="Normal 240 3 3 2" xfId="20696"/>
    <cellStyle name="Normal 240 3 3 2 2" xfId="20697"/>
    <cellStyle name="Normal 240 3 3 3" xfId="20698"/>
    <cellStyle name="Normal 240 3 4" xfId="20699"/>
    <cellStyle name="Normal 240 3 4 2" xfId="20700"/>
    <cellStyle name="Normal 240 3 4 2 2" xfId="20701"/>
    <cellStyle name="Normal 240 3 4 3" xfId="20702"/>
    <cellStyle name="Normal 240 3 5" xfId="20703"/>
    <cellStyle name="Normal 240 4" xfId="20704"/>
    <cellStyle name="Normal 240 4 2" xfId="20705"/>
    <cellStyle name="Normal 240 4 2 2" xfId="20706"/>
    <cellStyle name="Normal 240 4 2 2 2" xfId="20707"/>
    <cellStyle name="Normal 240 4 2 3" xfId="20708"/>
    <cellStyle name="Normal 240 4 2 3 2" xfId="20709"/>
    <cellStyle name="Normal 240 4 2 3 2 2" xfId="20710"/>
    <cellStyle name="Normal 240 4 2 3 3" xfId="20711"/>
    <cellStyle name="Normal 240 4 2 4" xfId="20712"/>
    <cellStyle name="Normal 240 4 3" xfId="20713"/>
    <cellStyle name="Normal 240 4 3 2" xfId="20714"/>
    <cellStyle name="Normal 240 4 3 2 2" xfId="20715"/>
    <cellStyle name="Normal 240 4 3 3" xfId="20716"/>
    <cellStyle name="Normal 240 4 4" xfId="20717"/>
    <cellStyle name="Normal 240 4 4 2" xfId="20718"/>
    <cellStyle name="Normal 240 4 4 2 2" xfId="20719"/>
    <cellStyle name="Normal 240 4 4 3" xfId="20720"/>
    <cellStyle name="Normal 240 4 5" xfId="20721"/>
    <cellStyle name="Normal 240 4 5 2" xfId="20722"/>
    <cellStyle name="Normal 240 4 5 2 2" xfId="20723"/>
    <cellStyle name="Normal 240 4 5 3" xfId="20724"/>
    <cellStyle name="Normal 240 4 6" xfId="20725"/>
    <cellStyle name="Normal 240 5" xfId="20726"/>
    <cellStyle name="Normal 240 5 2" xfId="20727"/>
    <cellStyle name="Normal 240 5 2 2" xfId="20728"/>
    <cellStyle name="Normal 240 5 3" xfId="20729"/>
    <cellStyle name="Normal 240 6" xfId="20730"/>
    <cellStyle name="Normal 240 6 2" xfId="20731"/>
    <cellStyle name="Normal 240 6 2 2" xfId="20732"/>
    <cellStyle name="Normal 240 6 3" xfId="20733"/>
    <cellStyle name="Normal 240 7" xfId="20734"/>
    <cellStyle name="Normal 240 7 2" xfId="20735"/>
    <cellStyle name="Normal 240 7 2 2" xfId="20736"/>
    <cellStyle name="Normal 240 7 3" xfId="20737"/>
    <cellStyle name="Normal 240 8" xfId="20738"/>
    <cellStyle name="Normal 241" xfId="20739"/>
    <cellStyle name="Normal 241 2" xfId="20740"/>
    <cellStyle name="Normal 241 2 2" xfId="20741"/>
    <cellStyle name="Normal 241 2 2 2" xfId="20742"/>
    <cellStyle name="Normal 241 2 2 2 2" xfId="20743"/>
    <cellStyle name="Normal 241 2 2 3" xfId="20744"/>
    <cellStyle name="Normal 241 2 2 3 2" xfId="20745"/>
    <cellStyle name="Normal 241 2 2 3 2 2" xfId="20746"/>
    <cellStyle name="Normal 241 2 2 3 3" xfId="20747"/>
    <cellStyle name="Normal 241 2 2 4" xfId="20748"/>
    <cellStyle name="Normal 241 2 2 4 2" xfId="20749"/>
    <cellStyle name="Normal 241 2 2 4 2 2" xfId="20750"/>
    <cellStyle name="Normal 241 2 2 4 3" xfId="20751"/>
    <cellStyle name="Normal 241 2 2 5" xfId="20752"/>
    <cellStyle name="Normal 241 2 3" xfId="20753"/>
    <cellStyle name="Normal 241 2 3 2" xfId="20754"/>
    <cellStyle name="Normal 241 2 3 2 2" xfId="20755"/>
    <cellStyle name="Normal 241 2 3 2 2 2" xfId="20756"/>
    <cellStyle name="Normal 241 2 3 2 3" xfId="20757"/>
    <cellStyle name="Normal 241 2 3 2 3 2" xfId="20758"/>
    <cellStyle name="Normal 241 2 3 2 3 2 2" xfId="20759"/>
    <cellStyle name="Normal 241 2 3 2 3 3" xfId="20760"/>
    <cellStyle name="Normal 241 2 3 2 4" xfId="20761"/>
    <cellStyle name="Normal 241 2 3 3" xfId="20762"/>
    <cellStyle name="Normal 241 2 3 3 2" xfId="20763"/>
    <cellStyle name="Normal 241 2 3 3 2 2" xfId="20764"/>
    <cellStyle name="Normal 241 2 3 3 3" xfId="20765"/>
    <cellStyle name="Normal 241 2 3 4" xfId="20766"/>
    <cellStyle name="Normal 241 2 3 4 2" xfId="20767"/>
    <cellStyle name="Normal 241 2 3 4 2 2" xfId="20768"/>
    <cellStyle name="Normal 241 2 3 4 3" xfId="20769"/>
    <cellStyle name="Normal 241 2 3 5" xfId="20770"/>
    <cellStyle name="Normal 241 2 3 5 2" xfId="20771"/>
    <cellStyle name="Normal 241 2 3 5 2 2" xfId="20772"/>
    <cellStyle name="Normal 241 2 3 5 3" xfId="20773"/>
    <cellStyle name="Normal 241 2 3 6" xfId="20774"/>
    <cellStyle name="Normal 241 2 4" xfId="20775"/>
    <cellStyle name="Normal 241 2 4 2" xfId="20776"/>
    <cellStyle name="Normal 241 2 4 2 2" xfId="20777"/>
    <cellStyle name="Normal 241 2 4 3" xfId="20778"/>
    <cellStyle name="Normal 241 2 5" xfId="20779"/>
    <cellStyle name="Normal 241 2 5 2" xfId="20780"/>
    <cellStyle name="Normal 241 2 5 2 2" xfId="20781"/>
    <cellStyle name="Normal 241 2 5 3" xfId="20782"/>
    <cellStyle name="Normal 241 2 6" xfId="20783"/>
    <cellStyle name="Normal 241 2 6 2" xfId="20784"/>
    <cellStyle name="Normal 241 2 6 2 2" xfId="20785"/>
    <cellStyle name="Normal 241 2 6 3" xfId="20786"/>
    <cellStyle name="Normal 241 2 7" xfId="20787"/>
    <cellStyle name="Normal 241 3" xfId="20788"/>
    <cellStyle name="Normal 241 3 2" xfId="20789"/>
    <cellStyle name="Normal 241 3 2 2" xfId="20790"/>
    <cellStyle name="Normal 241 3 3" xfId="20791"/>
    <cellStyle name="Normal 241 3 3 2" xfId="20792"/>
    <cellStyle name="Normal 241 3 3 2 2" xfId="20793"/>
    <cellStyle name="Normal 241 3 3 3" xfId="20794"/>
    <cellStyle name="Normal 241 3 4" xfId="20795"/>
    <cellStyle name="Normal 241 3 4 2" xfId="20796"/>
    <cellStyle name="Normal 241 3 4 2 2" xfId="20797"/>
    <cellStyle name="Normal 241 3 4 3" xfId="20798"/>
    <cellStyle name="Normal 241 3 5" xfId="20799"/>
    <cellStyle name="Normal 241 4" xfId="20800"/>
    <cellStyle name="Normal 241 4 2" xfId="20801"/>
    <cellStyle name="Normal 241 4 2 2" xfId="20802"/>
    <cellStyle name="Normal 241 4 2 2 2" xfId="20803"/>
    <cellStyle name="Normal 241 4 2 3" xfId="20804"/>
    <cellStyle name="Normal 241 4 2 3 2" xfId="20805"/>
    <cellStyle name="Normal 241 4 2 3 2 2" xfId="20806"/>
    <cellStyle name="Normal 241 4 2 3 3" xfId="20807"/>
    <cellStyle name="Normal 241 4 2 4" xfId="20808"/>
    <cellStyle name="Normal 241 4 3" xfId="20809"/>
    <cellStyle name="Normal 241 4 3 2" xfId="20810"/>
    <cellStyle name="Normal 241 4 3 2 2" xfId="20811"/>
    <cellStyle name="Normal 241 4 3 3" xfId="20812"/>
    <cellStyle name="Normal 241 4 4" xfId="20813"/>
    <cellStyle name="Normal 241 4 4 2" xfId="20814"/>
    <cellStyle name="Normal 241 4 4 2 2" xfId="20815"/>
    <cellStyle name="Normal 241 4 4 3" xfId="20816"/>
    <cellStyle name="Normal 241 4 5" xfId="20817"/>
    <cellStyle name="Normal 241 4 5 2" xfId="20818"/>
    <cellStyle name="Normal 241 4 5 2 2" xfId="20819"/>
    <cellStyle name="Normal 241 4 5 3" xfId="20820"/>
    <cellStyle name="Normal 241 4 6" xfId="20821"/>
    <cellStyle name="Normal 241 5" xfId="20822"/>
    <cellStyle name="Normal 241 5 2" xfId="20823"/>
    <cellStyle name="Normal 241 5 2 2" xfId="20824"/>
    <cellStyle name="Normal 241 5 3" xfId="20825"/>
    <cellStyle name="Normal 241 6" xfId="20826"/>
    <cellStyle name="Normal 241 6 2" xfId="20827"/>
    <cellStyle name="Normal 241 6 2 2" xfId="20828"/>
    <cellStyle name="Normal 241 6 3" xfId="20829"/>
    <cellStyle name="Normal 241 7" xfId="20830"/>
    <cellStyle name="Normal 241 7 2" xfId="20831"/>
    <cellStyle name="Normal 241 7 2 2" xfId="20832"/>
    <cellStyle name="Normal 241 7 3" xfId="20833"/>
    <cellStyle name="Normal 241 8" xfId="20834"/>
    <cellStyle name="Normal 242" xfId="20835"/>
    <cellStyle name="Normal 242 2" xfId="20836"/>
    <cellStyle name="Normal 242 2 2" xfId="20837"/>
    <cellStyle name="Normal 242 2 2 2" xfId="20838"/>
    <cellStyle name="Normal 242 2 2 2 2" xfId="20839"/>
    <cellStyle name="Normal 242 2 2 3" xfId="20840"/>
    <cellStyle name="Normal 242 2 2 3 2" xfId="20841"/>
    <cellStyle name="Normal 242 2 2 3 2 2" xfId="20842"/>
    <cellStyle name="Normal 242 2 2 3 3" xfId="20843"/>
    <cellStyle name="Normal 242 2 2 4" xfId="20844"/>
    <cellStyle name="Normal 242 2 2 4 2" xfId="20845"/>
    <cellStyle name="Normal 242 2 2 4 2 2" xfId="20846"/>
    <cellStyle name="Normal 242 2 2 4 3" xfId="20847"/>
    <cellStyle name="Normal 242 2 2 5" xfId="20848"/>
    <cellStyle name="Normal 242 2 3" xfId="20849"/>
    <cellStyle name="Normal 242 2 3 2" xfId="20850"/>
    <cellStyle name="Normal 242 2 3 2 2" xfId="20851"/>
    <cellStyle name="Normal 242 2 3 2 2 2" xfId="20852"/>
    <cellStyle name="Normal 242 2 3 2 3" xfId="20853"/>
    <cellStyle name="Normal 242 2 3 2 3 2" xfId="20854"/>
    <cellStyle name="Normal 242 2 3 2 3 2 2" xfId="20855"/>
    <cellStyle name="Normal 242 2 3 2 3 3" xfId="20856"/>
    <cellStyle name="Normal 242 2 3 2 4" xfId="20857"/>
    <cellStyle name="Normal 242 2 3 3" xfId="20858"/>
    <cellStyle name="Normal 242 2 3 3 2" xfId="20859"/>
    <cellStyle name="Normal 242 2 3 3 2 2" xfId="20860"/>
    <cellStyle name="Normal 242 2 3 3 3" xfId="20861"/>
    <cellStyle name="Normal 242 2 3 4" xfId="20862"/>
    <cellStyle name="Normal 242 2 3 4 2" xfId="20863"/>
    <cellStyle name="Normal 242 2 3 4 2 2" xfId="20864"/>
    <cellStyle name="Normal 242 2 3 4 3" xfId="20865"/>
    <cellStyle name="Normal 242 2 3 5" xfId="20866"/>
    <cellStyle name="Normal 242 2 3 5 2" xfId="20867"/>
    <cellStyle name="Normal 242 2 3 5 2 2" xfId="20868"/>
    <cellStyle name="Normal 242 2 3 5 3" xfId="20869"/>
    <cellStyle name="Normal 242 2 3 6" xfId="20870"/>
    <cellStyle name="Normal 242 2 4" xfId="20871"/>
    <cellStyle name="Normal 242 2 4 2" xfId="20872"/>
    <cellStyle name="Normal 242 2 4 2 2" xfId="20873"/>
    <cellStyle name="Normal 242 2 4 3" xfId="20874"/>
    <cellStyle name="Normal 242 2 5" xfId="20875"/>
    <cellStyle name="Normal 242 2 5 2" xfId="20876"/>
    <cellStyle name="Normal 242 2 5 2 2" xfId="20877"/>
    <cellStyle name="Normal 242 2 5 3" xfId="20878"/>
    <cellStyle name="Normal 242 2 6" xfId="20879"/>
    <cellStyle name="Normal 242 2 6 2" xfId="20880"/>
    <cellStyle name="Normal 242 2 6 2 2" xfId="20881"/>
    <cellStyle name="Normal 242 2 6 3" xfId="20882"/>
    <cellStyle name="Normal 242 2 7" xfId="20883"/>
    <cellStyle name="Normal 242 3" xfId="20884"/>
    <cellStyle name="Normal 242 3 2" xfId="20885"/>
    <cellStyle name="Normal 242 3 2 2" xfId="20886"/>
    <cellStyle name="Normal 242 3 3" xfId="20887"/>
    <cellStyle name="Normal 242 3 3 2" xfId="20888"/>
    <cellStyle name="Normal 242 3 3 2 2" xfId="20889"/>
    <cellStyle name="Normal 242 3 3 3" xfId="20890"/>
    <cellStyle name="Normal 242 3 4" xfId="20891"/>
    <cellStyle name="Normal 242 3 4 2" xfId="20892"/>
    <cellStyle name="Normal 242 3 4 2 2" xfId="20893"/>
    <cellStyle name="Normal 242 3 4 3" xfId="20894"/>
    <cellStyle name="Normal 242 3 5" xfId="20895"/>
    <cellStyle name="Normal 242 4" xfId="20896"/>
    <cellStyle name="Normal 242 4 2" xfId="20897"/>
    <cellStyle name="Normal 242 4 2 2" xfId="20898"/>
    <cellStyle name="Normal 242 4 2 2 2" xfId="20899"/>
    <cellStyle name="Normal 242 4 2 3" xfId="20900"/>
    <cellStyle name="Normal 242 4 2 3 2" xfId="20901"/>
    <cellStyle name="Normal 242 4 2 3 2 2" xfId="20902"/>
    <cellStyle name="Normal 242 4 2 3 3" xfId="20903"/>
    <cellStyle name="Normal 242 4 2 4" xfId="20904"/>
    <cellStyle name="Normal 242 4 3" xfId="20905"/>
    <cellStyle name="Normal 242 4 3 2" xfId="20906"/>
    <cellStyle name="Normal 242 4 3 2 2" xfId="20907"/>
    <cellStyle name="Normal 242 4 3 3" xfId="20908"/>
    <cellStyle name="Normal 242 4 4" xfId="20909"/>
    <cellStyle name="Normal 242 4 4 2" xfId="20910"/>
    <cellStyle name="Normal 242 4 4 2 2" xfId="20911"/>
    <cellStyle name="Normal 242 4 4 3" xfId="20912"/>
    <cellStyle name="Normal 242 4 5" xfId="20913"/>
    <cellStyle name="Normal 242 4 5 2" xfId="20914"/>
    <cellStyle name="Normal 242 4 5 2 2" xfId="20915"/>
    <cellStyle name="Normal 242 4 5 3" xfId="20916"/>
    <cellStyle name="Normal 242 4 6" xfId="20917"/>
    <cellStyle name="Normal 242 5" xfId="20918"/>
    <cellStyle name="Normal 242 5 2" xfId="20919"/>
    <cellStyle name="Normal 242 5 2 2" xfId="20920"/>
    <cellStyle name="Normal 242 5 3" xfId="20921"/>
    <cellStyle name="Normal 242 6" xfId="20922"/>
    <cellStyle name="Normal 242 6 2" xfId="20923"/>
    <cellStyle name="Normal 242 6 2 2" xfId="20924"/>
    <cellStyle name="Normal 242 6 3" xfId="20925"/>
    <cellStyle name="Normal 242 7" xfId="20926"/>
    <cellStyle name="Normal 242 7 2" xfId="20927"/>
    <cellStyle name="Normal 242 7 2 2" xfId="20928"/>
    <cellStyle name="Normal 242 7 3" xfId="20929"/>
    <cellStyle name="Normal 242 8" xfId="20930"/>
    <cellStyle name="Normal 243" xfId="20931"/>
    <cellStyle name="Normal 243 2" xfId="20932"/>
    <cellStyle name="Normal 243 2 2" xfId="20933"/>
    <cellStyle name="Normal 243 2 2 2" xfId="20934"/>
    <cellStyle name="Normal 243 2 2 2 2" xfId="20935"/>
    <cellStyle name="Normal 243 2 2 3" xfId="20936"/>
    <cellStyle name="Normal 243 2 2 3 2" xfId="20937"/>
    <cellStyle name="Normal 243 2 2 3 2 2" xfId="20938"/>
    <cellStyle name="Normal 243 2 2 3 3" xfId="20939"/>
    <cellStyle name="Normal 243 2 2 4" xfId="20940"/>
    <cellStyle name="Normal 243 2 2 4 2" xfId="20941"/>
    <cellStyle name="Normal 243 2 2 4 2 2" xfId="20942"/>
    <cellStyle name="Normal 243 2 2 4 3" xfId="20943"/>
    <cellStyle name="Normal 243 2 2 5" xfId="20944"/>
    <cellStyle name="Normal 243 2 3" xfId="20945"/>
    <cellStyle name="Normal 243 2 3 2" xfId="20946"/>
    <cellStyle name="Normal 243 2 3 2 2" xfId="20947"/>
    <cellStyle name="Normal 243 2 3 2 2 2" xfId="20948"/>
    <cellStyle name="Normal 243 2 3 2 3" xfId="20949"/>
    <cellStyle name="Normal 243 2 3 2 3 2" xfId="20950"/>
    <cellStyle name="Normal 243 2 3 2 3 2 2" xfId="20951"/>
    <cellStyle name="Normal 243 2 3 2 3 3" xfId="20952"/>
    <cellStyle name="Normal 243 2 3 2 4" xfId="20953"/>
    <cellStyle name="Normal 243 2 3 3" xfId="20954"/>
    <cellStyle name="Normal 243 2 3 3 2" xfId="20955"/>
    <cellStyle name="Normal 243 2 3 3 2 2" xfId="20956"/>
    <cellStyle name="Normal 243 2 3 3 3" xfId="20957"/>
    <cellStyle name="Normal 243 2 3 4" xfId="20958"/>
    <cellStyle name="Normal 243 2 3 4 2" xfId="20959"/>
    <cellStyle name="Normal 243 2 3 4 2 2" xfId="20960"/>
    <cellStyle name="Normal 243 2 3 4 3" xfId="20961"/>
    <cellStyle name="Normal 243 2 3 5" xfId="20962"/>
    <cellStyle name="Normal 243 2 3 5 2" xfId="20963"/>
    <cellStyle name="Normal 243 2 3 5 2 2" xfId="20964"/>
    <cellStyle name="Normal 243 2 3 5 3" xfId="20965"/>
    <cellStyle name="Normal 243 2 3 6" xfId="20966"/>
    <cellStyle name="Normal 243 2 4" xfId="20967"/>
    <cellStyle name="Normal 243 2 4 2" xfId="20968"/>
    <cellStyle name="Normal 243 2 4 2 2" xfId="20969"/>
    <cellStyle name="Normal 243 2 4 3" xfId="20970"/>
    <cellStyle name="Normal 243 2 5" xfId="20971"/>
    <cellStyle name="Normal 243 2 5 2" xfId="20972"/>
    <cellStyle name="Normal 243 2 5 2 2" xfId="20973"/>
    <cellStyle name="Normal 243 2 5 3" xfId="20974"/>
    <cellStyle name="Normal 243 2 6" xfId="20975"/>
    <cellStyle name="Normal 243 2 6 2" xfId="20976"/>
    <cellStyle name="Normal 243 2 6 2 2" xfId="20977"/>
    <cellStyle name="Normal 243 2 6 3" xfId="20978"/>
    <cellStyle name="Normal 243 2 7" xfId="20979"/>
    <cellStyle name="Normal 243 3" xfId="20980"/>
    <cellStyle name="Normal 243 3 2" xfId="20981"/>
    <cellStyle name="Normal 243 3 2 2" xfId="20982"/>
    <cellStyle name="Normal 243 3 3" xfId="20983"/>
    <cellStyle name="Normal 243 3 3 2" xfId="20984"/>
    <cellStyle name="Normal 243 3 3 2 2" xfId="20985"/>
    <cellStyle name="Normal 243 3 3 3" xfId="20986"/>
    <cellStyle name="Normal 243 3 4" xfId="20987"/>
    <cellStyle name="Normal 243 3 4 2" xfId="20988"/>
    <cellStyle name="Normal 243 3 4 2 2" xfId="20989"/>
    <cellStyle name="Normal 243 3 4 3" xfId="20990"/>
    <cellStyle name="Normal 243 3 5" xfId="20991"/>
    <cellStyle name="Normal 243 4" xfId="20992"/>
    <cellStyle name="Normal 243 4 2" xfId="20993"/>
    <cellStyle name="Normal 243 4 2 2" xfId="20994"/>
    <cellStyle name="Normal 243 4 2 2 2" xfId="20995"/>
    <cellStyle name="Normal 243 4 2 3" xfId="20996"/>
    <cellStyle name="Normal 243 4 2 3 2" xfId="20997"/>
    <cellStyle name="Normal 243 4 2 3 2 2" xfId="20998"/>
    <cellStyle name="Normal 243 4 2 3 3" xfId="20999"/>
    <cellStyle name="Normal 243 4 2 4" xfId="21000"/>
    <cellStyle name="Normal 243 4 3" xfId="21001"/>
    <cellStyle name="Normal 243 4 3 2" xfId="21002"/>
    <cellStyle name="Normal 243 4 3 2 2" xfId="21003"/>
    <cellStyle name="Normal 243 4 3 3" xfId="21004"/>
    <cellStyle name="Normal 243 4 4" xfId="21005"/>
    <cellStyle name="Normal 243 4 4 2" xfId="21006"/>
    <cellStyle name="Normal 243 4 4 2 2" xfId="21007"/>
    <cellStyle name="Normal 243 4 4 3" xfId="21008"/>
    <cellStyle name="Normal 243 4 5" xfId="21009"/>
    <cellStyle name="Normal 243 4 5 2" xfId="21010"/>
    <cellStyle name="Normal 243 4 5 2 2" xfId="21011"/>
    <cellStyle name="Normal 243 4 5 3" xfId="21012"/>
    <cellStyle name="Normal 243 4 6" xfId="21013"/>
    <cellStyle name="Normal 243 5" xfId="21014"/>
    <cellStyle name="Normal 243 5 2" xfId="21015"/>
    <cellStyle name="Normal 243 5 2 2" xfId="21016"/>
    <cellStyle name="Normal 243 5 3" xfId="21017"/>
    <cellStyle name="Normal 243 6" xfId="21018"/>
    <cellStyle name="Normal 243 6 2" xfId="21019"/>
    <cellStyle name="Normal 243 6 2 2" xfId="21020"/>
    <cellStyle name="Normal 243 6 3" xfId="21021"/>
    <cellStyle name="Normal 243 7" xfId="21022"/>
    <cellStyle name="Normal 243 7 2" xfId="21023"/>
    <cellStyle name="Normal 243 7 2 2" xfId="21024"/>
    <cellStyle name="Normal 243 7 3" xfId="21025"/>
    <cellStyle name="Normal 243 8" xfId="21026"/>
    <cellStyle name="Normal 244" xfId="21027"/>
    <cellStyle name="Normal 244 2" xfId="21028"/>
    <cellStyle name="Normal 244 2 2" xfId="21029"/>
    <cellStyle name="Normal 244 2 2 2" xfId="21030"/>
    <cellStyle name="Normal 244 2 2 2 2" xfId="21031"/>
    <cellStyle name="Normal 244 2 2 3" xfId="21032"/>
    <cellStyle name="Normal 244 2 2 3 2" xfId="21033"/>
    <cellStyle name="Normal 244 2 2 3 2 2" xfId="21034"/>
    <cellStyle name="Normal 244 2 2 3 3" xfId="21035"/>
    <cellStyle name="Normal 244 2 2 4" xfId="21036"/>
    <cellStyle name="Normal 244 2 2 4 2" xfId="21037"/>
    <cellStyle name="Normal 244 2 2 4 2 2" xfId="21038"/>
    <cellStyle name="Normal 244 2 2 4 3" xfId="21039"/>
    <cellStyle name="Normal 244 2 2 5" xfId="21040"/>
    <cellStyle name="Normal 244 2 3" xfId="21041"/>
    <cellStyle name="Normal 244 2 3 2" xfId="21042"/>
    <cellStyle name="Normal 244 2 3 2 2" xfId="21043"/>
    <cellStyle name="Normal 244 2 3 2 2 2" xfId="21044"/>
    <cellStyle name="Normal 244 2 3 2 3" xfId="21045"/>
    <cellStyle name="Normal 244 2 3 2 3 2" xfId="21046"/>
    <cellStyle name="Normal 244 2 3 2 3 2 2" xfId="21047"/>
    <cellStyle name="Normal 244 2 3 2 3 3" xfId="21048"/>
    <cellStyle name="Normal 244 2 3 2 4" xfId="21049"/>
    <cellStyle name="Normal 244 2 3 3" xfId="21050"/>
    <cellStyle name="Normal 244 2 3 3 2" xfId="21051"/>
    <cellStyle name="Normal 244 2 3 3 2 2" xfId="21052"/>
    <cellStyle name="Normal 244 2 3 3 3" xfId="21053"/>
    <cellStyle name="Normal 244 2 3 4" xfId="21054"/>
    <cellStyle name="Normal 244 2 3 4 2" xfId="21055"/>
    <cellStyle name="Normal 244 2 3 4 2 2" xfId="21056"/>
    <cellStyle name="Normal 244 2 3 4 3" xfId="21057"/>
    <cellStyle name="Normal 244 2 3 5" xfId="21058"/>
    <cellStyle name="Normal 244 2 3 5 2" xfId="21059"/>
    <cellStyle name="Normal 244 2 3 5 2 2" xfId="21060"/>
    <cellStyle name="Normal 244 2 3 5 3" xfId="21061"/>
    <cellStyle name="Normal 244 2 3 6" xfId="21062"/>
    <cellStyle name="Normal 244 2 4" xfId="21063"/>
    <cellStyle name="Normal 244 2 4 2" xfId="21064"/>
    <cellStyle name="Normal 244 2 4 2 2" xfId="21065"/>
    <cellStyle name="Normal 244 2 4 3" xfId="21066"/>
    <cellStyle name="Normal 244 2 5" xfId="21067"/>
    <cellStyle name="Normal 244 2 5 2" xfId="21068"/>
    <cellStyle name="Normal 244 2 5 2 2" xfId="21069"/>
    <cellStyle name="Normal 244 2 5 3" xfId="21070"/>
    <cellStyle name="Normal 244 2 6" xfId="21071"/>
    <cellStyle name="Normal 244 2 6 2" xfId="21072"/>
    <cellStyle name="Normal 244 2 6 2 2" xfId="21073"/>
    <cellStyle name="Normal 244 2 6 3" xfId="21074"/>
    <cellStyle name="Normal 244 2 7" xfId="21075"/>
    <cellStyle name="Normal 244 3" xfId="21076"/>
    <cellStyle name="Normal 244 3 2" xfId="21077"/>
    <cellStyle name="Normal 244 3 2 2" xfId="21078"/>
    <cellStyle name="Normal 244 3 3" xfId="21079"/>
    <cellStyle name="Normal 244 3 3 2" xfId="21080"/>
    <cellStyle name="Normal 244 3 3 2 2" xfId="21081"/>
    <cellStyle name="Normal 244 3 3 3" xfId="21082"/>
    <cellStyle name="Normal 244 3 4" xfId="21083"/>
    <cellStyle name="Normal 244 3 4 2" xfId="21084"/>
    <cellStyle name="Normal 244 3 4 2 2" xfId="21085"/>
    <cellStyle name="Normal 244 3 4 3" xfId="21086"/>
    <cellStyle name="Normal 244 3 5" xfId="21087"/>
    <cellStyle name="Normal 244 4" xfId="21088"/>
    <cellStyle name="Normal 244 4 2" xfId="21089"/>
    <cellStyle name="Normal 244 4 2 2" xfId="21090"/>
    <cellStyle name="Normal 244 4 2 2 2" xfId="21091"/>
    <cellStyle name="Normal 244 4 2 3" xfId="21092"/>
    <cellStyle name="Normal 244 4 2 3 2" xfId="21093"/>
    <cellStyle name="Normal 244 4 2 3 2 2" xfId="21094"/>
    <cellStyle name="Normal 244 4 2 3 3" xfId="21095"/>
    <cellStyle name="Normal 244 4 2 4" xfId="21096"/>
    <cellStyle name="Normal 244 4 3" xfId="21097"/>
    <cellStyle name="Normal 244 4 3 2" xfId="21098"/>
    <cellStyle name="Normal 244 4 3 2 2" xfId="21099"/>
    <cellStyle name="Normal 244 4 3 3" xfId="21100"/>
    <cellStyle name="Normal 244 4 4" xfId="21101"/>
    <cellStyle name="Normal 244 4 4 2" xfId="21102"/>
    <cellStyle name="Normal 244 4 4 2 2" xfId="21103"/>
    <cellStyle name="Normal 244 4 4 3" xfId="21104"/>
    <cellStyle name="Normal 244 4 5" xfId="21105"/>
    <cellStyle name="Normal 244 4 5 2" xfId="21106"/>
    <cellStyle name="Normal 244 4 5 2 2" xfId="21107"/>
    <cellStyle name="Normal 244 4 5 3" xfId="21108"/>
    <cellStyle name="Normal 244 4 6" xfId="21109"/>
    <cellStyle name="Normal 244 5" xfId="21110"/>
    <cellStyle name="Normal 244 5 2" xfId="21111"/>
    <cellStyle name="Normal 244 5 2 2" xfId="21112"/>
    <cellStyle name="Normal 244 5 3" xfId="21113"/>
    <cellStyle name="Normal 244 6" xfId="21114"/>
    <cellStyle name="Normal 244 6 2" xfId="21115"/>
    <cellStyle name="Normal 244 6 2 2" xfId="21116"/>
    <cellStyle name="Normal 244 6 3" xfId="21117"/>
    <cellStyle name="Normal 244 7" xfId="21118"/>
    <cellStyle name="Normal 244 7 2" xfId="21119"/>
    <cellStyle name="Normal 244 7 2 2" xfId="21120"/>
    <cellStyle name="Normal 244 7 3" xfId="21121"/>
    <cellStyle name="Normal 244 8" xfId="21122"/>
    <cellStyle name="Normal 245" xfId="21123"/>
    <cellStyle name="Normal 245 2" xfId="21124"/>
    <cellStyle name="Normal 245 2 2" xfId="21125"/>
    <cellStyle name="Normal 245 2 2 2" xfId="21126"/>
    <cellStyle name="Normal 245 2 2 2 2" xfId="21127"/>
    <cellStyle name="Normal 245 2 2 3" xfId="21128"/>
    <cellStyle name="Normal 245 2 2 3 2" xfId="21129"/>
    <cellStyle name="Normal 245 2 2 3 2 2" xfId="21130"/>
    <cellStyle name="Normal 245 2 2 3 3" xfId="21131"/>
    <cellStyle name="Normal 245 2 2 4" xfId="21132"/>
    <cellStyle name="Normal 245 2 2 4 2" xfId="21133"/>
    <cellStyle name="Normal 245 2 2 4 2 2" xfId="21134"/>
    <cellStyle name="Normal 245 2 2 4 3" xfId="21135"/>
    <cellStyle name="Normal 245 2 2 5" xfId="21136"/>
    <cellStyle name="Normal 245 2 3" xfId="21137"/>
    <cellStyle name="Normal 245 2 3 2" xfId="21138"/>
    <cellStyle name="Normal 245 2 3 2 2" xfId="21139"/>
    <cellStyle name="Normal 245 2 3 2 2 2" xfId="21140"/>
    <cellStyle name="Normal 245 2 3 2 3" xfId="21141"/>
    <cellStyle name="Normal 245 2 3 2 3 2" xfId="21142"/>
    <cellStyle name="Normal 245 2 3 2 3 2 2" xfId="21143"/>
    <cellStyle name="Normal 245 2 3 2 3 3" xfId="21144"/>
    <cellStyle name="Normal 245 2 3 2 4" xfId="21145"/>
    <cellStyle name="Normal 245 2 3 3" xfId="21146"/>
    <cellStyle name="Normal 245 2 3 3 2" xfId="21147"/>
    <cellStyle name="Normal 245 2 3 3 2 2" xfId="21148"/>
    <cellStyle name="Normal 245 2 3 3 3" xfId="21149"/>
    <cellStyle name="Normal 245 2 3 4" xfId="21150"/>
    <cellStyle name="Normal 245 2 3 4 2" xfId="21151"/>
    <cellStyle name="Normal 245 2 3 4 2 2" xfId="21152"/>
    <cellStyle name="Normal 245 2 3 4 3" xfId="21153"/>
    <cellStyle name="Normal 245 2 3 5" xfId="21154"/>
    <cellStyle name="Normal 245 2 3 5 2" xfId="21155"/>
    <cellStyle name="Normal 245 2 3 5 2 2" xfId="21156"/>
    <cellStyle name="Normal 245 2 3 5 3" xfId="21157"/>
    <cellStyle name="Normal 245 2 3 6" xfId="21158"/>
    <cellStyle name="Normal 245 2 4" xfId="21159"/>
    <cellStyle name="Normal 245 2 4 2" xfId="21160"/>
    <cellStyle name="Normal 245 2 4 2 2" xfId="21161"/>
    <cellStyle name="Normal 245 2 4 3" xfId="21162"/>
    <cellStyle name="Normal 245 2 5" xfId="21163"/>
    <cellStyle name="Normal 245 2 5 2" xfId="21164"/>
    <cellStyle name="Normal 245 2 5 2 2" xfId="21165"/>
    <cellStyle name="Normal 245 2 5 3" xfId="21166"/>
    <cellStyle name="Normal 245 2 6" xfId="21167"/>
    <cellStyle name="Normal 245 2 6 2" xfId="21168"/>
    <cellStyle name="Normal 245 2 6 2 2" xfId="21169"/>
    <cellStyle name="Normal 245 2 6 3" xfId="21170"/>
    <cellStyle name="Normal 245 2 7" xfId="21171"/>
    <cellStyle name="Normal 245 3" xfId="21172"/>
    <cellStyle name="Normal 245 3 2" xfId="21173"/>
    <cellStyle name="Normal 245 3 2 2" xfId="21174"/>
    <cellStyle name="Normal 245 3 3" xfId="21175"/>
    <cellStyle name="Normal 245 3 3 2" xfId="21176"/>
    <cellStyle name="Normal 245 3 3 2 2" xfId="21177"/>
    <cellStyle name="Normal 245 3 3 3" xfId="21178"/>
    <cellStyle name="Normal 245 3 4" xfId="21179"/>
    <cellStyle name="Normal 245 3 4 2" xfId="21180"/>
    <cellStyle name="Normal 245 3 4 2 2" xfId="21181"/>
    <cellStyle name="Normal 245 3 4 3" xfId="21182"/>
    <cellStyle name="Normal 245 3 5" xfId="21183"/>
    <cellStyle name="Normal 245 4" xfId="21184"/>
    <cellStyle name="Normal 245 4 2" xfId="21185"/>
    <cellStyle name="Normal 245 4 2 2" xfId="21186"/>
    <cellStyle name="Normal 245 4 2 2 2" xfId="21187"/>
    <cellStyle name="Normal 245 4 2 3" xfId="21188"/>
    <cellStyle name="Normal 245 4 2 3 2" xfId="21189"/>
    <cellStyle name="Normal 245 4 2 3 2 2" xfId="21190"/>
    <cellStyle name="Normal 245 4 2 3 3" xfId="21191"/>
    <cellStyle name="Normal 245 4 2 4" xfId="21192"/>
    <cellStyle name="Normal 245 4 3" xfId="21193"/>
    <cellStyle name="Normal 245 4 3 2" xfId="21194"/>
    <cellStyle name="Normal 245 4 3 2 2" xfId="21195"/>
    <cellStyle name="Normal 245 4 3 3" xfId="21196"/>
    <cellStyle name="Normal 245 4 4" xfId="21197"/>
    <cellStyle name="Normal 245 4 4 2" xfId="21198"/>
    <cellStyle name="Normal 245 4 4 2 2" xfId="21199"/>
    <cellStyle name="Normal 245 4 4 3" xfId="21200"/>
    <cellStyle name="Normal 245 4 5" xfId="21201"/>
    <cellStyle name="Normal 245 4 5 2" xfId="21202"/>
    <cellStyle name="Normal 245 4 5 2 2" xfId="21203"/>
    <cellStyle name="Normal 245 4 5 3" xfId="21204"/>
    <cellStyle name="Normal 245 4 6" xfId="21205"/>
    <cellStyle name="Normal 245 5" xfId="21206"/>
    <cellStyle name="Normal 245 5 2" xfId="21207"/>
    <cellStyle name="Normal 245 5 2 2" xfId="21208"/>
    <cellStyle name="Normal 245 5 3" xfId="21209"/>
    <cellStyle name="Normal 245 6" xfId="21210"/>
    <cellStyle name="Normal 245 6 2" xfId="21211"/>
    <cellStyle name="Normal 245 6 2 2" xfId="21212"/>
    <cellStyle name="Normal 245 6 3" xfId="21213"/>
    <cellStyle name="Normal 245 7" xfId="21214"/>
    <cellStyle name="Normal 245 7 2" xfId="21215"/>
    <cellStyle name="Normal 245 7 2 2" xfId="21216"/>
    <cellStyle name="Normal 245 7 3" xfId="21217"/>
    <cellStyle name="Normal 245 8" xfId="21218"/>
    <cellStyle name="Normal 246" xfId="21219"/>
    <cellStyle name="Normal 246 2" xfId="21220"/>
    <cellStyle name="Normal 246 2 2" xfId="21221"/>
    <cellStyle name="Normal 246 2 2 2" xfId="21222"/>
    <cellStyle name="Normal 246 2 2 2 2" xfId="21223"/>
    <cellStyle name="Normal 246 2 2 3" xfId="21224"/>
    <cellStyle name="Normal 246 2 2 3 2" xfId="21225"/>
    <cellStyle name="Normal 246 2 2 3 2 2" xfId="21226"/>
    <cellStyle name="Normal 246 2 2 3 3" xfId="21227"/>
    <cellStyle name="Normal 246 2 2 4" xfId="21228"/>
    <cellStyle name="Normal 246 2 2 4 2" xfId="21229"/>
    <cellStyle name="Normal 246 2 2 4 2 2" xfId="21230"/>
    <cellStyle name="Normal 246 2 2 4 3" xfId="21231"/>
    <cellStyle name="Normal 246 2 2 5" xfId="21232"/>
    <cellStyle name="Normal 246 2 3" xfId="21233"/>
    <cellStyle name="Normal 246 2 3 2" xfId="21234"/>
    <cellStyle name="Normal 246 2 3 2 2" xfId="21235"/>
    <cellStyle name="Normal 246 2 3 2 2 2" xfId="21236"/>
    <cellStyle name="Normal 246 2 3 2 3" xfId="21237"/>
    <cellStyle name="Normal 246 2 3 2 3 2" xfId="21238"/>
    <cellStyle name="Normal 246 2 3 2 3 2 2" xfId="21239"/>
    <cellStyle name="Normal 246 2 3 2 3 3" xfId="21240"/>
    <cellStyle name="Normal 246 2 3 2 4" xfId="21241"/>
    <cellStyle name="Normal 246 2 3 3" xfId="21242"/>
    <cellStyle name="Normal 246 2 3 3 2" xfId="21243"/>
    <cellStyle name="Normal 246 2 3 3 2 2" xfId="21244"/>
    <cellStyle name="Normal 246 2 3 3 3" xfId="21245"/>
    <cellStyle name="Normal 246 2 3 4" xfId="21246"/>
    <cellStyle name="Normal 246 2 3 4 2" xfId="21247"/>
    <cellStyle name="Normal 246 2 3 4 2 2" xfId="21248"/>
    <cellStyle name="Normal 246 2 3 4 3" xfId="21249"/>
    <cellStyle name="Normal 246 2 3 5" xfId="21250"/>
    <cellStyle name="Normal 246 2 3 5 2" xfId="21251"/>
    <cellStyle name="Normal 246 2 3 5 2 2" xfId="21252"/>
    <cellStyle name="Normal 246 2 3 5 3" xfId="21253"/>
    <cellStyle name="Normal 246 2 3 6" xfId="21254"/>
    <cellStyle name="Normal 246 2 4" xfId="21255"/>
    <cellStyle name="Normal 246 2 4 2" xfId="21256"/>
    <cellStyle name="Normal 246 2 4 2 2" xfId="21257"/>
    <cellStyle name="Normal 246 2 4 3" xfId="21258"/>
    <cellStyle name="Normal 246 2 5" xfId="21259"/>
    <cellStyle name="Normal 246 2 5 2" xfId="21260"/>
    <cellStyle name="Normal 246 2 5 2 2" xfId="21261"/>
    <cellStyle name="Normal 246 2 5 3" xfId="21262"/>
    <cellStyle name="Normal 246 2 6" xfId="21263"/>
    <cellStyle name="Normal 246 2 6 2" xfId="21264"/>
    <cellStyle name="Normal 246 2 6 2 2" xfId="21265"/>
    <cellStyle name="Normal 246 2 6 3" xfId="21266"/>
    <cellStyle name="Normal 246 2 7" xfId="21267"/>
    <cellStyle name="Normal 246 3" xfId="21268"/>
    <cellStyle name="Normal 246 3 2" xfId="21269"/>
    <cellStyle name="Normal 246 3 2 2" xfId="21270"/>
    <cellStyle name="Normal 246 3 3" xfId="21271"/>
    <cellStyle name="Normal 246 3 3 2" xfId="21272"/>
    <cellStyle name="Normal 246 3 3 2 2" xfId="21273"/>
    <cellStyle name="Normal 246 3 3 3" xfId="21274"/>
    <cellStyle name="Normal 246 3 4" xfId="21275"/>
    <cellStyle name="Normal 246 3 4 2" xfId="21276"/>
    <cellStyle name="Normal 246 3 4 2 2" xfId="21277"/>
    <cellStyle name="Normal 246 3 4 3" xfId="21278"/>
    <cellStyle name="Normal 246 3 5" xfId="21279"/>
    <cellStyle name="Normal 246 4" xfId="21280"/>
    <cellStyle name="Normal 246 4 2" xfId="21281"/>
    <cellStyle name="Normal 246 4 2 2" xfId="21282"/>
    <cellStyle name="Normal 246 4 2 2 2" xfId="21283"/>
    <cellStyle name="Normal 246 4 2 3" xfId="21284"/>
    <cellStyle name="Normal 246 4 2 3 2" xfId="21285"/>
    <cellStyle name="Normal 246 4 2 3 2 2" xfId="21286"/>
    <cellStyle name="Normal 246 4 2 3 3" xfId="21287"/>
    <cellStyle name="Normal 246 4 2 4" xfId="21288"/>
    <cellStyle name="Normal 246 4 3" xfId="21289"/>
    <cellStyle name="Normal 246 4 3 2" xfId="21290"/>
    <cellStyle name="Normal 246 4 3 2 2" xfId="21291"/>
    <cellStyle name="Normal 246 4 3 3" xfId="21292"/>
    <cellStyle name="Normal 246 4 4" xfId="21293"/>
    <cellStyle name="Normal 246 4 4 2" xfId="21294"/>
    <cellStyle name="Normal 246 4 4 2 2" xfId="21295"/>
    <cellStyle name="Normal 246 4 4 3" xfId="21296"/>
    <cellStyle name="Normal 246 4 5" xfId="21297"/>
    <cellStyle name="Normal 246 4 5 2" xfId="21298"/>
    <cellStyle name="Normal 246 4 5 2 2" xfId="21299"/>
    <cellStyle name="Normal 246 4 5 3" xfId="21300"/>
    <cellStyle name="Normal 246 4 6" xfId="21301"/>
    <cellStyle name="Normal 246 5" xfId="21302"/>
    <cellStyle name="Normal 246 5 2" xfId="21303"/>
    <cellStyle name="Normal 246 5 2 2" xfId="21304"/>
    <cellStyle name="Normal 246 5 3" xfId="21305"/>
    <cellStyle name="Normal 246 6" xfId="21306"/>
    <cellStyle name="Normal 246 6 2" xfId="21307"/>
    <cellStyle name="Normal 246 6 2 2" xfId="21308"/>
    <cellStyle name="Normal 246 6 3" xfId="21309"/>
    <cellStyle name="Normal 246 7" xfId="21310"/>
    <cellStyle name="Normal 246 7 2" xfId="21311"/>
    <cellStyle name="Normal 246 7 2 2" xfId="21312"/>
    <cellStyle name="Normal 246 7 3" xfId="21313"/>
    <cellStyle name="Normal 246 8" xfId="21314"/>
    <cellStyle name="Normal 247" xfId="21315"/>
    <cellStyle name="Normal 247 2" xfId="21316"/>
    <cellStyle name="Normal 247 2 2" xfId="21317"/>
    <cellStyle name="Normal 247 2 2 2" xfId="21318"/>
    <cellStyle name="Normal 247 2 2 2 2" xfId="21319"/>
    <cellStyle name="Normal 247 2 2 3" xfId="21320"/>
    <cellStyle name="Normal 247 2 2 3 2" xfId="21321"/>
    <cellStyle name="Normal 247 2 2 3 2 2" xfId="21322"/>
    <cellStyle name="Normal 247 2 2 3 3" xfId="21323"/>
    <cellStyle name="Normal 247 2 2 4" xfId="21324"/>
    <cellStyle name="Normal 247 2 2 4 2" xfId="21325"/>
    <cellStyle name="Normal 247 2 2 4 2 2" xfId="21326"/>
    <cellStyle name="Normal 247 2 2 4 3" xfId="21327"/>
    <cellStyle name="Normal 247 2 2 5" xfId="21328"/>
    <cellStyle name="Normal 247 2 3" xfId="21329"/>
    <cellStyle name="Normal 247 2 3 2" xfId="21330"/>
    <cellStyle name="Normal 247 2 3 2 2" xfId="21331"/>
    <cellStyle name="Normal 247 2 3 2 2 2" xfId="21332"/>
    <cellStyle name="Normal 247 2 3 2 3" xfId="21333"/>
    <cellStyle name="Normal 247 2 3 2 3 2" xfId="21334"/>
    <cellStyle name="Normal 247 2 3 2 3 2 2" xfId="21335"/>
    <cellStyle name="Normal 247 2 3 2 3 3" xfId="21336"/>
    <cellStyle name="Normal 247 2 3 2 4" xfId="21337"/>
    <cellStyle name="Normal 247 2 3 3" xfId="21338"/>
    <cellStyle name="Normal 247 2 3 3 2" xfId="21339"/>
    <cellStyle name="Normal 247 2 3 3 2 2" xfId="21340"/>
    <cellStyle name="Normal 247 2 3 3 3" xfId="21341"/>
    <cellStyle name="Normal 247 2 3 4" xfId="21342"/>
    <cellStyle name="Normal 247 2 3 4 2" xfId="21343"/>
    <cellStyle name="Normal 247 2 3 4 2 2" xfId="21344"/>
    <cellStyle name="Normal 247 2 3 4 3" xfId="21345"/>
    <cellStyle name="Normal 247 2 3 5" xfId="21346"/>
    <cellStyle name="Normal 247 2 3 5 2" xfId="21347"/>
    <cellStyle name="Normal 247 2 3 5 2 2" xfId="21348"/>
    <cellStyle name="Normal 247 2 3 5 3" xfId="21349"/>
    <cellStyle name="Normal 247 2 3 6" xfId="21350"/>
    <cellStyle name="Normal 247 2 4" xfId="21351"/>
    <cellStyle name="Normal 247 2 4 2" xfId="21352"/>
    <cellStyle name="Normal 247 2 4 2 2" xfId="21353"/>
    <cellStyle name="Normal 247 2 4 3" xfId="21354"/>
    <cellStyle name="Normal 247 2 5" xfId="21355"/>
    <cellStyle name="Normal 247 2 5 2" xfId="21356"/>
    <cellStyle name="Normal 247 2 5 2 2" xfId="21357"/>
    <cellStyle name="Normal 247 2 5 3" xfId="21358"/>
    <cellStyle name="Normal 247 2 6" xfId="21359"/>
    <cellStyle name="Normal 247 2 6 2" xfId="21360"/>
    <cellStyle name="Normal 247 2 6 2 2" xfId="21361"/>
    <cellStyle name="Normal 247 2 6 3" xfId="21362"/>
    <cellStyle name="Normal 247 2 7" xfId="21363"/>
    <cellStyle name="Normal 247 3" xfId="21364"/>
    <cellStyle name="Normal 247 3 2" xfId="21365"/>
    <cellStyle name="Normal 247 3 2 2" xfId="21366"/>
    <cellStyle name="Normal 247 3 3" xfId="21367"/>
    <cellStyle name="Normal 247 3 3 2" xfId="21368"/>
    <cellStyle name="Normal 247 3 3 2 2" xfId="21369"/>
    <cellStyle name="Normal 247 3 3 3" xfId="21370"/>
    <cellStyle name="Normal 247 3 4" xfId="21371"/>
    <cellStyle name="Normal 247 3 4 2" xfId="21372"/>
    <cellStyle name="Normal 247 3 4 2 2" xfId="21373"/>
    <cellStyle name="Normal 247 3 4 3" xfId="21374"/>
    <cellStyle name="Normal 247 3 5" xfId="21375"/>
    <cellStyle name="Normal 247 4" xfId="21376"/>
    <cellStyle name="Normal 247 4 2" xfId="21377"/>
    <cellStyle name="Normal 247 4 2 2" xfId="21378"/>
    <cellStyle name="Normal 247 4 2 2 2" xfId="21379"/>
    <cellStyle name="Normal 247 4 2 3" xfId="21380"/>
    <cellStyle name="Normal 247 4 2 3 2" xfId="21381"/>
    <cellStyle name="Normal 247 4 2 3 2 2" xfId="21382"/>
    <cellStyle name="Normal 247 4 2 3 3" xfId="21383"/>
    <cellStyle name="Normal 247 4 2 4" xfId="21384"/>
    <cellStyle name="Normal 247 4 3" xfId="21385"/>
    <cellStyle name="Normal 247 4 3 2" xfId="21386"/>
    <cellStyle name="Normal 247 4 3 2 2" xfId="21387"/>
    <cellStyle name="Normal 247 4 3 3" xfId="21388"/>
    <cellStyle name="Normal 247 4 4" xfId="21389"/>
    <cellStyle name="Normal 247 4 4 2" xfId="21390"/>
    <cellStyle name="Normal 247 4 4 2 2" xfId="21391"/>
    <cellStyle name="Normal 247 4 4 3" xfId="21392"/>
    <cellStyle name="Normal 247 4 5" xfId="21393"/>
    <cellStyle name="Normal 247 4 5 2" xfId="21394"/>
    <cellStyle name="Normal 247 4 5 2 2" xfId="21395"/>
    <cellStyle name="Normal 247 4 5 3" xfId="21396"/>
    <cellStyle name="Normal 247 4 6" xfId="21397"/>
    <cellStyle name="Normal 247 5" xfId="21398"/>
    <cellStyle name="Normal 247 5 2" xfId="21399"/>
    <cellStyle name="Normal 247 5 2 2" xfId="21400"/>
    <cellStyle name="Normal 247 5 3" xfId="21401"/>
    <cellStyle name="Normal 247 6" xfId="21402"/>
    <cellStyle name="Normal 247 6 2" xfId="21403"/>
    <cellStyle name="Normal 247 6 2 2" xfId="21404"/>
    <cellStyle name="Normal 247 6 3" xfId="21405"/>
    <cellStyle name="Normal 247 7" xfId="21406"/>
    <cellStyle name="Normal 247 7 2" xfId="21407"/>
    <cellStyle name="Normal 247 7 2 2" xfId="21408"/>
    <cellStyle name="Normal 247 7 3" xfId="21409"/>
    <cellStyle name="Normal 247 8" xfId="21410"/>
    <cellStyle name="Normal 248" xfId="21411"/>
    <cellStyle name="Normal 248 2" xfId="21412"/>
    <cellStyle name="Normal 248 2 2" xfId="21413"/>
    <cellStyle name="Normal 248 2 2 2" xfId="21414"/>
    <cellStyle name="Normal 248 2 2 2 2" xfId="21415"/>
    <cellStyle name="Normal 248 2 2 3" xfId="21416"/>
    <cellStyle name="Normal 248 2 2 3 2" xfId="21417"/>
    <cellStyle name="Normal 248 2 2 3 2 2" xfId="21418"/>
    <cellStyle name="Normal 248 2 2 3 3" xfId="21419"/>
    <cellStyle name="Normal 248 2 2 4" xfId="21420"/>
    <cellStyle name="Normal 248 2 2 4 2" xfId="21421"/>
    <cellStyle name="Normal 248 2 2 4 2 2" xfId="21422"/>
    <cellStyle name="Normal 248 2 2 4 3" xfId="21423"/>
    <cellStyle name="Normal 248 2 2 5" xfId="21424"/>
    <cellStyle name="Normal 248 2 3" xfId="21425"/>
    <cellStyle name="Normal 248 2 3 2" xfId="21426"/>
    <cellStyle name="Normal 248 2 3 2 2" xfId="21427"/>
    <cellStyle name="Normal 248 2 3 2 2 2" xfId="21428"/>
    <cellStyle name="Normal 248 2 3 2 3" xfId="21429"/>
    <cellStyle name="Normal 248 2 3 2 3 2" xfId="21430"/>
    <cellStyle name="Normal 248 2 3 2 3 2 2" xfId="21431"/>
    <cellStyle name="Normal 248 2 3 2 3 3" xfId="21432"/>
    <cellStyle name="Normal 248 2 3 2 4" xfId="21433"/>
    <cellStyle name="Normal 248 2 3 3" xfId="21434"/>
    <cellStyle name="Normal 248 2 3 3 2" xfId="21435"/>
    <cellStyle name="Normal 248 2 3 3 2 2" xfId="21436"/>
    <cellStyle name="Normal 248 2 3 3 3" xfId="21437"/>
    <cellStyle name="Normal 248 2 3 4" xfId="21438"/>
    <cellStyle name="Normal 248 2 3 4 2" xfId="21439"/>
    <cellStyle name="Normal 248 2 3 4 2 2" xfId="21440"/>
    <cellStyle name="Normal 248 2 3 4 3" xfId="21441"/>
    <cellStyle name="Normal 248 2 3 5" xfId="21442"/>
    <cellStyle name="Normal 248 2 3 5 2" xfId="21443"/>
    <cellStyle name="Normal 248 2 3 5 2 2" xfId="21444"/>
    <cellStyle name="Normal 248 2 3 5 3" xfId="21445"/>
    <cellStyle name="Normal 248 2 3 6" xfId="21446"/>
    <cellStyle name="Normal 248 2 4" xfId="21447"/>
    <cellStyle name="Normal 248 2 4 2" xfId="21448"/>
    <cellStyle name="Normal 248 2 4 2 2" xfId="21449"/>
    <cellStyle name="Normal 248 2 4 3" xfId="21450"/>
    <cellStyle name="Normal 248 2 5" xfId="21451"/>
    <cellStyle name="Normal 248 2 5 2" xfId="21452"/>
    <cellStyle name="Normal 248 2 5 2 2" xfId="21453"/>
    <cellStyle name="Normal 248 2 5 3" xfId="21454"/>
    <cellStyle name="Normal 248 2 6" xfId="21455"/>
    <cellStyle name="Normal 248 2 6 2" xfId="21456"/>
    <cellStyle name="Normal 248 2 6 2 2" xfId="21457"/>
    <cellStyle name="Normal 248 2 6 3" xfId="21458"/>
    <cellStyle name="Normal 248 2 7" xfId="21459"/>
    <cellStyle name="Normal 248 3" xfId="21460"/>
    <cellStyle name="Normal 248 3 2" xfId="21461"/>
    <cellStyle name="Normal 248 3 2 2" xfId="21462"/>
    <cellStyle name="Normal 248 3 3" xfId="21463"/>
    <cellStyle name="Normal 248 3 3 2" xfId="21464"/>
    <cellStyle name="Normal 248 3 3 2 2" xfId="21465"/>
    <cellStyle name="Normal 248 3 3 3" xfId="21466"/>
    <cellStyle name="Normal 248 3 4" xfId="21467"/>
    <cellStyle name="Normal 248 3 4 2" xfId="21468"/>
    <cellStyle name="Normal 248 3 4 2 2" xfId="21469"/>
    <cellStyle name="Normal 248 3 4 3" xfId="21470"/>
    <cellStyle name="Normal 248 3 5" xfId="21471"/>
    <cellStyle name="Normal 248 4" xfId="21472"/>
    <cellStyle name="Normal 248 4 2" xfId="21473"/>
    <cellStyle name="Normal 248 4 2 2" xfId="21474"/>
    <cellStyle name="Normal 248 4 2 2 2" xfId="21475"/>
    <cellStyle name="Normal 248 4 2 3" xfId="21476"/>
    <cellStyle name="Normal 248 4 2 3 2" xfId="21477"/>
    <cellStyle name="Normal 248 4 2 3 2 2" xfId="21478"/>
    <cellStyle name="Normal 248 4 2 3 3" xfId="21479"/>
    <cellStyle name="Normal 248 4 2 4" xfId="21480"/>
    <cellStyle name="Normal 248 4 3" xfId="21481"/>
    <cellStyle name="Normal 248 4 3 2" xfId="21482"/>
    <cellStyle name="Normal 248 4 3 2 2" xfId="21483"/>
    <cellStyle name="Normal 248 4 3 3" xfId="21484"/>
    <cellStyle name="Normal 248 4 4" xfId="21485"/>
    <cellStyle name="Normal 248 4 4 2" xfId="21486"/>
    <cellStyle name="Normal 248 4 4 2 2" xfId="21487"/>
    <cellStyle name="Normal 248 4 4 3" xfId="21488"/>
    <cellStyle name="Normal 248 4 5" xfId="21489"/>
    <cellStyle name="Normal 248 4 5 2" xfId="21490"/>
    <cellStyle name="Normal 248 4 5 2 2" xfId="21491"/>
    <cellStyle name="Normal 248 4 5 3" xfId="21492"/>
    <cellStyle name="Normal 248 4 6" xfId="21493"/>
    <cellStyle name="Normal 248 5" xfId="21494"/>
    <cellStyle name="Normal 248 5 2" xfId="21495"/>
    <cellStyle name="Normal 248 5 2 2" xfId="21496"/>
    <cellStyle name="Normal 248 5 3" xfId="21497"/>
    <cellStyle name="Normal 248 6" xfId="21498"/>
    <cellStyle name="Normal 248 6 2" xfId="21499"/>
    <cellStyle name="Normal 248 6 2 2" xfId="21500"/>
    <cellStyle name="Normal 248 6 3" xfId="21501"/>
    <cellStyle name="Normal 248 7" xfId="21502"/>
    <cellStyle name="Normal 248 7 2" xfId="21503"/>
    <cellStyle name="Normal 248 7 2 2" xfId="21504"/>
    <cellStyle name="Normal 248 7 3" xfId="21505"/>
    <cellStyle name="Normal 248 8" xfId="21506"/>
    <cellStyle name="Normal 249" xfId="21507"/>
    <cellStyle name="Normal 249 2" xfId="21508"/>
    <cellStyle name="Normal 249 2 2" xfId="21509"/>
    <cellStyle name="Normal 249 2 2 2" xfId="21510"/>
    <cellStyle name="Normal 249 2 2 2 2" xfId="21511"/>
    <cellStyle name="Normal 249 2 2 3" xfId="21512"/>
    <cellStyle name="Normal 249 2 2 3 2" xfId="21513"/>
    <cellStyle name="Normal 249 2 2 3 2 2" xfId="21514"/>
    <cellStyle name="Normal 249 2 2 3 3" xfId="21515"/>
    <cellStyle name="Normal 249 2 2 4" xfId="21516"/>
    <cellStyle name="Normal 249 2 2 4 2" xfId="21517"/>
    <cellStyle name="Normal 249 2 2 4 2 2" xfId="21518"/>
    <cellStyle name="Normal 249 2 2 4 3" xfId="21519"/>
    <cellStyle name="Normal 249 2 2 5" xfId="21520"/>
    <cellStyle name="Normal 249 2 3" xfId="21521"/>
    <cellStyle name="Normal 249 2 3 2" xfId="21522"/>
    <cellStyle name="Normal 249 2 3 2 2" xfId="21523"/>
    <cellStyle name="Normal 249 2 3 2 2 2" xfId="21524"/>
    <cellStyle name="Normal 249 2 3 2 3" xfId="21525"/>
    <cellStyle name="Normal 249 2 3 2 3 2" xfId="21526"/>
    <cellStyle name="Normal 249 2 3 2 3 2 2" xfId="21527"/>
    <cellStyle name="Normal 249 2 3 2 3 3" xfId="21528"/>
    <cellStyle name="Normal 249 2 3 2 4" xfId="21529"/>
    <cellStyle name="Normal 249 2 3 3" xfId="21530"/>
    <cellStyle name="Normal 249 2 3 3 2" xfId="21531"/>
    <cellStyle name="Normal 249 2 3 3 2 2" xfId="21532"/>
    <cellStyle name="Normal 249 2 3 3 3" xfId="21533"/>
    <cellStyle name="Normal 249 2 3 4" xfId="21534"/>
    <cellStyle name="Normal 249 2 3 4 2" xfId="21535"/>
    <cellStyle name="Normal 249 2 3 4 2 2" xfId="21536"/>
    <cellStyle name="Normal 249 2 3 4 3" xfId="21537"/>
    <cellStyle name="Normal 249 2 3 5" xfId="21538"/>
    <cellStyle name="Normal 249 2 3 5 2" xfId="21539"/>
    <cellStyle name="Normal 249 2 3 5 2 2" xfId="21540"/>
    <cellStyle name="Normal 249 2 3 5 3" xfId="21541"/>
    <cellStyle name="Normal 249 2 3 6" xfId="21542"/>
    <cellStyle name="Normal 249 2 4" xfId="21543"/>
    <cellStyle name="Normal 249 2 4 2" xfId="21544"/>
    <cellStyle name="Normal 249 2 4 2 2" xfId="21545"/>
    <cellStyle name="Normal 249 2 4 3" xfId="21546"/>
    <cellStyle name="Normal 249 2 5" xfId="21547"/>
    <cellStyle name="Normal 249 2 5 2" xfId="21548"/>
    <cellStyle name="Normal 249 2 5 2 2" xfId="21549"/>
    <cellStyle name="Normal 249 2 5 3" xfId="21550"/>
    <cellStyle name="Normal 249 2 6" xfId="21551"/>
    <cellStyle name="Normal 249 2 6 2" xfId="21552"/>
    <cellStyle name="Normal 249 2 6 2 2" xfId="21553"/>
    <cellStyle name="Normal 249 2 6 3" xfId="21554"/>
    <cellStyle name="Normal 249 2 7" xfId="21555"/>
    <cellStyle name="Normal 249 3" xfId="21556"/>
    <cellStyle name="Normal 249 3 2" xfId="21557"/>
    <cellStyle name="Normal 249 3 2 2" xfId="21558"/>
    <cellStyle name="Normal 249 3 3" xfId="21559"/>
    <cellStyle name="Normal 249 3 3 2" xfId="21560"/>
    <cellStyle name="Normal 249 3 3 2 2" xfId="21561"/>
    <cellStyle name="Normal 249 3 3 3" xfId="21562"/>
    <cellStyle name="Normal 249 3 4" xfId="21563"/>
    <cellStyle name="Normal 249 3 4 2" xfId="21564"/>
    <cellStyle name="Normal 249 3 4 2 2" xfId="21565"/>
    <cellStyle name="Normal 249 3 4 3" xfId="21566"/>
    <cellStyle name="Normal 249 3 5" xfId="21567"/>
    <cellStyle name="Normal 249 4" xfId="21568"/>
    <cellStyle name="Normal 249 4 2" xfId="21569"/>
    <cellStyle name="Normal 249 4 2 2" xfId="21570"/>
    <cellStyle name="Normal 249 4 2 2 2" xfId="21571"/>
    <cellStyle name="Normal 249 4 2 3" xfId="21572"/>
    <cellStyle name="Normal 249 4 2 3 2" xfId="21573"/>
    <cellStyle name="Normal 249 4 2 3 2 2" xfId="21574"/>
    <cellStyle name="Normal 249 4 2 3 3" xfId="21575"/>
    <cellStyle name="Normal 249 4 2 4" xfId="21576"/>
    <cellStyle name="Normal 249 4 3" xfId="21577"/>
    <cellStyle name="Normal 249 4 3 2" xfId="21578"/>
    <cellStyle name="Normal 249 4 3 2 2" xfId="21579"/>
    <cellStyle name="Normal 249 4 3 3" xfId="21580"/>
    <cellStyle name="Normal 249 4 4" xfId="21581"/>
    <cellStyle name="Normal 249 4 4 2" xfId="21582"/>
    <cellStyle name="Normal 249 4 4 2 2" xfId="21583"/>
    <cellStyle name="Normal 249 4 4 3" xfId="21584"/>
    <cellStyle name="Normal 249 4 5" xfId="21585"/>
    <cellStyle name="Normal 249 4 5 2" xfId="21586"/>
    <cellStyle name="Normal 249 4 5 2 2" xfId="21587"/>
    <cellStyle name="Normal 249 4 5 3" xfId="21588"/>
    <cellStyle name="Normal 249 4 6" xfId="21589"/>
    <cellStyle name="Normal 249 5" xfId="21590"/>
    <cellStyle name="Normal 249 5 2" xfId="21591"/>
    <cellStyle name="Normal 249 5 2 2" xfId="21592"/>
    <cellStyle name="Normal 249 5 3" xfId="21593"/>
    <cellStyle name="Normal 249 6" xfId="21594"/>
    <cellStyle name="Normal 249 6 2" xfId="21595"/>
    <cellStyle name="Normal 249 6 2 2" xfId="21596"/>
    <cellStyle name="Normal 249 6 3" xfId="21597"/>
    <cellStyle name="Normal 249 7" xfId="21598"/>
    <cellStyle name="Normal 249 7 2" xfId="21599"/>
    <cellStyle name="Normal 249 7 2 2" xfId="21600"/>
    <cellStyle name="Normal 249 7 3" xfId="21601"/>
    <cellStyle name="Normal 249 8" xfId="21602"/>
    <cellStyle name="Normal 25" xfId="21603"/>
    <cellStyle name="Normal 25 2" xfId="21604"/>
    <cellStyle name="Normal 25 2 2" xfId="21605"/>
    <cellStyle name="Normal 25 2 2 2" xfId="21606"/>
    <cellStyle name="Normal 25 2 2 2 2" xfId="21607"/>
    <cellStyle name="Normal 25 2 2 3" xfId="21608"/>
    <cellStyle name="Normal 25 2 2 3 2" xfId="21609"/>
    <cellStyle name="Normal 25 2 2 3 2 2" xfId="21610"/>
    <cellStyle name="Normal 25 2 2 3 3" xfId="21611"/>
    <cellStyle name="Normal 25 2 2 4" xfId="21612"/>
    <cellStyle name="Normal 25 2 2 4 2" xfId="21613"/>
    <cellStyle name="Normal 25 2 2 4 2 2" xfId="21614"/>
    <cellStyle name="Normal 25 2 2 4 3" xfId="21615"/>
    <cellStyle name="Normal 25 2 2 5" xfId="21616"/>
    <cellStyle name="Normal 25 2 3" xfId="21617"/>
    <cellStyle name="Normal 25 2 3 2" xfId="21618"/>
    <cellStyle name="Normal 25 2 3 2 2" xfId="21619"/>
    <cellStyle name="Normal 25 2 3 3" xfId="21620"/>
    <cellStyle name="Normal 25 2 4" xfId="21621"/>
    <cellStyle name="Normal 25 2 4 2" xfId="21622"/>
    <cellStyle name="Normal 25 2 4 2 2" xfId="21623"/>
    <cellStyle name="Normal 25 2 4 3" xfId="21624"/>
    <cellStyle name="Normal 25 2 5" xfId="21625"/>
    <cellStyle name="Normal 25 2 5 2" xfId="21626"/>
    <cellStyle name="Normal 25 2 5 2 2" xfId="21627"/>
    <cellStyle name="Normal 25 2 5 3" xfId="21628"/>
    <cellStyle name="Normal 25 2 6" xfId="21629"/>
    <cellStyle name="Normal 25 3" xfId="21630"/>
    <cellStyle name="Normal 25 3 2" xfId="21631"/>
    <cellStyle name="Normal 25 3 2 2" xfId="21632"/>
    <cellStyle name="Normal 25 3 3" xfId="21633"/>
    <cellStyle name="Normal 25 3 3 2" xfId="21634"/>
    <cellStyle name="Normal 25 3 3 2 2" xfId="21635"/>
    <cellStyle name="Normal 25 3 3 3" xfId="21636"/>
    <cellStyle name="Normal 25 3 4" xfId="21637"/>
    <cellStyle name="Normal 25 3 4 2" xfId="21638"/>
    <cellStyle name="Normal 25 3 4 2 2" xfId="21639"/>
    <cellStyle name="Normal 25 3 4 3" xfId="21640"/>
    <cellStyle name="Normal 25 3 5" xfId="21641"/>
    <cellStyle name="Normal 25 4" xfId="21642"/>
    <cellStyle name="Normal 25 4 2" xfId="21643"/>
    <cellStyle name="Normal 25 4 2 2" xfId="21644"/>
    <cellStyle name="Normal 25 4 3" xfId="21645"/>
    <cellStyle name="Normal 25 4 3 2" xfId="21646"/>
    <cellStyle name="Normal 25 4 3 2 2" xfId="21647"/>
    <cellStyle name="Normal 25 4 3 3" xfId="21648"/>
    <cellStyle name="Normal 25 4 4" xfId="21649"/>
    <cellStyle name="Normal 25 4 4 2" xfId="21650"/>
    <cellStyle name="Normal 25 4 4 2 2" xfId="21651"/>
    <cellStyle name="Normal 25 4 4 3" xfId="21652"/>
    <cellStyle name="Normal 25 4 5" xfId="21653"/>
    <cellStyle name="Normal 25 5" xfId="21654"/>
    <cellStyle name="Normal 25 5 2" xfId="21655"/>
    <cellStyle name="Normal 25 5 2 2" xfId="21656"/>
    <cellStyle name="Normal 25 5 3" xfId="21657"/>
    <cellStyle name="Normal 25 6" xfId="21658"/>
    <cellStyle name="Normal 25 6 2" xfId="21659"/>
    <cellStyle name="Normal 25 6 2 2" xfId="21660"/>
    <cellStyle name="Normal 25 6 3" xfId="21661"/>
    <cellStyle name="Normal 25 7" xfId="21662"/>
    <cellStyle name="Normal 25 7 2" xfId="21663"/>
    <cellStyle name="Normal 25 7 2 2" xfId="21664"/>
    <cellStyle name="Normal 25 7 3" xfId="21665"/>
    <cellStyle name="Normal 25 8" xfId="21666"/>
    <cellStyle name="Normal 250" xfId="21667"/>
    <cellStyle name="Normal 250 2" xfId="21668"/>
    <cellStyle name="Normal 250 2 2" xfId="21669"/>
    <cellStyle name="Normal 250 2 2 2" xfId="21670"/>
    <cellStyle name="Normal 250 2 2 2 2" xfId="21671"/>
    <cellStyle name="Normal 250 2 2 3" xfId="21672"/>
    <cellStyle name="Normal 250 2 2 3 2" xfId="21673"/>
    <cellStyle name="Normal 250 2 2 3 2 2" xfId="21674"/>
    <cellStyle name="Normal 250 2 2 3 3" xfId="21675"/>
    <cellStyle name="Normal 250 2 2 4" xfId="21676"/>
    <cellStyle name="Normal 250 2 2 4 2" xfId="21677"/>
    <cellStyle name="Normal 250 2 2 4 2 2" xfId="21678"/>
    <cellStyle name="Normal 250 2 2 4 3" xfId="21679"/>
    <cellStyle name="Normal 250 2 2 5" xfId="21680"/>
    <cellStyle name="Normal 250 2 3" xfId="21681"/>
    <cellStyle name="Normal 250 2 3 2" xfId="21682"/>
    <cellStyle name="Normal 250 2 3 2 2" xfId="21683"/>
    <cellStyle name="Normal 250 2 3 2 2 2" xfId="21684"/>
    <cellStyle name="Normal 250 2 3 2 3" xfId="21685"/>
    <cellStyle name="Normal 250 2 3 2 3 2" xfId="21686"/>
    <cellStyle name="Normal 250 2 3 2 3 2 2" xfId="21687"/>
    <cellStyle name="Normal 250 2 3 2 3 3" xfId="21688"/>
    <cellStyle name="Normal 250 2 3 2 4" xfId="21689"/>
    <cellStyle name="Normal 250 2 3 3" xfId="21690"/>
    <cellStyle name="Normal 250 2 3 3 2" xfId="21691"/>
    <cellStyle name="Normal 250 2 3 3 2 2" xfId="21692"/>
    <cellStyle name="Normal 250 2 3 3 3" xfId="21693"/>
    <cellStyle name="Normal 250 2 3 4" xfId="21694"/>
    <cellStyle name="Normal 250 2 3 4 2" xfId="21695"/>
    <cellStyle name="Normal 250 2 3 4 2 2" xfId="21696"/>
    <cellStyle name="Normal 250 2 3 4 3" xfId="21697"/>
    <cellStyle name="Normal 250 2 3 5" xfId="21698"/>
    <cellStyle name="Normal 250 2 3 5 2" xfId="21699"/>
    <cellStyle name="Normal 250 2 3 5 2 2" xfId="21700"/>
    <cellStyle name="Normal 250 2 3 5 3" xfId="21701"/>
    <cellStyle name="Normal 250 2 3 6" xfId="21702"/>
    <cellStyle name="Normal 250 2 4" xfId="21703"/>
    <cellStyle name="Normal 250 2 4 2" xfId="21704"/>
    <cellStyle name="Normal 250 2 4 2 2" xfId="21705"/>
    <cellStyle name="Normal 250 2 4 3" xfId="21706"/>
    <cellStyle name="Normal 250 2 5" xfId="21707"/>
    <cellStyle name="Normal 250 2 5 2" xfId="21708"/>
    <cellStyle name="Normal 250 2 5 2 2" xfId="21709"/>
    <cellStyle name="Normal 250 2 5 3" xfId="21710"/>
    <cellStyle name="Normal 250 2 6" xfId="21711"/>
    <cellStyle name="Normal 250 2 6 2" xfId="21712"/>
    <cellStyle name="Normal 250 2 6 2 2" xfId="21713"/>
    <cellStyle name="Normal 250 2 6 3" xfId="21714"/>
    <cellStyle name="Normal 250 2 7" xfId="21715"/>
    <cellStyle name="Normal 250 3" xfId="21716"/>
    <cellStyle name="Normal 250 3 2" xfId="21717"/>
    <cellStyle name="Normal 250 3 2 2" xfId="21718"/>
    <cellStyle name="Normal 250 3 3" xfId="21719"/>
    <cellStyle name="Normal 250 3 3 2" xfId="21720"/>
    <cellStyle name="Normal 250 3 3 2 2" xfId="21721"/>
    <cellStyle name="Normal 250 3 3 3" xfId="21722"/>
    <cellStyle name="Normal 250 3 4" xfId="21723"/>
    <cellStyle name="Normal 250 3 4 2" xfId="21724"/>
    <cellStyle name="Normal 250 3 4 2 2" xfId="21725"/>
    <cellStyle name="Normal 250 3 4 3" xfId="21726"/>
    <cellStyle name="Normal 250 3 5" xfId="21727"/>
    <cellStyle name="Normal 250 4" xfId="21728"/>
    <cellStyle name="Normal 250 4 2" xfId="21729"/>
    <cellStyle name="Normal 250 4 2 2" xfId="21730"/>
    <cellStyle name="Normal 250 4 2 2 2" xfId="21731"/>
    <cellStyle name="Normal 250 4 2 3" xfId="21732"/>
    <cellStyle name="Normal 250 4 2 3 2" xfId="21733"/>
    <cellStyle name="Normal 250 4 2 3 2 2" xfId="21734"/>
    <cellStyle name="Normal 250 4 2 3 3" xfId="21735"/>
    <cellStyle name="Normal 250 4 2 4" xfId="21736"/>
    <cellStyle name="Normal 250 4 3" xfId="21737"/>
    <cellStyle name="Normal 250 4 3 2" xfId="21738"/>
    <cellStyle name="Normal 250 4 3 2 2" xfId="21739"/>
    <cellStyle name="Normal 250 4 3 3" xfId="21740"/>
    <cellStyle name="Normal 250 4 4" xfId="21741"/>
    <cellStyle name="Normal 250 4 4 2" xfId="21742"/>
    <cellStyle name="Normal 250 4 4 2 2" xfId="21743"/>
    <cellStyle name="Normal 250 4 4 3" xfId="21744"/>
    <cellStyle name="Normal 250 4 5" xfId="21745"/>
    <cellStyle name="Normal 250 4 5 2" xfId="21746"/>
    <cellStyle name="Normal 250 4 5 2 2" xfId="21747"/>
    <cellStyle name="Normal 250 4 5 3" xfId="21748"/>
    <cellStyle name="Normal 250 4 6" xfId="21749"/>
    <cellStyle name="Normal 250 5" xfId="21750"/>
    <cellStyle name="Normal 250 5 2" xfId="21751"/>
    <cellStyle name="Normal 250 5 2 2" xfId="21752"/>
    <cellStyle name="Normal 250 5 3" xfId="21753"/>
    <cellStyle name="Normal 250 6" xfId="21754"/>
    <cellStyle name="Normal 250 6 2" xfId="21755"/>
    <cellStyle name="Normal 250 6 2 2" xfId="21756"/>
    <cellStyle name="Normal 250 6 3" xfId="21757"/>
    <cellStyle name="Normal 250 7" xfId="21758"/>
    <cellStyle name="Normal 250 7 2" xfId="21759"/>
    <cellStyle name="Normal 250 7 2 2" xfId="21760"/>
    <cellStyle name="Normal 250 7 3" xfId="21761"/>
    <cellStyle name="Normal 250 8" xfId="21762"/>
    <cellStyle name="Normal 251" xfId="21763"/>
    <cellStyle name="Normal 251 2" xfId="21764"/>
    <cellStyle name="Normal 251 2 2" xfId="21765"/>
    <cellStyle name="Normal 251 2 2 2" xfId="21766"/>
    <cellStyle name="Normal 251 2 2 2 2" xfId="21767"/>
    <cellStyle name="Normal 251 2 2 3" xfId="21768"/>
    <cellStyle name="Normal 251 2 2 3 2" xfId="21769"/>
    <cellStyle name="Normal 251 2 2 3 2 2" xfId="21770"/>
    <cellStyle name="Normal 251 2 2 3 3" xfId="21771"/>
    <cellStyle name="Normal 251 2 2 4" xfId="21772"/>
    <cellStyle name="Normal 251 2 2 4 2" xfId="21773"/>
    <cellStyle name="Normal 251 2 2 4 2 2" xfId="21774"/>
    <cellStyle name="Normal 251 2 2 4 3" xfId="21775"/>
    <cellStyle name="Normal 251 2 2 5" xfId="21776"/>
    <cellStyle name="Normal 251 2 3" xfId="21777"/>
    <cellStyle name="Normal 251 2 3 2" xfId="21778"/>
    <cellStyle name="Normal 251 2 3 2 2" xfId="21779"/>
    <cellStyle name="Normal 251 2 3 2 2 2" xfId="21780"/>
    <cellStyle name="Normal 251 2 3 2 3" xfId="21781"/>
    <cellStyle name="Normal 251 2 3 2 3 2" xfId="21782"/>
    <cellStyle name="Normal 251 2 3 2 3 2 2" xfId="21783"/>
    <cellStyle name="Normal 251 2 3 2 3 3" xfId="21784"/>
    <cellStyle name="Normal 251 2 3 2 4" xfId="21785"/>
    <cellStyle name="Normal 251 2 3 3" xfId="21786"/>
    <cellStyle name="Normal 251 2 3 3 2" xfId="21787"/>
    <cellStyle name="Normal 251 2 3 3 2 2" xfId="21788"/>
    <cellStyle name="Normal 251 2 3 3 3" xfId="21789"/>
    <cellStyle name="Normal 251 2 3 4" xfId="21790"/>
    <cellStyle name="Normal 251 2 3 4 2" xfId="21791"/>
    <cellStyle name="Normal 251 2 3 4 2 2" xfId="21792"/>
    <cellStyle name="Normal 251 2 3 4 3" xfId="21793"/>
    <cellStyle name="Normal 251 2 3 5" xfId="21794"/>
    <cellStyle name="Normal 251 2 3 5 2" xfId="21795"/>
    <cellStyle name="Normal 251 2 3 5 2 2" xfId="21796"/>
    <cellStyle name="Normal 251 2 3 5 3" xfId="21797"/>
    <cellStyle name="Normal 251 2 3 6" xfId="21798"/>
    <cellStyle name="Normal 251 2 4" xfId="21799"/>
    <cellStyle name="Normal 251 2 4 2" xfId="21800"/>
    <cellStyle name="Normal 251 2 4 2 2" xfId="21801"/>
    <cellStyle name="Normal 251 2 4 3" xfId="21802"/>
    <cellStyle name="Normal 251 2 5" xfId="21803"/>
    <cellStyle name="Normal 251 2 5 2" xfId="21804"/>
    <cellStyle name="Normal 251 2 5 2 2" xfId="21805"/>
    <cellStyle name="Normal 251 2 5 3" xfId="21806"/>
    <cellStyle name="Normal 251 2 6" xfId="21807"/>
    <cellStyle name="Normal 251 2 6 2" xfId="21808"/>
    <cellStyle name="Normal 251 2 6 2 2" xfId="21809"/>
    <cellStyle name="Normal 251 2 6 3" xfId="21810"/>
    <cellStyle name="Normal 251 2 7" xfId="21811"/>
    <cellStyle name="Normal 251 3" xfId="21812"/>
    <cellStyle name="Normal 251 3 2" xfId="21813"/>
    <cellStyle name="Normal 251 3 2 2" xfId="21814"/>
    <cellStyle name="Normal 251 3 3" xfId="21815"/>
    <cellStyle name="Normal 251 3 3 2" xfId="21816"/>
    <cellStyle name="Normal 251 3 3 2 2" xfId="21817"/>
    <cellStyle name="Normal 251 3 3 3" xfId="21818"/>
    <cellStyle name="Normal 251 3 4" xfId="21819"/>
    <cellStyle name="Normal 251 3 4 2" xfId="21820"/>
    <cellStyle name="Normal 251 3 4 2 2" xfId="21821"/>
    <cellStyle name="Normal 251 3 4 3" xfId="21822"/>
    <cellStyle name="Normal 251 3 5" xfId="21823"/>
    <cellStyle name="Normal 251 4" xfId="21824"/>
    <cellStyle name="Normal 251 4 2" xfId="21825"/>
    <cellStyle name="Normal 251 4 2 2" xfId="21826"/>
    <cellStyle name="Normal 251 4 2 2 2" xfId="21827"/>
    <cellStyle name="Normal 251 4 2 3" xfId="21828"/>
    <cellStyle name="Normal 251 4 2 3 2" xfId="21829"/>
    <cellStyle name="Normal 251 4 2 3 2 2" xfId="21830"/>
    <cellStyle name="Normal 251 4 2 3 3" xfId="21831"/>
    <cellStyle name="Normal 251 4 2 4" xfId="21832"/>
    <cellStyle name="Normal 251 4 3" xfId="21833"/>
    <cellStyle name="Normal 251 4 3 2" xfId="21834"/>
    <cellStyle name="Normal 251 4 3 2 2" xfId="21835"/>
    <cellStyle name="Normal 251 4 3 3" xfId="21836"/>
    <cellStyle name="Normal 251 4 4" xfId="21837"/>
    <cellStyle name="Normal 251 4 4 2" xfId="21838"/>
    <cellStyle name="Normal 251 4 4 2 2" xfId="21839"/>
    <cellStyle name="Normal 251 4 4 3" xfId="21840"/>
    <cellStyle name="Normal 251 4 5" xfId="21841"/>
    <cellStyle name="Normal 251 4 5 2" xfId="21842"/>
    <cellStyle name="Normal 251 4 5 2 2" xfId="21843"/>
    <cellStyle name="Normal 251 4 5 3" xfId="21844"/>
    <cellStyle name="Normal 251 4 6" xfId="21845"/>
    <cellStyle name="Normal 251 5" xfId="21846"/>
    <cellStyle name="Normal 251 5 2" xfId="21847"/>
    <cellStyle name="Normal 251 5 2 2" xfId="21848"/>
    <cellStyle name="Normal 251 5 3" xfId="21849"/>
    <cellStyle name="Normal 251 6" xfId="21850"/>
    <cellStyle name="Normal 251 6 2" xfId="21851"/>
    <cellStyle name="Normal 251 6 2 2" xfId="21852"/>
    <cellStyle name="Normal 251 6 3" xfId="21853"/>
    <cellStyle name="Normal 251 7" xfId="21854"/>
    <cellStyle name="Normal 251 7 2" xfId="21855"/>
    <cellStyle name="Normal 251 7 2 2" xfId="21856"/>
    <cellStyle name="Normal 251 7 3" xfId="21857"/>
    <cellStyle name="Normal 251 8" xfId="21858"/>
    <cellStyle name="Normal 252" xfId="21859"/>
    <cellStyle name="Normal 252 2" xfId="21860"/>
    <cellStyle name="Normal 252 2 2" xfId="21861"/>
    <cellStyle name="Normal 252 2 2 2" xfId="21862"/>
    <cellStyle name="Normal 252 2 2 2 2" xfId="21863"/>
    <cellStyle name="Normal 252 2 2 3" xfId="21864"/>
    <cellStyle name="Normal 252 2 2 3 2" xfId="21865"/>
    <cellStyle name="Normal 252 2 2 3 2 2" xfId="21866"/>
    <cellStyle name="Normal 252 2 2 3 3" xfId="21867"/>
    <cellStyle name="Normal 252 2 2 4" xfId="21868"/>
    <cellStyle name="Normal 252 2 2 4 2" xfId="21869"/>
    <cellStyle name="Normal 252 2 2 4 2 2" xfId="21870"/>
    <cellStyle name="Normal 252 2 2 4 3" xfId="21871"/>
    <cellStyle name="Normal 252 2 2 5" xfId="21872"/>
    <cellStyle name="Normal 252 2 3" xfId="21873"/>
    <cellStyle name="Normal 252 2 3 2" xfId="21874"/>
    <cellStyle name="Normal 252 2 3 2 2" xfId="21875"/>
    <cellStyle name="Normal 252 2 3 2 2 2" xfId="21876"/>
    <cellStyle name="Normal 252 2 3 2 3" xfId="21877"/>
    <cellStyle name="Normal 252 2 3 2 3 2" xfId="21878"/>
    <cellStyle name="Normal 252 2 3 2 3 2 2" xfId="21879"/>
    <cellStyle name="Normal 252 2 3 2 3 3" xfId="21880"/>
    <cellStyle name="Normal 252 2 3 2 4" xfId="21881"/>
    <cellStyle name="Normal 252 2 3 3" xfId="21882"/>
    <cellStyle name="Normal 252 2 3 3 2" xfId="21883"/>
    <cellStyle name="Normal 252 2 3 3 2 2" xfId="21884"/>
    <cellStyle name="Normal 252 2 3 3 3" xfId="21885"/>
    <cellStyle name="Normal 252 2 3 4" xfId="21886"/>
    <cellStyle name="Normal 252 2 3 4 2" xfId="21887"/>
    <cellStyle name="Normal 252 2 3 4 2 2" xfId="21888"/>
    <cellStyle name="Normal 252 2 3 4 3" xfId="21889"/>
    <cellStyle name="Normal 252 2 3 5" xfId="21890"/>
    <cellStyle name="Normal 252 2 3 5 2" xfId="21891"/>
    <cellStyle name="Normal 252 2 3 5 2 2" xfId="21892"/>
    <cellStyle name="Normal 252 2 3 5 3" xfId="21893"/>
    <cellStyle name="Normal 252 2 3 6" xfId="21894"/>
    <cellStyle name="Normal 252 2 4" xfId="21895"/>
    <cellStyle name="Normal 252 2 4 2" xfId="21896"/>
    <cellStyle name="Normal 252 2 4 2 2" xfId="21897"/>
    <cellStyle name="Normal 252 2 4 3" xfId="21898"/>
    <cellStyle name="Normal 252 2 5" xfId="21899"/>
    <cellStyle name="Normal 252 2 5 2" xfId="21900"/>
    <cellStyle name="Normal 252 2 5 2 2" xfId="21901"/>
    <cellStyle name="Normal 252 2 5 3" xfId="21902"/>
    <cellStyle name="Normal 252 2 6" xfId="21903"/>
    <cellStyle name="Normal 252 2 6 2" xfId="21904"/>
    <cellStyle name="Normal 252 2 6 2 2" xfId="21905"/>
    <cellStyle name="Normal 252 2 6 3" xfId="21906"/>
    <cellStyle name="Normal 252 2 7" xfId="21907"/>
    <cellStyle name="Normal 252 3" xfId="21908"/>
    <cellStyle name="Normal 252 3 2" xfId="21909"/>
    <cellStyle name="Normal 252 3 2 2" xfId="21910"/>
    <cellStyle name="Normal 252 3 3" xfId="21911"/>
    <cellStyle name="Normal 252 3 3 2" xfId="21912"/>
    <cellStyle name="Normal 252 3 3 2 2" xfId="21913"/>
    <cellStyle name="Normal 252 3 3 3" xfId="21914"/>
    <cellStyle name="Normal 252 3 4" xfId="21915"/>
    <cellStyle name="Normal 252 3 4 2" xfId="21916"/>
    <cellStyle name="Normal 252 3 4 2 2" xfId="21917"/>
    <cellStyle name="Normal 252 3 4 3" xfId="21918"/>
    <cellStyle name="Normal 252 3 5" xfId="21919"/>
    <cellStyle name="Normal 252 4" xfId="21920"/>
    <cellStyle name="Normal 252 4 2" xfId="21921"/>
    <cellStyle name="Normal 252 4 2 2" xfId="21922"/>
    <cellStyle name="Normal 252 4 2 2 2" xfId="21923"/>
    <cellStyle name="Normal 252 4 2 3" xfId="21924"/>
    <cellStyle name="Normal 252 4 2 3 2" xfId="21925"/>
    <cellStyle name="Normal 252 4 2 3 2 2" xfId="21926"/>
    <cellStyle name="Normal 252 4 2 3 3" xfId="21927"/>
    <cellStyle name="Normal 252 4 2 4" xfId="21928"/>
    <cellStyle name="Normal 252 4 3" xfId="21929"/>
    <cellStyle name="Normal 252 4 3 2" xfId="21930"/>
    <cellStyle name="Normal 252 4 3 2 2" xfId="21931"/>
    <cellStyle name="Normal 252 4 3 3" xfId="21932"/>
    <cellStyle name="Normal 252 4 4" xfId="21933"/>
    <cellStyle name="Normal 252 4 4 2" xfId="21934"/>
    <cellStyle name="Normal 252 4 4 2 2" xfId="21935"/>
    <cellStyle name="Normal 252 4 4 3" xfId="21936"/>
    <cellStyle name="Normal 252 4 5" xfId="21937"/>
    <cellStyle name="Normal 252 4 5 2" xfId="21938"/>
    <cellStyle name="Normal 252 4 5 2 2" xfId="21939"/>
    <cellStyle name="Normal 252 4 5 3" xfId="21940"/>
    <cellStyle name="Normal 252 4 6" xfId="21941"/>
    <cellStyle name="Normal 252 5" xfId="21942"/>
    <cellStyle name="Normal 252 5 2" xfId="21943"/>
    <cellStyle name="Normal 252 5 2 2" xfId="21944"/>
    <cellStyle name="Normal 252 5 3" xfId="21945"/>
    <cellStyle name="Normal 252 6" xfId="21946"/>
    <cellStyle name="Normal 252 6 2" xfId="21947"/>
    <cellStyle name="Normal 252 6 2 2" xfId="21948"/>
    <cellStyle name="Normal 252 6 3" xfId="21949"/>
    <cellStyle name="Normal 252 7" xfId="21950"/>
    <cellStyle name="Normal 252 7 2" xfId="21951"/>
    <cellStyle name="Normal 252 7 2 2" xfId="21952"/>
    <cellStyle name="Normal 252 7 3" xfId="21953"/>
    <cellStyle name="Normal 252 8" xfId="21954"/>
    <cellStyle name="Normal 253" xfId="21955"/>
    <cellStyle name="Normal 253 2" xfId="21956"/>
    <cellStyle name="Normal 253 2 2" xfId="21957"/>
    <cellStyle name="Normal 253 2 2 2" xfId="21958"/>
    <cellStyle name="Normal 253 2 2 2 2" xfId="21959"/>
    <cellStyle name="Normal 253 2 2 3" xfId="21960"/>
    <cellStyle name="Normal 253 2 2 3 2" xfId="21961"/>
    <cellStyle name="Normal 253 2 2 3 2 2" xfId="21962"/>
    <cellStyle name="Normal 253 2 2 3 3" xfId="21963"/>
    <cellStyle name="Normal 253 2 2 4" xfId="21964"/>
    <cellStyle name="Normal 253 2 2 4 2" xfId="21965"/>
    <cellStyle name="Normal 253 2 2 4 2 2" xfId="21966"/>
    <cellStyle name="Normal 253 2 2 4 3" xfId="21967"/>
    <cellStyle name="Normal 253 2 2 5" xfId="21968"/>
    <cellStyle name="Normal 253 2 3" xfId="21969"/>
    <cellStyle name="Normal 253 2 3 2" xfId="21970"/>
    <cellStyle name="Normal 253 2 3 2 2" xfId="21971"/>
    <cellStyle name="Normal 253 2 3 2 2 2" xfId="21972"/>
    <cellStyle name="Normal 253 2 3 2 3" xfId="21973"/>
    <cellStyle name="Normal 253 2 3 2 3 2" xfId="21974"/>
    <cellStyle name="Normal 253 2 3 2 3 2 2" xfId="21975"/>
    <cellStyle name="Normal 253 2 3 2 3 3" xfId="21976"/>
    <cellStyle name="Normal 253 2 3 2 4" xfId="21977"/>
    <cellStyle name="Normal 253 2 3 3" xfId="21978"/>
    <cellStyle name="Normal 253 2 3 3 2" xfId="21979"/>
    <cellStyle name="Normal 253 2 3 3 2 2" xfId="21980"/>
    <cellStyle name="Normal 253 2 3 3 3" xfId="21981"/>
    <cellStyle name="Normal 253 2 3 4" xfId="21982"/>
    <cellStyle name="Normal 253 2 3 4 2" xfId="21983"/>
    <cellStyle name="Normal 253 2 3 4 2 2" xfId="21984"/>
    <cellStyle name="Normal 253 2 3 4 3" xfId="21985"/>
    <cellStyle name="Normal 253 2 3 5" xfId="21986"/>
    <cellStyle name="Normal 253 2 3 5 2" xfId="21987"/>
    <cellStyle name="Normal 253 2 3 5 2 2" xfId="21988"/>
    <cellStyle name="Normal 253 2 3 5 3" xfId="21989"/>
    <cellStyle name="Normal 253 2 3 6" xfId="21990"/>
    <cellStyle name="Normal 253 2 4" xfId="21991"/>
    <cellStyle name="Normal 253 2 4 2" xfId="21992"/>
    <cellStyle name="Normal 253 2 4 2 2" xfId="21993"/>
    <cellStyle name="Normal 253 2 4 3" xfId="21994"/>
    <cellStyle name="Normal 253 2 5" xfId="21995"/>
    <cellStyle name="Normal 253 2 5 2" xfId="21996"/>
    <cellStyle name="Normal 253 2 5 2 2" xfId="21997"/>
    <cellStyle name="Normal 253 2 5 3" xfId="21998"/>
    <cellStyle name="Normal 253 2 6" xfId="21999"/>
    <cellStyle name="Normal 253 2 6 2" xfId="22000"/>
    <cellStyle name="Normal 253 2 6 2 2" xfId="22001"/>
    <cellStyle name="Normal 253 2 6 3" xfId="22002"/>
    <cellStyle name="Normal 253 2 7" xfId="22003"/>
    <cellStyle name="Normal 253 3" xfId="22004"/>
    <cellStyle name="Normal 253 3 2" xfId="22005"/>
    <cellStyle name="Normal 253 3 2 2" xfId="22006"/>
    <cellStyle name="Normal 253 3 3" xfId="22007"/>
    <cellStyle name="Normal 253 3 3 2" xfId="22008"/>
    <cellStyle name="Normal 253 3 3 2 2" xfId="22009"/>
    <cellStyle name="Normal 253 3 3 3" xfId="22010"/>
    <cellStyle name="Normal 253 3 4" xfId="22011"/>
    <cellStyle name="Normal 253 3 4 2" xfId="22012"/>
    <cellStyle name="Normal 253 3 4 2 2" xfId="22013"/>
    <cellStyle name="Normal 253 3 4 3" xfId="22014"/>
    <cellStyle name="Normal 253 3 5" xfId="22015"/>
    <cellStyle name="Normal 253 4" xfId="22016"/>
    <cellStyle name="Normal 253 4 2" xfId="22017"/>
    <cellStyle name="Normal 253 4 2 2" xfId="22018"/>
    <cellStyle name="Normal 253 4 2 2 2" xfId="22019"/>
    <cellStyle name="Normal 253 4 2 3" xfId="22020"/>
    <cellStyle name="Normal 253 4 2 3 2" xfId="22021"/>
    <cellStyle name="Normal 253 4 2 3 2 2" xfId="22022"/>
    <cellStyle name="Normal 253 4 2 3 3" xfId="22023"/>
    <cellStyle name="Normal 253 4 2 4" xfId="22024"/>
    <cellStyle name="Normal 253 4 3" xfId="22025"/>
    <cellStyle name="Normal 253 4 3 2" xfId="22026"/>
    <cellStyle name="Normal 253 4 3 2 2" xfId="22027"/>
    <cellStyle name="Normal 253 4 3 3" xfId="22028"/>
    <cellStyle name="Normal 253 4 4" xfId="22029"/>
    <cellStyle name="Normal 253 4 4 2" xfId="22030"/>
    <cellStyle name="Normal 253 4 4 2 2" xfId="22031"/>
    <cellStyle name="Normal 253 4 4 3" xfId="22032"/>
    <cellStyle name="Normal 253 4 5" xfId="22033"/>
    <cellStyle name="Normal 253 4 5 2" xfId="22034"/>
    <cellStyle name="Normal 253 4 5 2 2" xfId="22035"/>
    <cellStyle name="Normal 253 4 5 3" xfId="22036"/>
    <cellStyle name="Normal 253 4 6" xfId="22037"/>
    <cellStyle name="Normal 253 5" xfId="22038"/>
    <cellStyle name="Normal 253 5 2" xfId="22039"/>
    <cellStyle name="Normal 253 5 2 2" xfId="22040"/>
    <cellStyle name="Normal 253 5 3" xfId="22041"/>
    <cellStyle name="Normal 253 6" xfId="22042"/>
    <cellStyle name="Normal 253 6 2" xfId="22043"/>
    <cellStyle name="Normal 253 6 2 2" xfId="22044"/>
    <cellStyle name="Normal 253 6 3" xfId="22045"/>
    <cellStyle name="Normal 253 7" xfId="22046"/>
    <cellStyle name="Normal 253 7 2" xfId="22047"/>
    <cellStyle name="Normal 253 7 2 2" xfId="22048"/>
    <cellStyle name="Normal 253 7 3" xfId="22049"/>
    <cellStyle name="Normal 253 8" xfId="22050"/>
    <cellStyle name="Normal 254" xfId="22051"/>
    <cellStyle name="Normal 254 2" xfId="22052"/>
    <cellStyle name="Normal 254 2 2" xfId="22053"/>
    <cellStyle name="Normal 254 2 2 2" xfId="22054"/>
    <cellStyle name="Normal 254 2 2 2 2" xfId="22055"/>
    <cellStyle name="Normal 254 2 2 3" xfId="22056"/>
    <cellStyle name="Normal 254 2 2 3 2" xfId="22057"/>
    <cellStyle name="Normal 254 2 2 3 2 2" xfId="22058"/>
    <cellStyle name="Normal 254 2 2 3 3" xfId="22059"/>
    <cellStyle name="Normal 254 2 2 4" xfId="22060"/>
    <cellStyle name="Normal 254 2 2 4 2" xfId="22061"/>
    <cellStyle name="Normal 254 2 2 4 2 2" xfId="22062"/>
    <cellStyle name="Normal 254 2 2 4 3" xfId="22063"/>
    <cellStyle name="Normal 254 2 2 5" xfId="22064"/>
    <cellStyle name="Normal 254 2 3" xfId="22065"/>
    <cellStyle name="Normal 254 2 3 2" xfId="22066"/>
    <cellStyle name="Normal 254 2 3 2 2" xfId="22067"/>
    <cellStyle name="Normal 254 2 3 2 2 2" xfId="22068"/>
    <cellStyle name="Normal 254 2 3 2 3" xfId="22069"/>
    <cellStyle name="Normal 254 2 3 2 3 2" xfId="22070"/>
    <cellStyle name="Normal 254 2 3 2 3 2 2" xfId="22071"/>
    <cellStyle name="Normal 254 2 3 2 3 3" xfId="22072"/>
    <cellStyle name="Normal 254 2 3 2 4" xfId="22073"/>
    <cellStyle name="Normal 254 2 3 3" xfId="22074"/>
    <cellStyle name="Normal 254 2 3 3 2" xfId="22075"/>
    <cellStyle name="Normal 254 2 3 3 2 2" xfId="22076"/>
    <cellStyle name="Normal 254 2 3 3 3" xfId="22077"/>
    <cellStyle name="Normal 254 2 3 4" xfId="22078"/>
    <cellStyle name="Normal 254 2 3 4 2" xfId="22079"/>
    <cellStyle name="Normal 254 2 3 4 2 2" xfId="22080"/>
    <cellStyle name="Normal 254 2 3 4 3" xfId="22081"/>
    <cellStyle name="Normal 254 2 3 5" xfId="22082"/>
    <cellStyle name="Normal 254 2 3 5 2" xfId="22083"/>
    <cellStyle name="Normal 254 2 3 5 2 2" xfId="22084"/>
    <cellStyle name="Normal 254 2 3 5 3" xfId="22085"/>
    <cellStyle name="Normal 254 2 3 6" xfId="22086"/>
    <cellStyle name="Normal 254 2 4" xfId="22087"/>
    <cellStyle name="Normal 254 2 4 2" xfId="22088"/>
    <cellStyle name="Normal 254 2 4 2 2" xfId="22089"/>
    <cellStyle name="Normal 254 2 4 3" xfId="22090"/>
    <cellStyle name="Normal 254 2 5" xfId="22091"/>
    <cellStyle name="Normal 254 2 5 2" xfId="22092"/>
    <cellStyle name="Normal 254 2 5 2 2" xfId="22093"/>
    <cellStyle name="Normal 254 2 5 3" xfId="22094"/>
    <cellStyle name="Normal 254 2 6" xfId="22095"/>
    <cellStyle name="Normal 254 2 6 2" xfId="22096"/>
    <cellStyle name="Normal 254 2 6 2 2" xfId="22097"/>
    <cellStyle name="Normal 254 2 6 3" xfId="22098"/>
    <cellStyle name="Normal 254 2 7" xfId="22099"/>
    <cellStyle name="Normal 254 3" xfId="22100"/>
    <cellStyle name="Normal 254 3 2" xfId="22101"/>
    <cellStyle name="Normal 254 3 2 2" xfId="22102"/>
    <cellStyle name="Normal 254 3 3" xfId="22103"/>
    <cellStyle name="Normal 254 3 3 2" xfId="22104"/>
    <cellStyle name="Normal 254 3 3 2 2" xfId="22105"/>
    <cellStyle name="Normal 254 3 3 3" xfId="22106"/>
    <cellStyle name="Normal 254 3 4" xfId="22107"/>
    <cellStyle name="Normal 254 3 4 2" xfId="22108"/>
    <cellStyle name="Normal 254 3 4 2 2" xfId="22109"/>
    <cellStyle name="Normal 254 3 4 3" xfId="22110"/>
    <cellStyle name="Normal 254 3 5" xfId="22111"/>
    <cellStyle name="Normal 254 4" xfId="22112"/>
    <cellStyle name="Normal 254 4 2" xfId="22113"/>
    <cellStyle name="Normal 254 4 2 2" xfId="22114"/>
    <cellStyle name="Normal 254 4 2 2 2" xfId="22115"/>
    <cellStyle name="Normal 254 4 2 3" xfId="22116"/>
    <cellStyle name="Normal 254 4 2 3 2" xfId="22117"/>
    <cellStyle name="Normal 254 4 2 3 2 2" xfId="22118"/>
    <cellStyle name="Normal 254 4 2 3 3" xfId="22119"/>
    <cellStyle name="Normal 254 4 2 4" xfId="22120"/>
    <cellStyle name="Normal 254 4 3" xfId="22121"/>
    <cellStyle name="Normal 254 4 3 2" xfId="22122"/>
    <cellStyle name="Normal 254 4 3 2 2" xfId="22123"/>
    <cellStyle name="Normal 254 4 3 3" xfId="22124"/>
    <cellStyle name="Normal 254 4 4" xfId="22125"/>
    <cellStyle name="Normal 254 4 4 2" xfId="22126"/>
    <cellStyle name="Normal 254 4 4 2 2" xfId="22127"/>
    <cellStyle name="Normal 254 4 4 3" xfId="22128"/>
    <cellStyle name="Normal 254 4 5" xfId="22129"/>
    <cellStyle name="Normal 254 4 5 2" xfId="22130"/>
    <cellStyle name="Normal 254 4 5 2 2" xfId="22131"/>
    <cellStyle name="Normal 254 4 5 3" xfId="22132"/>
    <cellStyle name="Normal 254 4 6" xfId="22133"/>
    <cellStyle name="Normal 254 5" xfId="22134"/>
    <cellStyle name="Normal 254 5 2" xfId="22135"/>
    <cellStyle name="Normal 254 5 2 2" xfId="22136"/>
    <cellStyle name="Normal 254 5 3" xfId="22137"/>
    <cellStyle name="Normal 254 6" xfId="22138"/>
    <cellStyle name="Normal 254 6 2" xfId="22139"/>
    <cellStyle name="Normal 254 6 2 2" xfId="22140"/>
    <cellStyle name="Normal 254 6 3" xfId="22141"/>
    <cellStyle name="Normal 254 7" xfId="22142"/>
    <cellStyle name="Normal 254 7 2" xfId="22143"/>
    <cellStyle name="Normal 254 7 2 2" xfId="22144"/>
    <cellStyle name="Normal 254 7 3" xfId="22145"/>
    <cellStyle name="Normal 254 8" xfId="22146"/>
    <cellStyle name="Normal 255" xfId="22147"/>
    <cellStyle name="Normal 255 2" xfId="22148"/>
    <cellStyle name="Normal 255 2 2" xfId="22149"/>
    <cellStyle name="Normal 255 2 2 2" xfId="22150"/>
    <cellStyle name="Normal 255 2 2 2 2" xfId="22151"/>
    <cellStyle name="Normal 255 2 2 3" xfId="22152"/>
    <cellStyle name="Normal 255 2 2 3 2" xfId="22153"/>
    <cellStyle name="Normal 255 2 2 3 2 2" xfId="22154"/>
    <cellStyle name="Normal 255 2 2 3 3" xfId="22155"/>
    <cellStyle name="Normal 255 2 2 4" xfId="22156"/>
    <cellStyle name="Normal 255 2 2 4 2" xfId="22157"/>
    <cellStyle name="Normal 255 2 2 4 2 2" xfId="22158"/>
    <cellStyle name="Normal 255 2 2 4 3" xfId="22159"/>
    <cellStyle name="Normal 255 2 2 5" xfId="22160"/>
    <cellStyle name="Normal 255 2 3" xfId="22161"/>
    <cellStyle name="Normal 255 2 3 2" xfId="22162"/>
    <cellStyle name="Normal 255 2 3 2 2" xfId="22163"/>
    <cellStyle name="Normal 255 2 3 2 2 2" xfId="22164"/>
    <cellStyle name="Normal 255 2 3 2 3" xfId="22165"/>
    <cellStyle name="Normal 255 2 3 2 3 2" xfId="22166"/>
    <cellStyle name="Normal 255 2 3 2 3 2 2" xfId="22167"/>
    <cellStyle name="Normal 255 2 3 2 3 3" xfId="22168"/>
    <cellStyle name="Normal 255 2 3 2 4" xfId="22169"/>
    <cellStyle name="Normal 255 2 3 3" xfId="22170"/>
    <cellStyle name="Normal 255 2 3 3 2" xfId="22171"/>
    <cellStyle name="Normal 255 2 3 3 2 2" xfId="22172"/>
    <cellStyle name="Normal 255 2 3 3 3" xfId="22173"/>
    <cellStyle name="Normal 255 2 3 4" xfId="22174"/>
    <cellStyle name="Normal 255 2 3 4 2" xfId="22175"/>
    <cellStyle name="Normal 255 2 3 4 2 2" xfId="22176"/>
    <cellStyle name="Normal 255 2 3 4 3" xfId="22177"/>
    <cellStyle name="Normal 255 2 3 5" xfId="22178"/>
    <cellStyle name="Normal 255 2 3 5 2" xfId="22179"/>
    <cellStyle name="Normal 255 2 3 5 2 2" xfId="22180"/>
    <cellStyle name="Normal 255 2 3 5 3" xfId="22181"/>
    <cellStyle name="Normal 255 2 3 6" xfId="22182"/>
    <cellStyle name="Normal 255 2 4" xfId="22183"/>
    <cellStyle name="Normal 255 2 4 2" xfId="22184"/>
    <cellStyle name="Normal 255 2 4 2 2" xfId="22185"/>
    <cellStyle name="Normal 255 2 4 3" xfId="22186"/>
    <cellStyle name="Normal 255 2 5" xfId="22187"/>
    <cellStyle name="Normal 255 2 5 2" xfId="22188"/>
    <cellStyle name="Normal 255 2 5 2 2" xfId="22189"/>
    <cellStyle name="Normal 255 2 5 3" xfId="22190"/>
    <cellStyle name="Normal 255 2 6" xfId="22191"/>
    <cellStyle name="Normal 255 2 6 2" xfId="22192"/>
    <cellStyle name="Normal 255 2 6 2 2" xfId="22193"/>
    <cellStyle name="Normal 255 2 6 3" xfId="22194"/>
    <cellStyle name="Normal 255 2 7" xfId="22195"/>
    <cellStyle name="Normal 255 3" xfId="22196"/>
    <cellStyle name="Normal 255 3 2" xfId="22197"/>
    <cellStyle name="Normal 255 3 2 2" xfId="22198"/>
    <cellStyle name="Normal 255 3 3" xfId="22199"/>
    <cellStyle name="Normal 255 3 3 2" xfId="22200"/>
    <cellStyle name="Normal 255 3 3 2 2" xfId="22201"/>
    <cellStyle name="Normal 255 3 3 3" xfId="22202"/>
    <cellStyle name="Normal 255 3 4" xfId="22203"/>
    <cellStyle name="Normal 255 3 4 2" xfId="22204"/>
    <cellStyle name="Normal 255 3 4 2 2" xfId="22205"/>
    <cellStyle name="Normal 255 3 4 3" xfId="22206"/>
    <cellStyle name="Normal 255 3 5" xfId="22207"/>
    <cellStyle name="Normal 255 4" xfId="22208"/>
    <cellStyle name="Normal 255 4 2" xfId="22209"/>
    <cellStyle name="Normal 255 4 2 2" xfId="22210"/>
    <cellStyle name="Normal 255 4 2 2 2" xfId="22211"/>
    <cellStyle name="Normal 255 4 2 3" xfId="22212"/>
    <cellStyle name="Normal 255 4 2 3 2" xfId="22213"/>
    <cellStyle name="Normal 255 4 2 3 2 2" xfId="22214"/>
    <cellStyle name="Normal 255 4 2 3 3" xfId="22215"/>
    <cellStyle name="Normal 255 4 2 4" xfId="22216"/>
    <cellStyle name="Normal 255 4 3" xfId="22217"/>
    <cellStyle name="Normal 255 4 3 2" xfId="22218"/>
    <cellStyle name="Normal 255 4 3 2 2" xfId="22219"/>
    <cellStyle name="Normal 255 4 3 3" xfId="22220"/>
    <cellStyle name="Normal 255 4 4" xfId="22221"/>
    <cellStyle name="Normal 255 4 4 2" xfId="22222"/>
    <cellStyle name="Normal 255 4 4 2 2" xfId="22223"/>
    <cellStyle name="Normal 255 4 4 3" xfId="22224"/>
    <cellStyle name="Normal 255 4 5" xfId="22225"/>
    <cellStyle name="Normal 255 4 5 2" xfId="22226"/>
    <cellStyle name="Normal 255 4 5 2 2" xfId="22227"/>
    <cellStyle name="Normal 255 4 5 3" xfId="22228"/>
    <cellStyle name="Normal 255 4 6" xfId="22229"/>
    <cellStyle name="Normal 255 5" xfId="22230"/>
    <cellStyle name="Normal 255 5 2" xfId="22231"/>
    <cellStyle name="Normal 255 5 2 2" xfId="22232"/>
    <cellStyle name="Normal 255 5 3" xfId="22233"/>
    <cellStyle name="Normal 255 6" xfId="22234"/>
    <cellStyle name="Normal 255 6 2" xfId="22235"/>
    <cellStyle name="Normal 255 6 2 2" xfId="22236"/>
    <cellStyle name="Normal 255 6 3" xfId="22237"/>
    <cellStyle name="Normal 255 7" xfId="22238"/>
    <cellStyle name="Normal 255 7 2" xfId="22239"/>
    <cellStyle name="Normal 255 7 2 2" xfId="22240"/>
    <cellStyle name="Normal 255 7 3" xfId="22241"/>
    <cellStyle name="Normal 255 8" xfId="22242"/>
    <cellStyle name="Normal 256" xfId="22243"/>
    <cellStyle name="Normal 256 2" xfId="22244"/>
    <cellStyle name="Normal 256 2 2" xfId="22245"/>
    <cellStyle name="Normal 256 2 2 2" xfId="22246"/>
    <cellStyle name="Normal 256 2 2 2 2" xfId="22247"/>
    <cellStyle name="Normal 256 2 2 3" xfId="22248"/>
    <cellStyle name="Normal 256 2 2 3 2" xfId="22249"/>
    <cellStyle name="Normal 256 2 2 3 2 2" xfId="22250"/>
    <cellStyle name="Normal 256 2 2 3 3" xfId="22251"/>
    <cellStyle name="Normal 256 2 2 4" xfId="22252"/>
    <cellStyle name="Normal 256 2 2 4 2" xfId="22253"/>
    <cellStyle name="Normal 256 2 2 4 2 2" xfId="22254"/>
    <cellStyle name="Normal 256 2 2 4 3" xfId="22255"/>
    <cellStyle name="Normal 256 2 2 5" xfId="22256"/>
    <cellStyle name="Normal 256 2 3" xfId="22257"/>
    <cellStyle name="Normal 256 2 3 2" xfId="22258"/>
    <cellStyle name="Normal 256 2 3 2 2" xfId="22259"/>
    <cellStyle name="Normal 256 2 3 2 2 2" xfId="22260"/>
    <cellStyle name="Normal 256 2 3 2 3" xfId="22261"/>
    <cellStyle name="Normal 256 2 3 2 3 2" xfId="22262"/>
    <cellStyle name="Normal 256 2 3 2 3 2 2" xfId="22263"/>
    <cellStyle name="Normal 256 2 3 2 3 3" xfId="22264"/>
    <cellStyle name="Normal 256 2 3 2 4" xfId="22265"/>
    <cellStyle name="Normal 256 2 3 3" xfId="22266"/>
    <cellStyle name="Normal 256 2 3 3 2" xfId="22267"/>
    <cellStyle name="Normal 256 2 3 3 2 2" xfId="22268"/>
    <cellStyle name="Normal 256 2 3 3 3" xfId="22269"/>
    <cellStyle name="Normal 256 2 3 4" xfId="22270"/>
    <cellStyle name="Normal 256 2 3 4 2" xfId="22271"/>
    <cellStyle name="Normal 256 2 3 4 2 2" xfId="22272"/>
    <cellStyle name="Normal 256 2 3 4 3" xfId="22273"/>
    <cellStyle name="Normal 256 2 3 5" xfId="22274"/>
    <cellStyle name="Normal 256 2 3 5 2" xfId="22275"/>
    <cellStyle name="Normal 256 2 3 5 2 2" xfId="22276"/>
    <cellStyle name="Normal 256 2 3 5 3" xfId="22277"/>
    <cellStyle name="Normal 256 2 3 6" xfId="22278"/>
    <cellStyle name="Normal 256 2 4" xfId="22279"/>
    <cellStyle name="Normal 256 2 4 2" xfId="22280"/>
    <cellStyle name="Normal 256 2 4 2 2" xfId="22281"/>
    <cellStyle name="Normal 256 2 4 3" xfId="22282"/>
    <cellStyle name="Normal 256 2 5" xfId="22283"/>
    <cellStyle name="Normal 256 2 5 2" xfId="22284"/>
    <cellStyle name="Normal 256 2 5 2 2" xfId="22285"/>
    <cellStyle name="Normal 256 2 5 3" xfId="22286"/>
    <cellStyle name="Normal 256 2 6" xfId="22287"/>
    <cellStyle name="Normal 256 2 6 2" xfId="22288"/>
    <cellStyle name="Normal 256 2 6 2 2" xfId="22289"/>
    <cellStyle name="Normal 256 2 6 3" xfId="22290"/>
    <cellStyle name="Normal 256 2 7" xfId="22291"/>
    <cellStyle name="Normal 256 3" xfId="22292"/>
    <cellStyle name="Normal 256 3 2" xfId="22293"/>
    <cellStyle name="Normal 256 3 2 2" xfId="22294"/>
    <cellStyle name="Normal 256 3 3" xfId="22295"/>
    <cellStyle name="Normal 256 3 3 2" xfId="22296"/>
    <cellStyle name="Normal 256 3 3 2 2" xfId="22297"/>
    <cellStyle name="Normal 256 3 3 3" xfId="22298"/>
    <cellStyle name="Normal 256 3 4" xfId="22299"/>
    <cellStyle name="Normal 256 3 4 2" xfId="22300"/>
    <cellStyle name="Normal 256 3 4 2 2" xfId="22301"/>
    <cellStyle name="Normal 256 3 4 3" xfId="22302"/>
    <cellStyle name="Normal 256 3 5" xfId="22303"/>
    <cellStyle name="Normal 256 4" xfId="22304"/>
    <cellStyle name="Normal 256 4 2" xfId="22305"/>
    <cellStyle name="Normal 256 4 2 2" xfId="22306"/>
    <cellStyle name="Normal 256 4 2 2 2" xfId="22307"/>
    <cellStyle name="Normal 256 4 2 3" xfId="22308"/>
    <cellStyle name="Normal 256 4 2 3 2" xfId="22309"/>
    <cellStyle name="Normal 256 4 2 3 2 2" xfId="22310"/>
    <cellStyle name="Normal 256 4 2 3 3" xfId="22311"/>
    <cellStyle name="Normal 256 4 2 4" xfId="22312"/>
    <cellStyle name="Normal 256 4 3" xfId="22313"/>
    <cellStyle name="Normal 256 4 3 2" xfId="22314"/>
    <cellStyle name="Normal 256 4 3 2 2" xfId="22315"/>
    <cellStyle name="Normal 256 4 3 3" xfId="22316"/>
    <cellStyle name="Normal 256 4 4" xfId="22317"/>
    <cellStyle name="Normal 256 4 4 2" xfId="22318"/>
    <cellStyle name="Normal 256 4 4 2 2" xfId="22319"/>
    <cellStyle name="Normal 256 4 4 3" xfId="22320"/>
    <cellStyle name="Normal 256 4 5" xfId="22321"/>
    <cellStyle name="Normal 256 4 5 2" xfId="22322"/>
    <cellStyle name="Normal 256 4 5 2 2" xfId="22323"/>
    <cellStyle name="Normal 256 4 5 3" xfId="22324"/>
    <cellStyle name="Normal 256 4 6" xfId="22325"/>
    <cellStyle name="Normal 256 5" xfId="22326"/>
    <cellStyle name="Normal 256 5 2" xfId="22327"/>
    <cellStyle name="Normal 256 5 2 2" xfId="22328"/>
    <cellStyle name="Normal 256 5 3" xfId="22329"/>
    <cellStyle name="Normal 256 6" xfId="22330"/>
    <cellStyle name="Normal 256 6 2" xfId="22331"/>
    <cellStyle name="Normal 256 6 2 2" xfId="22332"/>
    <cellStyle name="Normal 256 6 3" xfId="22333"/>
    <cellStyle name="Normal 256 7" xfId="22334"/>
    <cellStyle name="Normal 256 7 2" xfId="22335"/>
    <cellStyle name="Normal 256 7 2 2" xfId="22336"/>
    <cellStyle name="Normal 256 7 3" xfId="22337"/>
    <cellStyle name="Normal 256 8" xfId="22338"/>
    <cellStyle name="Normal 257" xfId="22339"/>
    <cellStyle name="Normal 257 2" xfId="22340"/>
    <cellStyle name="Normal 257 2 2" xfId="22341"/>
    <cellStyle name="Normal 257 2 2 2" xfId="22342"/>
    <cellStyle name="Normal 257 2 3" xfId="22343"/>
    <cellStyle name="Normal 257 2 3 2" xfId="22344"/>
    <cellStyle name="Normal 257 2 3 2 2" xfId="22345"/>
    <cellStyle name="Normal 257 2 3 3" xfId="22346"/>
    <cellStyle name="Normal 257 2 4" xfId="22347"/>
    <cellStyle name="Normal 257 2 4 2" xfId="22348"/>
    <cellStyle name="Normal 257 2 4 2 2" xfId="22349"/>
    <cellStyle name="Normal 257 2 4 3" xfId="22350"/>
    <cellStyle name="Normal 257 2 5" xfId="22351"/>
    <cellStyle name="Normal 257 3" xfId="22352"/>
    <cellStyle name="Normal 257 3 2" xfId="22353"/>
    <cellStyle name="Normal 257 3 2 2" xfId="22354"/>
    <cellStyle name="Normal 257 3 2 2 2" xfId="22355"/>
    <cellStyle name="Normal 257 3 2 3" xfId="22356"/>
    <cellStyle name="Normal 257 3 2 3 2" xfId="22357"/>
    <cellStyle name="Normal 257 3 2 3 2 2" xfId="22358"/>
    <cellStyle name="Normal 257 3 2 3 3" xfId="22359"/>
    <cellStyle name="Normal 257 3 2 4" xfId="22360"/>
    <cellStyle name="Normal 257 3 3" xfId="22361"/>
    <cellStyle name="Normal 257 3 3 2" xfId="22362"/>
    <cellStyle name="Normal 257 3 3 2 2" xfId="22363"/>
    <cellStyle name="Normal 257 3 3 3" xfId="22364"/>
    <cellStyle name="Normal 257 3 4" xfId="22365"/>
    <cellStyle name="Normal 257 3 4 2" xfId="22366"/>
    <cellStyle name="Normal 257 3 4 2 2" xfId="22367"/>
    <cellStyle name="Normal 257 3 4 3" xfId="22368"/>
    <cellStyle name="Normal 257 3 5" xfId="22369"/>
    <cellStyle name="Normal 257 3 5 2" xfId="22370"/>
    <cellStyle name="Normal 257 3 5 2 2" xfId="22371"/>
    <cellStyle name="Normal 257 3 5 3" xfId="22372"/>
    <cellStyle name="Normal 257 3 6" xfId="22373"/>
    <cellStyle name="Normal 257 4" xfId="22374"/>
    <cellStyle name="Normal 257 4 2" xfId="22375"/>
    <cellStyle name="Normal 257 4 2 2" xfId="22376"/>
    <cellStyle name="Normal 257 4 3" xfId="22377"/>
    <cellStyle name="Normal 257 5" xfId="22378"/>
    <cellStyle name="Normal 257 5 2" xfId="22379"/>
    <cellStyle name="Normal 257 5 2 2" xfId="22380"/>
    <cellStyle name="Normal 257 5 3" xfId="22381"/>
    <cellStyle name="Normal 257 6" xfId="22382"/>
    <cellStyle name="Normal 257 6 2" xfId="22383"/>
    <cellStyle name="Normal 257 6 2 2" xfId="22384"/>
    <cellStyle name="Normal 257 6 3" xfId="22385"/>
    <cellStyle name="Normal 257 7" xfId="22386"/>
    <cellStyle name="Normal 258" xfId="22387"/>
    <cellStyle name="Normal 258 2" xfId="22388"/>
    <cellStyle name="Normal 258 2 2" xfId="22389"/>
    <cellStyle name="Normal 258 2 2 2" xfId="22390"/>
    <cellStyle name="Normal 258 2 3" xfId="22391"/>
    <cellStyle name="Normal 258 2 3 2" xfId="22392"/>
    <cellStyle name="Normal 258 2 3 2 2" xfId="22393"/>
    <cellStyle name="Normal 258 2 3 3" xfId="22394"/>
    <cellStyle name="Normal 258 2 4" xfId="22395"/>
    <cellStyle name="Normal 258 2 4 2" xfId="22396"/>
    <cellStyle name="Normal 258 2 4 2 2" xfId="22397"/>
    <cellStyle name="Normal 258 2 4 3" xfId="22398"/>
    <cellStyle name="Normal 258 2 5" xfId="22399"/>
    <cellStyle name="Normal 258 3" xfId="22400"/>
    <cellStyle name="Normal 258 3 2" xfId="22401"/>
    <cellStyle name="Normal 258 3 2 2" xfId="22402"/>
    <cellStyle name="Normal 258 3 2 2 2" xfId="22403"/>
    <cellStyle name="Normal 258 3 2 3" xfId="22404"/>
    <cellStyle name="Normal 258 3 2 3 2" xfId="22405"/>
    <cellStyle name="Normal 258 3 2 3 2 2" xfId="22406"/>
    <cellStyle name="Normal 258 3 2 3 3" xfId="22407"/>
    <cellStyle name="Normal 258 3 2 4" xfId="22408"/>
    <cellStyle name="Normal 258 3 3" xfId="22409"/>
    <cellStyle name="Normal 258 3 3 2" xfId="22410"/>
    <cellStyle name="Normal 258 3 3 2 2" xfId="22411"/>
    <cellStyle name="Normal 258 3 3 3" xfId="22412"/>
    <cellStyle name="Normal 258 3 4" xfId="22413"/>
    <cellStyle name="Normal 258 3 4 2" xfId="22414"/>
    <cellStyle name="Normal 258 3 4 2 2" xfId="22415"/>
    <cellStyle name="Normal 258 3 4 3" xfId="22416"/>
    <cellStyle name="Normal 258 3 5" xfId="22417"/>
    <cellStyle name="Normal 258 3 5 2" xfId="22418"/>
    <cellStyle name="Normal 258 3 5 2 2" xfId="22419"/>
    <cellStyle name="Normal 258 3 5 3" xfId="22420"/>
    <cellStyle name="Normal 258 3 6" xfId="22421"/>
    <cellStyle name="Normal 258 4" xfId="22422"/>
    <cellStyle name="Normal 258 4 2" xfId="22423"/>
    <cellStyle name="Normal 258 4 2 2" xfId="22424"/>
    <cellStyle name="Normal 258 4 3" xfId="22425"/>
    <cellStyle name="Normal 258 5" xfId="22426"/>
    <cellStyle name="Normal 258 5 2" xfId="22427"/>
    <cellStyle name="Normal 258 5 2 2" xfId="22428"/>
    <cellStyle name="Normal 258 5 3" xfId="22429"/>
    <cellStyle name="Normal 258 6" xfId="22430"/>
    <cellStyle name="Normal 258 6 2" xfId="22431"/>
    <cellStyle name="Normal 258 6 2 2" xfId="22432"/>
    <cellStyle name="Normal 258 6 3" xfId="22433"/>
    <cellStyle name="Normal 258 7" xfId="22434"/>
    <cellStyle name="Normal 259" xfId="22435"/>
    <cellStyle name="Normal 259 2" xfId="22436"/>
    <cellStyle name="Normal 259 2 2" xfId="22437"/>
    <cellStyle name="Normal 259 2 2 2" xfId="22438"/>
    <cellStyle name="Normal 259 2 3" xfId="22439"/>
    <cellStyle name="Normal 259 2 3 2" xfId="22440"/>
    <cellStyle name="Normal 259 2 3 2 2" xfId="22441"/>
    <cellStyle name="Normal 259 2 3 3" xfId="22442"/>
    <cellStyle name="Normal 259 2 4" xfId="22443"/>
    <cellStyle name="Normal 259 2 4 2" xfId="22444"/>
    <cellStyle name="Normal 259 2 4 2 2" xfId="22445"/>
    <cellStyle name="Normal 259 2 4 3" xfId="22446"/>
    <cellStyle name="Normal 259 2 5" xfId="22447"/>
    <cellStyle name="Normal 259 3" xfId="22448"/>
    <cellStyle name="Normal 259 3 2" xfId="22449"/>
    <cellStyle name="Normal 259 3 2 2" xfId="22450"/>
    <cellStyle name="Normal 259 3 2 2 2" xfId="22451"/>
    <cellStyle name="Normal 259 3 2 3" xfId="22452"/>
    <cellStyle name="Normal 259 3 2 3 2" xfId="22453"/>
    <cellStyle name="Normal 259 3 2 3 2 2" xfId="22454"/>
    <cellStyle name="Normal 259 3 2 3 3" xfId="22455"/>
    <cellStyle name="Normal 259 3 2 4" xfId="22456"/>
    <cellStyle name="Normal 259 3 3" xfId="22457"/>
    <cellStyle name="Normal 259 3 3 2" xfId="22458"/>
    <cellStyle name="Normal 259 3 3 2 2" xfId="22459"/>
    <cellStyle name="Normal 259 3 3 3" xfId="22460"/>
    <cellStyle name="Normal 259 3 4" xfId="22461"/>
    <cellStyle name="Normal 259 3 4 2" xfId="22462"/>
    <cellStyle name="Normal 259 3 4 2 2" xfId="22463"/>
    <cellStyle name="Normal 259 3 4 3" xfId="22464"/>
    <cellStyle name="Normal 259 3 5" xfId="22465"/>
    <cellStyle name="Normal 259 3 5 2" xfId="22466"/>
    <cellStyle name="Normal 259 3 5 2 2" xfId="22467"/>
    <cellStyle name="Normal 259 3 5 3" xfId="22468"/>
    <cellStyle name="Normal 259 3 6" xfId="22469"/>
    <cellStyle name="Normal 259 4" xfId="22470"/>
    <cellStyle name="Normal 259 4 2" xfId="22471"/>
    <cellStyle name="Normal 259 4 2 2" xfId="22472"/>
    <cellStyle name="Normal 259 4 3" xfId="22473"/>
    <cellStyle name="Normal 259 5" xfId="22474"/>
    <cellStyle name="Normal 259 5 2" xfId="22475"/>
    <cellStyle name="Normal 259 5 2 2" xfId="22476"/>
    <cellStyle name="Normal 259 5 3" xfId="22477"/>
    <cellStyle name="Normal 259 6" xfId="22478"/>
    <cellStyle name="Normal 259 6 2" xfId="22479"/>
    <cellStyle name="Normal 259 6 2 2" xfId="22480"/>
    <cellStyle name="Normal 259 6 3" xfId="22481"/>
    <cellStyle name="Normal 259 7" xfId="22482"/>
    <cellStyle name="Normal 26" xfId="22483"/>
    <cellStyle name="Normal 26 2" xfId="22484"/>
    <cellStyle name="Normal 26 2 2" xfId="22485"/>
    <cellStyle name="Normal 26 2 2 2" xfId="22486"/>
    <cellStyle name="Normal 26 2 2 2 2" xfId="22487"/>
    <cellStyle name="Normal 26 2 2 3" xfId="22488"/>
    <cellStyle name="Normal 26 2 2 3 2" xfId="22489"/>
    <cellStyle name="Normal 26 2 2 3 2 2" xfId="22490"/>
    <cellStyle name="Normal 26 2 2 3 3" xfId="22491"/>
    <cellStyle name="Normal 26 2 2 4" xfId="22492"/>
    <cellStyle name="Normal 26 2 2 4 2" xfId="22493"/>
    <cellStyle name="Normal 26 2 2 4 2 2" xfId="22494"/>
    <cellStyle name="Normal 26 2 2 4 3" xfId="22495"/>
    <cellStyle name="Normal 26 2 2 5" xfId="22496"/>
    <cellStyle name="Normal 26 2 3" xfId="22497"/>
    <cellStyle name="Normal 26 2 3 2" xfId="22498"/>
    <cellStyle name="Normal 26 2 3 2 2" xfId="22499"/>
    <cellStyle name="Normal 26 2 3 3" xfId="22500"/>
    <cellStyle name="Normal 26 2 4" xfId="22501"/>
    <cellStyle name="Normal 26 2 4 2" xfId="22502"/>
    <cellStyle name="Normal 26 2 4 2 2" xfId="22503"/>
    <cellStyle name="Normal 26 2 4 3" xfId="22504"/>
    <cellStyle name="Normal 26 2 5" xfId="22505"/>
    <cellStyle name="Normal 26 2 5 2" xfId="22506"/>
    <cellStyle name="Normal 26 2 5 2 2" xfId="22507"/>
    <cellStyle name="Normal 26 2 5 3" xfId="22508"/>
    <cellStyle name="Normal 26 2 6" xfId="22509"/>
    <cellStyle name="Normal 26 3" xfId="22510"/>
    <cellStyle name="Normal 26 3 2" xfId="22511"/>
    <cellStyle name="Normal 26 3 2 2" xfId="22512"/>
    <cellStyle name="Normal 26 3 3" xfId="22513"/>
    <cellStyle name="Normal 26 3 3 2" xfId="22514"/>
    <cellStyle name="Normal 26 3 3 2 2" xfId="22515"/>
    <cellStyle name="Normal 26 3 3 3" xfId="22516"/>
    <cellStyle name="Normal 26 3 4" xfId="22517"/>
    <cellStyle name="Normal 26 3 4 2" xfId="22518"/>
    <cellStyle name="Normal 26 3 4 2 2" xfId="22519"/>
    <cellStyle name="Normal 26 3 4 3" xfId="22520"/>
    <cellStyle name="Normal 26 3 5" xfId="22521"/>
    <cellStyle name="Normal 26 4" xfId="22522"/>
    <cellStyle name="Normal 26 4 2" xfId="22523"/>
    <cellStyle name="Normal 26 4 2 2" xfId="22524"/>
    <cellStyle name="Normal 26 4 3" xfId="22525"/>
    <cellStyle name="Normal 26 4 3 2" xfId="22526"/>
    <cellStyle name="Normal 26 4 3 2 2" xfId="22527"/>
    <cellStyle name="Normal 26 4 3 3" xfId="22528"/>
    <cellStyle name="Normal 26 4 4" xfId="22529"/>
    <cellStyle name="Normal 26 4 4 2" xfId="22530"/>
    <cellStyle name="Normal 26 4 4 2 2" xfId="22531"/>
    <cellStyle name="Normal 26 4 4 3" xfId="22532"/>
    <cellStyle name="Normal 26 4 5" xfId="22533"/>
    <cellStyle name="Normal 26 5" xfId="22534"/>
    <cellStyle name="Normal 26 5 2" xfId="22535"/>
    <cellStyle name="Normal 26 5 2 2" xfId="22536"/>
    <cellStyle name="Normal 26 5 3" xfId="22537"/>
    <cellStyle name="Normal 26 6" xfId="22538"/>
    <cellStyle name="Normal 26 6 2" xfId="22539"/>
    <cellStyle name="Normal 26 6 2 2" xfId="22540"/>
    <cellStyle name="Normal 26 6 3" xfId="22541"/>
    <cellStyle name="Normal 26 7" xfId="22542"/>
    <cellStyle name="Normal 26 7 2" xfId="22543"/>
    <cellStyle name="Normal 26 7 2 2" xfId="22544"/>
    <cellStyle name="Normal 26 7 3" xfId="22545"/>
    <cellStyle name="Normal 26 8" xfId="22546"/>
    <cellStyle name="Normal 260" xfId="22547"/>
    <cellStyle name="Normal 260 2" xfId="22548"/>
    <cellStyle name="Normal 260 2 2" xfId="22549"/>
    <cellStyle name="Normal 260 2 2 2" xfId="22550"/>
    <cellStyle name="Normal 260 2 2 2 2" xfId="22551"/>
    <cellStyle name="Normal 260 2 2 3" xfId="22552"/>
    <cellStyle name="Normal 260 2 2 3 2" xfId="22553"/>
    <cellStyle name="Normal 260 2 2 3 2 2" xfId="22554"/>
    <cellStyle name="Normal 260 2 2 3 3" xfId="22555"/>
    <cellStyle name="Normal 260 2 2 4" xfId="22556"/>
    <cellStyle name="Normal 260 2 2 4 2" xfId="22557"/>
    <cellStyle name="Normal 260 2 2 4 2 2" xfId="22558"/>
    <cellStyle name="Normal 260 2 2 4 3" xfId="22559"/>
    <cellStyle name="Normal 260 2 2 5" xfId="22560"/>
    <cellStyle name="Normal 260 2 3" xfId="22561"/>
    <cellStyle name="Normal 260 2 3 2" xfId="22562"/>
    <cellStyle name="Normal 260 2 3 2 2" xfId="22563"/>
    <cellStyle name="Normal 260 2 3 2 2 2" xfId="22564"/>
    <cellStyle name="Normal 260 2 3 2 3" xfId="22565"/>
    <cellStyle name="Normal 260 2 3 2 3 2" xfId="22566"/>
    <cellStyle name="Normal 260 2 3 2 3 2 2" xfId="22567"/>
    <cellStyle name="Normal 260 2 3 2 3 3" xfId="22568"/>
    <cellStyle name="Normal 260 2 3 2 4" xfId="22569"/>
    <cellStyle name="Normal 260 2 3 3" xfId="22570"/>
    <cellStyle name="Normal 260 2 3 3 2" xfId="22571"/>
    <cellStyle name="Normal 260 2 3 3 2 2" xfId="22572"/>
    <cellStyle name="Normal 260 2 3 3 3" xfId="22573"/>
    <cellStyle name="Normal 260 2 3 4" xfId="22574"/>
    <cellStyle name="Normal 260 2 3 4 2" xfId="22575"/>
    <cellStyle name="Normal 260 2 3 4 2 2" xfId="22576"/>
    <cellStyle name="Normal 260 2 3 4 3" xfId="22577"/>
    <cellStyle name="Normal 260 2 3 5" xfId="22578"/>
    <cellStyle name="Normal 260 2 3 5 2" xfId="22579"/>
    <cellStyle name="Normal 260 2 3 5 2 2" xfId="22580"/>
    <cellStyle name="Normal 260 2 3 5 3" xfId="22581"/>
    <cellStyle name="Normal 260 2 3 6" xfId="22582"/>
    <cellStyle name="Normal 260 2 4" xfId="22583"/>
    <cellStyle name="Normal 260 2 4 2" xfId="22584"/>
    <cellStyle name="Normal 260 2 4 2 2" xfId="22585"/>
    <cellStyle name="Normal 260 2 4 3" xfId="22586"/>
    <cellStyle name="Normal 260 2 5" xfId="22587"/>
    <cellStyle name="Normal 260 2 5 2" xfId="22588"/>
    <cellStyle name="Normal 260 2 5 2 2" xfId="22589"/>
    <cellStyle name="Normal 260 2 5 3" xfId="22590"/>
    <cellStyle name="Normal 260 2 6" xfId="22591"/>
    <cellStyle name="Normal 260 2 6 2" xfId="22592"/>
    <cellStyle name="Normal 260 2 6 2 2" xfId="22593"/>
    <cellStyle name="Normal 260 2 6 3" xfId="22594"/>
    <cellStyle name="Normal 260 2 7" xfId="22595"/>
    <cellStyle name="Normal 260 3" xfId="22596"/>
    <cellStyle name="Normal 260 3 2" xfId="22597"/>
    <cellStyle name="Normal 260 3 2 2" xfId="22598"/>
    <cellStyle name="Normal 260 3 3" xfId="22599"/>
    <cellStyle name="Normal 260 3 3 2" xfId="22600"/>
    <cellStyle name="Normal 260 3 3 2 2" xfId="22601"/>
    <cellStyle name="Normal 260 3 3 3" xfId="22602"/>
    <cellStyle name="Normal 260 3 4" xfId="22603"/>
    <cellStyle name="Normal 260 3 4 2" xfId="22604"/>
    <cellStyle name="Normal 260 3 4 2 2" xfId="22605"/>
    <cellStyle name="Normal 260 3 4 3" xfId="22606"/>
    <cellStyle name="Normal 260 3 5" xfId="22607"/>
    <cellStyle name="Normal 260 4" xfId="22608"/>
    <cellStyle name="Normal 260 4 2" xfId="22609"/>
    <cellStyle name="Normal 260 4 2 2" xfId="22610"/>
    <cellStyle name="Normal 260 4 2 2 2" xfId="22611"/>
    <cellStyle name="Normal 260 4 2 3" xfId="22612"/>
    <cellStyle name="Normal 260 4 2 3 2" xfId="22613"/>
    <cellStyle name="Normal 260 4 2 3 2 2" xfId="22614"/>
    <cellStyle name="Normal 260 4 2 3 3" xfId="22615"/>
    <cellStyle name="Normal 260 4 2 4" xfId="22616"/>
    <cellStyle name="Normal 260 4 3" xfId="22617"/>
    <cellStyle name="Normal 260 4 3 2" xfId="22618"/>
    <cellStyle name="Normal 260 4 3 2 2" xfId="22619"/>
    <cellStyle name="Normal 260 4 3 3" xfId="22620"/>
    <cellStyle name="Normal 260 4 4" xfId="22621"/>
    <cellStyle name="Normal 260 4 4 2" xfId="22622"/>
    <cellStyle name="Normal 260 4 4 2 2" xfId="22623"/>
    <cellStyle name="Normal 260 4 4 3" xfId="22624"/>
    <cellStyle name="Normal 260 4 5" xfId="22625"/>
    <cellStyle name="Normal 260 4 5 2" xfId="22626"/>
    <cellStyle name="Normal 260 4 5 2 2" xfId="22627"/>
    <cellStyle name="Normal 260 4 5 3" xfId="22628"/>
    <cellStyle name="Normal 260 4 6" xfId="22629"/>
    <cellStyle name="Normal 260 5" xfId="22630"/>
    <cellStyle name="Normal 260 5 2" xfId="22631"/>
    <cellStyle name="Normal 260 5 2 2" xfId="22632"/>
    <cellStyle name="Normal 260 5 3" xfId="22633"/>
    <cellStyle name="Normal 260 6" xfId="22634"/>
    <cellStyle name="Normal 260 6 2" xfId="22635"/>
    <cellStyle name="Normal 260 6 2 2" xfId="22636"/>
    <cellStyle name="Normal 260 6 3" xfId="22637"/>
    <cellStyle name="Normal 260 7" xfId="22638"/>
    <cellStyle name="Normal 260 7 2" xfId="22639"/>
    <cellStyle name="Normal 260 7 2 2" xfId="22640"/>
    <cellStyle name="Normal 260 7 3" xfId="22641"/>
    <cellStyle name="Normal 260 8" xfId="22642"/>
    <cellStyle name="Normal 261" xfId="22643"/>
    <cellStyle name="Normal 261 2" xfId="22644"/>
    <cellStyle name="Normal 261 2 2" xfId="22645"/>
    <cellStyle name="Normal 261 2 2 2" xfId="22646"/>
    <cellStyle name="Normal 261 2 2 2 2" xfId="22647"/>
    <cellStyle name="Normal 261 2 2 3" xfId="22648"/>
    <cellStyle name="Normal 261 2 2 3 2" xfId="22649"/>
    <cellStyle name="Normal 261 2 2 3 2 2" xfId="22650"/>
    <cellStyle name="Normal 261 2 2 3 3" xfId="22651"/>
    <cellStyle name="Normal 261 2 2 4" xfId="22652"/>
    <cellStyle name="Normal 261 2 2 4 2" xfId="22653"/>
    <cellStyle name="Normal 261 2 2 4 2 2" xfId="22654"/>
    <cellStyle name="Normal 261 2 2 4 3" xfId="22655"/>
    <cellStyle name="Normal 261 2 2 5" xfId="22656"/>
    <cellStyle name="Normal 261 2 3" xfId="22657"/>
    <cellStyle name="Normal 261 2 3 2" xfId="22658"/>
    <cellStyle name="Normal 261 2 3 2 2" xfId="22659"/>
    <cellStyle name="Normal 261 2 3 2 2 2" xfId="22660"/>
    <cellStyle name="Normal 261 2 3 2 3" xfId="22661"/>
    <cellStyle name="Normal 261 2 3 2 3 2" xfId="22662"/>
    <cellStyle name="Normal 261 2 3 2 3 2 2" xfId="22663"/>
    <cellStyle name="Normal 261 2 3 2 3 3" xfId="22664"/>
    <cellStyle name="Normal 261 2 3 2 4" xfId="22665"/>
    <cellStyle name="Normal 261 2 3 3" xfId="22666"/>
    <cellStyle name="Normal 261 2 3 3 2" xfId="22667"/>
    <cellStyle name="Normal 261 2 3 3 2 2" xfId="22668"/>
    <cellStyle name="Normal 261 2 3 3 3" xfId="22669"/>
    <cellStyle name="Normal 261 2 3 4" xfId="22670"/>
    <cellStyle name="Normal 261 2 3 4 2" xfId="22671"/>
    <cellStyle name="Normal 261 2 3 4 2 2" xfId="22672"/>
    <cellStyle name="Normal 261 2 3 4 3" xfId="22673"/>
    <cellStyle name="Normal 261 2 3 5" xfId="22674"/>
    <cellStyle name="Normal 261 2 3 5 2" xfId="22675"/>
    <cellStyle name="Normal 261 2 3 5 2 2" xfId="22676"/>
    <cellStyle name="Normal 261 2 3 5 3" xfId="22677"/>
    <cellStyle name="Normal 261 2 3 6" xfId="22678"/>
    <cellStyle name="Normal 261 2 4" xfId="22679"/>
    <cellStyle name="Normal 261 2 4 2" xfId="22680"/>
    <cellStyle name="Normal 261 2 4 2 2" xfId="22681"/>
    <cellStyle name="Normal 261 2 4 3" xfId="22682"/>
    <cellStyle name="Normal 261 2 5" xfId="22683"/>
    <cellStyle name="Normal 261 2 5 2" xfId="22684"/>
    <cellStyle name="Normal 261 2 5 2 2" xfId="22685"/>
    <cellStyle name="Normal 261 2 5 3" xfId="22686"/>
    <cellStyle name="Normal 261 2 6" xfId="22687"/>
    <cellStyle name="Normal 261 2 6 2" xfId="22688"/>
    <cellStyle name="Normal 261 2 6 2 2" xfId="22689"/>
    <cellStyle name="Normal 261 2 6 3" xfId="22690"/>
    <cellStyle name="Normal 261 2 7" xfId="22691"/>
    <cellStyle name="Normal 261 3" xfId="22692"/>
    <cellStyle name="Normal 261 3 2" xfId="22693"/>
    <cellStyle name="Normal 261 3 2 2" xfId="22694"/>
    <cellStyle name="Normal 261 3 3" xfId="22695"/>
    <cellStyle name="Normal 261 3 3 2" xfId="22696"/>
    <cellStyle name="Normal 261 3 3 2 2" xfId="22697"/>
    <cellStyle name="Normal 261 3 3 3" xfId="22698"/>
    <cellStyle name="Normal 261 3 4" xfId="22699"/>
    <cellStyle name="Normal 261 3 4 2" xfId="22700"/>
    <cellStyle name="Normal 261 3 4 2 2" xfId="22701"/>
    <cellStyle name="Normal 261 3 4 3" xfId="22702"/>
    <cellStyle name="Normal 261 3 5" xfId="22703"/>
    <cellStyle name="Normal 261 4" xfId="22704"/>
    <cellStyle name="Normal 261 4 2" xfId="22705"/>
    <cellStyle name="Normal 261 4 2 2" xfId="22706"/>
    <cellStyle name="Normal 261 4 2 2 2" xfId="22707"/>
    <cellStyle name="Normal 261 4 2 3" xfId="22708"/>
    <cellStyle name="Normal 261 4 2 3 2" xfId="22709"/>
    <cellStyle name="Normal 261 4 2 3 2 2" xfId="22710"/>
    <cellStyle name="Normal 261 4 2 3 3" xfId="22711"/>
    <cellStyle name="Normal 261 4 2 4" xfId="22712"/>
    <cellStyle name="Normal 261 4 3" xfId="22713"/>
    <cellStyle name="Normal 261 4 3 2" xfId="22714"/>
    <cellStyle name="Normal 261 4 3 2 2" xfId="22715"/>
    <cellStyle name="Normal 261 4 3 3" xfId="22716"/>
    <cellStyle name="Normal 261 4 4" xfId="22717"/>
    <cellStyle name="Normal 261 4 4 2" xfId="22718"/>
    <cellStyle name="Normal 261 4 4 2 2" xfId="22719"/>
    <cellStyle name="Normal 261 4 4 3" xfId="22720"/>
    <cellStyle name="Normal 261 4 5" xfId="22721"/>
    <cellStyle name="Normal 261 4 5 2" xfId="22722"/>
    <cellStyle name="Normal 261 4 5 2 2" xfId="22723"/>
    <cellStyle name="Normal 261 4 5 3" xfId="22724"/>
    <cellStyle name="Normal 261 4 6" xfId="22725"/>
    <cellStyle name="Normal 261 5" xfId="22726"/>
    <cellStyle name="Normal 261 5 2" xfId="22727"/>
    <cellStyle name="Normal 261 5 2 2" xfId="22728"/>
    <cellStyle name="Normal 261 5 3" xfId="22729"/>
    <cellStyle name="Normal 261 6" xfId="22730"/>
    <cellStyle name="Normal 261 6 2" xfId="22731"/>
    <cellStyle name="Normal 261 6 2 2" xfId="22732"/>
    <cellStyle name="Normal 261 6 3" xfId="22733"/>
    <cellStyle name="Normal 261 7" xfId="22734"/>
    <cellStyle name="Normal 261 7 2" xfId="22735"/>
    <cellStyle name="Normal 261 7 2 2" xfId="22736"/>
    <cellStyle name="Normal 261 7 3" xfId="22737"/>
    <cellStyle name="Normal 261 8" xfId="22738"/>
    <cellStyle name="Normal 262" xfId="22739"/>
    <cellStyle name="Normal 262 2" xfId="22740"/>
    <cellStyle name="Normal 262 2 2" xfId="22741"/>
    <cellStyle name="Normal 262 2 2 2" xfId="22742"/>
    <cellStyle name="Normal 262 2 2 2 2" xfId="22743"/>
    <cellStyle name="Normal 262 2 2 3" xfId="22744"/>
    <cellStyle name="Normal 262 2 2 3 2" xfId="22745"/>
    <cellStyle name="Normal 262 2 2 3 2 2" xfId="22746"/>
    <cellStyle name="Normal 262 2 2 3 3" xfId="22747"/>
    <cellStyle name="Normal 262 2 2 4" xfId="22748"/>
    <cellStyle name="Normal 262 2 2 4 2" xfId="22749"/>
    <cellStyle name="Normal 262 2 2 4 2 2" xfId="22750"/>
    <cellStyle name="Normal 262 2 2 4 3" xfId="22751"/>
    <cellStyle name="Normal 262 2 2 5" xfId="22752"/>
    <cellStyle name="Normal 262 2 3" xfId="22753"/>
    <cellStyle name="Normal 262 2 3 2" xfId="22754"/>
    <cellStyle name="Normal 262 2 3 2 2" xfId="22755"/>
    <cellStyle name="Normal 262 2 3 2 2 2" xfId="22756"/>
    <cellStyle name="Normal 262 2 3 2 3" xfId="22757"/>
    <cellStyle name="Normal 262 2 3 2 3 2" xfId="22758"/>
    <cellStyle name="Normal 262 2 3 2 3 2 2" xfId="22759"/>
    <cellStyle name="Normal 262 2 3 2 3 3" xfId="22760"/>
    <cellStyle name="Normal 262 2 3 2 4" xfId="22761"/>
    <cellStyle name="Normal 262 2 3 3" xfId="22762"/>
    <cellStyle name="Normal 262 2 3 3 2" xfId="22763"/>
    <cellStyle name="Normal 262 2 3 3 2 2" xfId="22764"/>
    <cellStyle name="Normal 262 2 3 3 3" xfId="22765"/>
    <cellStyle name="Normal 262 2 3 4" xfId="22766"/>
    <cellStyle name="Normal 262 2 3 4 2" xfId="22767"/>
    <cellStyle name="Normal 262 2 3 4 2 2" xfId="22768"/>
    <cellStyle name="Normal 262 2 3 4 3" xfId="22769"/>
    <cellStyle name="Normal 262 2 3 5" xfId="22770"/>
    <cellStyle name="Normal 262 2 3 5 2" xfId="22771"/>
    <cellStyle name="Normal 262 2 3 5 2 2" xfId="22772"/>
    <cellStyle name="Normal 262 2 3 5 3" xfId="22773"/>
    <cellStyle name="Normal 262 2 3 6" xfId="22774"/>
    <cellStyle name="Normal 262 2 4" xfId="22775"/>
    <cellStyle name="Normal 262 2 4 2" xfId="22776"/>
    <cellStyle name="Normal 262 2 4 2 2" xfId="22777"/>
    <cellStyle name="Normal 262 2 4 3" xfId="22778"/>
    <cellStyle name="Normal 262 2 5" xfId="22779"/>
    <cellStyle name="Normal 262 2 5 2" xfId="22780"/>
    <cellStyle name="Normal 262 2 5 2 2" xfId="22781"/>
    <cellStyle name="Normal 262 2 5 3" xfId="22782"/>
    <cellStyle name="Normal 262 2 6" xfId="22783"/>
    <cellStyle name="Normal 262 2 6 2" xfId="22784"/>
    <cellStyle name="Normal 262 2 6 2 2" xfId="22785"/>
    <cellStyle name="Normal 262 2 6 3" xfId="22786"/>
    <cellStyle name="Normal 262 2 7" xfId="22787"/>
    <cellStyle name="Normal 262 3" xfId="22788"/>
    <cellStyle name="Normal 262 3 2" xfId="22789"/>
    <cellStyle name="Normal 262 3 2 2" xfId="22790"/>
    <cellStyle name="Normal 262 3 3" xfId="22791"/>
    <cellStyle name="Normal 262 3 3 2" xfId="22792"/>
    <cellStyle name="Normal 262 3 3 2 2" xfId="22793"/>
    <cellStyle name="Normal 262 3 3 3" xfId="22794"/>
    <cellStyle name="Normal 262 3 4" xfId="22795"/>
    <cellStyle name="Normal 262 3 4 2" xfId="22796"/>
    <cellStyle name="Normal 262 3 4 2 2" xfId="22797"/>
    <cellStyle name="Normal 262 3 4 3" xfId="22798"/>
    <cellStyle name="Normal 262 3 5" xfId="22799"/>
    <cellStyle name="Normal 262 4" xfId="22800"/>
    <cellStyle name="Normal 262 4 2" xfId="22801"/>
    <cellStyle name="Normal 262 4 2 2" xfId="22802"/>
    <cellStyle name="Normal 262 4 2 2 2" xfId="22803"/>
    <cellStyle name="Normal 262 4 2 3" xfId="22804"/>
    <cellStyle name="Normal 262 4 2 3 2" xfId="22805"/>
    <cellStyle name="Normal 262 4 2 3 2 2" xfId="22806"/>
    <cellStyle name="Normal 262 4 2 3 3" xfId="22807"/>
    <cellStyle name="Normal 262 4 2 4" xfId="22808"/>
    <cellStyle name="Normal 262 4 3" xfId="22809"/>
    <cellStyle name="Normal 262 4 3 2" xfId="22810"/>
    <cellStyle name="Normal 262 4 3 2 2" xfId="22811"/>
    <cellStyle name="Normal 262 4 3 3" xfId="22812"/>
    <cellStyle name="Normal 262 4 4" xfId="22813"/>
    <cellStyle name="Normal 262 4 4 2" xfId="22814"/>
    <cellStyle name="Normal 262 4 4 2 2" xfId="22815"/>
    <cellStyle name="Normal 262 4 4 3" xfId="22816"/>
    <cellStyle name="Normal 262 4 5" xfId="22817"/>
    <cellStyle name="Normal 262 4 5 2" xfId="22818"/>
    <cellStyle name="Normal 262 4 5 2 2" xfId="22819"/>
    <cellStyle name="Normal 262 4 5 3" xfId="22820"/>
    <cellStyle name="Normal 262 4 6" xfId="22821"/>
    <cellStyle name="Normal 262 5" xfId="22822"/>
    <cellStyle name="Normal 262 5 2" xfId="22823"/>
    <cellStyle name="Normal 262 5 2 2" xfId="22824"/>
    <cellStyle name="Normal 262 5 3" xfId="22825"/>
    <cellStyle name="Normal 262 6" xfId="22826"/>
    <cellStyle name="Normal 262 6 2" xfId="22827"/>
    <cellStyle name="Normal 262 6 2 2" xfId="22828"/>
    <cellStyle name="Normal 262 6 3" xfId="22829"/>
    <cellStyle name="Normal 262 7" xfId="22830"/>
    <cellStyle name="Normal 262 7 2" xfId="22831"/>
    <cellStyle name="Normal 262 7 2 2" xfId="22832"/>
    <cellStyle name="Normal 262 7 3" xfId="22833"/>
    <cellStyle name="Normal 262 8" xfId="22834"/>
    <cellStyle name="Normal 263" xfId="22835"/>
    <cellStyle name="Normal 263 2" xfId="22836"/>
    <cellStyle name="Normal 263 2 2" xfId="22837"/>
    <cellStyle name="Normal 263 2 2 2" xfId="22838"/>
    <cellStyle name="Normal 263 2 2 2 2" xfId="22839"/>
    <cellStyle name="Normal 263 2 2 3" xfId="22840"/>
    <cellStyle name="Normal 263 2 2 3 2" xfId="22841"/>
    <cellStyle name="Normal 263 2 2 3 2 2" xfId="22842"/>
    <cellStyle name="Normal 263 2 2 3 3" xfId="22843"/>
    <cellStyle name="Normal 263 2 2 4" xfId="22844"/>
    <cellStyle name="Normal 263 2 2 4 2" xfId="22845"/>
    <cellStyle name="Normal 263 2 2 4 2 2" xfId="22846"/>
    <cellStyle name="Normal 263 2 2 4 3" xfId="22847"/>
    <cellStyle name="Normal 263 2 2 5" xfId="22848"/>
    <cellStyle name="Normal 263 2 3" xfId="22849"/>
    <cellStyle name="Normal 263 2 3 2" xfId="22850"/>
    <cellStyle name="Normal 263 2 3 2 2" xfId="22851"/>
    <cellStyle name="Normal 263 2 3 2 2 2" xfId="22852"/>
    <cellStyle name="Normal 263 2 3 2 3" xfId="22853"/>
    <cellStyle name="Normal 263 2 3 2 3 2" xfId="22854"/>
    <cellStyle name="Normal 263 2 3 2 3 2 2" xfId="22855"/>
    <cellStyle name="Normal 263 2 3 2 3 3" xfId="22856"/>
    <cellStyle name="Normal 263 2 3 2 4" xfId="22857"/>
    <cellStyle name="Normal 263 2 3 3" xfId="22858"/>
    <cellStyle name="Normal 263 2 3 3 2" xfId="22859"/>
    <cellStyle name="Normal 263 2 3 3 2 2" xfId="22860"/>
    <cellStyle name="Normal 263 2 3 3 3" xfId="22861"/>
    <cellStyle name="Normal 263 2 3 4" xfId="22862"/>
    <cellStyle name="Normal 263 2 3 4 2" xfId="22863"/>
    <cellStyle name="Normal 263 2 3 4 2 2" xfId="22864"/>
    <cellStyle name="Normal 263 2 3 4 3" xfId="22865"/>
    <cellStyle name="Normal 263 2 3 5" xfId="22866"/>
    <cellStyle name="Normal 263 2 3 5 2" xfId="22867"/>
    <cellStyle name="Normal 263 2 3 5 2 2" xfId="22868"/>
    <cellStyle name="Normal 263 2 3 5 3" xfId="22869"/>
    <cellStyle name="Normal 263 2 3 6" xfId="22870"/>
    <cellStyle name="Normal 263 2 4" xfId="22871"/>
    <cellStyle name="Normal 263 2 4 2" xfId="22872"/>
    <cellStyle name="Normal 263 2 4 2 2" xfId="22873"/>
    <cellStyle name="Normal 263 2 4 3" xfId="22874"/>
    <cellStyle name="Normal 263 2 5" xfId="22875"/>
    <cellStyle name="Normal 263 2 5 2" xfId="22876"/>
    <cellStyle name="Normal 263 2 5 2 2" xfId="22877"/>
    <cellStyle name="Normal 263 2 5 3" xfId="22878"/>
    <cellStyle name="Normal 263 2 6" xfId="22879"/>
    <cellStyle name="Normal 263 2 6 2" xfId="22880"/>
    <cellStyle name="Normal 263 2 6 2 2" xfId="22881"/>
    <cellStyle name="Normal 263 2 6 3" xfId="22882"/>
    <cellStyle name="Normal 263 2 7" xfId="22883"/>
    <cellStyle name="Normal 263 3" xfId="22884"/>
    <cellStyle name="Normal 263 3 2" xfId="22885"/>
    <cellStyle name="Normal 263 3 2 2" xfId="22886"/>
    <cellStyle name="Normal 263 3 3" xfId="22887"/>
    <cellStyle name="Normal 263 3 3 2" xfId="22888"/>
    <cellStyle name="Normal 263 3 3 2 2" xfId="22889"/>
    <cellStyle name="Normal 263 3 3 3" xfId="22890"/>
    <cellStyle name="Normal 263 3 4" xfId="22891"/>
    <cellStyle name="Normal 263 3 4 2" xfId="22892"/>
    <cellStyle name="Normal 263 3 4 2 2" xfId="22893"/>
    <cellStyle name="Normal 263 3 4 3" xfId="22894"/>
    <cellStyle name="Normal 263 3 5" xfId="22895"/>
    <cellStyle name="Normal 263 4" xfId="22896"/>
    <cellStyle name="Normal 263 4 2" xfId="22897"/>
    <cellStyle name="Normal 263 4 2 2" xfId="22898"/>
    <cellStyle name="Normal 263 4 2 2 2" xfId="22899"/>
    <cellStyle name="Normal 263 4 2 3" xfId="22900"/>
    <cellStyle name="Normal 263 4 2 3 2" xfId="22901"/>
    <cellStyle name="Normal 263 4 2 3 2 2" xfId="22902"/>
    <cellStyle name="Normal 263 4 2 3 3" xfId="22903"/>
    <cellStyle name="Normal 263 4 2 4" xfId="22904"/>
    <cellStyle name="Normal 263 4 3" xfId="22905"/>
    <cellStyle name="Normal 263 4 3 2" xfId="22906"/>
    <cellStyle name="Normal 263 4 3 2 2" xfId="22907"/>
    <cellStyle name="Normal 263 4 3 3" xfId="22908"/>
    <cellStyle name="Normal 263 4 4" xfId="22909"/>
    <cellStyle name="Normal 263 4 4 2" xfId="22910"/>
    <cellStyle name="Normal 263 4 4 2 2" xfId="22911"/>
    <cellStyle name="Normal 263 4 4 3" xfId="22912"/>
    <cellStyle name="Normal 263 4 5" xfId="22913"/>
    <cellStyle name="Normal 263 4 5 2" xfId="22914"/>
    <cellStyle name="Normal 263 4 5 2 2" xfId="22915"/>
    <cellStyle name="Normal 263 4 5 3" xfId="22916"/>
    <cellStyle name="Normal 263 4 6" xfId="22917"/>
    <cellStyle name="Normal 263 5" xfId="22918"/>
    <cellStyle name="Normal 263 5 2" xfId="22919"/>
    <cellStyle name="Normal 263 5 2 2" xfId="22920"/>
    <cellStyle name="Normal 263 5 3" xfId="22921"/>
    <cellStyle name="Normal 263 6" xfId="22922"/>
    <cellStyle name="Normal 263 6 2" xfId="22923"/>
    <cellStyle name="Normal 263 6 2 2" xfId="22924"/>
    <cellStyle name="Normal 263 6 3" xfId="22925"/>
    <cellStyle name="Normal 263 7" xfId="22926"/>
    <cellStyle name="Normal 263 7 2" xfId="22927"/>
    <cellStyle name="Normal 263 7 2 2" xfId="22928"/>
    <cellStyle name="Normal 263 7 3" xfId="22929"/>
    <cellStyle name="Normal 263 8" xfId="22930"/>
    <cellStyle name="Normal 264" xfId="22931"/>
    <cellStyle name="Normal 264 2" xfId="22932"/>
    <cellStyle name="Normal 264 2 2" xfId="22933"/>
    <cellStyle name="Normal 264 2 2 2" xfId="22934"/>
    <cellStyle name="Normal 264 2 3" xfId="22935"/>
    <cellStyle name="Normal 264 2 3 2" xfId="22936"/>
    <cellStyle name="Normal 264 2 3 2 2" xfId="22937"/>
    <cellStyle name="Normal 264 2 3 3" xfId="22938"/>
    <cellStyle name="Normal 264 2 4" xfId="22939"/>
    <cellStyle name="Normal 264 2 4 2" xfId="22940"/>
    <cellStyle name="Normal 264 2 4 2 2" xfId="22941"/>
    <cellStyle name="Normal 264 2 4 3" xfId="22942"/>
    <cellStyle name="Normal 264 2 5" xfId="22943"/>
    <cellStyle name="Normal 264 3" xfId="22944"/>
    <cellStyle name="Normal 264 3 2" xfId="22945"/>
    <cellStyle name="Normal 264 3 2 2" xfId="22946"/>
    <cellStyle name="Normal 264 3 2 2 2" xfId="22947"/>
    <cellStyle name="Normal 264 3 2 3" xfId="22948"/>
    <cellStyle name="Normal 264 3 2 3 2" xfId="22949"/>
    <cellStyle name="Normal 264 3 2 3 2 2" xfId="22950"/>
    <cellStyle name="Normal 264 3 2 3 3" xfId="22951"/>
    <cellStyle name="Normal 264 3 2 4" xfId="22952"/>
    <cellStyle name="Normal 264 3 3" xfId="22953"/>
    <cellStyle name="Normal 264 3 3 2" xfId="22954"/>
    <cellStyle name="Normal 264 3 3 2 2" xfId="22955"/>
    <cellStyle name="Normal 264 3 3 3" xfId="22956"/>
    <cellStyle name="Normal 264 3 4" xfId="22957"/>
    <cellStyle name="Normal 264 3 4 2" xfId="22958"/>
    <cellStyle name="Normal 264 3 4 2 2" xfId="22959"/>
    <cellStyle name="Normal 264 3 4 3" xfId="22960"/>
    <cellStyle name="Normal 264 3 5" xfId="22961"/>
    <cellStyle name="Normal 264 3 5 2" xfId="22962"/>
    <cellStyle name="Normal 264 3 5 2 2" xfId="22963"/>
    <cellStyle name="Normal 264 3 5 3" xfId="22964"/>
    <cellStyle name="Normal 264 3 6" xfId="22965"/>
    <cellStyle name="Normal 264 4" xfId="22966"/>
    <cellStyle name="Normal 264 4 2" xfId="22967"/>
    <cellStyle name="Normal 264 4 2 2" xfId="22968"/>
    <cellStyle name="Normal 264 4 3" xfId="22969"/>
    <cellStyle name="Normal 264 5" xfId="22970"/>
    <cellStyle name="Normal 264 5 2" xfId="22971"/>
    <cellStyle name="Normal 264 5 2 2" xfId="22972"/>
    <cellStyle name="Normal 264 5 3" xfId="22973"/>
    <cellStyle name="Normal 264 6" xfId="22974"/>
    <cellStyle name="Normal 264 6 2" xfId="22975"/>
    <cellStyle name="Normal 264 6 2 2" xfId="22976"/>
    <cellStyle name="Normal 264 6 3" xfId="22977"/>
    <cellStyle name="Normal 264 7" xfId="22978"/>
    <cellStyle name="Normal 265" xfId="22979"/>
    <cellStyle name="Normal 265 2" xfId="22980"/>
    <cellStyle name="Normal 265 2 2" xfId="22981"/>
    <cellStyle name="Normal 265 2 2 2" xfId="22982"/>
    <cellStyle name="Normal 265 2 3" xfId="22983"/>
    <cellStyle name="Normal 265 2 3 2" xfId="22984"/>
    <cellStyle name="Normal 265 2 3 2 2" xfId="22985"/>
    <cellStyle name="Normal 265 2 3 3" xfId="22986"/>
    <cellStyle name="Normal 265 2 4" xfId="22987"/>
    <cellStyle name="Normal 265 2 4 2" xfId="22988"/>
    <cellStyle name="Normal 265 2 4 2 2" xfId="22989"/>
    <cellStyle name="Normal 265 2 4 3" xfId="22990"/>
    <cellStyle name="Normal 265 2 5" xfId="22991"/>
    <cellStyle name="Normal 265 3" xfId="22992"/>
    <cellStyle name="Normal 265 3 2" xfId="22993"/>
    <cellStyle name="Normal 265 3 2 2" xfId="22994"/>
    <cellStyle name="Normal 265 3 2 2 2" xfId="22995"/>
    <cellStyle name="Normal 265 3 2 3" xfId="22996"/>
    <cellStyle name="Normal 265 3 2 3 2" xfId="22997"/>
    <cellStyle name="Normal 265 3 2 3 2 2" xfId="22998"/>
    <cellStyle name="Normal 265 3 2 3 3" xfId="22999"/>
    <cellStyle name="Normal 265 3 2 4" xfId="23000"/>
    <cellStyle name="Normal 265 3 3" xfId="23001"/>
    <cellStyle name="Normal 265 3 3 2" xfId="23002"/>
    <cellStyle name="Normal 265 3 3 2 2" xfId="23003"/>
    <cellStyle name="Normal 265 3 3 3" xfId="23004"/>
    <cellStyle name="Normal 265 3 4" xfId="23005"/>
    <cellStyle name="Normal 265 3 4 2" xfId="23006"/>
    <cellStyle name="Normal 265 3 4 2 2" xfId="23007"/>
    <cellStyle name="Normal 265 3 4 3" xfId="23008"/>
    <cellStyle name="Normal 265 3 5" xfId="23009"/>
    <cellStyle name="Normal 265 3 5 2" xfId="23010"/>
    <cellStyle name="Normal 265 3 5 2 2" xfId="23011"/>
    <cellStyle name="Normal 265 3 5 3" xfId="23012"/>
    <cellStyle name="Normal 265 3 6" xfId="23013"/>
    <cellStyle name="Normal 265 4" xfId="23014"/>
    <cellStyle name="Normal 265 4 2" xfId="23015"/>
    <cellStyle name="Normal 265 4 2 2" xfId="23016"/>
    <cellStyle name="Normal 265 4 3" xfId="23017"/>
    <cellStyle name="Normal 265 5" xfId="23018"/>
    <cellStyle name="Normal 265 5 2" xfId="23019"/>
    <cellStyle name="Normal 265 5 2 2" xfId="23020"/>
    <cellStyle name="Normal 265 5 3" xfId="23021"/>
    <cellStyle name="Normal 265 6" xfId="23022"/>
    <cellStyle name="Normal 265 6 2" xfId="23023"/>
    <cellStyle name="Normal 265 6 2 2" xfId="23024"/>
    <cellStyle name="Normal 265 6 3" xfId="23025"/>
    <cellStyle name="Normal 265 7" xfId="23026"/>
    <cellStyle name="Normal 266" xfId="23027"/>
    <cellStyle name="Normal 266 2" xfId="23028"/>
    <cellStyle name="Normal 266 2 2" xfId="23029"/>
    <cellStyle name="Normal 266 2 2 2" xfId="23030"/>
    <cellStyle name="Normal 266 2 3" xfId="23031"/>
    <cellStyle name="Normal 266 2 3 2" xfId="23032"/>
    <cellStyle name="Normal 266 2 3 2 2" xfId="23033"/>
    <cellStyle name="Normal 266 2 3 3" xfId="23034"/>
    <cellStyle name="Normal 266 2 4" xfId="23035"/>
    <cellStyle name="Normal 266 2 4 2" xfId="23036"/>
    <cellStyle name="Normal 266 2 4 2 2" xfId="23037"/>
    <cellStyle name="Normal 266 2 4 3" xfId="23038"/>
    <cellStyle name="Normal 266 2 5" xfId="23039"/>
    <cellStyle name="Normal 266 3" xfId="23040"/>
    <cellStyle name="Normal 266 3 2" xfId="23041"/>
    <cellStyle name="Normal 266 3 2 2" xfId="23042"/>
    <cellStyle name="Normal 266 3 2 2 2" xfId="23043"/>
    <cellStyle name="Normal 266 3 2 3" xfId="23044"/>
    <cellStyle name="Normal 266 3 2 3 2" xfId="23045"/>
    <cellStyle name="Normal 266 3 2 3 2 2" xfId="23046"/>
    <cellStyle name="Normal 266 3 2 3 3" xfId="23047"/>
    <cellStyle name="Normal 266 3 2 4" xfId="23048"/>
    <cellStyle name="Normal 266 3 3" xfId="23049"/>
    <cellStyle name="Normal 266 3 3 2" xfId="23050"/>
    <cellStyle name="Normal 266 3 3 2 2" xfId="23051"/>
    <cellStyle name="Normal 266 3 3 3" xfId="23052"/>
    <cellStyle name="Normal 266 3 4" xfId="23053"/>
    <cellStyle name="Normal 266 3 4 2" xfId="23054"/>
    <cellStyle name="Normal 266 3 4 2 2" xfId="23055"/>
    <cellStyle name="Normal 266 3 4 3" xfId="23056"/>
    <cellStyle name="Normal 266 3 5" xfId="23057"/>
    <cellStyle name="Normal 266 3 5 2" xfId="23058"/>
    <cellStyle name="Normal 266 3 5 2 2" xfId="23059"/>
    <cellStyle name="Normal 266 3 5 3" xfId="23060"/>
    <cellStyle name="Normal 266 3 6" xfId="23061"/>
    <cellStyle name="Normal 266 4" xfId="23062"/>
    <cellStyle name="Normal 266 4 2" xfId="23063"/>
    <cellStyle name="Normal 266 4 2 2" xfId="23064"/>
    <cellStyle name="Normal 266 4 3" xfId="23065"/>
    <cellStyle name="Normal 266 5" xfId="23066"/>
    <cellStyle name="Normal 266 5 2" xfId="23067"/>
    <cellStyle name="Normal 266 5 2 2" xfId="23068"/>
    <cellStyle name="Normal 266 5 3" xfId="23069"/>
    <cellStyle name="Normal 266 6" xfId="23070"/>
    <cellStyle name="Normal 266 6 2" xfId="23071"/>
    <cellStyle name="Normal 266 6 2 2" xfId="23072"/>
    <cellStyle name="Normal 266 6 3" xfId="23073"/>
    <cellStyle name="Normal 266 7" xfId="23074"/>
    <cellStyle name="Normal 267" xfId="23075"/>
    <cellStyle name="Normal 267 2" xfId="23076"/>
    <cellStyle name="Normal 267 2 2" xfId="23077"/>
    <cellStyle name="Normal 267 2 2 2" xfId="23078"/>
    <cellStyle name="Normal 267 2 3" xfId="23079"/>
    <cellStyle name="Normal 267 2 3 2" xfId="23080"/>
    <cellStyle name="Normal 267 2 3 2 2" xfId="23081"/>
    <cellStyle name="Normal 267 2 3 3" xfId="23082"/>
    <cellStyle name="Normal 267 2 4" xfId="23083"/>
    <cellStyle name="Normal 267 2 4 2" xfId="23084"/>
    <cellStyle name="Normal 267 2 4 2 2" xfId="23085"/>
    <cellStyle name="Normal 267 2 4 3" xfId="23086"/>
    <cellStyle name="Normal 267 2 5" xfId="23087"/>
    <cellStyle name="Normal 267 3" xfId="23088"/>
    <cellStyle name="Normal 267 3 2" xfId="23089"/>
    <cellStyle name="Normal 267 3 2 2" xfId="23090"/>
    <cellStyle name="Normal 267 3 2 2 2" xfId="23091"/>
    <cellStyle name="Normal 267 3 2 3" xfId="23092"/>
    <cellStyle name="Normal 267 3 2 3 2" xfId="23093"/>
    <cellStyle name="Normal 267 3 2 3 2 2" xfId="23094"/>
    <cellStyle name="Normal 267 3 2 3 3" xfId="23095"/>
    <cellStyle name="Normal 267 3 2 4" xfId="23096"/>
    <cellStyle name="Normal 267 3 3" xfId="23097"/>
    <cellStyle name="Normal 267 3 3 2" xfId="23098"/>
    <cellStyle name="Normal 267 3 3 2 2" xfId="23099"/>
    <cellStyle name="Normal 267 3 3 3" xfId="23100"/>
    <cellStyle name="Normal 267 3 4" xfId="23101"/>
    <cellStyle name="Normal 267 3 4 2" xfId="23102"/>
    <cellStyle name="Normal 267 3 4 2 2" xfId="23103"/>
    <cellStyle name="Normal 267 3 4 3" xfId="23104"/>
    <cellStyle name="Normal 267 3 5" xfId="23105"/>
    <cellStyle name="Normal 267 3 5 2" xfId="23106"/>
    <cellStyle name="Normal 267 3 5 2 2" xfId="23107"/>
    <cellStyle name="Normal 267 3 5 3" xfId="23108"/>
    <cellStyle name="Normal 267 3 6" xfId="23109"/>
    <cellStyle name="Normal 267 4" xfId="23110"/>
    <cellStyle name="Normal 267 4 2" xfId="23111"/>
    <cellStyle name="Normal 267 4 2 2" xfId="23112"/>
    <cellStyle name="Normal 267 4 3" xfId="23113"/>
    <cellStyle name="Normal 267 5" xfId="23114"/>
    <cellStyle name="Normal 267 5 2" xfId="23115"/>
    <cellStyle name="Normal 267 5 2 2" xfId="23116"/>
    <cellStyle name="Normal 267 5 3" xfId="23117"/>
    <cellStyle name="Normal 267 6" xfId="23118"/>
    <cellStyle name="Normal 267 6 2" xfId="23119"/>
    <cellStyle name="Normal 267 6 2 2" xfId="23120"/>
    <cellStyle name="Normal 267 6 3" xfId="23121"/>
    <cellStyle name="Normal 267 7" xfId="23122"/>
    <cellStyle name="Normal 268" xfId="23123"/>
    <cellStyle name="Normal 268 2" xfId="23124"/>
    <cellStyle name="Normal 268 2 2" xfId="23125"/>
    <cellStyle name="Normal 268 2 2 2" xfId="23126"/>
    <cellStyle name="Normal 268 2 3" xfId="23127"/>
    <cellStyle name="Normal 268 2 3 2" xfId="23128"/>
    <cellStyle name="Normal 268 2 3 2 2" xfId="23129"/>
    <cellStyle name="Normal 268 2 3 3" xfId="23130"/>
    <cellStyle name="Normal 268 2 4" xfId="23131"/>
    <cellStyle name="Normal 268 2 4 2" xfId="23132"/>
    <cellStyle name="Normal 268 2 4 2 2" xfId="23133"/>
    <cellStyle name="Normal 268 2 4 3" xfId="23134"/>
    <cellStyle name="Normal 268 2 5" xfId="23135"/>
    <cellStyle name="Normal 268 3" xfId="23136"/>
    <cellStyle name="Normal 268 3 2" xfId="23137"/>
    <cellStyle name="Normal 268 3 2 2" xfId="23138"/>
    <cellStyle name="Normal 268 3 2 2 2" xfId="23139"/>
    <cellStyle name="Normal 268 3 2 3" xfId="23140"/>
    <cellStyle name="Normal 268 3 2 3 2" xfId="23141"/>
    <cellStyle name="Normal 268 3 2 3 2 2" xfId="23142"/>
    <cellStyle name="Normal 268 3 2 3 3" xfId="23143"/>
    <cellStyle name="Normal 268 3 2 4" xfId="23144"/>
    <cellStyle name="Normal 268 3 3" xfId="23145"/>
    <cellStyle name="Normal 268 3 3 2" xfId="23146"/>
    <cellStyle name="Normal 268 3 3 2 2" xfId="23147"/>
    <cellStyle name="Normal 268 3 3 3" xfId="23148"/>
    <cellStyle name="Normal 268 3 4" xfId="23149"/>
    <cellStyle name="Normal 268 3 4 2" xfId="23150"/>
    <cellStyle name="Normal 268 3 4 2 2" xfId="23151"/>
    <cellStyle name="Normal 268 3 4 3" xfId="23152"/>
    <cellStyle name="Normal 268 3 5" xfId="23153"/>
    <cellStyle name="Normal 268 3 5 2" xfId="23154"/>
    <cellStyle name="Normal 268 3 5 2 2" xfId="23155"/>
    <cellStyle name="Normal 268 3 5 3" xfId="23156"/>
    <cellStyle name="Normal 268 3 6" xfId="23157"/>
    <cellStyle name="Normal 268 4" xfId="23158"/>
    <cellStyle name="Normal 268 4 2" xfId="23159"/>
    <cellStyle name="Normal 268 4 2 2" xfId="23160"/>
    <cellStyle name="Normal 268 4 3" xfId="23161"/>
    <cellStyle name="Normal 268 5" xfId="23162"/>
    <cellStyle name="Normal 268 5 2" xfId="23163"/>
    <cellStyle name="Normal 268 5 2 2" xfId="23164"/>
    <cellStyle name="Normal 268 5 3" xfId="23165"/>
    <cellStyle name="Normal 268 6" xfId="23166"/>
    <cellStyle name="Normal 268 6 2" xfId="23167"/>
    <cellStyle name="Normal 268 6 2 2" xfId="23168"/>
    <cellStyle name="Normal 268 6 3" xfId="23169"/>
    <cellStyle name="Normal 268 7" xfId="23170"/>
    <cellStyle name="Normal 269" xfId="23171"/>
    <cellStyle name="Normal 269 2" xfId="23172"/>
    <cellStyle name="Normal 269 2 2" xfId="23173"/>
    <cellStyle name="Normal 269 2 2 2" xfId="23174"/>
    <cellStyle name="Normal 269 2 3" xfId="23175"/>
    <cellStyle name="Normal 269 2 3 2" xfId="23176"/>
    <cellStyle name="Normal 269 2 3 2 2" xfId="23177"/>
    <cellStyle name="Normal 269 2 3 3" xfId="23178"/>
    <cellStyle name="Normal 269 2 4" xfId="23179"/>
    <cellStyle name="Normal 269 2 4 2" xfId="23180"/>
    <cellStyle name="Normal 269 2 4 2 2" xfId="23181"/>
    <cellStyle name="Normal 269 2 4 3" xfId="23182"/>
    <cellStyle name="Normal 269 2 5" xfId="23183"/>
    <cellStyle name="Normal 269 3" xfId="23184"/>
    <cellStyle name="Normal 269 3 2" xfId="23185"/>
    <cellStyle name="Normal 269 3 2 2" xfId="23186"/>
    <cellStyle name="Normal 269 3 2 2 2" xfId="23187"/>
    <cellStyle name="Normal 269 3 2 3" xfId="23188"/>
    <cellStyle name="Normal 269 3 2 3 2" xfId="23189"/>
    <cellStyle name="Normal 269 3 2 3 2 2" xfId="23190"/>
    <cellStyle name="Normal 269 3 2 3 3" xfId="23191"/>
    <cellStyle name="Normal 269 3 2 4" xfId="23192"/>
    <cellStyle name="Normal 269 3 3" xfId="23193"/>
    <cellStyle name="Normal 269 3 3 2" xfId="23194"/>
    <cellStyle name="Normal 269 3 3 2 2" xfId="23195"/>
    <cellStyle name="Normal 269 3 3 3" xfId="23196"/>
    <cellStyle name="Normal 269 3 4" xfId="23197"/>
    <cellStyle name="Normal 269 3 4 2" xfId="23198"/>
    <cellStyle name="Normal 269 3 4 2 2" xfId="23199"/>
    <cellStyle name="Normal 269 3 4 3" xfId="23200"/>
    <cellStyle name="Normal 269 3 5" xfId="23201"/>
    <cellStyle name="Normal 269 3 5 2" xfId="23202"/>
    <cellStyle name="Normal 269 3 5 2 2" xfId="23203"/>
    <cellStyle name="Normal 269 3 5 3" xfId="23204"/>
    <cellStyle name="Normal 269 3 6" xfId="23205"/>
    <cellStyle name="Normal 269 4" xfId="23206"/>
    <cellStyle name="Normal 269 4 2" xfId="23207"/>
    <cellStyle name="Normal 269 4 2 2" xfId="23208"/>
    <cellStyle name="Normal 269 4 3" xfId="23209"/>
    <cellStyle name="Normal 269 5" xfId="23210"/>
    <cellStyle name="Normal 269 5 2" xfId="23211"/>
    <cellStyle name="Normal 269 5 2 2" xfId="23212"/>
    <cellStyle name="Normal 269 5 3" xfId="23213"/>
    <cellStyle name="Normal 269 6" xfId="23214"/>
    <cellStyle name="Normal 269 6 2" xfId="23215"/>
    <cellStyle name="Normal 269 6 2 2" xfId="23216"/>
    <cellStyle name="Normal 269 6 3" xfId="23217"/>
    <cellStyle name="Normal 269 7" xfId="23218"/>
    <cellStyle name="Normal 27" xfId="23219"/>
    <cellStyle name="Normal 27 2" xfId="23220"/>
    <cellStyle name="Normal 27 2 2" xfId="23221"/>
    <cellStyle name="Normal 27 2 2 2" xfId="23222"/>
    <cellStyle name="Normal 27 2 2 2 2" xfId="23223"/>
    <cellStyle name="Normal 27 2 2 3" xfId="23224"/>
    <cellStyle name="Normal 27 2 2 3 2" xfId="23225"/>
    <cellStyle name="Normal 27 2 2 3 2 2" xfId="23226"/>
    <cellStyle name="Normal 27 2 2 3 3" xfId="23227"/>
    <cellStyle name="Normal 27 2 2 4" xfId="23228"/>
    <cellStyle name="Normal 27 2 2 4 2" xfId="23229"/>
    <cellStyle name="Normal 27 2 2 4 2 2" xfId="23230"/>
    <cellStyle name="Normal 27 2 2 4 3" xfId="23231"/>
    <cellStyle name="Normal 27 2 2 5" xfId="23232"/>
    <cellStyle name="Normal 27 2 3" xfId="23233"/>
    <cellStyle name="Normal 27 2 3 2" xfId="23234"/>
    <cellStyle name="Normal 27 2 3 2 2" xfId="23235"/>
    <cellStyle name="Normal 27 2 3 3" xfId="23236"/>
    <cellStyle name="Normal 27 2 4" xfId="23237"/>
    <cellStyle name="Normal 27 2 4 2" xfId="23238"/>
    <cellStyle name="Normal 27 2 4 2 2" xfId="23239"/>
    <cellStyle name="Normal 27 2 4 3" xfId="23240"/>
    <cellStyle name="Normal 27 2 5" xfId="23241"/>
    <cellStyle name="Normal 27 2 5 2" xfId="23242"/>
    <cellStyle name="Normal 27 2 5 2 2" xfId="23243"/>
    <cellStyle name="Normal 27 2 5 3" xfId="23244"/>
    <cellStyle name="Normal 27 2 6" xfId="23245"/>
    <cellStyle name="Normal 27 3" xfId="23246"/>
    <cellStyle name="Normal 27 3 2" xfId="23247"/>
    <cellStyle name="Normal 27 3 2 2" xfId="23248"/>
    <cellStyle name="Normal 27 3 3" xfId="23249"/>
    <cellStyle name="Normal 27 3 3 2" xfId="23250"/>
    <cellStyle name="Normal 27 3 3 2 2" xfId="23251"/>
    <cellStyle name="Normal 27 3 3 3" xfId="23252"/>
    <cellStyle name="Normal 27 3 4" xfId="23253"/>
    <cellStyle name="Normal 27 3 4 2" xfId="23254"/>
    <cellStyle name="Normal 27 3 4 2 2" xfId="23255"/>
    <cellStyle name="Normal 27 3 4 3" xfId="23256"/>
    <cellStyle name="Normal 27 3 5" xfId="23257"/>
    <cellStyle name="Normal 27 4" xfId="23258"/>
    <cellStyle name="Normal 27 4 2" xfId="23259"/>
    <cellStyle name="Normal 27 4 2 2" xfId="23260"/>
    <cellStyle name="Normal 27 4 3" xfId="23261"/>
    <cellStyle name="Normal 27 4 3 2" xfId="23262"/>
    <cellStyle name="Normal 27 4 3 2 2" xfId="23263"/>
    <cellStyle name="Normal 27 4 3 3" xfId="23264"/>
    <cellStyle name="Normal 27 4 4" xfId="23265"/>
    <cellStyle name="Normal 27 4 4 2" xfId="23266"/>
    <cellStyle name="Normal 27 4 4 2 2" xfId="23267"/>
    <cellStyle name="Normal 27 4 4 3" xfId="23268"/>
    <cellStyle name="Normal 27 4 5" xfId="23269"/>
    <cellStyle name="Normal 27 5" xfId="23270"/>
    <cellStyle name="Normal 27 5 2" xfId="23271"/>
    <cellStyle name="Normal 27 5 2 2" xfId="23272"/>
    <cellStyle name="Normal 27 5 3" xfId="23273"/>
    <cellStyle name="Normal 27 6" xfId="23274"/>
    <cellStyle name="Normal 27 6 2" xfId="23275"/>
    <cellStyle name="Normal 27 6 2 2" xfId="23276"/>
    <cellStyle name="Normal 27 6 3" xfId="23277"/>
    <cellStyle name="Normal 27 7" xfId="23278"/>
    <cellStyle name="Normal 27 7 2" xfId="23279"/>
    <cellStyle name="Normal 27 7 2 2" xfId="23280"/>
    <cellStyle name="Normal 27 7 3" xfId="23281"/>
    <cellStyle name="Normal 27 8" xfId="23282"/>
    <cellStyle name="Normal 270" xfId="23283"/>
    <cellStyle name="Normal 270 2" xfId="23284"/>
    <cellStyle name="Normal 270 2 2" xfId="23285"/>
    <cellStyle name="Normal 270 2 2 2" xfId="23286"/>
    <cellStyle name="Normal 270 2 3" xfId="23287"/>
    <cellStyle name="Normal 270 2 3 2" xfId="23288"/>
    <cellStyle name="Normal 270 2 3 2 2" xfId="23289"/>
    <cellStyle name="Normal 270 2 3 3" xfId="23290"/>
    <cellStyle name="Normal 270 2 4" xfId="23291"/>
    <cellStyle name="Normal 270 2 4 2" xfId="23292"/>
    <cellStyle name="Normal 270 2 4 2 2" xfId="23293"/>
    <cellStyle name="Normal 270 2 4 3" xfId="23294"/>
    <cellStyle name="Normal 270 2 5" xfId="23295"/>
    <cellStyle name="Normal 270 3" xfId="23296"/>
    <cellStyle name="Normal 270 3 2" xfId="23297"/>
    <cellStyle name="Normal 270 3 2 2" xfId="23298"/>
    <cellStyle name="Normal 270 3 2 2 2" xfId="23299"/>
    <cellStyle name="Normal 270 3 2 3" xfId="23300"/>
    <cellStyle name="Normal 270 3 2 3 2" xfId="23301"/>
    <cellStyle name="Normal 270 3 2 3 2 2" xfId="23302"/>
    <cellStyle name="Normal 270 3 2 3 3" xfId="23303"/>
    <cellStyle name="Normal 270 3 2 4" xfId="23304"/>
    <cellStyle name="Normal 270 3 3" xfId="23305"/>
    <cellStyle name="Normal 270 3 3 2" xfId="23306"/>
    <cellStyle name="Normal 270 3 3 2 2" xfId="23307"/>
    <cellStyle name="Normal 270 3 3 3" xfId="23308"/>
    <cellStyle name="Normal 270 3 4" xfId="23309"/>
    <cellStyle name="Normal 270 3 4 2" xfId="23310"/>
    <cellStyle name="Normal 270 3 4 2 2" xfId="23311"/>
    <cellStyle name="Normal 270 3 4 3" xfId="23312"/>
    <cellStyle name="Normal 270 3 5" xfId="23313"/>
    <cellStyle name="Normal 270 3 5 2" xfId="23314"/>
    <cellStyle name="Normal 270 3 5 2 2" xfId="23315"/>
    <cellStyle name="Normal 270 3 5 3" xfId="23316"/>
    <cellStyle name="Normal 270 3 6" xfId="23317"/>
    <cellStyle name="Normal 270 4" xfId="23318"/>
    <cellStyle name="Normal 270 4 2" xfId="23319"/>
    <cellStyle name="Normal 270 4 2 2" xfId="23320"/>
    <cellStyle name="Normal 270 4 3" xfId="23321"/>
    <cellStyle name="Normal 270 5" xfId="23322"/>
    <cellStyle name="Normal 270 5 2" xfId="23323"/>
    <cellStyle name="Normal 270 5 2 2" xfId="23324"/>
    <cellStyle name="Normal 270 5 3" xfId="23325"/>
    <cellStyle name="Normal 270 6" xfId="23326"/>
    <cellStyle name="Normal 270 6 2" xfId="23327"/>
    <cellStyle name="Normal 270 6 2 2" xfId="23328"/>
    <cellStyle name="Normal 270 6 3" xfId="23329"/>
    <cellStyle name="Normal 270 7" xfId="23330"/>
    <cellStyle name="Normal 271" xfId="23331"/>
    <cellStyle name="Normal 271 2" xfId="23332"/>
    <cellStyle name="Normal 271 2 2" xfId="23333"/>
    <cellStyle name="Normal 271 2 2 2" xfId="23334"/>
    <cellStyle name="Normal 271 2 3" xfId="23335"/>
    <cellStyle name="Normal 271 2 3 2" xfId="23336"/>
    <cellStyle name="Normal 271 2 3 2 2" xfId="23337"/>
    <cellStyle name="Normal 271 2 3 3" xfId="23338"/>
    <cellStyle name="Normal 271 2 4" xfId="23339"/>
    <cellStyle name="Normal 271 2 4 2" xfId="23340"/>
    <cellStyle name="Normal 271 2 4 2 2" xfId="23341"/>
    <cellStyle name="Normal 271 2 4 3" xfId="23342"/>
    <cellStyle name="Normal 271 2 5" xfId="23343"/>
    <cellStyle name="Normal 271 3" xfId="23344"/>
    <cellStyle name="Normal 271 3 2" xfId="23345"/>
    <cellStyle name="Normal 271 3 2 2" xfId="23346"/>
    <cellStyle name="Normal 271 3 2 2 2" xfId="23347"/>
    <cellStyle name="Normal 271 3 2 3" xfId="23348"/>
    <cellStyle name="Normal 271 3 2 3 2" xfId="23349"/>
    <cellStyle name="Normal 271 3 2 3 2 2" xfId="23350"/>
    <cellStyle name="Normal 271 3 2 3 3" xfId="23351"/>
    <cellStyle name="Normal 271 3 2 4" xfId="23352"/>
    <cellStyle name="Normal 271 3 3" xfId="23353"/>
    <cellStyle name="Normal 271 3 3 2" xfId="23354"/>
    <cellStyle name="Normal 271 3 3 2 2" xfId="23355"/>
    <cellStyle name="Normal 271 3 3 3" xfId="23356"/>
    <cellStyle name="Normal 271 3 4" xfId="23357"/>
    <cellStyle name="Normal 271 3 4 2" xfId="23358"/>
    <cellStyle name="Normal 271 3 4 2 2" xfId="23359"/>
    <cellStyle name="Normal 271 3 4 3" xfId="23360"/>
    <cellStyle name="Normal 271 3 5" xfId="23361"/>
    <cellStyle name="Normal 271 3 5 2" xfId="23362"/>
    <cellStyle name="Normal 271 3 5 2 2" xfId="23363"/>
    <cellStyle name="Normal 271 3 5 3" xfId="23364"/>
    <cellStyle name="Normal 271 3 6" xfId="23365"/>
    <cellStyle name="Normal 271 4" xfId="23366"/>
    <cellStyle name="Normal 271 4 2" xfId="23367"/>
    <cellStyle name="Normal 271 4 2 2" xfId="23368"/>
    <cellStyle name="Normal 271 4 3" xfId="23369"/>
    <cellStyle name="Normal 271 5" xfId="23370"/>
    <cellStyle name="Normal 271 5 2" xfId="23371"/>
    <cellStyle name="Normal 271 5 2 2" xfId="23372"/>
    <cellStyle name="Normal 271 5 3" xfId="23373"/>
    <cellStyle name="Normal 271 6" xfId="23374"/>
    <cellStyle name="Normal 271 6 2" xfId="23375"/>
    <cellStyle name="Normal 271 6 2 2" xfId="23376"/>
    <cellStyle name="Normal 271 6 3" xfId="23377"/>
    <cellStyle name="Normal 271 7" xfId="23378"/>
    <cellStyle name="Normal 272" xfId="23379"/>
    <cellStyle name="Normal 272 2" xfId="23380"/>
    <cellStyle name="Normal 272 2 2" xfId="23381"/>
    <cellStyle name="Normal 272 2 2 2" xfId="23382"/>
    <cellStyle name="Normal 272 2 3" xfId="23383"/>
    <cellStyle name="Normal 272 2 3 2" xfId="23384"/>
    <cellStyle name="Normal 272 2 3 2 2" xfId="23385"/>
    <cellStyle name="Normal 272 2 3 3" xfId="23386"/>
    <cellStyle name="Normal 272 2 4" xfId="23387"/>
    <cellStyle name="Normal 272 2 4 2" xfId="23388"/>
    <cellStyle name="Normal 272 2 4 2 2" xfId="23389"/>
    <cellStyle name="Normal 272 2 4 3" xfId="23390"/>
    <cellStyle name="Normal 272 2 5" xfId="23391"/>
    <cellStyle name="Normal 272 3" xfId="23392"/>
    <cellStyle name="Normal 272 3 2" xfId="23393"/>
    <cellStyle name="Normal 272 3 2 2" xfId="23394"/>
    <cellStyle name="Normal 272 3 2 2 2" xfId="23395"/>
    <cellStyle name="Normal 272 3 2 3" xfId="23396"/>
    <cellStyle name="Normal 272 3 2 3 2" xfId="23397"/>
    <cellStyle name="Normal 272 3 2 3 2 2" xfId="23398"/>
    <cellStyle name="Normal 272 3 2 3 3" xfId="23399"/>
    <cellStyle name="Normal 272 3 2 4" xfId="23400"/>
    <cellStyle name="Normal 272 3 3" xfId="23401"/>
    <cellStyle name="Normal 272 3 3 2" xfId="23402"/>
    <cellStyle name="Normal 272 3 3 2 2" xfId="23403"/>
    <cellStyle name="Normal 272 3 3 3" xfId="23404"/>
    <cellStyle name="Normal 272 3 4" xfId="23405"/>
    <cellStyle name="Normal 272 3 4 2" xfId="23406"/>
    <cellStyle name="Normal 272 3 4 2 2" xfId="23407"/>
    <cellStyle name="Normal 272 3 4 3" xfId="23408"/>
    <cellStyle name="Normal 272 3 5" xfId="23409"/>
    <cellStyle name="Normal 272 3 5 2" xfId="23410"/>
    <cellStyle name="Normal 272 3 5 2 2" xfId="23411"/>
    <cellStyle name="Normal 272 3 5 3" xfId="23412"/>
    <cellStyle name="Normal 272 3 6" xfId="23413"/>
    <cellStyle name="Normal 272 4" xfId="23414"/>
    <cellStyle name="Normal 272 4 2" xfId="23415"/>
    <cellStyle name="Normal 272 4 2 2" xfId="23416"/>
    <cellStyle name="Normal 272 4 3" xfId="23417"/>
    <cellStyle name="Normal 272 5" xfId="23418"/>
    <cellStyle name="Normal 272 5 2" xfId="23419"/>
    <cellStyle name="Normal 272 5 2 2" xfId="23420"/>
    <cellStyle name="Normal 272 5 3" xfId="23421"/>
    <cellStyle name="Normal 272 6" xfId="23422"/>
    <cellStyle name="Normal 272 6 2" xfId="23423"/>
    <cellStyle name="Normal 272 6 2 2" xfId="23424"/>
    <cellStyle name="Normal 272 6 3" xfId="23425"/>
    <cellStyle name="Normal 272 7" xfId="23426"/>
    <cellStyle name="Normal 273" xfId="23427"/>
    <cellStyle name="Normal 273 2" xfId="23428"/>
    <cellStyle name="Normal 273 2 2" xfId="23429"/>
    <cellStyle name="Normal 273 2 2 2" xfId="23430"/>
    <cellStyle name="Normal 273 2 3" xfId="23431"/>
    <cellStyle name="Normal 273 2 3 2" xfId="23432"/>
    <cellStyle name="Normal 273 2 3 2 2" xfId="23433"/>
    <cellStyle name="Normal 273 2 3 3" xfId="23434"/>
    <cellStyle name="Normal 273 2 4" xfId="23435"/>
    <cellStyle name="Normal 273 2 4 2" xfId="23436"/>
    <cellStyle name="Normal 273 2 4 2 2" xfId="23437"/>
    <cellStyle name="Normal 273 2 4 3" xfId="23438"/>
    <cellStyle name="Normal 273 2 5" xfId="23439"/>
    <cellStyle name="Normal 273 3" xfId="23440"/>
    <cellStyle name="Normal 273 3 2" xfId="23441"/>
    <cellStyle name="Normal 273 3 2 2" xfId="23442"/>
    <cellStyle name="Normal 273 3 2 2 2" xfId="23443"/>
    <cellStyle name="Normal 273 3 2 3" xfId="23444"/>
    <cellStyle name="Normal 273 3 2 3 2" xfId="23445"/>
    <cellStyle name="Normal 273 3 2 3 2 2" xfId="23446"/>
    <cellStyle name="Normal 273 3 2 3 3" xfId="23447"/>
    <cellStyle name="Normal 273 3 2 4" xfId="23448"/>
    <cellStyle name="Normal 273 3 3" xfId="23449"/>
    <cellStyle name="Normal 273 3 3 2" xfId="23450"/>
    <cellStyle name="Normal 273 3 3 2 2" xfId="23451"/>
    <cellStyle name="Normal 273 3 3 3" xfId="23452"/>
    <cellStyle name="Normal 273 3 4" xfId="23453"/>
    <cellStyle name="Normal 273 3 4 2" xfId="23454"/>
    <cellStyle name="Normal 273 3 4 2 2" xfId="23455"/>
    <cellStyle name="Normal 273 3 4 3" xfId="23456"/>
    <cellStyle name="Normal 273 3 5" xfId="23457"/>
    <cellStyle name="Normal 273 3 5 2" xfId="23458"/>
    <cellStyle name="Normal 273 3 5 2 2" xfId="23459"/>
    <cellStyle name="Normal 273 3 5 3" xfId="23460"/>
    <cellStyle name="Normal 273 3 6" xfId="23461"/>
    <cellStyle name="Normal 273 4" xfId="23462"/>
    <cellStyle name="Normal 273 4 2" xfId="23463"/>
    <cellStyle name="Normal 273 4 2 2" xfId="23464"/>
    <cellStyle name="Normal 273 4 3" xfId="23465"/>
    <cellStyle name="Normal 273 5" xfId="23466"/>
    <cellStyle name="Normal 273 5 2" xfId="23467"/>
    <cellStyle name="Normal 273 5 2 2" xfId="23468"/>
    <cellStyle name="Normal 273 5 3" xfId="23469"/>
    <cellStyle name="Normal 273 6" xfId="23470"/>
    <cellStyle name="Normal 273 6 2" xfId="23471"/>
    <cellStyle name="Normal 273 6 2 2" xfId="23472"/>
    <cellStyle name="Normal 273 6 3" xfId="23473"/>
    <cellStyle name="Normal 273 7" xfId="23474"/>
    <cellStyle name="Normal 274" xfId="23475"/>
    <cellStyle name="Normal 274 2" xfId="23476"/>
    <cellStyle name="Normal 274 2 2" xfId="23477"/>
    <cellStyle name="Normal 274 2 2 2" xfId="23478"/>
    <cellStyle name="Normal 274 2 3" xfId="23479"/>
    <cellStyle name="Normal 274 2 3 2" xfId="23480"/>
    <cellStyle name="Normal 274 2 3 2 2" xfId="23481"/>
    <cellStyle name="Normal 274 2 3 3" xfId="23482"/>
    <cellStyle name="Normal 274 2 4" xfId="23483"/>
    <cellStyle name="Normal 274 2 4 2" xfId="23484"/>
    <cellStyle name="Normal 274 2 4 2 2" xfId="23485"/>
    <cellStyle name="Normal 274 2 4 3" xfId="23486"/>
    <cellStyle name="Normal 274 2 5" xfId="23487"/>
    <cellStyle name="Normal 274 3" xfId="23488"/>
    <cellStyle name="Normal 274 3 2" xfId="23489"/>
    <cellStyle name="Normal 274 3 2 2" xfId="23490"/>
    <cellStyle name="Normal 274 3 2 2 2" xfId="23491"/>
    <cellStyle name="Normal 274 3 2 3" xfId="23492"/>
    <cellStyle name="Normal 274 3 2 3 2" xfId="23493"/>
    <cellStyle name="Normal 274 3 2 3 2 2" xfId="23494"/>
    <cellStyle name="Normal 274 3 2 3 3" xfId="23495"/>
    <cellStyle name="Normal 274 3 2 4" xfId="23496"/>
    <cellStyle name="Normal 274 3 3" xfId="23497"/>
    <cellStyle name="Normal 274 3 3 2" xfId="23498"/>
    <cellStyle name="Normal 274 3 3 2 2" xfId="23499"/>
    <cellStyle name="Normal 274 3 3 3" xfId="23500"/>
    <cellStyle name="Normal 274 3 4" xfId="23501"/>
    <cellStyle name="Normal 274 3 4 2" xfId="23502"/>
    <cellStyle name="Normal 274 3 4 2 2" xfId="23503"/>
    <cellStyle name="Normal 274 3 4 3" xfId="23504"/>
    <cellStyle name="Normal 274 3 5" xfId="23505"/>
    <cellStyle name="Normal 274 3 5 2" xfId="23506"/>
    <cellStyle name="Normal 274 3 5 2 2" xfId="23507"/>
    <cellStyle name="Normal 274 3 5 3" xfId="23508"/>
    <cellStyle name="Normal 274 3 6" xfId="23509"/>
    <cellStyle name="Normal 274 4" xfId="23510"/>
    <cellStyle name="Normal 274 4 2" xfId="23511"/>
    <cellStyle name="Normal 274 4 2 2" xfId="23512"/>
    <cellStyle name="Normal 274 4 3" xfId="23513"/>
    <cellStyle name="Normal 274 5" xfId="23514"/>
    <cellStyle name="Normal 274 5 2" xfId="23515"/>
    <cellStyle name="Normal 274 5 2 2" xfId="23516"/>
    <cellStyle name="Normal 274 5 3" xfId="23517"/>
    <cellStyle name="Normal 274 6" xfId="23518"/>
    <cellStyle name="Normal 274 6 2" xfId="23519"/>
    <cellStyle name="Normal 274 6 2 2" xfId="23520"/>
    <cellStyle name="Normal 274 6 3" xfId="23521"/>
    <cellStyle name="Normal 274 7" xfId="23522"/>
    <cellStyle name="Normal 275" xfId="23523"/>
    <cellStyle name="Normal 275 2" xfId="23524"/>
    <cellStyle name="Normal 275 2 2" xfId="23525"/>
    <cellStyle name="Normal 275 2 2 2" xfId="23526"/>
    <cellStyle name="Normal 275 2 3" xfId="23527"/>
    <cellStyle name="Normal 275 2 3 2" xfId="23528"/>
    <cellStyle name="Normal 275 2 3 2 2" xfId="23529"/>
    <cellStyle name="Normal 275 2 3 3" xfId="23530"/>
    <cellStyle name="Normal 275 2 4" xfId="23531"/>
    <cellStyle name="Normal 275 2 4 2" xfId="23532"/>
    <cellStyle name="Normal 275 2 4 2 2" xfId="23533"/>
    <cellStyle name="Normal 275 2 4 3" xfId="23534"/>
    <cellStyle name="Normal 275 2 5" xfId="23535"/>
    <cellStyle name="Normal 275 3" xfId="23536"/>
    <cellStyle name="Normal 275 3 2" xfId="23537"/>
    <cellStyle name="Normal 275 3 2 2" xfId="23538"/>
    <cellStyle name="Normal 275 3 2 2 2" xfId="23539"/>
    <cellStyle name="Normal 275 3 2 3" xfId="23540"/>
    <cellStyle name="Normal 275 3 2 3 2" xfId="23541"/>
    <cellStyle name="Normal 275 3 2 3 2 2" xfId="23542"/>
    <cellStyle name="Normal 275 3 2 3 3" xfId="23543"/>
    <cellStyle name="Normal 275 3 2 4" xfId="23544"/>
    <cellStyle name="Normal 275 3 3" xfId="23545"/>
    <cellStyle name="Normal 275 3 3 2" xfId="23546"/>
    <cellStyle name="Normal 275 3 3 2 2" xfId="23547"/>
    <cellStyle name="Normal 275 3 3 3" xfId="23548"/>
    <cellStyle name="Normal 275 3 4" xfId="23549"/>
    <cellStyle name="Normal 275 3 4 2" xfId="23550"/>
    <cellStyle name="Normal 275 3 4 2 2" xfId="23551"/>
    <cellStyle name="Normal 275 3 4 3" xfId="23552"/>
    <cellStyle name="Normal 275 3 5" xfId="23553"/>
    <cellStyle name="Normal 275 3 5 2" xfId="23554"/>
    <cellStyle name="Normal 275 3 5 2 2" xfId="23555"/>
    <cellStyle name="Normal 275 3 5 3" xfId="23556"/>
    <cellStyle name="Normal 275 3 6" xfId="23557"/>
    <cellStyle name="Normal 275 4" xfId="23558"/>
    <cellStyle name="Normal 275 4 2" xfId="23559"/>
    <cellStyle name="Normal 275 4 2 2" xfId="23560"/>
    <cellStyle name="Normal 275 4 3" xfId="23561"/>
    <cellStyle name="Normal 275 5" xfId="23562"/>
    <cellStyle name="Normal 275 5 2" xfId="23563"/>
    <cellStyle name="Normal 275 5 2 2" xfId="23564"/>
    <cellStyle name="Normal 275 5 3" xfId="23565"/>
    <cellStyle name="Normal 275 6" xfId="23566"/>
    <cellStyle name="Normal 275 6 2" xfId="23567"/>
    <cellStyle name="Normal 275 6 2 2" xfId="23568"/>
    <cellStyle name="Normal 275 6 3" xfId="23569"/>
    <cellStyle name="Normal 275 7" xfId="23570"/>
    <cellStyle name="Normal 276" xfId="23571"/>
    <cellStyle name="Normal 276 2" xfId="23572"/>
    <cellStyle name="Normal 276 2 2" xfId="23573"/>
    <cellStyle name="Normal 276 2 2 2" xfId="23574"/>
    <cellStyle name="Normal 276 2 3" xfId="23575"/>
    <cellStyle name="Normal 276 2 3 2" xfId="23576"/>
    <cellStyle name="Normal 276 2 3 2 2" xfId="23577"/>
    <cellStyle name="Normal 276 2 3 3" xfId="23578"/>
    <cellStyle name="Normal 276 2 4" xfId="23579"/>
    <cellStyle name="Normal 276 2 4 2" xfId="23580"/>
    <cellStyle name="Normal 276 2 4 2 2" xfId="23581"/>
    <cellStyle name="Normal 276 2 4 3" xfId="23582"/>
    <cellStyle name="Normal 276 2 5" xfId="23583"/>
    <cellStyle name="Normal 276 3" xfId="23584"/>
    <cellStyle name="Normal 276 3 2" xfId="23585"/>
    <cellStyle name="Normal 276 3 2 2" xfId="23586"/>
    <cellStyle name="Normal 276 3 2 2 2" xfId="23587"/>
    <cellStyle name="Normal 276 3 2 3" xfId="23588"/>
    <cellStyle name="Normal 276 3 2 3 2" xfId="23589"/>
    <cellStyle name="Normal 276 3 2 3 2 2" xfId="23590"/>
    <cellStyle name="Normal 276 3 2 3 3" xfId="23591"/>
    <cellStyle name="Normal 276 3 2 4" xfId="23592"/>
    <cellStyle name="Normal 276 3 3" xfId="23593"/>
    <cellStyle name="Normal 276 3 3 2" xfId="23594"/>
    <cellStyle name="Normal 276 3 3 2 2" xfId="23595"/>
    <cellStyle name="Normal 276 3 3 3" xfId="23596"/>
    <cellStyle name="Normal 276 3 4" xfId="23597"/>
    <cellStyle name="Normal 276 3 4 2" xfId="23598"/>
    <cellStyle name="Normal 276 3 4 2 2" xfId="23599"/>
    <cellStyle name="Normal 276 3 4 3" xfId="23600"/>
    <cellStyle name="Normal 276 3 5" xfId="23601"/>
    <cellStyle name="Normal 276 3 5 2" xfId="23602"/>
    <cellStyle name="Normal 276 3 5 2 2" xfId="23603"/>
    <cellStyle name="Normal 276 3 5 3" xfId="23604"/>
    <cellStyle name="Normal 276 3 6" xfId="23605"/>
    <cellStyle name="Normal 276 4" xfId="23606"/>
    <cellStyle name="Normal 276 4 2" xfId="23607"/>
    <cellStyle name="Normal 276 4 2 2" xfId="23608"/>
    <cellStyle name="Normal 276 4 3" xfId="23609"/>
    <cellStyle name="Normal 276 5" xfId="23610"/>
    <cellStyle name="Normal 276 5 2" xfId="23611"/>
    <cellStyle name="Normal 276 5 2 2" xfId="23612"/>
    <cellStyle name="Normal 276 5 3" xfId="23613"/>
    <cellStyle name="Normal 276 6" xfId="23614"/>
    <cellStyle name="Normal 276 6 2" xfId="23615"/>
    <cellStyle name="Normal 276 6 2 2" xfId="23616"/>
    <cellStyle name="Normal 276 6 3" xfId="23617"/>
    <cellStyle name="Normal 276 7" xfId="23618"/>
    <cellStyle name="Normal 277" xfId="23619"/>
    <cellStyle name="Normal 277 2" xfId="23620"/>
    <cellStyle name="Normal 277 2 2" xfId="23621"/>
    <cellStyle name="Normal 277 2 2 2" xfId="23622"/>
    <cellStyle name="Normal 277 2 3" xfId="23623"/>
    <cellStyle name="Normal 277 2 3 2" xfId="23624"/>
    <cellStyle name="Normal 277 2 3 2 2" xfId="23625"/>
    <cellStyle name="Normal 277 2 3 3" xfId="23626"/>
    <cellStyle name="Normal 277 2 4" xfId="23627"/>
    <cellStyle name="Normal 277 2 4 2" xfId="23628"/>
    <cellStyle name="Normal 277 2 4 2 2" xfId="23629"/>
    <cellStyle name="Normal 277 2 4 3" xfId="23630"/>
    <cellStyle name="Normal 277 2 5" xfId="23631"/>
    <cellStyle name="Normal 277 3" xfId="23632"/>
    <cellStyle name="Normal 277 3 2" xfId="23633"/>
    <cellStyle name="Normal 277 3 2 2" xfId="23634"/>
    <cellStyle name="Normal 277 3 2 2 2" xfId="23635"/>
    <cellStyle name="Normal 277 3 2 3" xfId="23636"/>
    <cellStyle name="Normal 277 3 2 3 2" xfId="23637"/>
    <cellStyle name="Normal 277 3 2 3 2 2" xfId="23638"/>
    <cellStyle name="Normal 277 3 2 3 3" xfId="23639"/>
    <cellStyle name="Normal 277 3 2 4" xfId="23640"/>
    <cellStyle name="Normal 277 3 3" xfId="23641"/>
    <cellStyle name="Normal 277 3 3 2" xfId="23642"/>
    <cellStyle name="Normal 277 3 3 2 2" xfId="23643"/>
    <cellStyle name="Normal 277 3 3 3" xfId="23644"/>
    <cellStyle name="Normal 277 3 4" xfId="23645"/>
    <cellStyle name="Normal 277 3 4 2" xfId="23646"/>
    <cellStyle name="Normal 277 3 4 2 2" xfId="23647"/>
    <cellStyle name="Normal 277 3 4 3" xfId="23648"/>
    <cellStyle name="Normal 277 3 5" xfId="23649"/>
    <cellStyle name="Normal 277 3 5 2" xfId="23650"/>
    <cellStyle name="Normal 277 3 5 2 2" xfId="23651"/>
    <cellStyle name="Normal 277 3 5 3" xfId="23652"/>
    <cellStyle name="Normal 277 3 6" xfId="23653"/>
    <cellStyle name="Normal 277 4" xfId="23654"/>
    <cellStyle name="Normal 277 4 2" xfId="23655"/>
    <cellStyle name="Normal 277 4 2 2" xfId="23656"/>
    <cellStyle name="Normal 277 4 3" xfId="23657"/>
    <cellStyle name="Normal 277 5" xfId="23658"/>
    <cellStyle name="Normal 277 5 2" xfId="23659"/>
    <cellStyle name="Normal 277 5 2 2" xfId="23660"/>
    <cellStyle name="Normal 277 5 3" xfId="23661"/>
    <cellStyle name="Normal 277 6" xfId="23662"/>
    <cellStyle name="Normal 277 6 2" xfId="23663"/>
    <cellStyle name="Normal 277 6 2 2" xfId="23664"/>
    <cellStyle name="Normal 277 6 3" xfId="23665"/>
    <cellStyle name="Normal 277 7" xfId="23666"/>
    <cellStyle name="Normal 278" xfId="23667"/>
    <cellStyle name="Normal 278 2" xfId="23668"/>
    <cellStyle name="Normal 278 2 2" xfId="23669"/>
    <cellStyle name="Normal 278 2 2 2" xfId="23670"/>
    <cellStyle name="Normal 278 2 3" xfId="23671"/>
    <cellStyle name="Normal 278 2 3 2" xfId="23672"/>
    <cellStyle name="Normal 278 2 3 2 2" xfId="23673"/>
    <cellStyle name="Normal 278 2 3 3" xfId="23674"/>
    <cellStyle name="Normal 278 2 4" xfId="23675"/>
    <cellStyle name="Normal 278 2 4 2" xfId="23676"/>
    <cellStyle name="Normal 278 2 4 2 2" xfId="23677"/>
    <cellStyle name="Normal 278 2 4 3" xfId="23678"/>
    <cellStyle name="Normal 278 2 5" xfId="23679"/>
    <cellStyle name="Normal 278 3" xfId="23680"/>
    <cellStyle name="Normal 278 3 2" xfId="23681"/>
    <cellStyle name="Normal 278 3 2 2" xfId="23682"/>
    <cellStyle name="Normal 278 3 2 2 2" xfId="23683"/>
    <cellStyle name="Normal 278 3 2 3" xfId="23684"/>
    <cellStyle name="Normal 278 3 2 3 2" xfId="23685"/>
    <cellStyle name="Normal 278 3 2 3 2 2" xfId="23686"/>
    <cellStyle name="Normal 278 3 2 3 3" xfId="23687"/>
    <cellStyle name="Normal 278 3 2 4" xfId="23688"/>
    <cellStyle name="Normal 278 3 3" xfId="23689"/>
    <cellStyle name="Normal 278 3 3 2" xfId="23690"/>
    <cellStyle name="Normal 278 3 3 2 2" xfId="23691"/>
    <cellStyle name="Normal 278 3 3 3" xfId="23692"/>
    <cellStyle name="Normal 278 3 4" xfId="23693"/>
    <cellStyle name="Normal 278 3 4 2" xfId="23694"/>
    <cellStyle name="Normal 278 3 4 2 2" xfId="23695"/>
    <cellStyle name="Normal 278 3 4 3" xfId="23696"/>
    <cellStyle name="Normal 278 3 5" xfId="23697"/>
    <cellStyle name="Normal 278 3 5 2" xfId="23698"/>
    <cellStyle name="Normal 278 3 5 2 2" xfId="23699"/>
    <cellStyle name="Normal 278 3 5 3" xfId="23700"/>
    <cellStyle name="Normal 278 3 6" xfId="23701"/>
    <cellStyle name="Normal 278 4" xfId="23702"/>
    <cellStyle name="Normal 278 4 2" xfId="23703"/>
    <cellStyle name="Normal 278 4 2 2" xfId="23704"/>
    <cellStyle name="Normal 278 4 3" xfId="23705"/>
    <cellStyle name="Normal 278 5" xfId="23706"/>
    <cellStyle name="Normal 278 5 2" xfId="23707"/>
    <cellStyle name="Normal 278 5 2 2" xfId="23708"/>
    <cellStyle name="Normal 278 5 3" xfId="23709"/>
    <cellStyle name="Normal 278 6" xfId="23710"/>
    <cellStyle name="Normal 278 6 2" xfId="23711"/>
    <cellStyle name="Normal 278 6 2 2" xfId="23712"/>
    <cellStyle name="Normal 278 6 3" xfId="23713"/>
    <cellStyle name="Normal 278 7" xfId="23714"/>
    <cellStyle name="Normal 279" xfId="23715"/>
    <cellStyle name="Normal 279 2" xfId="23716"/>
    <cellStyle name="Normal 279 2 2" xfId="23717"/>
    <cellStyle name="Normal 279 2 2 2" xfId="23718"/>
    <cellStyle name="Normal 279 2 3" xfId="23719"/>
    <cellStyle name="Normal 279 2 3 2" xfId="23720"/>
    <cellStyle name="Normal 279 2 3 2 2" xfId="23721"/>
    <cellStyle name="Normal 279 2 3 3" xfId="23722"/>
    <cellStyle name="Normal 279 2 4" xfId="23723"/>
    <cellStyle name="Normal 279 2 4 2" xfId="23724"/>
    <cellStyle name="Normal 279 2 4 2 2" xfId="23725"/>
    <cellStyle name="Normal 279 2 4 3" xfId="23726"/>
    <cellStyle name="Normal 279 2 5" xfId="23727"/>
    <cellStyle name="Normal 279 3" xfId="23728"/>
    <cellStyle name="Normal 279 3 2" xfId="23729"/>
    <cellStyle name="Normal 279 3 2 2" xfId="23730"/>
    <cellStyle name="Normal 279 3 2 2 2" xfId="23731"/>
    <cellStyle name="Normal 279 3 2 3" xfId="23732"/>
    <cellStyle name="Normal 279 3 2 3 2" xfId="23733"/>
    <cellStyle name="Normal 279 3 2 3 2 2" xfId="23734"/>
    <cellStyle name="Normal 279 3 2 3 3" xfId="23735"/>
    <cellStyle name="Normal 279 3 2 4" xfId="23736"/>
    <cellStyle name="Normal 279 3 3" xfId="23737"/>
    <cellStyle name="Normal 279 3 3 2" xfId="23738"/>
    <cellStyle name="Normal 279 3 3 2 2" xfId="23739"/>
    <cellStyle name="Normal 279 3 3 3" xfId="23740"/>
    <cellStyle name="Normal 279 3 4" xfId="23741"/>
    <cellStyle name="Normal 279 3 4 2" xfId="23742"/>
    <cellStyle name="Normal 279 3 4 2 2" xfId="23743"/>
    <cellStyle name="Normal 279 3 4 3" xfId="23744"/>
    <cellStyle name="Normal 279 3 5" xfId="23745"/>
    <cellStyle name="Normal 279 3 5 2" xfId="23746"/>
    <cellStyle name="Normal 279 3 5 2 2" xfId="23747"/>
    <cellStyle name="Normal 279 3 5 3" xfId="23748"/>
    <cellStyle name="Normal 279 3 6" xfId="23749"/>
    <cellStyle name="Normal 279 4" xfId="23750"/>
    <cellStyle name="Normal 279 4 2" xfId="23751"/>
    <cellStyle name="Normal 279 4 2 2" xfId="23752"/>
    <cellStyle name="Normal 279 4 3" xfId="23753"/>
    <cellStyle name="Normal 279 5" xfId="23754"/>
    <cellStyle name="Normal 279 5 2" xfId="23755"/>
    <cellStyle name="Normal 279 5 2 2" xfId="23756"/>
    <cellStyle name="Normal 279 5 3" xfId="23757"/>
    <cellStyle name="Normal 279 6" xfId="23758"/>
    <cellStyle name="Normal 279 6 2" xfId="23759"/>
    <cellStyle name="Normal 279 6 2 2" xfId="23760"/>
    <cellStyle name="Normal 279 6 3" xfId="23761"/>
    <cellStyle name="Normal 279 7" xfId="23762"/>
    <cellStyle name="Normal 28" xfId="23763"/>
    <cellStyle name="Normal 28 2" xfId="23764"/>
    <cellStyle name="Normal 28 2 2" xfId="23765"/>
    <cellStyle name="Normal 28 2 2 2" xfId="23766"/>
    <cellStyle name="Normal 28 2 2 2 2" xfId="23767"/>
    <cellStyle name="Normal 28 2 2 3" xfId="23768"/>
    <cellStyle name="Normal 28 2 2 3 2" xfId="23769"/>
    <cellStyle name="Normal 28 2 2 3 2 2" xfId="23770"/>
    <cellStyle name="Normal 28 2 2 3 3" xfId="23771"/>
    <cellStyle name="Normal 28 2 2 4" xfId="23772"/>
    <cellStyle name="Normal 28 2 2 4 2" xfId="23773"/>
    <cellStyle name="Normal 28 2 2 4 2 2" xfId="23774"/>
    <cellStyle name="Normal 28 2 2 4 3" xfId="23775"/>
    <cellStyle name="Normal 28 2 2 5" xfId="23776"/>
    <cellStyle name="Normal 28 2 3" xfId="23777"/>
    <cellStyle name="Normal 28 2 3 2" xfId="23778"/>
    <cellStyle name="Normal 28 2 3 2 2" xfId="23779"/>
    <cellStyle name="Normal 28 2 3 3" xfId="23780"/>
    <cellStyle name="Normal 28 2 4" xfId="23781"/>
    <cellStyle name="Normal 28 2 4 2" xfId="23782"/>
    <cellStyle name="Normal 28 2 4 2 2" xfId="23783"/>
    <cellStyle name="Normal 28 2 4 3" xfId="23784"/>
    <cellStyle name="Normal 28 2 5" xfId="23785"/>
    <cellStyle name="Normal 28 2 5 2" xfId="23786"/>
    <cellStyle name="Normal 28 2 5 2 2" xfId="23787"/>
    <cellStyle name="Normal 28 2 5 3" xfId="23788"/>
    <cellStyle name="Normal 28 2 6" xfId="23789"/>
    <cellStyle name="Normal 28 3" xfId="23790"/>
    <cellStyle name="Normal 28 3 2" xfId="23791"/>
    <cellStyle name="Normal 28 3 2 2" xfId="23792"/>
    <cellStyle name="Normal 28 3 3" xfId="23793"/>
    <cellStyle name="Normal 28 3 3 2" xfId="23794"/>
    <cellStyle name="Normal 28 3 3 2 2" xfId="23795"/>
    <cellStyle name="Normal 28 3 3 3" xfId="23796"/>
    <cellStyle name="Normal 28 3 4" xfId="23797"/>
    <cellStyle name="Normal 28 3 4 2" xfId="23798"/>
    <cellStyle name="Normal 28 3 4 2 2" xfId="23799"/>
    <cellStyle name="Normal 28 3 4 3" xfId="23800"/>
    <cellStyle name="Normal 28 3 5" xfId="23801"/>
    <cellStyle name="Normal 28 4" xfId="23802"/>
    <cellStyle name="Normal 28 4 2" xfId="23803"/>
    <cellStyle name="Normal 28 4 2 2" xfId="23804"/>
    <cellStyle name="Normal 28 4 3" xfId="23805"/>
    <cellStyle name="Normal 28 4 3 2" xfId="23806"/>
    <cellStyle name="Normal 28 4 3 2 2" xfId="23807"/>
    <cellStyle name="Normal 28 4 3 3" xfId="23808"/>
    <cellStyle name="Normal 28 4 4" xfId="23809"/>
    <cellStyle name="Normal 28 4 4 2" xfId="23810"/>
    <cellStyle name="Normal 28 4 4 2 2" xfId="23811"/>
    <cellStyle name="Normal 28 4 4 3" xfId="23812"/>
    <cellStyle name="Normal 28 4 5" xfId="23813"/>
    <cellStyle name="Normal 28 5" xfId="23814"/>
    <cellStyle name="Normal 28 5 2" xfId="23815"/>
    <cellStyle name="Normal 28 5 2 2" xfId="23816"/>
    <cellStyle name="Normal 28 5 3" xfId="23817"/>
    <cellStyle name="Normal 28 6" xfId="23818"/>
    <cellStyle name="Normal 28 6 2" xfId="23819"/>
    <cellStyle name="Normal 28 6 2 2" xfId="23820"/>
    <cellStyle name="Normal 28 6 3" xfId="23821"/>
    <cellStyle name="Normal 28 7" xfId="23822"/>
    <cellStyle name="Normal 28 7 2" xfId="23823"/>
    <cellStyle name="Normal 28 7 2 2" xfId="23824"/>
    <cellStyle name="Normal 28 7 3" xfId="23825"/>
    <cellStyle name="Normal 28 8" xfId="23826"/>
    <cellStyle name="Normal 280" xfId="23827"/>
    <cellStyle name="Normal 280 2" xfId="23828"/>
    <cellStyle name="Normal 280 2 2" xfId="23829"/>
    <cellStyle name="Normal 280 2 2 2" xfId="23830"/>
    <cellStyle name="Normal 280 2 3" xfId="23831"/>
    <cellStyle name="Normal 280 2 3 2" xfId="23832"/>
    <cellStyle name="Normal 280 2 3 2 2" xfId="23833"/>
    <cellStyle name="Normal 280 2 3 3" xfId="23834"/>
    <cellStyle name="Normal 280 2 4" xfId="23835"/>
    <cellStyle name="Normal 280 2 4 2" xfId="23836"/>
    <cellStyle name="Normal 280 2 4 2 2" xfId="23837"/>
    <cellStyle name="Normal 280 2 4 3" xfId="23838"/>
    <cellStyle name="Normal 280 2 5" xfId="23839"/>
    <cellStyle name="Normal 280 3" xfId="23840"/>
    <cellStyle name="Normal 280 3 2" xfId="23841"/>
    <cellStyle name="Normal 280 3 2 2" xfId="23842"/>
    <cellStyle name="Normal 280 3 2 2 2" xfId="23843"/>
    <cellStyle name="Normal 280 3 2 3" xfId="23844"/>
    <cellStyle name="Normal 280 3 2 3 2" xfId="23845"/>
    <cellStyle name="Normal 280 3 2 3 2 2" xfId="23846"/>
    <cellStyle name="Normal 280 3 2 3 3" xfId="23847"/>
    <cellStyle name="Normal 280 3 2 4" xfId="23848"/>
    <cellStyle name="Normal 280 3 3" xfId="23849"/>
    <cellStyle name="Normal 280 3 3 2" xfId="23850"/>
    <cellStyle name="Normal 280 3 3 2 2" xfId="23851"/>
    <cellStyle name="Normal 280 3 3 3" xfId="23852"/>
    <cellStyle name="Normal 280 3 4" xfId="23853"/>
    <cellStyle name="Normal 280 3 4 2" xfId="23854"/>
    <cellStyle name="Normal 280 3 4 2 2" xfId="23855"/>
    <cellStyle name="Normal 280 3 4 3" xfId="23856"/>
    <cellStyle name="Normal 280 3 5" xfId="23857"/>
    <cellStyle name="Normal 280 3 5 2" xfId="23858"/>
    <cellStyle name="Normal 280 3 5 2 2" xfId="23859"/>
    <cellStyle name="Normal 280 3 5 3" xfId="23860"/>
    <cellStyle name="Normal 280 3 6" xfId="23861"/>
    <cellStyle name="Normal 280 4" xfId="23862"/>
    <cellStyle name="Normal 280 4 2" xfId="23863"/>
    <cellStyle name="Normal 280 4 2 2" xfId="23864"/>
    <cellStyle name="Normal 280 4 3" xfId="23865"/>
    <cellStyle name="Normal 280 5" xfId="23866"/>
    <cellStyle name="Normal 280 5 2" xfId="23867"/>
    <cellStyle name="Normal 280 5 2 2" xfId="23868"/>
    <cellStyle name="Normal 280 5 3" xfId="23869"/>
    <cellStyle name="Normal 280 6" xfId="23870"/>
    <cellStyle name="Normal 280 6 2" xfId="23871"/>
    <cellStyle name="Normal 280 6 2 2" xfId="23872"/>
    <cellStyle name="Normal 280 6 3" xfId="23873"/>
    <cellStyle name="Normal 280 7" xfId="23874"/>
    <cellStyle name="Normal 281" xfId="23875"/>
    <cellStyle name="Normal 281 2" xfId="23876"/>
    <cellStyle name="Normal 281 2 2" xfId="23877"/>
    <cellStyle name="Normal 281 2 2 2" xfId="23878"/>
    <cellStyle name="Normal 281 2 3" xfId="23879"/>
    <cellStyle name="Normal 281 2 3 2" xfId="23880"/>
    <cellStyle name="Normal 281 2 3 2 2" xfId="23881"/>
    <cellStyle name="Normal 281 2 3 3" xfId="23882"/>
    <cellStyle name="Normal 281 2 4" xfId="23883"/>
    <cellStyle name="Normal 281 2 4 2" xfId="23884"/>
    <cellStyle name="Normal 281 2 4 2 2" xfId="23885"/>
    <cellStyle name="Normal 281 2 4 3" xfId="23886"/>
    <cellStyle name="Normal 281 2 5" xfId="23887"/>
    <cellStyle name="Normal 281 3" xfId="23888"/>
    <cellStyle name="Normal 281 3 2" xfId="23889"/>
    <cellStyle name="Normal 281 3 2 2" xfId="23890"/>
    <cellStyle name="Normal 281 3 2 2 2" xfId="23891"/>
    <cellStyle name="Normal 281 3 2 3" xfId="23892"/>
    <cellStyle name="Normal 281 3 2 3 2" xfId="23893"/>
    <cellStyle name="Normal 281 3 2 3 2 2" xfId="23894"/>
    <cellStyle name="Normal 281 3 2 3 3" xfId="23895"/>
    <cellStyle name="Normal 281 3 2 4" xfId="23896"/>
    <cellStyle name="Normal 281 3 3" xfId="23897"/>
    <cellStyle name="Normal 281 3 3 2" xfId="23898"/>
    <cellStyle name="Normal 281 3 3 2 2" xfId="23899"/>
    <cellStyle name="Normal 281 3 3 3" xfId="23900"/>
    <cellStyle name="Normal 281 3 4" xfId="23901"/>
    <cellStyle name="Normal 281 3 4 2" xfId="23902"/>
    <cellStyle name="Normal 281 3 4 2 2" xfId="23903"/>
    <cellStyle name="Normal 281 3 4 3" xfId="23904"/>
    <cellStyle name="Normal 281 3 5" xfId="23905"/>
    <cellStyle name="Normal 281 3 5 2" xfId="23906"/>
    <cellStyle name="Normal 281 3 5 2 2" xfId="23907"/>
    <cellStyle name="Normal 281 3 5 3" xfId="23908"/>
    <cellStyle name="Normal 281 3 6" xfId="23909"/>
    <cellStyle name="Normal 281 4" xfId="23910"/>
    <cellStyle name="Normal 281 4 2" xfId="23911"/>
    <cellStyle name="Normal 281 4 2 2" xfId="23912"/>
    <cellStyle name="Normal 281 4 3" xfId="23913"/>
    <cellStyle name="Normal 281 5" xfId="23914"/>
    <cellStyle name="Normal 281 5 2" xfId="23915"/>
    <cellStyle name="Normal 281 5 2 2" xfId="23916"/>
    <cellStyle name="Normal 281 5 3" xfId="23917"/>
    <cellStyle name="Normal 281 6" xfId="23918"/>
    <cellStyle name="Normal 281 6 2" xfId="23919"/>
    <cellStyle name="Normal 281 6 2 2" xfId="23920"/>
    <cellStyle name="Normal 281 6 3" xfId="23921"/>
    <cellStyle name="Normal 281 7" xfId="23922"/>
    <cellStyle name="Normal 282" xfId="23923"/>
    <cellStyle name="Normal 282 2" xfId="23924"/>
    <cellStyle name="Normal 282 2 2" xfId="23925"/>
    <cellStyle name="Normal 282 2 2 2" xfId="23926"/>
    <cellStyle name="Normal 282 2 3" xfId="23927"/>
    <cellStyle name="Normal 282 2 3 2" xfId="23928"/>
    <cellStyle name="Normal 282 2 3 2 2" xfId="23929"/>
    <cellStyle name="Normal 282 2 3 3" xfId="23930"/>
    <cellStyle name="Normal 282 2 4" xfId="23931"/>
    <cellStyle name="Normal 282 2 4 2" xfId="23932"/>
    <cellStyle name="Normal 282 2 4 2 2" xfId="23933"/>
    <cellStyle name="Normal 282 2 4 3" xfId="23934"/>
    <cellStyle name="Normal 282 2 5" xfId="23935"/>
    <cellStyle name="Normal 282 3" xfId="23936"/>
    <cellStyle name="Normal 282 3 2" xfId="23937"/>
    <cellStyle name="Normal 282 3 2 2" xfId="23938"/>
    <cellStyle name="Normal 282 3 2 2 2" xfId="23939"/>
    <cellStyle name="Normal 282 3 2 3" xfId="23940"/>
    <cellStyle name="Normal 282 3 2 3 2" xfId="23941"/>
    <cellStyle name="Normal 282 3 2 3 2 2" xfId="23942"/>
    <cellStyle name="Normal 282 3 2 3 3" xfId="23943"/>
    <cellStyle name="Normal 282 3 2 4" xfId="23944"/>
    <cellStyle name="Normal 282 3 3" xfId="23945"/>
    <cellStyle name="Normal 282 3 3 2" xfId="23946"/>
    <cellStyle name="Normal 282 3 3 2 2" xfId="23947"/>
    <cellStyle name="Normal 282 3 3 3" xfId="23948"/>
    <cellStyle name="Normal 282 3 4" xfId="23949"/>
    <cellStyle name="Normal 282 3 4 2" xfId="23950"/>
    <cellStyle name="Normal 282 3 4 2 2" xfId="23951"/>
    <cellStyle name="Normal 282 3 4 3" xfId="23952"/>
    <cellStyle name="Normal 282 3 5" xfId="23953"/>
    <cellStyle name="Normal 282 3 5 2" xfId="23954"/>
    <cellStyle name="Normal 282 3 5 2 2" xfId="23955"/>
    <cellStyle name="Normal 282 3 5 3" xfId="23956"/>
    <cellStyle name="Normal 282 3 6" xfId="23957"/>
    <cellStyle name="Normal 282 4" xfId="23958"/>
    <cellStyle name="Normal 282 4 2" xfId="23959"/>
    <cellStyle name="Normal 282 4 2 2" xfId="23960"/>
    <cellStyle name="Normal 282 4 3" xfId="23961"/>
    <cellStyle name="Normal 282 5" xfId="23962"/>
    <cellStyle name="Normal 282 5 2" xfId="23963"/>
    <cellStyle name="Normal 282 5 2 2" xfId="23964"/>
    <cellStyle name="Normal 282 5 3" xfId="23965"/>
    <cellStyle name="Normal 282 6" xfId="23966"/>
    <cellStyle name="Normal 282 6 2" xfId="23967"/>
    <cellStyle name="Normal 282 6 2 2" xfId="23968"/>
    <cellStyle name="Normal 282 6 3" xfId="23969"/>
    <cellStyle name="Normal 282 7" xfId="23970"/>
    <cellStyle name="Normal 283" xfId="23971"/>
    <cellStyle name="Normal 283 2" xfId="23972"/>
    <cellStyle name="Normal 283 2 2" xfId="23973"/>
    <cellStyle name="Normal 283 2 2 2" xfId="23974"/>
    <cellStyle name="Normal 283 2 3" xfId="23975"/>
    <cellStyle name="Normal 283 2 3 2" xfId="23976"/>
    <cellStyle name="Normal 283 2 3 2 2" xfId="23977"/>
    <cellStyle name="Normal 283 2 3 3" xfId="23978"/>
    <cellStyle name="Normal 283 2 4" xfId="23979"/>
    <cellStyle name="Normal 283 2 4 2" xfId="23980"/>
    <cellStyle name="Normal 283 2 4 2 2" xfId="23981"/>
    <cellStyle name="Normal 283 2 4 3" xfId="23982"/>
    <cellStyle name="Normal 283 2 5" xfId="23983"/>
    <cellStyle name="Normal 283 3" xfId="23984"/>
    <cellStyle name="Normal 283 3 2" xfId="23985"/>
    <cellStyle name="Normal 283 3 2 2" xfId="23986"/>
    <cellStyle name="Normal 283 3 2 2 2" xfId="23987"/>
    <cellStyle name="Normal 283 3 2 3" xfId="23988"/>
    <cellStyle name="Normal 283 3 2 3 2" xfId="23989"/>
    <cellStyle name="Normal 283 3 2 3 2 2" xfId="23990"/>
    <cellStyle name="Normal 283 3 2 3 3" xfId="23991"/>
    <cellStyle name="Normal 283 3 2 4" xfId="23992"/>
    <cellStyle name="Normal 283 3 3" xfId="23993"/>
    <cellStyle name="Normal 283 3 3 2" xfId="23994"/>
    <cellStyle name="Normal 283 3 3 2 2" xfId="23995"/>
    <cellStyle name="Normal 283 3 3 3" xfId="23996"/>
    <cellStyle name="Normal 283 3 4" xfId="23997"/>
    <cellStyle name="Normal 283 3 4 2" xfId="23998"/>
    <cellStyle name="Normal 283 3 4 2 2" xfId="23999"/>
    <cellStyle name="Normal 283 3 4 3" xfId="24000"/>
    <cellStyle name="Normal 283 3 5" xfId="24001"/>
    <cellStyle name="Normal 283 3 5 2" xfId="24002"/>
    <cellStyle name="Normal 283 3 5 2 2" xfId="24003"/>
    <cellStyle name="Normal 283 3 5 3" xfId="24004"/>
    <cellStyle name="Normal 283 3 6" xfId="24005"/>
    <cellStyle name="Normal 283 4" xfId="24006"/>
    <cellStyle name="Normal 283 4 2" xfId="24007"/>
    <cellStyle name="Normal 283 4 2 2" xfId="24008"/>
    <cellStyle name="Normal 283 4 3" xfId="24009"/>
    <cellStyle name="Normal 283 5" xfId="24010"/>
    <cellStyle name="Normal 283 5 2" xfId="24011"/>
    <cellStyle name="Normal 283 5 2 2" xfId="24012"/>
    <cellStyle name="Normal 283 5 3" xfId="24013"/>
    <cellStyle name="Normal 283 6" xfId="24014"/>
    <cellStyle name="Normal 283 6 2" xfId="24015"/>
    <cellStyle name="Normal 283 6 2 2" xfId="24016"/>
    <cellStyle name="Normal 283 6 3" xfId="24017"/>
    <cellStyle name="Normal 283 7" xfId="24018"/>
    <cellStyle name="Normal 284" xfId="24019"/>
    <cellStyle name="Normal 284 2" xfId="24020"/>
    <cellStyle name="Normal 284 2 2" xfId="24021"/>
    <cellStyle name="Normal 284 2 2 2" xfId="24022"/>
    <cellStyle name="Normal 284 2 3" xfId="24023"/>
    <cellStyle name="Normal 284 2 3 2" xfId="24024"/>
    <cellStyle name="Normal 284 2 3 2 2" xfId="24025"/>
    <cellStyle name="Normal 284 2 3 3" xfId="24026"/>
    <cellStyle name="Normal 284 2 4" xfId="24027"/>
    <cellStyle name="Normal 284 2 4 2" xfId="24028"/>
    <cellStyle name="Normal 284 2 4 2 2" xfId="24029"/>
    <cellStyle name="Normal 284 2 4 3" xfId="24030"/>
    <cellStyle name="Normal 284 2 5" xfId="24031"/>
    <cellStyle name="Normal 284 3" xfId="24032"/>
    <cellStyle name="Normal 284 3 2" xfId="24033"/>
    <cellStyle name="Normal 284 3 2 2" xfId="24034"/>
    <cellStyle name="Normal 284 3 2 2 2" xfId="24035"/>
    <cellStyle name="Normal 284 3 2 3" xfId="24036"/>
    <cellStyle name="Normal 284 3 2 3 2" xfId="24037"/>
    <cellStyle name="Normal 284 3 2 3 2 2" xfId="24038"/>
    <cellStyle name="Normal 284 3 2 3 3" xfId="24039"/>
    <cellStyle name="Normal 284 3 2 4" xfId="24040"/>
    <cellStyle name="Normal 284 3 3" xfId="24041"/>
    <cellStyle name="Normal 284 3 3 2" xfId="24042"/>
    <cellStyle name="Normal 284 3 3 2 2" xfId="24043"/>
    <cellStyle name="Normal 284 3 3 3" xfId="24044"/>
    <cellStyle name="Normal 284 3 4" xfId="24045"/>
    <cellStyle name="Normal 284 3 4 2" xfId="24046"/>
    <cellStyle name="Normal 284 3 4 2 2" xfId="24047"/>
    <cellStyle name="Normal 284 3 4 3" xfId="24048"/>
    <cellStyle name="Normal 284 3 5" xfId="24049"/>
    <cellStyle name="Normal 284 3 5 2" xfId="24050"/>
    <cellStyle name="Normal 284 3 5 2 2" xfId="24051"/>
    <cellStyle name="Normal 284 3 5 3" xfId="24052"/>
    <cellStyle name="Normal 284 3 6" xfId="24053"/>
    <cellStyle name="Normal 284 4" xfId="24054"/>
    <cellStyle name="Normal 284 4 2" xfId="24055"/>
    <cellStyle name="Normal 284 4 2 2" xfId="24056"/>
    <cellStyle name="Normal 284 4 3" xfId="24057"/>
    <cellStyle name="Normal 284 5" xfId="24058"/>
    <cellStyle name="Normal 284 5 2" xfId="24059"/>
    <cellStyle name="Normal 284 5 2 2" xfId="24060"/>
    <cellStyle name="Normal 284 5 3" xfId="24061"/>
    <cellStyle name="Normal 284 6" xfId="24062"/>
    <cellStyle name="Normal 284 6 2" xfId="24063"/>
    <cellStyle name="Normal 284 6 2 2" xfId="24064"/>
    <cellStyle name="Normal 284 6 3" xfId="24065"/>
    <cellStyle name="Normal 284 7" xfId="24066"/>
    <cellStyle name="Normal 285" xfId="24067"/>
    <cellStyle name="Normal 285 2" xfId="24068"/>
    <cellStyle name="Normal 285 2 2" xfId="24069"/>
    <cellStyle name="Normal 285 2 2 2" xfId="24070"/>
    <cellStyle name="Normal 285 2 3" xfId="24071"/>
    <cellStyle name="Normal 285 2 3 2" xfId="24072"/>
    <cellStyle name="Normal 285 2 3 2 2" xfId="24073"/>
    <cellStyle name="Normal 285 2 3 3" xfId="24074"/>
    <cellStyle name="Normal 285 2 4" xfId="24075"/>
    <cellStyle name="Normal 285 2 4 2" xfId="24076"/>
    <cellStyle name="Normal 285 2 4 2 2" xfId="24077"/>
    <cellStyle name="Normal 285 2 4 3" xfId="24078"/>
    <cellStyle name="Normal 285 2 5" xfId="24079"/>
    <cellStyle name="Normal 285 3" xfId="24080"/>
    <cellStyle name="Normal 285 3 2" xfId="24081"/>
    <cellStyle name="Normal 285 3 2 2" xfId="24082"/>
    <cellStyle name="Normal 285 3 2 2 2" xfId="24083"/>
    <cellStyle name="Normal 285 3 2 3" xfId="24084"/>
    <cellStyle name="Normal 285 3 2 3 2" xfId="24085"/>
    <cellStyle name="Normal 285 3 2 3 2 2" xfId="24086"/>
    <cellStyle name="Normal 285 3 2 3 3" xfId="24087"/>
    <cellStyle name="Normal 285 3 2 4" xfId="24088"/>
    <cellStyle name="Normal 285 3 3" xfId="24089"/>
    <cellStyle name="Normal 285 3 3 2" xfId="24090"/>
    <cellStyle name="Normal 285 3 3 2 2" xfId="24091"/>
    <cellStyle name="Normal 285 3 3 3" xfId="24092"/>
    <cellStyle name="Normal 285 3 4" xfId="24093"/>
    <cellStyle name="Normal 285 3 4 2" xfId="24094"/>
    <cellStyle name="Normal 285 3 4 2 2" xfId="24095"/>
    <cellStyle name="Normal 285 3 4 3" xfId="24096"/>
    <cellStyle name="Normal 285 3 5" xfId="24097"/>
    <cellStyle name="Normal 285 3 5 2" xfId="24098"/>
    <cellStyle name="Normal 285 3 5 2 2" xfId="24099"/>
    <cellStyle name="Normal 285 3 5 3" xfId="24100"/>
    <cellStyle name="Normal 285 3 6" xfId="24101"/>
    <cellStyle name="Normal 285 4" xfId="24102"/>
    <cellStyle name="Normal 285 4 2" xfId="24103"/>
    <cellStyle name="Normal 285 4 2 2" xfId="24104"/>
    <cellStyle name="Normal 285 4 3" xfId="24105"/>
    <cellStyle name="Normal 285 5" xfId="24106"/>
    <cellStyle name="Normal 285 5 2" xfId="24107"/>
    <cellStyle name="Normal 285 5 2 2" xfId="24108"/>
    <cellStyle name="Normal 285 5 3" xfId="24109"/>
    <cellStyle name="Normal 285 6" xfId="24110"/>
    <cellStyle name="Normal 285 6 2" xfId="24111"/>
    <cellStyle name="Normal 285 6 2 2" xfId="24112"/>
    <cellStyle name="Normal 285 6 3" xfId="24113"/>
    <cellStyle name="Normal 285 7" xfId="24114"/>
    <cellStyle name="Normal 286" xfId="24115"/>
    <cellStyle name="Normal 286 2" xfId="24116"/>
    <cellStyle name="Normal 286 2 2" xfId="24117"/>
    <cellStyle name="Normal 286 2 2 2" xfId="24118"/>
    <cellStyle name="Normal 286 2 3" xfId="24119"/>
    <cellStyle name="Normal 286 2 3 2" xfId="24120"/>
    <cellStyle name="Normal 286 2 3 2 2" xfId="24121"/>
    <cellStyle name="Normal 286 2 3 3" xfId="24122"/>
    <cellStyle name="Normal 286 2 4" xfId="24123"/>
    <cellStyle name="Normal 286 2 4 2" xfId="24124"/>
    <cellStyle name="Normal 286 2 4 2 2" xfId="24125"/>
    <cellStyle name="Normal 286 2 4 3" xfId="24126"/>
    <cellStyle name="Normal 286 2 5" xfId="24127"/>
    <cellStyle name="Normal 286 3" xfId="24128"/>
    <cellStyle name="Normal 286 3 2" xfId="24129"/>
    <cellStyle name="Normal 286 3 2 2" xfId="24130"/>
    <cellStyle name="Normal 286 3 2 2 2" xfId="24131"/>
    <cellStyle name="Normal 286 3 2 3" xfId="24132"/>
    <cellStyle name="Normal 286 3 2 3 2" xfId="24133"/>
    <cellStyle name="Normal 286 3 2 3 2 2" xfId="24134"/>
    <cellStyle name="Normal 286 3 2 3 3" xfId="24135"/>
    <cellStyle name="Normal 286 3 2 4" xfId="24136"/>
    <cellStyle name="Normal 286 3 3" xfId="24137"/>
    <cellStyle name="Normal 286 3 3 2" xfId="24138"/>
    <cellStyle name="Normal 286 3 3 2 2" xfId="24139"/>
    <cellStyle name="Normal 286 3 3 3" xfId="24140"/>
    <cellStyle name="Normal 286 3 4" xfId="24141"/>
    <cellStyle name="Normal 286 3 4 2" xfId="24142"/>
    <cellStyle name="Normal 286 3 4 2 2" xfId="24143"/>
    <cellStyle name="Normal 286 3 4 3" xfId="24144"/>
    <cellStyle name="Normal 286 3 5" xfId="24145"/>
    <cellStyle name="Normal 286 3 5 2" xfId="24146"/>
    <cellStyle name="Normal 286 3 5 2 2" xfId="24147"/>
    <cellStyle name="Normal 286 3 5 3" xfId="24148"/>
    <cellStyle name="Normal 286 3 6" xfId="24149"/>
    <cellStyle name="Normal 286 4" xfId="24150"/>
    <cellStyle name="Normal 286 4 2" xfId="24151"/>
    <cellStyle name="Normal 286 4 2 2" xfId="24152"/>
    <cellStyle name="Normal 286 4 3" xfId="24153"/>
    <cellStyle name="Normal 286 5" xfId="24154"/>
    <cellStyle name="Normal 286 5 2" xfId="24155"/>
    <cellStyle name="Normal 286 5 2 2" xfId="24156"/>
    <cellStyle name="Normal 286 5 3" xfId="24157"/>
    <cellStyle name="Normal 286 6" xfId="24158"/>
    <cellStyle name="Normal 286 6 2" xfId="24159"/>
    <cellStyle name="Normal 286 6 2 2" xfId="24160"/>
    <cellStyle name="Normal 286 6 3" xfId="24161"/>
    <cellStyle name="Normal 286 7" xfId="24162"/>
    <cellStyle name="Normal 287" xfId="24163"/>
    <cellStyle name="Normal 287 2" xfId="24164"/>
    <cellStyle name="Normal 287 2 2" xfId="24165"/>
    <cellStyle name="Normal 287 2 2 2" xfId="24166"/>
    <cellStyle name="Normal 287 2 3" xfId="24167"/>
    <cellStyle name="Normal 287 2 3 2" xfId="24168"/>
    <cellStyle name="Normal 287 2 3 2 2" xfId="24169"/>
    <cellStyle name="Normal 287 2 3 3" xfId="24170"/>
    <cellStyle name="Normal 287 2 4" xfId="24171"/>
    <cellStyle name="Normal 287 2 4 2" xfId="24172"/>
    <cellStyle name="Normal 287 2 4 2 2" xfId="24173"/>
    <cellStyle name="Normal 287 2 4 3" xfId="24174"/>
    <cellStyle name="Normal 287 2 5" xfId="24175"/>
    <cellStyle name="Normal 287 3" xfId="24176"/>
    <cellStyle name="Normal 287 3 2" xfId="24177"/>
    <cellStyle name="Normal 287 3 2 2" xfId="24178"/>
    <cellStyle name="Normal 287 3 2 2 2" xfId="24179"/>
    <cellStyle name="Normal 287 3 2 3" xfId="24180"/>
    <cellStyle name="Normal 287 3 2 3 2" xfId="24181"/>
    <cellStyle name="Normal 287 3 2 3 2 2" xfId="24182"/>
    <cellStyle name="Normal 287 3 2 3 3" xfId="24183"/>
    <cellStyle name="Normal 287 3 2 4" xfId="24184"/>
    <cellStyle name="Normal 287 3 3" xfId="24185"/>
    <cellStyle name="Normal 287 3 3 2" xfId="24186"/>
    <cellStyle name="Normal 287 3 3 2 2" xfId="24187"/>
    <cellStyle name="Normal 287 3 3 3" xfId="24188"/>
    <cellStyle name="Normal 287 3 4" xfId="24189"/>
    <cellStyle name="Normal 287 3 4 2" xfId="24190"/>
    <cellStyle name="Normal 287 3 4 2 2" xfId="24191"/>
    <cellStyle name="Normal 287 3 4 3" xfId="24192"/>
    <cellStyle name="Normal 287 3 5" xfId="24193"/>
    <cellStyle name="Normal 287 3 5 2" xfId="24194"/>
    <cellStyle name="Normal 287 3 5 2 2" xfId="24195"/>
    <cellStyle name="Normal 287 3 5 3" xfId="24196"/>
    <cellStyle name="Normal 287 3 6" xfId="24197"/>
    <cellStyle name="Normal 287 4" xfId="24198"/>
    <cellStyle name="Normal 287 4 2" xfId="24199"/>
    <cellStyle name="Normal 287 4 2 2" xfId="24200"/>
    <cellStyle name="Normal 287 4 3" xfId="24201"/>
    <cellStyle name="Normal 287 5" xfId="24202"/>
    <cellStyle name="Normal 287 5 2" xfId="24203"/>
    <cellStyle name="Normal 287 5 2 2" xfId="24204"/>
    <cellStyle name="Normal 287 5 3" xfId="24205"/>
    <cellStyle name="Normal 287 6" xfId="24206"/>
    <cellStyle name="Normal 287 6 2" xfId="24207"/>
    <cellStyle name="Normal 287 6 2 2" xfId="24208"/>
    <cellStyle name="Normal 287 6 3" xfId="24209"/>
    <cellStyle name="Normal 287 7" xfId="24210"/>
    <cellStyle name="Normal 288" xfId="24211"/>
    <cellStyle name="Normal 288 2" xfId="24212"/>
    <cellStyle name="Normal 288 2 2" xfId="24213"/>
    <cellStyle name="Normal 288 2 2 2" xfId="24214"/>
    <cellStyle name="Normal 288 2 3" xfId="24215"/>
    <cellStyle name="Normal 288 2 3 2" xfId="24216"/>
    <cellStyle name="Normal 288 2 3 2 2" xfId="24217"/>
    <cellStyle name="Normal 288 2 3 3" xfId="24218"/>
    <cellStyle name="Normal 288 2 4" xfId="24219"/>
    <cellStyle name="Normal 288 2 4 2" xfId="24220"/>
    <cellStyle name="Normal 288 2 4 2 2" xfId="24221"/>
    <cellStyle name="Normal 288 2 4 3" xfId="24222"/>
    <cellStyle name="Normal 288 2 5" xfId="24223"/>
    <cellStyle name="Normal 288 3" xfId="24224"/>
    <cellStyle name="Normal 288 3 2" xfId="24225"/>
    <cellStyle name="Normal 288 3 2 2" xfId="24226"/>
    <cellStyle name="Normal 288 3 2 2 2" xfId="24227"/>
    <cellStyle name="Normal 288 3 2 3" xfId="24228"/>
    <cellStyle name="Normal 288 3 2 3 2" xfId="24229"/>
    <cellStyle name="Normal 288 3 2 3 2 2" xfId="24230"/>
    <cellStyle name="Normal 288 3 2 3 3" xfId="24231"/>
    <cellStyle name="Normal 288 3 2 4" xfId="24232"/>
    <cellStyle name="Normal 288 3 3" xfId="24233"/>
    <cellStyle name="Normal 288 3 3 2" xfId="24234"/>
    <cellStyle name="Normal 288 3 3 2 2" xfId="24235"/>
    <cellStyle name="Normal 288 3 3 3" xfId="24236"/>
    <cellStyle name="Normal 288 3 4" xfId="24237"/>
    <cellStyle name="Normal 288 3 4 2" xfId="24238"/>
    <cellStyle name="Normal 288 3 4 2 2" xfId="24239"/>
    <cellStyle name="Normal 288 3 4 3" xfId="24240"/>
    <cellStyle name="Normal 288 3 5" xfId="24241"/>
    <cellStyle name="Normal 288 3 5 2" xfId="24242"/>
    <cellStyle name="Normal 288 3 5 2 2" xfId="24243"/>
    <cellStyle name="Normal 288 3 5 3" xfId="24244"/>
    <cellStyle name="Normal 288 3 6" xfId="24245"/>
    <cellStyle name="Normal 288 4" xfId="24246"/>
    <cellStyle name="Normal 288 4 2" xfId="24247"/>
    <cellStyle name="Normal 288 4 2 2" xfId="24248"/>
    <cellStyle name="Normal 288 4 3" xfId="24249"/>
    <cellStyle name="Normal 288 5" xfId="24250"/>
    <cellStyle name="Normal 288 5 2" xfId="24251"/>
    <cellStyle name="Normal 288 5 2 2" xfId="24252"/>
    <cellStyle name="Normal 288 5 3" xfId="24253"/>
    <cellStyle name="Normal 288 6" xfId="24254"/>
    <cellStyle name="Normal 288 6 2" xfId="24255"/>
    <cellStyle name="Normal 288 6 2 2" xfId="24256"/>
    <cellStyle name="Normal 288 6 3" xfId="24257"/>
    <cellStyle name="Normal 288 7" xfId="24258"/>
    <cellStyle name="Normal 289" xfId="24259"/>
    <cellStyle name="Normal 289 2" xfId="24260"/>
    <cellStyle name="Normal 289 2 2" xfId="24261"/>
    <cellStyle name="Normal 289 2 2 2" xfId="24262"/>
    <cellStyle name="Normal 289 2 3" xfId="24263"/>
    <cellStyle name="Normal 289 2 3 2" xfId="24264"/>
    <cellStyle name="Normal 289 2 3 2 2" xfId="24265"/>
    <cellStyle name="Normal 289 2 3 3" xfId="24266"/>
    <cellStyle name="Normal 289 2 4" xfId="24267"/>
    <cellStyle name="Normal 289 2 4 2" xfId="24268"/>
    <cellStyle name="Normal 289 2 4 2 2" xfId="24269"/>
    <cellStyle name="Normal 289 2 4 3" xfId="24270"/>
    <cellStyle name="Normal 289 2 5" xfId="24271"/>
    <cellStyle name="Normal 289 3" xfId="24272"/>
    <cellStyle name="Normal 289 3 2" xfId="24273"/>
    <cellStyle name="Normal 289 3 2 2" xfId="24274"/>
    <cellStyle name="Normal 289 3 2 2 2" xfId="24275"/>
    <cellStyle name="Normal 289 3 2 3" xfId="24276"/>
    <cellStyle name="Normal 289 3 2 3 2" xfId="24277"/>
    <cellStyle name="Normal 289 3 2 3 2 2" xfId="24278"/>
    <cellStyle name="Normal 289 3 2 3 3" xfId="24279"/>
    <cellStyle name="Normal 289 3 2 4" xfId="24280"/>
    <cellStyle name="Normal 289 3 3" xfId="24281"/>
    <cellStyle name="Normal 289 3 3 2" xfId="24282"/>
    <cellStyle name="Normal 289 3 3 2 2" xfId="24283"/>
    <cellStyle name="Normal 289 3 3 3" xfId="24284"/>
    <cellStyle name="Normal 289 3 4" xfId="24285"/>
    <cellStyle name="Normal 289 3 4 2" xfId="24286"/>
    <cellStyle name="Normal 289 3 4 2 2" xfId="24287"/>
    <cellStyle name="Normal 289 3 4 3" xfId="24288"/>
    <cellStyle name="Normal 289 3 5" xfId="24289"/>
    <cellStyle name="Normal 289 3 5 2" xfId="24290"/>
    <cellStyle name="Normal 289 3 5 2 2" xfId="24291"/>
    <cellStyle name="Normal 289 3 5 3" xfId="24292"/>
    <cellStyle name="Normal 289 3 6" xfId="24293"/>
    <cellStyle name="Normal 289 4" xfId="24294"/>
    <cellStyle name="Normal 289 4 2" xfId="24295"/>
    <cellStyle name="Normal 289 4 2 2" xfId="24296"/>
    <cellStyle name="Normal 289 4 3" xfId="24297"/>
    <cellStyle name="Normal 289 5" xfId="24298"/>
    <cellStyle name="Normal 289 5 2" xfId="24299"/>
    <cellStyle name="Normal 289 5 2 2" xfId="24300"/>
    <cellStyle name="Normal 289 5 3" xfId="24301"/>
    <cellStyle name="Normal 289 6" xfId="24302"/>
    <cellStyle name="Normal 289 6 2" xfId="24303"/>
    <cellStyle name="Normal 289 6 2 2" xfId="24304"/>
    <cellStyle name="Normal 289 6 3" xfId="24305"/>
    <cellStyle name="Normal 289 7" xfId="24306"/>
    <cellStyle name="Normal 29" xfId="24307"/>
    <cellStyle name="Normal 29 2" xfId="24308"/>
    <cellStyle name="Normal 29 2 2" xfId="24309"/>
    <cellStyle name="Normal 29 2 2 2" xfId="24310"/>
    <cellStyle name="Normal 29 2 2 2 2" xfId="24311"/>
    <cellStyle name="Normal 29 2 2 3" xfId="24312"/>
    <cellStyle name="Normal 29 2 2 3 2" xfId="24313"/>
    <cellStyle name="Normal 29 2 2 3 2 2" xfId="24314"/>
    <cellStyle name="Normal 29 2 2 3 3" xfId="24315"/>
    <cellStyle name="Normal 29 2 2 4" xfId="24316"/>
    <cellStyle name="Normal 29 2 2 4 2" xfId="24317"/>
    <cellStyle name="Normal 29 2 2 4 2 2" xfId="24318"/>
    <cellStyle name="Normal 29 2 2 4 3" xfId="24319"/>
    <cellStyle name="Normal 29 2 2 5" xfId="24320"/>
    <cellStyle name="Normal 29 2 3" xfId="24321"/>
    <cellStyle name="Normal 29 2 3 2" xfId="24322"/>
    <cellStyle name="Normal 29 2 3 2 2" xfId="24323"/>
    <cellStyle name="Normal 29 2 3 3" xfId="24324"/>
    <cellStyle name="Normal 29 2 4" xfId="24325"/>
    <cellStyle name="Normal 29 2 4 2" xfId="24326"/>
    <cellStyle name="Normal 29 2 4 2 2" xfId="24327"/>
    <cellStyle name="Normal 29 2 4 3" xfId="24328"/>
    <cellStyle name="Normal 29 2 5" xfId="24329"/>
    <cellStyle name="Normal 29 2 5 2" xfId="24330"/>
    <cellStyle name="Normal 29 2 5 2 2" xfId="24331"/>
    <cellStyle name="Normal 29 2 5 3" xfId="24332"/>
    <cellStyle name="Normal 29 2 6" xfId="24333"/>
    <cellStyle name="Normal 29 3" xfId="24334"/>
    <cellStyle name="Normal 29 3 2" xfId="24335"/>
    <cellStyle name="Normal 29 3 2 2" xfId="24336"/>
    <cellStyle name="Normal 29 3 3" xfId="24337"/>
    <cellStyle name="Normal 29 3 3 2" xfId="24338"/>
    <cellStyle name="Normal 29 3 3 2 2" xfId="24339"/>
    <cellStyle name="Normal 29 3 3 3" xfId="24340"/>
    <cellStyle name="Normal 29 3 4" xfId="24341"/>
    <cellStyle name="Normal 29 3 4 2" xfId="24342"/>
    <cellStyle name="Normal 29 3 4 2 2" xfId="24343"/>
    <cellStyle name="Normal 29 3 4 3" xfId="24344"/>
    <cellStyle name="Normal 29 3 5" xfId="24345"/>
    <cellStyle name="Normal 29 4" xfId="24346"/>
    <cellStyle name="Normal 29 4 2" xfId="24347"/>
    <cellStyle name="Normal 29 4 2 2" xfId="24348"/>
    <cellStyle name="Normal 29 4 3" xfId="24349"/>
    <cellStyle name="Normal 29 5" xfId="24350"/>
    <cellStyle name="Normal 29 5 2" xfId="24351"/>
    <cellStyle name="Normal 29 5 2 2" xfId="24352"/>
    <cellStyle name="Normal 29 5 3" xfId="24353"/>
    <cellStyle name="Normal 29 6" xfId="24354"/>
    <cellStyle name="Normal 29 6 2" xfId="24355"/>
    <cellStyle name="Normal 29 6 2 2" xfId="24356"/>
    <cellStyle name="Normal 29 6 3" xfId="24357"/>
    <cellStyle name="Normal 29 7" xfId="24358"/>
    <cellStyle name="Normal 290" xfId="24359"/>
    <cellStyle name="Normal 290 2" xfId="24360"/>
    <cellStyle name="Normal 290 2 2" xfId="24361"/>
    <cellStyle name="Normal 290 2 2 2" xfId="24362"/>
    <cellStyle name="Normal 290 2 3" xfId="24363"/>
    <cellStyle name="Normal 290 2 3 2" xfId="24364"/>
    <cellStyle name="Normal 290 2 3 2 2" xfId="24365"/>
    <cellStyle name="Normal 290 2 3 3" xfId="24366"/>
    <cellStyle name="Normal 290 2 4" xfId="24367"/>
    <cellStyle name="Normal 290 2 4 2" xfId="24368"/>
    <cellStyle name="Normal 290 2 4 2 2" xfId="24369"/>
    <cellStyle name="Normal 290 2 4 3" xfId="24370"/>
    <cellStyle name="Normal 290 2 5" xfId="24371"/>
    <cellStyle name="Normal 290 3" xfId="24372"/>
    <cellStyle name="Normal 290 3 2" xfId="24373"/>
    <cellStyle name="Normal 290 3 2 2" xfId="24374"/>
    <cellStyle name="Normal 290 3 2 2 2" xfId="24375"/>
    <cellStyle name="Normal 290 3 2 3" xfId="24376"/>
    <cellStyle name="Normal 290 3 2 3 2" xfId="24377"/>
    <cellStyle name="Normal 290 3 2 3 2 2" xfId="24378"/>
    <cellStyle name="Normal 290 3 2 3 3" xfId="24379"/>
    <cellStyle name="Normal 290 3 2 4" xfId="24380"/>
    <cellStyle name="Normal 290 3 3" xfId="24381"/>
    <cellStyle name="Normal 290 3 3 2" xfId="24382"/>
    <cellStyle name="Normal 290 3 3 2 2" xfId="24383"/>
    <cellStyle name="Normal 290 3 3 3" xfId="24384"/>
    <cellStyle name="Normal 290 3 4" xfId="24385"/>
    <cellStyle name="Normal 290 3 4 2" xfId="24386"/>
    <cellStyle name="Normal 290 3 4 2 2" xfId="24387"/>
    <cellStyle name="Normal 290 3 4 3" xfId="24388"/>
    <cellStyle name="Normal 290 3 5" xfId="24389"/>
    <cellStyle name="Normal 290 3 5 2" xfId="24390"/>
    <cellStyle name="Normal 290 3 5 2 2" xfId="24391"/>
    <cellStyle name="Normal 290 3 5 3" xfId="24392"/>
    <cellStyle name="Normal 290 3 6" xfId="24393"/>
    <cellStyle name="Normal 290 4" xfId="24394"/>
    <cellStyle name="Normal 290 4 2" xfId="24395"/>
    <cellStyle name="Normal 290 4 2 2" xfId="24396"/>
    <cellStyle name="Normal 290 4 3" xfId="24397"/>
    <cellStyle name="Normal 290 5" xfId="24398"/>
    <cellStyle name="Normal 290 5 2" xfId="24399"/>
    <cellStyle name="Normal 290 5 2 2" xfId="24400"/>
    <cellStyle name="Normal 290 5 3" xfId="24401"/>
    <cellStyle name="Normal 290 6" xfId="24402"/>
    <cellStyle name="Normal 290 6 2" xfId="24403"/>
    <cellStyle name="Normal 290 6 2 2" xfId="24404"/>
    <cellStyle name="Normal 290 6 3" xfId="24405"/>
    <cellStyle name="Normal 290 7" xfId="24406"/>
    <cellStyle name="Normal 291" xfId="24407"/>
    <cellStyle name="Normal 291 2" xfId="24408"/>
    <cellStyle name="Normal 291 2 2" xfId="24409"/>
    <cellStyle name="Normal 291 2 2 2" xfId="24410"/>
    <cellStyle name="Normal 291 2 3" xfId="24411"/>
    <cellStyle name="Normal 291 2 3 2" xfId="24412"/>
    <cellStyle name="Normal 291 2 3 2 2" xfId="24413"/>
    <cellStyle name="Normal 291 2 3 3" xfId="24414"/>
    <cellStyle name="Normal 291 2 4" xfId="24415"/>
    <cellStyle name="Normal 291 2 4 2" xfId="24416"/>
    <cellStyle name="Normal 291 2 4 2 2" xfId="24417"/>
    <cellStyle name="Normal 291 2 4 3" xfId="24418"/>
    <cellStyle name="Normal 291 2 5" xfId="24419"/>
    <cellStyle name="Normal 291 3" xfId="24420"/>
    <cellStyle name="Normal 291 3 2" xfId="24421"/>
    <cellStyle name="Normal 291 3 2 2" xfId="24422"/>
    <cellStyle name="Normal 291 3 2 2 2" xfId="24423"/>
    <cellStyle name="Normal 291 3 2 3" xfId="24424"/>
    <cellStyle name="Normal 291 3 2 3 2" xfId="24425"/>
    <cellStyle name="Normal 291 3 2 3 2 2" xfId="24426"/>
    <cellStyle name="Normal 291 3 2 3 3" xfId="24427"/>
    <cellStyle name="Normal 291 3 2 4" xfId="24428"/>
    <cellStyle name="Normal 291 3 3" xfId="24429"/>
    <cellStyle name="Normal 291 3 3 2" xfId="24430"/>
    <cellStyle name="Normal 291 3 3 2 2" xfId="24431"/>
    <cellStyle name="Normal 291 3 3 3" xfId="24432"/>
    <cellStyle name="Normal 291 3 4" xfId="24433"/>
    <cellStyle name="Normal 291 3 4 2" xfId="24434"/>
    <cellStyle name="Normal 291 3 4 2 2" xfId="24435"/>
    <cellStyle name="Normal 291 3 4 3" xfId="24436"/>
    <cellStyle name="Normal 291 3 5" xfId="24437"/>
    <cellStyle name="Normal 291 3 5 2" xfId="24438"/>
    <cellStyle name="Normal 291 3 5 2 2" xfId="24439"/>
    <cellStyle name="Normal 291 3 5 3" xfId="24440"/>
    <cellStyle name="Normal 291 3 6" xfId="24441"/>
    <cellStyle name="Normal 291 4" xfId="24442"/>
    <cellStyle name="Normal 291 4 2" xfId="24443"/>
    <cellStyle name="Normal 291 4 2 2" xfId="24444"/>
    <cellStyle name="Normal 291 4 3" xfId="24445"/>
    <cellStyle name="Normal 291 5" xfId="24446"/>
    <cellStyle name="Normal 291 5 2" xfId="24447"/>
    <cellStyle name="Normal 291 5 2 2" xfId="24448"/>
    <cellStyle name="Normal 291 5 3" xfId="24449"/>
    <cellStyle name="Normal 291 6" xfId="24450"/>
    <cellStyle name="Normal 291 6 2" xfId="24451"/>
    <cellStyle name="Normal 291 6 2 2" xfId="24452"/>
    <cellStyle name="Normal 291 6 3" xfId="24453"/>
    <cellStyle name="Normal 291 7" xfId="24454"/>
    <cellStyle name="Normal 292" xfId="24455"/>
    <cellStyle name="Normal 292 2" xfId="24456"/>
    <cellStyle name="Normal 292 2 2" xfId="24457"/>
    <cellStyle name="Normal 292 2 2 2" xfId="24458"/>
    <cellStyle name="Normal 292 2 3" xfId="24459"/>
    <cellStyle name="Normal 292 2 3 2" xfId="24460"/>
    <cellStyle name="Normal 292 2 3 2 2" xfId="24461"/>
    <cellStyle name="Normal 292 2 3 3" xfId="24462"/>
    <cellStyle name="Normal 292 2 4" xfId="24463"/>
    <cellStyle name="Normal 292 2 4 2" xfId="24464"/>
    <cellStyle name="Normal 292 2 4 2 2" xfId="24465"/>
    <cellStyle name="Normal 292 2 4 3" xfId="24466"/>
    <cellStyle name="Normal 292 2 5" xfId="24467"/>
    <cellStyle name="Normal 292 3" xfId="24468"/>
    <cellStyle name="Normal 292 3 2" xfId="24469"/>
    <cellStyle name="Normal 292 3 2 2" xfId="24470"/>
    <cellStyle name="Normal 292 3 2 2 2" xfId="24471"/>
    <cellStyle name="Normal 292 3 2 3" xfId="24472"/>
    <cellStyle name="Normal 292 3 2 3 2" xfId="24473"/>
    <cellStyle name="Normal 292 3 2 3 2 2" xfId="24474"/>
    <cellStyle name="Normal 292 3 2 3 3" xfId="24475"/>
    <cellStyle name="Normal 292 3 2 4" xfId="24476"/>
    <cellStyle name="Normal 292 3 3" xfId="24477"/>
    <cellStyle name="Normal 292 3 3 2" xfId="24478"/>
    <cellStyle name="Normal 292 3 3 2 2" xfId="24479"/>
    <cellStyle name="Normal 292 3 3 3" xfId="24480"/>
    <cellStyle name="Normal 292 3 4" xfId="24481"/>
    <cellStyle name="Normal 292 3 4 2" xfId="24482"/>
    <cellStyle name="Normal 292 3 4 2 2" xfId="24483"/>
    <cellStyle name="Normal 292 3 4 3" xfId="24484"/>
    <cellStyle name="Normal 292 3 5" xfId="24485"/>
    <cellStyle name="Normal 292 3 5 2" xfId="24486"/>
    <cellStyle name="Normal 292 3 5 2 2" xfId="24487"/>
    <cellStyle name="Normal 292 3 5 3" xfId="24488"/>
    <cellStyle name="Normal 292 3 6" xfId="24489"/>
    <cellStyle name="Normal 292 4" xfId="24490"/>
    <cellStyle name="Normal 292 4 2" xfId="24491"/>
    <cellStyle name="Normal 292 4 2 2" xfId="24492"/>
    <cellStyle name="Normal 292 4 3" xfId="24493"/>
    <cellStyle name="Normal 292 5" xfId="24494"/>
    <cellStyle name="Normal 292 5 2" xfId="24495"/>
    <cellStyle name="Normal 292 5 2 2" xfId="24496"/>
    <cellStyle name="Normal 292 5 3" xfId="24497"/>
    <cellStyle name="Normal 292 6" xfId="24498"/>
    <cellStyle name="Normal 292 6 2" xfId="24499"/>
    <cellStyle name="Normal 292 6 2 2" xfId="24500"/>
    <cellStyle name="Normal 292 6 3" xfId="24501"/>
    <cellStyle name="Normal 292 7" xfId="24502"/>
    <cellStyle name="Normal 293" xfId="24503"/>
    <cellStyle name="Normal 293 2" xfId="24504"/>
    <cellStyle name="Normal 293 2 2" xfId="24505"/>
    <cellStyle name="Normal 293 2 2 2" xfId="24506"/>
    <cellStyle name="Normal 293 2 3" xfId="24507"/>
    <cellStyle name="Normal 293 2 3 2" xfId="24508"/>
    <cellStyle name="Normal 293 2 3 2 2" xfId="24509"/>
    <cellStyle name="Normal 293 2 3 3" xfId="24510"/>
    <cellStyle name="Normal 293 2 4" xfId="24511"/>
    <cellStyle name="Normal 293 2 4 2" xfId="24512"/>
    <cellStyle name="Normal 293 2 4 2 2" xfId="24513"/>
    <cellStyle name="Normal 293 2 4 3" xfId="24514"/>
    <cellStyle name="Normal 293 2 5" xfId="24515"/>
    <cellStyle name="Normal 293 3" xfId="24516"/>
    <cellStyle name="Normal 293 3 2" xfId="24517"/>
    <cellStyle name="Normal 293 3 2 2" xfId="24518"/>
    <cellStyle name="Normal 293 3 2 2 2" xfId="24519"/>
    <cellStyle name="Normal 293 3 2 3" xfId="24520"/>
    <cellStyle name="Normal 293 3 2 3 2" xfId="24521"/>
    <cellStyle name="Normal 293 3 2 3 2 2" xfId="24522"/>
    <cellStyle name="Normal 293 3 2 3 3" xfId="24523"/>
    <cellStyle name="Normal 293 3 2 4" xfId="24524"/>
    <cellStyle name="Normal 293 3 3" xfId="24525"/>
    <cellStyle name="Normal 293 3 3 2" xfId="24526"/>
    <cellStyle name="Normal 293 3 3 2 2" xfId="24527"/>
    <cellStyle name="Normal 293 3 3 3" xfId="24528"/>
    <cellStyle name="Normal 293 3 4" xfId="24529"/>
    <cellStyle name="Normal 293 3 4 2" xfId="24530"/>
    <cellStyle name="Normal 293 3 4 2 2" xfId="24531"/>
    <cellStyle name="Normal 293 3 4 3" xfId="24532"/>
    <cellStyle name="Normal 293 3 5" xfId="24533"/>
    <cellStyle name="Normal 293 3 5 2" xfId="24534"/>
    <cellStyle name="Normal 293 3 5 2 2" xfId="24535"/>
    <cellStyle name="Normal 293 3 5 3" xfId="24536"/>
    <cellStyle name="Normal 293 3 6" xfId="24537"/>
    <cellStyle name="Normal 293 4" xfId="24538"/>
    <cellStyle name="Normal 293 4 2" xfId="24539"/>
    <cellStyle name="Normal 293 4 2 2" xfId="24540"/>
    <cellStyle name="Normal 293 4 3" xfId="24541"/>
    <cellStyle name="Normal 293 5" xfId="24542"/>
    <cellStyle name="Normal 293 5 2" xfId="24543"/>
    <cellStyle name="Normal 293 5 2 2" xfId="24544"/>
    <cellStyle name="Normal 293 5 3" xfId="24545"/>
    <cellStyle name="Normal 293 6" xfId="24546"/>
    <cellStyle name="Normal 293 6 2" xfId="24547"/>
    <cellStyle name="Normal 293 6 2 2" xfId="24548"/>
    <cellStyle name="Normal 293 6 3" xfId="24549"/>
    <cellStyle name="Normal 293 7" xfId="24550"/>
    <cellStyle name="Normal 294" xfId="24551"/>
    <cellStyle name="Normal 294 2" xfId="24552"/>
    <cellStyle name="Normal 294 2 2" xfId="24553"/>
    <cellStyle name="Normal 294 2 2 2" xfId="24554"/>
    <cellStyle name="Normal 294 2 3" xfId="24555"/>
    <cellStyle name="Normal 294 2 3 2" xfId="24556"/>
    <cellStyle name="Normal 294 2 3 2 2" xfId="24557"/>
    <cellStyle name="Normal 294 2 3 3" xfId="24558"/>
    <cellStyle name="Normal 294 2 4" xfId="24559"/>
    <cellStyle name="Normal 294 2 4 2" xfId="24560"/>
    <cellStyle name="Normal 294 2 4 2 2" xfId="24561"/>
    <cellStyle name="Normal 294 2 4 3" xfId="24562"/>
    <cellStyle name="Normal 294 2 5" xfId="24563"/>
    <cellStyle name="Normal 294 3" xfId="24564"/>
    <cellStyle name="Normal 294 3 2" xfId="24565"/>
    <cellStyle name="Normal 294 3 2 2" xfId="24566"/>
    <cellStyle name="Normal 294 3 2 2 2" xfId="24567"/>
    <cellStyle name="Normal 294 3 2 3" xfId="24568"/>
    <cellStyle name="Normal 294 3 2 3 2" xfId="24569"/>
    <cellStyle name="Normal 294 3 2 3 2 2" xfId="24570"/>
    <cellStyle name="Normal 294 3 2 3 3" xfId="24571"/>
    <cellStyle name="Normal 294 3 2 4" xfId="24572"/>
    <cellStyle name="Normal 294 3 3" xfId="24573"/>
    <cellStyle name="Normal 294 3 3 2" xfId="24574"/>
    <cellStyle name="Normal 294 3 3 2 2" xfId="24575"/>
    <cellStyle name="Normal 294 3 3 3" xfId="24576"/>
    <cellStyle name="Normal 294 3 4" xfId="24577"/>
    <cellStyle name="Normal 294 3 4 2" xfId="24578"/>
    <cellStyle name="Normal 294 3 4 2 2" xfId="24579"/>
    <cellStyle name="Normal 294 3 4 3" xfId="24580"/>
    <cellStyle name="Normal 294 3 5" xfId="24581"/>
    <cellStyle name="Normal 294 3 5 2" xfId="24582"/>
    <cellStyle name="Normal 294 3 5 2 2" xfId="24583"/>
    <cellStyle name="Normal 294 3 5 3" xfId="24584"/>
    <cellStyle name="Normal 294 3 6" xfId="24585"/>
    <cellStyle name="Normal 294 4" xfId="24586"/>
    <cellStyle name="Normal 294 4 2" xfId="24587"/>
    <cellStyle name="Normal 294 4 2 2" xfId="24588"/>
    <cellStyle name="Normal 294 4 3" xfId="24589"/>
    <cellStyle name="Normal 294 5" xfId="24590"/>
    <cellStyle name="Normal 294 5 2" xfId="24591"/>
    <cellStyle name="Normal 294 5 2 2" xfId="24592"/>
    <cellStyle name="Normal 294 5 3" xfId="24593"/>
    <cellStyle name="Normal 294 6" xfId="24594"/>
    <cellStyle name="Normal 294 6 2" xfId="24595"/>
    <cellStyle name="Normal 294 6 2 2" xfId="24596"/>
    <cellStyle name="Normal 294 6 3" xfId="24597"/>
    <cellStyle name="Normal 294 7" xfId="24598"/>
    <cellStyle name="Normal 295" xfId="24599"/>
    <cellStyle name="Normal 295 2" xfId="24600"/>
    <cellStyle name="Normal 295 2 2" xfId="24601"/>
    <cellStyle name="Normal 295 2 2 2" xfId="24602"/>
    <cellStyle name="Normal 295 2 3" xfId="24603"/>
    <cellStyle name="Normal 295 2 3 2" xfId="24604"/>
    <cellStyle name="Normal 295 2 3 2 2" xfId="24605"/>
    <cellStyle name="Normal 295 2 3 3" xfId="24606"/>
    <cellStyle name="Normal 295 2 4" xfId="24607"/>
    <cellStyle name="Normal 295 2 4 2" xfId="24608"/>
    <cellStyle name="Normal 295 2 4 2 2" xfId="24609"/>
    <cellStyle name="Normal 295 2 4 3" xfId="24610"/>
    <cellStyle name="Normal 295 2 5" xfId="24611"/>
    <cellStyle name="Normal 295 3" xfId="24612"/>
    <cellStyle name="Normal 295 3 2" xfId="24613"/>
    <cellStyle name="Normal 295 3 2 2" xfId="24614"/>
    <cellStyle name="Normal 295 3 2 2 2" xfId="24615"/>
    <cellStyle name="Normal 295 3 2 3" xfId="24616"/>
    <cellStyle name="Normal 295 3 2 3 2" xfId="24617"/>
    <cellStyle name="Normal 295 3 2 3 2 2" xfId="24618"/>
    <cellStyle name="Normal 295 3 2 3 3" xfId="24619"/>
    <cellStyle name="Normal 295 3 2 4" xfId="24620"/>
    <cellStyle name="Normal 295 3 3" xfId="24621"/>
    <cellStyle name="Normal 295 3 3 2" xfId="24622"/>
    <cellStyle name="Normal 295 3 3 2 2" xfId="24623"/>
    <cellStyle name="Normal 295 3 3 3" xfId="24624"/>
    <cellStyle name="Normal 295 3 4" xfId="24625"/>
    <cellStyle name="Normal 295 3 4 2" xfId="24626"/>
    <cellStyle name="Normal 295 3 4 2 2" xfId="24627"/>
    <cellStyle name="Normal 295 3 4 3" xfId="24628"/>
    <cellStyle name="Normal 295 3 5" xfId="24629"/>
    <cellStyle name="Normal 295 3 5 2" xfId="24630"/>
    <cellStyle name="Normal 295 3 5 2 2" xfId="24631"/>
    <cellStyle name="Normal 295 3 5 3" xfId="24632"/>
    <cellStyle name="Normal 295 3 6" xfId="24633"/>
    <cellStyle name="Normal 295 4" xfId="24634"/>
    <cellStyle name="Normal 295 4 2" xfId="24635"/>
    <cellStyle name="Normal 295 4 2 2" xfId="24636"/>
    <cellStyle name="Normal 295 4 3" xfId="24637"/>
    <cellStyle name="Normal 295 5" xfId="24638"/>
    <cellStyle name="Normal 295 5 2" xfId="24639"/>
    <cellStyle name="Normal 295 5 2 2" xfId="24640"/>
    <cellStyle name="Normal 295 5 3" xfId="24641"/>
    <cellStyle name="Normal 295 6" xfId="24642"/>
    <cellStyle name="Normal 295 6 2" xfId="24643"/>
    <cellStyle name="Normal 295 6 2 2" xfId="24644"/>
    <cellStyle name="Normal 295 6 3" xfId="24645"/>
    <cellStyle name="Normal 295 7" xfId="24646"/>
    <cellStyle name="Normal 296" xfId="24647"/>
    <cellStyle name="Normal 296 2" xfId="24648"/>
    <cellStyle name="Normal 296 2 2" xfId="24649"/>
    <cellStyle name="Normal 296 2 2 2" xfId="24650"/>
    <cellStyle name="Normal 296 2 3" xfId="24651"/>
    <cellStyle name="Normal 296 2 3 2" xfId="24652"/>
    <cellStyle name="Normal 296 2 3 2 2" xfId="24653"/>
    <cellStyle name="Normal 296 2 3 3" xfId="24654"/>
    <cellStyle name="Normal 296 2 4" xfId="24655"/>
    <cellStyle name="Normal 296 2 4 2" xfId="24656"/>
    <cellStyle name="Normal 296 2 4 2 2" xfId="24657"/>
    <cellStyle name="Normal 296 2 4 3" xfId="24658"/>
    <cellStyle name="Normal 296 2 5" xfId="24659"/>
    <cellStyle name="Normal 296 3" xfId="24660"/>
    <cellStyle name="Normal 296 3 2" xfId="24661"/>
    <cellStyle name="Normal 296 3 2 2" xfId="24662"/>
    <cellStyle name="Normal 296 3 2 2 2" xfId="24663"/>
    <cellStyle name="Normal 296 3 2 3" xfId="24664"/>
    <cellStyle name="Normal 296 3 2 3 2" xfId="24665"/>
    <cellStyle name="Normal 296 3 2 3 2 2" xfId="24666"/>
    <cellStyle name="Normal 296 3 2 3 3" xfId="24667"/>
    <cellStyle name="Normal 296 3 2 4" xfId="24668"/>
    <cellStyle name="Normal 296 3 3" xfId="24669"/>
    <cellStyle name="Normal 296 3 3 2" xfId="24670"/>
    <cellStyle name="Normal 296 3 3 2 2" xfId="24671"/>
    <cellStyle name="Normal 296 3 3 3" xfId="24672"/>
    <cellStyle name="Normal 296 3 4" xfId="24673"/>
    <cellStyle name="Normal 296 3 4 2" xfId="24674"/>
    <cellStyle name="Normal 296 3 4 2 2" xfId="24675"/>
    <cellStyle name="Normal 296 3 4 3" xfId="24676"/>
    <cellStyle name="Normal 296 3 5" xfId="24677"/>
    <cellStyle name="Normal 296 3 5 2" xfId="24678"/>
    <cellStyle name="Normal 296 3 5 2 2" xfId="24679"/>
    <cellStyle name="Normal 296 3 5 3" xfId="24680"/>
    <cellStyle name="Normal 296 3 6" xfId="24681"/>
    <cellStyle name="Normal 296 4" xfId="24682"/>
    <cellStyle name="Normal 296 4 2" xfId="24683"/>
    <cellStyle name="Normal 296 4 2 2" xfId="24684"/>
    <cellStyle name="Normal 296 4 3" xfId="24685"/>
    <cellStyle name="Normal 296 5" xfId="24686"/>
    <cellStyle name="Normal 296 5 2" xfId="24687"/>
    <cellStyle name="Normal 296 5 2 2" xfId="24688"/>
    <cellStyle name="Normal 296 5 3" xfId="24689"/>
    <cellStyle name="Normal 296 6" xfId="24690"/>
    <cellStyle name="Normal 296 6 2" xfId="24691"/>
    <cellStyle name="Normal 296 6 2 2" xfId="24692"/>
    <cellStyle name="Normal 296 6 3" xfId="24693"/>
    <cellStyle name="Normal 296 7" xfId="24694"/>
    <cellStyle name="Normal 297" xfId="24695"/>
    <cellStyle name="Normal 297 2" xfId="24696"/>
    <cellStyle name="Normal 297 2 2" xfId="24697"/>
    <cellStyle name="Normal 297 2 2 2" xfId="24698"/>
    <cellStyle name="Normal 297 2 3" xfId="24699"/>
    <cellStyle name="Normal 297 2 3 2" xfId="24700"/>
    <cellStyle name="Normal 297 2 3 2 2" xfId="24701"/>
    <cellStyle name="Normal 297 2 3 3" xfId="24702"/>
    <cellStyle name="Normal 297 2 4" xfId="24703"/>
    <cellStyle name="Normal 297 2 4 2" xfId="24704"/>
    <cellStyle name="Normal 297 2 4 2 2" xfId="24705"/>
    <cellStyle name="Normal 297 2 4 3" xfId="24706"/>
    <cellStyle name="Normal 297 2 5" xfId="24707"/>
    <cellStyle name="Normal 297 3" xfId="24708"/>
    <cellStyle name="Normal 297 3 2" xfId="24709"/>
    <cellStyle name="Normal 297 3 2 2" xfId="24710"/>
    <cellStyle name="Normal 297 3 2 2 2" xfId="24711"/>
    <cellStyle name="Normal 297 3 2 3" xfId="24712"/>
    <cellStyle name="Normal 297 3 2 3 2" xfId="24713"/>
    <cellStyle name="Normal 297 3 2 3 2 2" xfId="24714"/>
    <cellStyle name="Normal 297 3 2 3 3" xfId="24715"/>
    <cellStyle name="Normal 297 3 2 4" xfId="24716"/>
    <cellStyle name="Normal 297 3 3" xfId="24717"/>
    <cellStyle name="Normal 297 3 3 2" xfId="24718"/>
    <cellStyle name="Normal 297 3 3 2 2" xfId="24719"/>
    <cellStyle name="Normal 297 3 3 3" xfId="24720"/>
    <cellStyle name="Normal 297 3 4" xfId="24721"/>
    <cellStyle name="Normal 297 3 4 2" xfId="24722"/>
    <cellStyle name="Normal 297 3 4 2 2" xfId="24723"/>
    <cellStyle name="Normal 297 3 4 3" xfId="24724"/>
    <cellStyle name="Normal 297 3 5" xfId="24725"/>
    <cellStyle name="Normal 297 3 5 2" xfId="24726"/>
    <cellStyle name="Normal 297 3 5 2 2" xfId="24727"/>
    <cellStyle name="Normal 297 3 5 3" xfId="24728"/>
    <cellStyle name="Normal 297 3 6" xfId="24729"/>
    <cellStyle name="Normal 297 4" xfId="24730"/>
    <cellStyle name="Normal 297 4 2" xfId="24731"/>
    <cellStyle name="Normal 297 4 2 2" xfId="24732"/>
    <cellStyle name="Normal 297 4 3" xfId="24733"/>
    <cellStyle name="Normal 297 5" xfId="24734"/>
    <cellStyle name="Normal 297 5 2" xfId="24735"/>
    <cellStyle name="Normal 297 5 2 2" xfId="24736"/>
    <cellStyle name="Normal 297 5 3" xfId="24737"/>
    <cellStyle name="Normal 297 6" xfId="24738"/>
    <cellStyle name="Normal 297 6 2" xfId="24739"/>
    <cellStyle name="Normal 297 6 2 2" xfId="24740"/>
    <cellStyle name="Normal 297 6 3" xfId="24741"/>
    <cellStyle name="Normal 297 7" xfId="24742"/>
    <cellStyle name="Normal 298" xfId="24743"/>
    <cellStyle name="Normal 298 2" xfId="24744"/>
    <cellStyle name="Normal 298 2 2" xfId="24745"/>
    <cellStyle name="Normal 298 2 2 2" xfId="24746"/>
    <cellStyle name="Normal 298 2 3" xfId="24747"/>
    <cellStyle name="Normal 298 2 3 2" xfId="24748"/>
    <cellStyle name="Normal 298 2 3 2 2" xfId="24749"/>
    <cellStyle name="Normal 298 2 3 3" xfId="24750"/>
    <cellStyle name="Normal 298 2 4" xfId="24751"/>
    <cellStyle name="Normal 298 2 4 2" xfId="24752"/>
    <cellStyle name="Normal 298 2 4 2 2" xfId="24753"/>
    <cellStyle name="Normal 298 2 4 3" xfId="24754"/>
    <cellStyle name="Normal 298 2 5" xfId="24755"/>
    <cellStyle name="Normal 298 3" xfId="24756"/>
    <cellStyle name="Normal 298 3 2" xfId="24757"/>
    <cellStyle name="Normal 298 3 2 2" xfId="24758"/>
    <cellStyle name="Normal 298 3 2 2 2" xfId="24759"/>
    <cellStyle name="Normal 298 3 2 3" xfId="24760"/>
    <cellStyle name="Normal 298 3 2 3 2" xfId="24761"/>
    <cellStyle name="Normal 298 3 2 3 2 2" xfId="24762"/>
    <cellStyle name="Normal 298 3 2 3 3" xfId="24763"/>
    <cellStyle name="Normal 298 3 2 4" xfId="24764"/>
    <cellStyle name="Normal 298 3 3" xfId="24765"/>
    <cellStyle name="Normal 298 3 3 2" xfId="24766"/>
    <cellStyle name="Normal 298 3 3 2 2" xfId="24767"/>
    <cellStyle name="Normal 298 3 3 3" xfId="24768"/>
    <cellStyle name="Normal 298 3 4" xfId="24769"/>
    <cellStyle name="Normal 298 3 4 2" xfId="24770"/>
    <cellStyle name="Normal 298 3 4 2 2" xfId="24771"/>
    <cellStyle name="Normal 298 3 4 3" xfId="24772"/>
    <cellStyle name="Normal 298 3 5" xfId="24773"/>
    <cellStyle name="Normal 298 3 5 2" xfId="24774"/>
    <cellStyle name="Normal 298 3 5 2 2" xfId="24775"/>
    <cellStyle name="Normal 298 3 5 3" xfId="24776"/>
    <cellStyle name="Normal 298 3 6" xfId="24777"/>
    <cellStyle name="Normal 298 4" xfId="24778"/>
    <cellStyle name="Normal 298 4 2" xfId="24779"/>
    <cellStyle name="Normal 298 4 2 2" xfId="24780"/>
    <cellStyle name="Normal 298 4 3" xfId="24781"/>
    <cellStyle name="Normal 298 5" xfId="24782"/>
    <cellStyle name="Normal 298 5 2" xfId="24783"/>
    <cellStyle name="Normal 298 5 2 2" xfId="24784"/>
    <cellStyle name="Normal 298 5 3" xfId="24785"/>
    <cellStyle name="Normal 298 6" xfId="24786"/>
    <cellStyle name="Normal 298 6 2" xfId="24787"/>
    <cellStyle name="Normal 298 6 2 2" xfId="24788"/>
    <cellStyle name="Normal 298 6 3" xfId="24789"/>
    <cellStyle name="Normal 298 7" xfId="24790"/>
    <cellStyle name="Normal 299" xfId="24791"/>
    <cellStyle name="Normal 299 2" xfId="24792"/>
    <cellStyle name="Normal 299 2 2" xfId="24793"/>
    <cellStyle name="Normal 299 2 2 2" xfId="24794"/>
    <cellStyle name="Normal 299 2 3" xfId="24795"/>
    <cellStyle name="Normal 299 2 3 2" xfId="24796"/>
    <cellStyle name="Normal 299 2 3 2 2" xfId="24797"/>
    <cellStyle name="Normal 299 2 3 3" xfId="24798"/>
    <cellStyle name="Normal 299 2 4" xfId="24799"/>
    <cellStyle name="Normal 299 2 4 2" xfId="24800"/>
    <cellStyle name="Normal 299 2 4 2 2" xfId="24801"/>
    <cellStyle name="Normal 299 2 4 3" xfId="24802"/>
    <cellStyle name="Normal 299 2 5" xfId="24803"/>
    <cellStyle name="Normal 299 3" xfId="24804"/>
    <cellStyle name="Normal 299 3 2" xfId="24805"/>
    <cellStyle name="Normal 299 3 2 2" xfId="24806"/>
    <cellStyle name="Normal 299 3 2 2 2" xfId="24807"/>
    <cellStyle name="Normal 299 3 2 3" xfId="24808"/>
    <cellStyle name="Normal 299 3 2 3 2" xfId="24809"/>
    <cellStyle name="Normal 299 3 2 3 2 2" xfId="24810"/>
    <cellStyle name="Normal 299 3 2 3 3" xfId="24811"/>
    <cellStyle name="Normal 299 3 2 4" xfId="24812"/>
    <cellStyle name="Normal 299 3 3" xfId="24813"/>
    <cellStyle name="Normal 299 3 3 2" xfId="24814"/>
    <cellStyle name="Normal 299 3 3 2 2" xfId="24815"/>
    <cellStyle name="Normal 299 3 3 3" xfId="24816"/>
    <cellStyle name="Normal 299 3 4" xfId="24817"/>
    <cellStyle name="Normal 299 3 4 2" xfId="24818"/>
    <cellStyle name="Normal 299 3 4 2 2" xfId="24819"/>
    <cellStyle name="Normal 299 3 4 3" xfId="24820"/>
    <cellStyle name="Normal 299 3 5" xfId="24821"/>
    <cellStyle name="Normal 299 3 5 2" xfId="24822"/>
    <cellStyle name="Normal 299 3 5 2 2" xfId="24823"/>
    <cellStyle name="Normal 299 3 5 3" xfId="24824"/>
    <cellStyle name="Normal 299 3 6" xfId="24825"/>
    <cellStyle name="Normal 299 4" xfId="24826"/>
    <cellStyle name="Normal 299 4 2" xfId="24827"/>
    <cellStyle name="Normal 299 4 2 2" xfId="24828"/>
    <cellStyle name="Normal 299 4 3" xfId="24829"/>
    <cellStyle name="Normal 299 5" xfId="24830"/>
    <cellStyle name="Normal 299 5 2" xfId="24831"/>
    <cellStyle name="Normal 299 5 2 2" xfId="24832"/>
    <cellStyle name="Normal 299 5 3" xfId="24833"/>
    <cellStyle name="Normal 299 6" xfId="24834"/>
    <cellStyle name="Normal 299 6 2" xfId="24835"/>
    <cellStyle name="Normal 299 6 2 2" xfId="24836"/>
    <cellStyle name="Normal 299 6 3" xfId="24837"/>
    <cellStyle name="Normal 299 7" xfId="24838"/>
    <cellStyle name="Normal 3" xfId="80"/>
    <cellStyle name="Normal 3 10" xfId="24839"/>
    <cellStyle name="Normal 3 11" xfId="24840"/>
    <cellStyle name="Normal 3 12" xfId="24841"/>
    <cellStyle name="Normal 3 2" xfId="32"/>
    <cellStyle name="Normal 3 2 2" xfId="103"/>
    <cellStyle name="Normal 3 2 2 2" xfId="24844"/>
    <cellStyle name="Normal 3 2 2 2 2" xfId="24845"/>
    <cellStyle name="Normal 3 2 2 2 2 2" xfId="24846"/>
    <cellStyle name="Normal 3 2 2 2 3" xfId="24847"/>
    <cellStyle name="Normal 3 2 2 2 3 2" xfId="24848"/>
    <cellStyle name="Normal 3 2 2 2 3 2 2" xfId="24849"/>
    <cellStyle name="Normal 3 2 2 2 3 3" xfId="24850"/>
    <cellStyle name="Normal 3 2 2 2 4" xfId="24851"/>
    <cellStyle name="Normal 3 2 2 2 4 2" xfId="24852"/>
    <cellStyle name="Normal 3 2 2 2 4 2 2" xfId="24853"/>
    <cellStyle name="Normal 3 2 2 2 4 3" xfId="24854"/>
    <cellStyle name="Normal 3 2 2 2 5" xfId="24855"/>
    <cellStyle name="Normal 3 2 2 3" xfId="24856"/>
    <cellStyle name="Normal 3 2 2 3 2" xfId="24857"/>
    <cellStyle name="Normal 3 2 2 3 2 2" xfId="24858"/>
    <cellStyle name="Normal 3 2 2 3 2 2 2" xfId="24859"/>
    <cellStyle name="Normal 3 2 2 3 2 3" xfId="24860"/>
    <cellStyle name="Normal 3 2 2 3 2 3 2" xfId="24861"/>
    <cellStyle name="Normal 3 2 2 3 2 3 2 2" xfId="24862"/>
    <cellStyle name="Normal 3 2 2 3 2 3 3" xfId="24863"/>
    <cellStyle name="Normal 3 2 2 3 2 4" xfId="24864"/>
    <cellStyle name="Normal 3 2 2 3 3" xfId="24865"/>
    <cellStyle name="Normal 3 2 2 3 3 2" xfId="24866"/>
    <cellStyle name="Normal 3 2 2 3 3 2 2" xfId="24867"/>
    <cellStyle name="Normal 3 2 2 3 3 3" xfId="24868"/>
    <cellStyle name="Normal 3 2 2 3 4" xfId="24869"/>
    <cellStyle name="Normal 3 2 2 3 4 2" xfId="24870"/>
    <cellStyle name="Normal 3 2 2 3 4 2 2" xfId="24871"/>
    <cellStyle name="Normal 3 2 2 3 4 3" xfId="24872"/>
    <cellStyle name="Normal 3 2 2 3 5" xfId="24873"/>
    <cellStyle name="Normal 3 2 2 3 5 2" xfId="24874"/>
    <cellStyle name="Normal 3 2 2 3 5 2 2" xfId="24875"/>
    <cellStyle name="Normal 3 2 2 3 5 3" xfId="24876"/>
    <cellStyle name="Normal 3 2 2 3 6" xfId="24877"/>
    <cellStyle name="Normal 3 2 2 4" xfId="24878"/>
    <cellStyle name="Normal 3 2 2 5" xfId="24843"/>
    <cellStyle name="Normal 3 2 3" xfId="24879"/>
    <cellStyle name="Normal 3 2 3 2" xfId="24880"/>
    <cellStyle name="Normal 3 2 3 2 2" xfId="24881"/>
    <cellStyle name="Normal 3 2 3 3" xfId="24882"/>
    <cellStyle name="Normal 3 2 3 3 2" xfId="24883"/>
    <cellStyle name="Normal 3 2 3 3 2 2" xfId="24884"/>
    <cellStyle name="Normal 3 2 3 3 3" xfId="24885"/>
    <cellStyle name="Normal 3 2 3 4" xfId="24886"/>
    <cellStyle name="Normal 3 2 3 4 2" xfId="24887"/>
    <cellStyle name="Normal 3 2 3 4 2 2" xfId="24888"/>
    <cellStyle name="Normal 3 2 3 4 3" xfId="24889"/>
    <cellStyle name="Normal 3 2 3 5" xfId="24890"/>
    <cellStyle name="Normal 3 2 4" xfId="24891"/>
    <cellStyle name="Normal 3 2 4 2" xfId="24892"/>
    <cellStyle name="Normal 3 2 4 2 2" xfId="24893"/>
    <cellStyle name="Normal 3 2 4 2 2 2" xfId="24894"/>
    <cellStyle name="Normal 3 2 4 2 3" xfId="24895"/>
    <cellStyle name="Normal 3 2 4 2 3 2" xfId="24896"/>
    <cellStyle name="Normal 3 2 4 2 3 2 2" xfId="24897"/>
    <cellStyle name="Normal 3 2 4 2 3 3" xfId="24898"/>
    <cellStyle name="Normal 3 2 4 2 4" xfId="24899"/>
    <cellStyle name="Normal 3 2 4 3" xfId="24900"/>
    <cellStyle name="Normal 3 2 4 3 2" xfId="24901"/>
    <cellStyle name="Normal 3 2 4 3 2 2" xfId="24902"/>
    <cellStyle name="Normal 3 2 4 3 3" xfId="24903"/>
    <cellStyle name="Normal 3 2 4 4" xfId="24904"/>
    <cellStyle name="Normal 3 2 4 4 2" xfId="24905"/>
    <cellStyle name="Normal 3 2 4 4 2 2" xfId="24906"/>
    <cellStyle name="Normal 3 2 4 4 3" xfId="24907"/>
    <cellStyle name="Normal 3 2 4 5" xfId="24908"/>
    <cellStyle name="Normal 3 2 4 5 2" xfId="24909"/>
    <cellStyle name="Normal 3 2 4 5 2 2" xfId="24910"/>
    <cellStyle name="Normal 3 2 4 5 3" xfId="24911"/>
    <cellStyle name="Normal 3 2 4 6" xfId="24912"/>
    <cellStyle name="Normal 3 2 5" xfId="24913"/>
    <cellStyle name="Normal 3 2 5 2" xfId="24914"/>
    <cellStyle name="Normal 3 2 5 2 2" xfId="24915"/>
    <cellStyle name="Normal 3 2 5 3" xfId="24916"/>
    <cellStyle name="Normal 3 2 6" xfId="24917"/>
    <cellStyle name="Normal 3 2 7" xfId="24842"/>
    <cellStyle name="Normal 3 3" xfId="24918"/>
    <cellStyle name="Normal 3 3 2" xfId="24919"/>
    <cellStyle name="Normal 3 3 2 2" xfId="24920"/>
    <cellStyle name="Normal 3 3 2 2 2" xfId="24921"/>
    <cellStyle name="Normal 3 3 2 2 2 2" xfId="24922"/>
    <cellStyle name="Normal 3 3 2 2 3" xfId="24923"/>
    <cellStyle name="Normal 3 3 2 2 3 2" xfId="24924"/>
    <cellStyle name="Normal 3 3 2 2 3 2 2" xfId="24925"/>
    <cellStyle name="Normal 3 3 2 2 3 3" xfId="24926"/>
    <cellStyle name="Normal 3 3 2 2 4" xfId="24927"/>
    <cellStyle name="Normal 3 3 2 2 4 2" xfId="24928"/>
    <cellStyle name="Normal 3 3 2 2 4 2 2" xfId="24929"/>
    <cellStyle name="Normal 3 3 2 2 4 3" xfId="24930"/>
    <cellStyle name="Normal 3 3 2 2 5" xfId="24931"/>
    <cellStyle name="Normal 3 3 2 3" xfId="24932"/>
    <cellStyle name="Normal 3 3 2 3 2" xfId="24933"/>
    <cellStyle name="Normal 3 3 2 3 2 2" xfId="24934"/>
    <cellStyle name="Normal 3 3 2 3 3" xfId="24935"/>
    <cellStyle name="Normal 3 3 2 4" xfId="24936"/>
    <cellStyle name="Normal 3 3 2 4 2" xfId="24937"/>
    <cellStyle name="Normal 3 3 2 4 2 2" xfId="24938"/>
    <cellStyle name="Normal 3 3 2 4 3" xfId="24939"/>
    <cellStyle name="Normal 3 3 2 5" xfId="24940"/>
    <cellStyle name="Normal 3 3 2 5 2" xfId="24941"/>
    <cellStyle name="Normal 3 3 2 5 2 2" xfId="24942"/>
    <cellStyle name="Normal 3 3 2 5 3" xfId="24943"/>
    <cellStyle name="Normal 3 3 2 6" xfId="24944"/>
    <cellStyle name="Normal 3 3 3" xfId="24945"/>
    <cellStyle name="Normal 3 3 3 2" xfId="24946"/>
    <cellStyle name="Normal 3 3 3 2 2" xfId="24947"/>
    <cellStyle name="Normal 3 3 3 3" xfId="24948"/>
    <cellStyle name="Normal 3 3 3 3 2" xfId="24949"/>
    <cellStyle name="Normal 3 3 3 3 2 2" xfId="24950"/>
    <cellStyle name="Normal 3 3 3 3 3" xfId="24951"/>
    <cellStyle name="Normal 3 3 3 4" xfId="24952"/>
    <cellStyle name="Normal 3 3 3 4 2" xfId="24953"/>
    <cellStyle name="Normal 3 3 3 4 2 2" xfId="24954"/>
    <cellStyle name="Normal 3 3 3 4 3" xfId="24955"/>
    <cellStyle name="Normal 3 3 3 5" xfId="24956"/>
    <cellStyle name="Normal 3 3 4" xfId="24957"/>
    <cellStyle name="Normal 3 3 4 2" xfId="24958"/>
    <cellStyle name="Normal 3 3 4 2 2" xfId="24959"/>
    <cellStyle name="Normal 3 3 4 2 2 2" xfId="24960"/>
    <cellStyle name="Normal 3 3 4 2 3" xfId="24961"/>
    <cellStyle name="Normal 3 3 4 2 3 2" xfId="24962"/>
    <cellStyle name="Normal 3 3 4 2 3 2 2" xfId="24963"/>
    <cellStyle name="Normal 3 3 4 2 3 3" xfId="24964"/>
    <cellStyle name="Normal 3 3 4 2 4" xfId="24965"/>
    <cellStyle name="Normal 3 3 4 3" xfId="24966"/>
    <cellStyle name="Normal 3 3 4 3 2" xfId="24967"/>
    <cellStyle name="Normal 3 3 4 3 2 2" xfId="24968"/>
    <cellStyle name="Normal 3 3 4 3 3" xfId="24969"/>
    <cellStyle name="Normal 3 3 4 4" xfId="24970"/>
    <cellStyle name="Normal 3 3 4 4 2" xfId="24971"/>
    <cellStyle name="Normal 3 3 4 4 2 2" xfId="24972"/>
    <cellStyle name="Normal 3 3 4 4 3" xfId="24973"/>
    <cellStyle name="Normal 3 3 4 5" xfId="24974"/>
    <cellStyle name="Normal 3 3 4 5 2" xfId="24975"/>
    <cellStyle name="Normal 3 3 4 5 2 2" xfId="24976"/>
    <cellStyle name="Normal 3 3 4 5 3" xfId="24977"/>
    <cellStyle name="Normal 3 3 4 6" xfId="24978"/>
    <cellStyle name="Normal 3 3 5" xfId="24979"/>
    <cellStyle name="Normal 3 3 5 2" xfId="24980"/>
    <cellStyle name="Normal 3 3 5 2 2" xfId="24981"/>
    <cellStyle name="Normal 3 3 5 3" xfId="24982"/>
    <cellStyle name="Normal 3 3 6" xfId="24983"/>
    <cellStyle name="Normal 3 3 6 2" xfId="24984"/>
    <cellStyle name="Normal 3 3 6 2 2" xfId="24985"/>
    <cellStyle name="Normal 3 3 6 3" xfId="24986"/>
    <cellStyle name="Normal 3 3 7" xfId="24987"/>
    <cellStyle name="Normal 3 3 7 2" xfId="24988"/>
    <cellStyle name="Normal 3 3 7 2 2" xfId="24989"/>
    <cellStyle name="Normal 3 3 7 3" xfId="24990"/>
    <cellStyle name="Normal 3 3 8" xfId="24991"/>
    <cellStyle name="Normal 3 4" xfId="24992"/>
    <cellStyle name="Normal 3 4 2" xfId="24993"/>
    <cellStyle name="Normal 3 4 2 2" xfId="24994"/>
    <cellStyle name="Normal 3 4 2 2 2" xfId="24995"/>
    <cellStyle name="Normal 3 4 2 3" xfId="24996"/>
    <cellStyle name="Normal 3 4 2 3 2" xfId="24997"/>
    <cellStyle name="Normal 3 4 2 3 2 2" xfId="24998"/>
    <cellStyle name="Normal 3 4 2 3 3" xfId="24999"/>
    <cellStyle name="Normal 3 4 2 4" xfId="25000"/>
    <cellStyle name="Normal 3 4 2 4 2" xfId="25001"/>
    <cellStyle name="Normal 3 4 2 4 2 2" xfId="25002"/>
    <cellStyle name="Normal 3 4 2 4 3" xfId="25003"/>
    <cellStyle name="Normal 3 4 2 5" xfId="25004"/>
    <cellStyle name="Normal 3 4 3" xfId="25005"/>
    <cellStyle name="Normal 3 4 3 2" xfId="25006"/>
    <cellStyle name="Normal 3 4 3 2 2" xfId="25007"/>
    <cellStyle name="Normal 3 4 3 3" xfId="25008"/>
    <cellStyle name="Normal 3 4 4" xfId="25009"/>
    <cellStyle name="Normal 3 4 4 2" xfId="25010"/>
    <cellStyle name="Normal 3 4 4 2 2" xfId="25011"/>
    <cellStyle name="Normal 3 4 4 3" xfId="25012"/>
    <cellStyle name="Normal 3 4 5" xfId="25013"/>
    <cellStyle name="Normal 3 4 5 2" xfId="25014"/>
    <cellStyle name="Normal 3 4 5 2 2" xfId="25015"/>
    <cellStyle name="Normal 3 4 5 3" xfId="25016"/>
    <cellStyle name="Normal 3 4 6" xfId="25017"/>
    <cellStyle name="Normal 3 5" xfId="25018"/>
    <cellStyle name="Normal 3 5 2" xfId="25019"/>
    <cellStyle name="Normal 3 5 2 2" xfId="25020"/>
    <cellStyle name="Normal 3 5 2 2 2" xfId="25021"/>
    <cellStyle name="Normal 3 5 2 3" xfId="25022"/>
    <cellStyle name="Normal 3 5 2 3 2" xfId="25023"/>
    <cellStyle name="Normal 3 5 2 3 2 2" xfId="25024"/>
    <cellStyle name="Normal 3 5 2 3 3" xfId="25025"/>
    <cellStyle name="Normal 3 5 2 4" xfId="25026"/>
    <cellStyle name="Normal 3 5 2 4 2" xfId="25027"/>
    <cellStyle name="Normal 3 5 2 4 2 2" xfId="25028"/>
    <cellStyle name="Normal 3 5 2 4 3" xfId="25029"/>
    <cellStyle name="Normal 3 5 2 5" xfId="25030"/>
    <cellStyle name="Normal 3 5 3" xfId="25031"/>
    <cellStyle name="Normal 3 5 3 2" xfId="25032"/>
    <cellStyle name="Normal 3 5 3 2 2" xfId="25033"/>
    <cellStyle name="Normal 3 5 3 3" xfId="25034"/>
    <cellStyle name="Normal 3 5 4" xfId="25035"/>
    <cellStyle name="Normal 3 5 4 2" xfId="25036"/>
    <cellStyle name="Normal 3 5 4 2 2" xfId="25037"/>
    <cellStyle name="Normal 3 5 4 3" xfId="25038"/>
    <cellStyle name="Normal 3 5 5" xfId="25039"/>
    <cellStyle name="Normal 3 5 5 2" xfId="25040"/>
    <cellStyle name="Normal 3 5 5 2 2" xfId="25041"/>
    <cellStyle name="Normal 3 5 5 3" xfId="25042"/>
    <cellStyle name="Normal 3 5 6" xfId="25043"/>
    <cellStyle name="Normal 3 6" xfId="25044"/>
    <cellStyle name="Normal 3 6 2" xfId="25045"/>
    <cellStyle name="Normal 3 6 2 2" xfId="25046"/>
    <cellStyle name="Normal 3 6 2 2 2" xfId="25047"/>
    <cellStyle name="Normal 3 6 2 2 2 2" xfId="25048"/>
    <cellStyle name="Normal 3 6 2 2 3" xfId="25049"/>
    <cellStyle name="Normal 3 6 2 2 3 2" xfId="25050"/>
    <cellStyle name="Normal 3 6 2 2 3 2 2" xfId="25051"/>
    <cellStyle name="Normal 3 6 2 2 3 3" xfId="25052"/>
    <cellStyle name="Normal 3 6 2 2 4" xfId="25053"/>
    <cellStyle name="Normal 3 6 2 3" xfId="25054"/>
    <cellStyle name="Normal 3 6 2 3 2" xfId="25055"/>
    <cellStyle name="Normal 3 6 2 3 2 2" xfId="25056"/>
    <cellStyle name="Normal 3 6 2 3 3" xfId="25057"/>
    <cellStyle name="Normal 3 6 2 4" xfId="25058"/>
    <cellStyle name="Normal 3 6 2 4 2" xfId="25059"/>
    <cellStyle name="Normal 3 6 2 4 2 2" xfId="25060"/>
    <cellStyle name="Normal 3 6 2 4 3" xfId="25061"/>
    <cellStyle name="Normal 3 6 2 5" xfId="25062"/>
    <cellStyle name="Normal 3 6 3" xfId="25063"/>
    <cellStyle name="Normal 3 6 3 2" xfId="25064"/>
    <cellStyle name="Normal 3 6 4" xfId="25065"/>
    <cellStyle name="Normal 3 6 4 2" xfId="25066"/>
    <cellStyle name="Normal 3 6 4 2 2" xfId="25067"/>
    <cellStyle name="Normal 3 6 4 3" xfId="25068"/>
    <cellStyle name="Normal 3 6 5" xfId="25069"/>
    <cellStyle name="Normal 3 6 5 2" xfId="25070"/>
    <cellStyle name="Normal 3 6 5 2 2" xfId="25071"/>
    <cellStyle name="Normal 3 6 5 3" xfId="25072"/>
    <cellStyle name="Normal 3 6 6" xfId="25073"/>
    <cellStyle name="Normal 3 7" xfId="25074"/>
    <cellStyle name="Normal 3 7 2" xfId="25075"/>
    <cellStyle name="Normal 3 7 2 2" xfId="25076"/>
    <cellStyle name="Normal 3 7 2 2 2" xfId="25077"/>
    <cellStyle name="Normal 3 7 2 3" xfId="25078"/>
    <cellStyle name="Normal 3 7 2 3 2" xfId="25079"/>
    <cellStyle name="Normal 3 7 2 3 2 2" xfId="25080"/>
    <cellStyle name="Normal 3 7 2 3 3" xfId="25081"/>
    <cellStyle name="Normal 3 7 2 4" xfId="25082"/>
    <cellStyle name="Normal 3 7 3" xfId="25083"/>
    <cellStyle name="Normal 3 7 3 2" xfId="25084"/>
    <cellStyle name="Normal 3 7 3 2 2" xfId="25085"/>
    <cellStyle name="Normal 3 7 3 3" xfId="25086"/>
    <cellStyle name="Normal 3 7 4" xfId="25087"/>
    <cellStyle name="Normal 3 7 4 2" xfId="25088"/>
    <cellStyle name="Normal 3 7 4 2 2" xfId="25089"/>
    <cellStyle name="Normal 3 7 4 3" xfId="25090"/>
    <cellStyle name="Normal 3 7 5" xfId="25091"/>
    <cellStyle name="Normal 3 8" xfId="25092"/>
    <cellStyle name="Normal 3 8 2" xfId="25093"/>
    <cellStyle name="Normal 3 8 2 2" xfId="25094"/>
    <cellStyle name="Normal 3 8 3" xfId="25095"/>
    <cellStyle name="Normal 3 9" xfId="25096"/>
    <cellStyle name="Normal 3 9 2" xfId="25097"/>
    <cellStyle name="Normal 30" xfId="25098"/>
    <cellStyle name="Normal 30 2" xfId="25099"/>
    <cellStyle name="Normal 30 2 2" xfId="25100"/>
    <cellStyle name="Normal 30 2 2 2" xfId="25101"/>
    <cellStyle name="Normal 30 2 2 2 2" xfId="25102"/>
    <cellStyle name="Normal 30 2 2 3" xfId="25103"/>
    <cellStyle name="Normal 30 2 2 3 2" xfId="25104"/>
    <cellStyle name="Normal 30 2 2 3 2 2" xfId="25105"/>
    <cellStyle name="Normal 30 2 2 3 3" xfId="25106"/>
    <cellStyle name="Normal 30 2 2 4" xfId="25107"/>
    <cellStyle name="Normal 30 2 2 4 2" xfId="25108"/>
    <cellStyle name="Normal 30 2 2 4 2 2" xfId="25109"/>
    <cellStyle name="Normal 30 2 2 4 3" xfId="25110"/>
    <cellStyle name="Normal 30 2 2 5" xfId="25111"/>
    <cellStyle name="Normal 30 2 3" xfId="25112"/>
    <cellStyle name="Normal 30 2 3 2" xfId="25113"/>
    <cellStyle name="Normal 30 2 3 2 2" xfId="25114"/>
    <cellStyle name="Normal 30 2 3 3" xfId="25115"/>
    <cellStyle name="Normal 30 2 4" xfId="25116"/>
    <cellStyle name="Normal 30 2 4 2" xfId="25117"/>
    <cellStyle name="Normal 30 2 4 2 2" xfId="25118"/>
    <cellStyle name="Normal 30 2 4 3" xfId="25119"/>
    <cellStyle name="Normal 30 2 5" xfId="25120"/>
    <cellStyle name="Normal 30 2 5 2" xfId="25121"/>
    <cellStyle name="Normal 30 2 5 2 2" xfId="25122"/>
    <cellStyle name="Normal 30 2 5 3" xfId="25123"/>
    <cellStyle name="Normal 30 2 6" xfId="25124"/>
    <cellStyle name="Normal 30 3" xfId="25125"/>
    <cellStyle name="Normal 30 3 2" xfId="25126"/>
    <cellStyle name="Normal 30 3 2 2" xfId="25127"/>
    <cellStyle name="Normal 30 3 3" xfId="25128"/>
    <cellStyle name="Normal 30 3 3 2" xfId="25129"/>
    <cellStyle name="Normal 30 3 3 2 2" xfId="25130"/>
    <cellStyle name="Normal 30 3 3 3" xfId="25131"/>
    <cellStyle name="Normal 30 3 4" xfId="25132"/>
    <cellStyle name="Normal 30 3 4 2" xfId="25133"/>
    <cellStyle name="Normal 30 3 4 2 2" xfId="25134"/>
    <cellStyle name="Normal 30 3 4 3" xfId="25135"/>
    <cellStyle name="Normal 30 3 5" xfId="25136"/>
    <cellStyle name="Normal 30 4" xfId="25137"/>
    <cellStyle name="Normal 30 4 2" xfId="25138"/>
    <cellStyle name="Normal 30 4 2 2" xfId="25139"/>
    <cellStyle name="Normal 30 4 3" xfId="25140"/>
    <cellStyle name="Normal 30 5" xfId="25141"/>
    <cellStyle name="Normal 30 5 2" xfId="25142"/>
    <cellStyle name="Normal 30 5 2 2" xfId="25143"/>
    <cellStyle name="Normal 30 5 3" xfId="25144"/>
    <cellStyle name="Normal 30 6" xfId="25145"/>
    <cellStyle name="Normal 30 6 2" xfId="25146"/>
    <cellStyle name="Normal 30 6 2 2" xfId="25147"/>
    <cellStyle name="Normal 30 6 3" xfId="25148"/>
    <cellStyle name="Normal 30 7" xfId="25149"/>
    <cellStyle name="Normal 300" xfId="25150"/>
    <cellStyle name="Normal 300 2" xfId="25151"/>
    <cellStyle name="Normal 300 2 2" xfId="25152"/>
    <cellStyle name="Normal 300 2 2 2" xfId="25153"/>
    <cellStyle name="Normal 300 2 3" xfId="25154"/>
    <cellStyle name="Normal 300 2 3 2" xfId="25155"/>
    <cellStyle name="Normal 300 2 3 2 2" xfId="25156"/>
    <cellStyle name="Normal 300 2 3 3" xfId="25157"/>
    <cellStyle name="Normal 300 2 4" xfId="25158"/>
    <cellStyle name="Normal 300 2 4 2" xfId="25159"/>
    <cellStyle name="Normal 300 2 4 2 2" xfId="25160"/>
    <cellStyle name="Normal 300 2 4 3" xfId="25161"/>
    <cellStyle name="Normal 300 2 5" xfId="25162"/>
    <cellStyle name="Normal 300 3" xfId="25163"/>
    <cellStyle name="Normal 300 3 2" xfId="25164"/>
    <cellStyle name="Normal 300 3 2 2" xfId="25165"/>
    <cellStyle name="Normal 300 3 2 2 2" xfId="25166"/>
    <cellStyle name="Normal 300 3 2 3" xfId="25167"/>
    <cellStyle name="Normal 300 3 2 3 2" xfId="25168"/>
    <cellStyle name="Normal 300 3 2 3 2 2" xfId="25169"/>
    <cellStyle name="Normal 300 3 2 3 3" xfId="25170"/>
    <cellStyle name="Normal 300 3 2 4" xfId="25171"/>
    <cellStyle name="Normal 300 3 3" xfId="25172"/>
    <cellStyle name="Normal 300 3 3 2" xfId="25173"/>
    <cellStyle name="Normal 300 3 3 2 2" xfId="25174"/>
    <cellStyle name="Normal 300 3 3 3" xfId="25175"/>
    <cellStyle name="Normal 300 3 4" xfId="25176"/>
    <cellStyle name="Normal 300 3 4 2" xfId="25177"/>
    <cellStyle name="Normal 300 3 4 2 2" xfId="25178"/>
    <cellStyle name="Normal 300 3 4 3" xfId="25179"/>
    <cellStyle name="Normal 300 3 5" xfId="25180"/>
    <cellStyle name="Normal 300 3 5 2" xfId="25181"/>
    <cellStyle name="Normal 300 3 5 2 2" xfId="25182"/>
    <cellStyle name="Normal 300 3 5 3" xfId="25183"/>
    <cellStyle name="Normal 300 3 6" xfId="25184"/>
    <cellStyle name="Normal 300 4" xfId="25185"/>
    <cellStyle name="Normal 300 4 2" xfId="25186"/>
    <cellStyle name="Normal 300 4 2 2" xfId="25187"/>
    <cellStyle name="Normal 300 4 3" xfId="25188"/>
    <cellStyle name="Normal 300 5" xfId="25189"/>
    <cellStyle name="Normal 300 5 2" xfId="25190"/>
    <cellStyle name="Normal 300 5 2 2" xfId="25191"/>
    <cellStyle name="Normal 300 5 3" xfId="25192"/>
    <cellStyle name="Normal 300 6" xfId="25193"/>
    <cellStyle name="Normal 300 6 2" xfId="25194"/>
    <cellStyle name="Normal 300 6 2 2" xfId="25195"/>
    <cellStyle name="Normal 300 6 3" xfId="25196"/>
    <cellStyle name="Normal 300 7" xfId="25197"/>
    <cellStyle name="Normal 301" xfId="25198"/>
    <cellStyle name="Normal 301 2" xfId="25199"/>
    <cellStyle name="Normal 301 2 2" xfId="25200"/>
    <cellStyle name="Normal 301 2 2 2" xfId="25201"/>
    <cellStyle name="Normal 301 2 3" xfId="25202"/>
    <cellStyle name="Normal 301 2 3 2" xfId="25203"/>
    <cellStyle name="Normal 301 2 3 2 2" xfId="25204"/>
    <cellStyle name="Normal 301 2 3 3" xfId="25205"/>
    <cellStyle name="Normal 301 2 4" xfId="25206"/>
    <cellStyle name="Normal 301 2 4 2" xfId="25207"/>
    <cellStyle name="Normal 301 2 4 2 2" xfId="25208"/>
    <cellStyle name="Normal 301 2 4 3" xfId="25209"/>
    <cellStyle name="Normal 301 2 5" xfId="25210"/>
    <cellStyle name="Normal 301 3" xfId="25211"/>
    <cellStyle name="Normal 301 3 2" xfId="25212"/>
    <cellStyle name="Normal 301 3 2 2" xfId="25213"/>
    <cellStyle name="Normal 301 3 2 2 2" xfId="25214"/>
    <cellStyle name="Normal 301 3 2 3" xfId="25215"/>
    <cellStyle name="Normal 301 3 2 3 2" xfId="25216"/>
    <cellStyle name="Normal 301 3 2 3 2 2" xfId="25217"/>
    <cellStyle name="Normal 301 3 2 3 3" xfId="25218"/>
    <cellStyle name="Normal 301 3 2 4" xfId="25219"/>
    <cellStyle name="Normal 301 3 3" xfId="25220"/>
    <cellStyle name="Normal 301 3 3 2" xfId="25221"/>
    <cellStyle name="Normal 301 3 3 2 2" xfId="25222"/>
    <cellStyle name="Normal 301 3 3 3" xfId="25223"/>
    <cellStyle name="Normal 301 3 4" xfId="25224"/>
    <cellStyle name="Normal 301 3 4 2" xfId="25225"/>
    <cellStyle name="Normal 301 3 4 2 2" xfId="25226"/>
    <cellStyle name="Normal 301 3 4 3" xfId="25227"/>
    <cellStyle name="Normal 301 3 5" xfId="25228"/>
    <cellStyle name="Normal 301 3 5 2" xfId="25229"/>
    <cellStyle name="Normal 301 3 5 2 2" xfId="25230"/>
    <cellStyle name="Normal 301 3 5 3" xfId="25231"/>
    <cellStyle name="Normal 301 3 6" xfId="25232"/>
    <cellStyle name="Normal 301 4" xfId="25233"/>
    <cellStyle name="Normal 301 4 2" xfId="25234"/>
    <cellStyle name="Normal 301 4 2 2" xfId="25235"/>
    <cellStyle name="Normal 301 4 3" xfId="25236"/>
    <cellStyle name="Normal 301 5" xfId="25237"/>
    <cellStyle name="Normal 301 5 2" xfId="25238"/>
    <cellStyle name="Normal 301 5 2 2" xfId="25239"/>
    <cellStyle name="Normal 301 5 3" xfId="25240"/>
    <cellStyle name="Normal 301 6" xfId="25241"/>
    <cellStyle name="Normal 301 6 2" xfId="25242"/>
    <cellStyle name="Normal 301 6 2 2" xfId="25243"/>
    <cellStyle name="Normal 301 6 3" xfId="25244"/>
    <cellStyle name="Normal 301 7" xfId="25245"/>
    <cellStyle name="Normal 302" xfId="25246"/>
    <cellStyle name="Normal 302 2" xfId="25247"/>
    <cellStyle name="Normal 302 2 2" xfId="25248"/>
    <cellStyle name="Normal 302 2 2 2" xfId="25249"/>
    <cellStyle name="Normal 302 2 3" xfId="25250"/>
    <cellStyle name="Normal 302 2 3 2" xfId="25251"/>
    <cellStyle name="Normal 302 2 3 2 2" xfId="25252"/>
    <cellStyle name="Normal 302 2 3 3" xfId="25253"/>
    <cellStyle name="Normal 302 2 4" xfId="25254"/>
    <cellStyle name="Normal 302 2 4 2" xfId="25255"/>
    <cellStyle name="Normal 302 2 4 2 2" xfId="25256"/>
    <cellStyle name="Normal 302 2 4 3" xfId="25257"/>
    <cellStyle name="Normal 302 2 5" xfId="25258"/>
    <cellStyle name="Normal 302 3" xfId="25259"/>
    <cellStyle name="Normal 302 3 2" xfId="25260"/>
    <cellStyle name="Normal 302 3 2 2" xfId="25261"/>
    <cellStyle name="Normal 302 3 2 2 2" xfId="25262"/>
    <cellStyle name="Normal 302 3 2 3" xfId="25263"/>
    <cellStyle name="Normal 302 3 2 3 2" xfId="25264"/>
    <cellStyle name="Normal 302 3 2 3 2 2" xfId="25265"/>
    <cellStyle name="Normal 302 3 2 3 3" xfId="25266"/>
    <cellStyle name="Normal 302 3 2 4" xfId="25267"/>
    <cellStyle name="Normal 302 3 3" xfId="25268"/>
    <cellStyle name="Normal 302 3 3 2" xfId="25269"/>
    <cellStyle name="Normal 302 3 3 2 2" xfId="25270"/>
    <cellStyle name="Normal 302 3 3 3" xfId="25271"/>
    <cellStyle name="Normal 302 3 4" xfId="25272"/>
    <cellStyle name="Normal 302 3 4 2" xfId="25273"/>
    <cellStyle name="Normal 302 3 4 2 2" xfId="25274"/>
    <cellStyle name="Normal 302 3 4 3" xfId="25275"/>
    <cellStyle name="Normal 302 3 5" xfId="25276"/>
    <cellStyle name="Normal 302 3 5 2" xfId="25277"/>
    <cellStyle name="Normal 302 3 5 2 2" xfId="25278"/>
    <cellStyle name="Normal 302 3 5 3" xfId="25279"/>
    <cellStyle name="Normal 302 3 6" xfId="25280"/>
    <cellStyle name="Normal 302 4" xfId="25281"/>
    <cellStyle name="Normal 302 4 2" xfId="25282"/>
    <cellStyle name="Normal 302 4 2 2" xfId="25283"/>
    <cellStyle name="Normal 302 4 3" xfId="25284"/>
    <cellStyle name="Normal 302 5" xfId="25285"/>
    <cellStyle name="Normal 302 5 2" xfId="25286"/>
    <cellStyle name="Normal 302 5 2 2" xfId="25287"/>
    <cellStyle name="Normal 302 5 3" xfId="25288"/>
    <cellStyle name="Normal 302 6" xfId="25289"/>
    <cellStyle name="Normal 302 6 2" xfId="25290"/>
    <cellStyle name="Normal 302 6 2 2" xfId="25291"/>
    <cellStyle name="Normal 302 6 3" xfId="25292"/>
    <cellStyle name="Normal 302 7" xfId="25293"/>
    <cellStyle name="Normal 303" xfId="25294"/>
    <cellStyle name="Normal 303 2" xfId="25295"/>
    <cellStyle name="Normal 303 2 2" xfId="25296"/>
    <cellStyle name="Normal 303 2 2 2" xfId="25297"/>
    <cellStyle name="Normal 303 2 3" xfId="25298"/>
    <cellStyle name="Normal 303 2 3 2" xfId="25299"/>
    <cellStyle name="Normal 303 2 3 2 2" xfId="25300"/>
    <cellStyle name="Normal 303 2 3 3" xfId="25301"/>
    <cellStyle name="Normal 303 2 4" xfId="25302"/>
    <cellStyle name="Normal 303 2 4 2" xfId="25303"/>
    <cellStyle name="Normal 303 2 4 2 2" xfId="25304"/>
    <cellStyle name="Normal 303 2 4 3" xfId="25305"/>
    <cellStyle name="Normal 303 2 5" xfId="25306"/>
    <cellStyle name="Normal 303 3" xfId="25307"/>
    <cellStyle name="Normal 303 3 2" xfId="25308"/>
    <cellStyle name="Normal 303 3 2 2" xfId="25309"/>
    <cellStyle name="Normal 303 3 2 2 2" xfId="25310"/>
    <cellStyle name="Normal 303 3 2 3" xfId="25311"/>
    <cellStyle name="Normal 303 3 2 3 2" xfId="25312"/>
    <cellStyle name="Normal 303 3 2 3 2 2" xfId="25313"/>
    <cellStyle name="Normal 303 3 2 3 3" xfId="25314"/>
    <cellStyle name="Normal 303 3 2 4" xfId="25315"/>
    <cellStyle name="Normal 303 3 3" xfId="25316"/>
    <cellStyle name="Normal 303 3 3 2" xfId="25317"/>
    <cellStyle name="Normal 303 3 3 2 2" xfId="25318"/>
    <cellStyle name="Normal 303 3 3 3" xfId="25319"/>
    <cellStyle name="Normal 303 3 4" xfId="25320"/>
    <cellStyle name="Normal 303 3 4 2" xfId="25321"/>
    <cellStyle name="Normal 303 3 4 2 2" xfId="25322"/>
    <cellStyle name="Normal 303 3 4 3" xfId="25323"/>
    <cellStyle name="Normal 303 3 5" xfId="25324"/>
    <cellStyle name="Normal 303 3 5 2" xfId="25325"/>
    <cellStyle name="Normal 303 3 5 2 2" xfId="25326"/>
    <cellStyle name="Normal 303 3 5 3" xfId="25327"/>
    <cellStyle name="Normal 303 3 6" xfId="25328"/>
    <cellStyle name="Normal 303 4" xfId="25329"/>
    <cellStyle name="Normal 303 4 2" xfId="25330"/>
    <cellStyle name="Normal 303 4 2 2" xfId="25331"/>
    <cellStyle name="Normal 303 4 3" xfId="25332"/>
    <cellStyle name="Normal 303 5" xfId="25333"/>
    <cellStyle name="Normal 303 5 2" xfId="25334"/>
    <cellStyle name="Normal 303 5 2 2" xfId="25335"/>
    <cellStyle name="Normal 303 5 3" xfId="25336"/>
    <cellStyle name="Normal 303 6" xfId="25337"/>
    <cellStyle name="Normal 303 6 2" xfId="25338"/>
    <cellStyle name="Normal 303 6 2 2" xfId="25339"/>
    <cellStyle name="Normal 303 6 3" xfId="25340"/>
    <cellStyle name="Normal 303 7" xfId="25341"/>
    <cellStyle name="Normal 304" xfId="25342"/>
    <cellStyle name="Normal 304 2" xfId="25343"/>
    <cellStyle name="Normal 304 2 2" xfId="25344"/>
    <cellStyle name="Normal 304 2 2 2" xfId="25345"/>
    <cellStyle name="Normal 304 2 3" xfId="25346"/>
    <cellStyle name="Normal 304 2 3 2" xfId="25347"/>
    <cellStyle name="Normal 304 2 3 2 2" xfId="25348"/>
    <cellStyle name="Normal 304 2 3 3" xfId="25349"/>
    <cellStyle name="Normal 304 2 4" xfId="25350"/>
    <cellStyle name="Normal 304 2 4 2" xfId="25351"/>
    <cellStyle name="Normal 304 2 4 2 2" xfId="25352"/>
    <cellStyle name="Normal 304 2 4 3" xfId="25353"/>
    <cellStyle name="Normal 304 2 5" xfId="25354"/>
    <cellStyle name="Normal 304 3" xfId="25355"/>
    <cellStyle name="Normal 304 3 2" xfId="25356"/>
    <cellStyle name="Normal 304 3 2 2" xfId="25357"/>
    <cellStyle name="Normal 304 3 2 2 2" xfId="25358"/>
    <cellStyle name="Normal 304 3 2 3" xfId="25359"/>
    <cellStyle name="Normal 304 3 2 3 2" xfId="25360"/>
    <cellStyle name="Normal 304 3 2 3 2 2" xfId="25361"/>
    <cellStyle name="Normal 304 3 2 3 3" xfId="25362"/>
    <cellStyle name="Normal 304 3 2 4" xfId="25363"/>
    <cellStyle name="Normal 304 3 3" xfId="25364"/>
    <cellStyle name="Normal 304 3 3 2" xfId="25365"/>
    <cellStyle name="Normal 304 3 3 2 2" xfId="25366"/>
    <cellStyle name="Normal 304 3 3 3" xfId="25367"/>
    <cellStyle name="Normal 304 3 4" xfId="25368"/>
    <cellStyle name="Normal 304 3 4 2" xfId="25369"/>
    <cellStyle name="Normal 304 3 4 2 2" xfId="25370"/>
    <cellStyle name="Normal 304 3 4 3" xfId="25371"/>
    <cellStyle name="Normal 304 3 5" xfId="25372"/>
    <cellStyle name="Normal 304 3 5 2" xfId="25373"/>
    <cellStyle name="Normal 304 3 5 2 2" xfId="25374"/>
    <cellStyle name="Normal 304 3 5 3" xfId="25375"/>
    <cellStyle name="Normal 304 3 6" xfId="25376"/>
    <cellStyle name="Normal 304 4" xfId="25377"/>
    <cellStyle name="Normal 304 4 2" xfId="25378"/>
    <cellStyle name="Normal 304 4 2 2" xfId="25379"/>
    <cellStyle name="Normal 304 4 3" xfId="25380"/>
    <cellStyle name="Normal 304 5" xfId="25381"/>
    <cellStyle name="Normal 304 5 2" xfId="25382"/>
    <cellStyle name="Normal 304 5 2 2" xfId="25383"/>
    <cellStyle name="Normal 304 5 3" xfId="25384"/>
    <cellStyle name="Normal 304 6" xfId="25385"/>
    <cellStyle name="Normal 304 6 2" xfId="25386"/>
    <cellStyle name="Normal 304 6 2 2" xfId="25387"/>
    <cellStyle name="Normal 304 6 3" xfId="25388"/>
    <cellStyle name="Normal 304 7" xfId="25389"/>
    <cellStyle name="Normal 305" xfId="25390"/>
    <cellStyle name="Normal 305 2" xfId="25391"/>
    <cellStyle name="Normal 305 2 2" xfId="25392"/>
    <cellStyle name="Normal 305 2 2 2" xfId="25393"/>
    <cellStyle name="Normal 305 2 3" xfId="25394"/>
    <cellStyle name="Normal 305 2 3 2" xfId="25395"/>
    <cellStyle name="Normal 305 2 3 2 2" xfId="25396"/>
    <cellStyle name="Normal 305 2 3 3" xfId="25397"/>
    <cellStyle name="Normal 305 2 4" xfId="25398"/>
    <cellStyle name="Normal 305 2 4 2" xfId="25399"/>
    <cellStyle name="Normal 305 2 4 2 2" xfId="25400"/>
    <cellStyle name="Normal 305 2 4 3" xfId="25401"/>
    <cellStyle name="Normal 305 2 5" xfId="25402"/>
    <cellStyle name="Normal 305 3" xfId="25403"/>
    <cellStyle name="Normal 305 3 2" xfId="25404"/>
    <cellStyle name="Normal 305 3 2 2" xfId="25405"/>
    <cellStyle name="Normal 305 3 2 2 2" xfId="25406"/>
    <cellStyle name="Normal 305 3 2 3" xfId="25407"/>
    <cellStyle name="Normal 305 3 2 3 2" xfId="25408"/>
    <cellStyle name="Normal 305 3 2 3 2 2" xfId="25409"/>
    <cellStyle name="Normal 305 3 2 3 3" xfId="25410"/>
    <cellStyle name="Normal 305 3 2 4" xfId="25411"/>
    <cellStyle name="Normal 305 3 3" xfId="25412"/>
    <cellStyle name="Normal 305 3 3 2" xfId="25413"/>
    <cellStyle name="Normal 305 3 3 2 2" xfId="25414"/>
    <cellStyle name="Normal 305 3 3 3" xfId="25415"/>
    <cellStyle name="Normal 305 3 4" xfId="25416"/>
    <cellStyle name="Normal 305 3 4 2" xfId="25417"/>
    <cellStyle name="Normal 305 3 4 2 2" xfId="25418"/>
    <cellStyle name="Normal 305 3 4 3" xfId="25419"/>
    <cellStyle name="Normal 305 3 5" xfId="25420"/>
    <cellStyle name="Normal 305 3 5 2" xfId="25421"/>
    <cellStyle name="Normal 305 3 5 2 2" xfId="25422"/>
    <cellStyle name="Normal 305 3 5 3" xfId="25423"/>
    <cellStyle name="Normal 305 3 6" xfId="25424"/>
    <cellStyle name="Normal 305 4" xfId="25425"/>
    <cellStyle name="Normal 305 4 2" xfId="25426"/>
    <cellStyle name="Normal 305 4 2 2" xfId="25427"/>
    <cellStyle name="Normal 305 4 3" xfId="25428"/>
    <cellStyle name="Normal 305 5" xfId="25429"/>
    <cellStyle name="Normal 305 5 2" xfId="25430"/>
    <cellStyle name="Normal 305 5 2 2" xfId="25431"/>
    <cellStyle name="Normal 305 5 3" xfId="25432"/>
    <cellStyle name="Normal 305 6" xfId="25433"/>
    <cellStyle name="Normal 305 6 2" xfId="25434"/>
    <cellStyle name="Normal 305 6 2 2" xfId="25435"/>
    <cellStyle name="Normal 305 6 3" xfId="25436"/>
    <cellStyle name="Normal 305 7" xfId="25437"/>
    <cellStyle name="Normal 306" xfId="25438"/>
    <cellStyle name="Normal 306 2" xfId="25439"/>
    <cellStyle name="Normal 306 2 2" xfId="25440"/>
    <cellStyle name="Normal 306 2 2 2" xfId="25441"/>
    <cellStyle name="Normal 306 2 3" xfId="25442"/>
    <cellStyle name="Normal 306 2 3 2" xfId="25443"/>
    <cellStyle name="Normal 306 2 3 2 2" xfId="25444"/>
    <cellStyle name="Normal 306 2 3 3" xfId="25445"/>
    <cellStyle name="Normal 306 2 4" xfId="25446"/>
    <cellStyle name="Normal 306 2 4 2" xfId="25447"/>
    <cellStyle name="Normal 306 2 4 2 2" xfId="25448"/>
    <cellStyle name="Normal 306 2 4 3" xfId="25449"/>
    <cellStyle name="Normal 306 2 5" xfId="25450"/>
    <cellStyle name="Normal 306 3" xfId="25451"/>
    <cellStyle name="Normal 306 3 2" xfId="25452"/>
    <cellStyle name="Normal 306 3 2 2" xfId="25453"/>
    <cellStyle name="Normal 306 3 2 2 2" xfId="25454"/>
    <cellStyle name="Normal 306 3 2 3" xfId="25455"/>
    <cellStyle name="Normal 306 3 2 3 2" xfId="25456"/>
    <cellStyle name="Normal 306 3 2 3 2 2" xfId="25457"/>
    <cellStyle name="Normal 306 3 2 3 3" xfId="25458"/>
    <cellStyle name="Normal 306 3 2 4" xfId="25459"/>
    <cellStyle name="Normal 306 3 3" xfId="25460"/>
    <cellStyle name="Normal 306 3 3 2" xfId="25461"/>
    <cellStyle name="Normal 306 3 3 2 2" xfId="25462"/>
    <cellStyle name="Normal 306 3 3 3" xfId="25463"/>
    <cellStyle name="Normal 306 3 4" xfId="25464"/>
    <cellStyle name="Normal 306 3 4 2" xfId="25465"/>
    <cellStyle name="Normal 306 3 4 2 2" xfId="25466"/>
    <cellStyle name="Normal 306 3 4 3" xfId="25467"/>
    <cellStyle name="Normal 306 3 5" xfId="25468"/>
    <cellStyle name="Normal 306 3 5 2" xfId="25469"/>
    <cellStyle name="Normal 306 3 5 2 2" xfId="25470"/>
    <cellStyle name="Normal 306 3 5 3" xfId="25471"/>
    <cellStyle name="Normal 306 3 6" xfId="25472"/>
    <cellStyle name="Normal 306 4" xfId="25473"/>
    <cellStyle name="Normal 306 4 2" xfId="25474"/>
    <cellStyle name="Normal 306 4 2 2" xfId="25475"/>
    <cellStyle name="Normal 306 4 3" xfId="25476"/>
    <cellStyle name="Normal 306 5" xfId="25477"/>
    <cellStyle name="Normal 306 5 2" xfId="25478"/>
    <cellStyle name="Normal 306 5 2 2" xfId="25479"/>
    <cellStyle name="Normal 306 5 3" xfId="25480"/>
    <cellStyle name="Normal 306 6" xfId="25481"/>
    <cellStyle name="Normal 306 6 2" xfId="25482"/>
    <cellStyle name="Normal 306 6 2 2" xfId="25483"/>
    <cellStyle name="Normal 306 6 3" xfId="25484"/>
    <cellStyle name="Normal 306 7" xfId="25485"/>
    <cellStyle name="Normal 307" xfId="25486"/>
    <cellStyle name="Normal 307 2" xfId="25487"/>
    <cellStyle name="Normal 307 2 2" xfId="25488"/>
    <cellStyle name="Normal 307 2 2 2" xfId="25489"/>
    <cellStyle name="Normal 307 2 3" xfId="25490"/>
    <cellStyle name="Normal 307 2 3 2" xfId="25491"/>
    <cellStyle name="Normal 307 2 3 2 2" xfId="25492"/>
    <cellStyle name="Normal 307 2 3 3" xfId="25493"/>
    <cellStyle name="Normal 307 2 4" xfId="25494"/>
    <cellStyle name="Normal 307 2 4 2" xfId="25495"/>
    <cellStyle name="Normal 307 2 4 2 2" xfId="25496"/>
    <cellStyle name="Normal 307 2 4 3" xfId="25497"/>
    <cellStyle name="Normal 307 2 5" xfId="25498"/>
    <cellStyle name="Normal 307 3" xfId="25499"/>
    <cellStyle name="Normal 307 3 2" xfId="25500"/>
    <cellStyle name="Normal 307 3 2 2" xfId="25501"/>
    <cellStyle name="Normal 307 3 2 2 2" xfId="25502"/>
    <cellStyle name="Normal 307 3 2 3" xfId="25503"/>
    <cellStyle name="Normal 307 3 2 3 2" xfId="25504"/>
    <cellStyle name="Normal 307 3 2 3 2 2" xfId="25505"/>
    <cellStyle name="Normal 307 3 2 3 3" xfId="25506"/>
    <cellStyle name="Normal 307 3 2 4" xfId="25507"/>
    <cellStyle name="Normal 307 3 3" xfId="25508"/>
    <cellStyle name="Normal 307 3 3 2" xfId="25509"/>
    <cellStyle name="Normal 307 3 3 2 2" xfId="25510"/>
    <cellStyle name="Normal 307 3 3 3" xfId="25511"/>
    <cellStyle name="Normal 307 3 4" xfId="25512"/>
    <cellStyle name="Normal 307 3 4 2" xfId="25513"/>
    <cellStyle name="Normal 307 3 4 2 2" xfId="25514"/>
    <cellStyle name="Normal 307 3 4 3" xfId="25515"/>
    <cellStyle name="Normal 307 3 5" xfId="25516"/>
    <cellStyle name="Normal 307 3 5 2" xfId="25517"/>
    <cellStyle name="Normal 307 3 5 2 2" xfId="25518"/>
    <cellStyle name="Normal 307 3 5 3" xfId="25519"/>
    <cellStyle name="Normal 307 3 6" xfId="25520"/>
    <cellStyle name="Normal 307 4" xfId="25521"/>
    <cellStyle name="Normal 307 4 2" xfId="25522"/>
    <cellStyle name="Normal 307 4 2 2" xfId="25523"/>
    <cellStyle name="Normal 307 4 3" xfId="25524"/>
    <cellStyle name="Normal 307 5" xfId="25525"/>
    <cellStyle name="Normal 307 5 2" xfId="25526"/>
    <cellStyle name="Normal 307 5 2 2" xfId="25527"/>
    <cellStyle name="Normal 307 5 3" xfId="25528"/>
    <cellStyle name="Normal 307 6" xfId="25529"/>
    <cellStyle name="Normal 307 6 2" xfId="25530"/>
    <cellStyle name="Normal 307 6 2 2" xfId="25531"/>
    <cellStyle name="Normal 307 6 3" xfId="25532"/>
    <cellStyle name="Normal 307 7" xfId="25533"/>
    <cellStyle name="Normal 308" xfId="25534"/>
    <cellStyle name="Normal 308 2" xfId="25535"/>
    <cellStyle name="Normal 308 2 2" xfId="25536"/>
    <cellStyle name="Normal 308 2 2 2" xfId="25537"/>
    <cellStyle name="Normal 308 2 3" xfId="25538"/>
    <cellStyle name="Normal 308 2 3 2" xfId="25539"/>
    <cellStyle name="Normal 308 2 3 2 2" xfId="25540"/>
    <cellStyle name="Normal 308 2 3 3" xfId="25541"/>
    <cellStyle name="Normal 308 2 4" xfId="25542"/>
    <cellStyle name="Normal 308 2 4 2" xfId="25543"/>
    <cellStyle name="Normal 308 2 4 2 2" xfId="25544"/>
    <cellStyle name="Normal 308 2 4 3" xfId="25545"/>
    <cellStyle name="Normal 308 2 5" xfId="25546"/>
    <cellStyle name="Normal 308 3" xfId="25547"/>
    <cellStyle name="Normal 308 3 2" xfId="25548"/>
    <cellStyle name="Normal 308 3 2 2" xfId="25549"/>
    <cellStyle name="Normal 308 3 2 2 2" xfId="25550"/>
    <cellStyle name="Normal 308 3 2 3" xfId="25551"/>
    <cellStyle name="Normal 308 3 2 3 2" xfId="25552"/>
    <cellStyle name="Normal 308 3 2 3 2 2" xfId="25553"/>
    <cellStyle name="Normal 308 3 2 3 3" xfId="25554"/>
    <cellStyle name="Normal 308 3 2 4" xfId="25555"/>
    <cellStyle name="Normal 308 3 3" xfId="25556"/>
    <cellStyle name="Normal 308 3 3 2" xfId="25557"/>
    <cellStyle name="Normal 308 3 3 2 2" xfId="25558"/>
    <cellStyle name="Normal 308 3 3 3" xfId="25559"/>
    <cellStyle name="Normal 308 3 4" xfId="25560"/>
    <cellStyle name="Normal 308 3 4 2" xfId="25561"/>
    <cellStyle name="Normal 308 3 4 2 2" xfId="25562"/>
    <cellStyle name="Normal 308 3 4 3" xfId="25563"/>
    <cellStyle name="Normal 308 3 5" xfId="25564"/>
    <cellStyle name="Normal 308 3 5 2" xfId="25565"/>
    <cellStyle name="Normal 308 3 5 2 2" xfId="25566"/>
    <cellStyle name="Normal 308 3 5 3" xfId="25567"/>
    <cellStyle name="Normal 308 3 6" xfId="25568"/>
    <cellStyle name="Normal 308 4" xfId="25569"/>
    <cellStyle name="Normal 308 4 2" xfId="25570"/>
    <cellStyle name="Normal 308 4 2 2" xfId="25571"/>
    <cellStyle name="Normal 308 4 3" xfId="25572"/>
    <cellStyle name="Normal 308 5" xfId="25573"/>
    <cellStyle name="Normal 308 5 2" xfId="25574"/>
    <cellStyle name="Normal 308 5 2 2" xfId="25575"/>
    <cellStyle name="Normal 308 5 3" xfId="25576"/>
    <cellStyle name="Normal 308 6" xfId="25577"/>
    <cellStyle name="Normal 308 6 2" xfId="25578"/>
    <cellStyle name="Normal 308 6 2 2" xfId="25579"/>
    <cellStyle name="Normal 308 6 3" xfId="25580"/>
    <cellStyle name="Normal 308 7" xfId="25581"/>
    <cellStyle name="Normal 309" xfId="25582"/>
    <cellStyle name="Normal 309 2" xfId="25583"/>
    <cellStyle name="Normal 309 2 2" xfId="25584"/>
    <cellStyle name="Normal 309 2 2 2" xfId="25585"/>
    <cellStyle name="Normal 309 2 3" xfId="25586"/>
    <cellStyle name="Normal 309 2 3 2" xfId="25587"/>
    <cellStyle name="Normal 309 2 3 2 2" xfId="25588"/>
    <cellStyle name="Normal 309 2 3 3" xfId="25589"/>
    <cellStyle name="Normal 309 2 4" xfId="25590"/>
    <cellStyle name="Normal 309 2 4 2" xfId="25591"/>
    <cellStyle name="Normal 309 2 4 2 2" xfId="25592"/>
    <cellStyle name="Normal 309 2 4 3" xfId="25593"/>
    <cellStyle name="Normal 309 2 5" xfId="25594"/>
    <cellStyle name="Normal 309 3" xfId="25595"/>
    <cellStyle name="Normal 309 3 2" xfId="25596"/>
    <cellStyle name="Normal 309 3 2 2" xfId="25597"/>
    <cellStyle name="Normal 309 3 2 2 2" xfId="25598"/>
    <cellStyle name="Normal 309 3 2 3" xfId="25599"/>
    <cellStyle name="Normal 309 3 2 3 2" xfId="25600"/>
    <cellStyle name="Normal 309 3 2 3 2 2" xfId="25601"/>
    <cellStyle name="Normal 309 3 2 3 3" xfId="25602"/>
    <cellStyle name="Normal 309 3 2 4" xfId="25603"/>
    <cellStyle name="Normal 309 3 3" xfId="25604"/>
    <cellStyle name="Normal 309 3 3 2" xfId="25605"/>
    <cellStyle name="Normal 309 3 3 2 2" xfId="25606"/>
    <cellStyle name="Normal 309 3 3 3" xfId="25607"/>
    <cellStyle name="Normal 309 3 4" xfId="25608"/>
    <cellStyle name="Normal 309 3 4 2" xfId="25609"/>
    <cellStyle name="Normal 309 3 4 2 2" xfId="25610"/>
    <cellStyle name="Normal 309 3 4 3" xfId="25611"/>
    <cellStyle name="Normal 309 3 5" xfId="25612"/>
    <cellStyle name="Normal 309 3 5 2" xfId="25613"/>
    <cellStyle name="Normal 309 3 5 2 2" xfId="25614"/>
    <cellStyle name="Normal 309 3 5 3" xfId="25615"/>
    <cellStyle name="Normal 309 3 6" xfId="25616"/>
    <cellStyle name="Normal 309 4" xfId="25617"/>
    <cellStyle name="Normal 309 4 2" xfId="25618"/>
    <cellStyle name="Normal 309 4 2 2" xfId="25619"/>
    <cellStyle name="Normal 309 4 3" xfId="25620"/>
    <cellStyle name="Normal 309 5" xfId="25621"/>
    <cellStyle name="Normal 309 5 2" xfId="25622"/>
    <cellStyle name="Normal 309 5 2 2" xfId="25623"/>
    <cellStyle name="Normal 309 5 3" xfId="25624"/>
    <cellStyle name="Normal 309 6" xfId="25625"/>
    <cellStyle name="Normal 309 6 2" xfId="25626"/>
    <cellStyle name="Normal 309 6 2 2" xfId="25627"/>
    <cellStyle name="Normal 309 6 3" xfId="25628"/>
    <cellStyle name="Normal 309 7" xfId="25629"/>
    <cellStyle name="Normal 31" xfId="25630"/>
    <cellStyle name="Normal 31 2" xfId="25631"/>
    <cellStyle name="Normal 31 2 2" xfId="25632"/>
    <cellStyle name="Normal 31 2 2 2" xfId="25633"/>
    <cellStyle name="Normal 31 2 2 2 2" xfId="25634"/>
    <cellStyle name="Normal 31 2 2 3" xfId="25635"/>
    <cellStyle name="Normal 31 2 2 3 2" xfId="25636"/>
    <cellStyle name="Normal 31 2 2 3 2 2" xfId="25637"/>
    <cellStyle name="Normal 31 2 2 3 3" xfId="25638"/>
    <cellStyle name="Normal 31 2 2 4" xfId="25639"/>
    <cellStyle name="Normal 31 2 2 4 2" xfId="25640"/>
    <cellStyle name="Normal 31 2 2 4 2 2" xfId="25641"/>
    <cellStyle name="Normal 31 2 2 4 3" xfId="25642"/>
    <cellStyle name="Normal 31 2 2 5" xfId="25643"/>
    <cellStyle name="Normal 31 2 3" xfId="25644"/>
    <cellStyle name="Normal 31 2 3 2" xfId="25645"/>
    <cellStyle name="Normal 31 2 3 2 2" xfId="25646"/>
    <cellStyle name="Normal 31 2 3 3" xfId="25647"/>
    <cellStyle name="Normal 31 2 4" xfId="25648"/>
    <cellStyle name="Normal 31 2 4 2" xfId="25649"/>
    <cellStyle name="Normal 31 2 4 2 2" xfId="25650"/>
    <cellStyle name="Normal 31 2 4 3" xfId="25651"/>
    <cellStyle name="Normal 31 2 5" xfId="25652"/>
    <cellStyle name="Normal 31 2 5 2" xfId="25653"/>
    <cellStyle name="Normal 31 2 5 2 2" xfId="25654"/>
    <cellStyle name="Normal 31 2 5 3" xfId="25655"/>
    <cellStyle name="Normal 31 2 6" xfId="25656"/>
    <cellStyle name="Normal 31 3" xfId="25657"/>
    <cellStyle name="Normal 31 3 2" xfId="25658"/>
    <cellStyle name="Normal 31 3 2 2" xfId="25659"/>
    <cellStyle name="Normal 31 3 3" xfId="25660"/>
    <cellStyle name="Normal 31 3 3 2" xfId="25661"/>
    <cellStyle name="Normal 31 3 3 2 2" xfId="25662"/>
    <cellStyle name="Normal 31 3 3 3" xfId="25663"/>
    <cellStyle name="Normal 31 3 4" xfId="25664"/>
    <cellStyle name="Normal 31 3 4 2" xfId="25665"/>
    <cellStyle name="Normal 31 3 4 2 2" xfId="25666"/>
    <cellStyle name="Normal 31 3 4 3" xfId="25667"/>
    <cellStyle name="Normal 31 3 5" xfId="25668"/>
    <cellStyle name="Normal 31 4" xfId="25669"/>
    <cellStyle name="Normal 31 4 2" xfId="25670"/>
    <cellStyle name="Normal 31 4 2 2" xfId="25671"/>
    <cellStyle name="Normal 31 4 3" xfId="25672"/>
    <cellStyle name="Normal 31 5" xfId="25673"/>
    <cellStyle name="Normal 31 5 2" xfId="25674"/>
    <cellStyle name="Normal 31 5 2 2" xfId="25675"/>
    <cellStyle name="Normal 31 5 3" xfId="25676"/>
    <cellStyle name="Normal 31 6" xfId="25677"/>
    <cellStyle name="Normal 31 6 2" xfId="25678"/>
    <cellStyle name="Normal 31 6 2 2" xfId="25679"/>
    <cellStyle name="Normal 31 6 3" xfId="25680"/>
    <cellStyle name="Normal 31 7" xfId="25681"/>
    <cellStyle name="Normal 310" xfId="25682"/>
    <cellStyle name="Normal 310 2" xfId="25683"/>
    <cellStyle name="Normal 310 2 2" xfId="25684"/>
    <cellStyle name="Normal 310 2 2 2" xfId="25685"/>
    <cellStyle name="Normal 310 2 3" xfId="25686"/>
    <cellStyle name="Normal 310 2 3 2" xfId="25687"/>
    <cellStyle name="Normal 310 2 3 2 2" xfId="25688"/>
    <cellStyle name="Normal 310 2 3 3" xfId="25689"/>
    <cellStyle name="Normal 310 2 4" xfId="25690"/>
    <cellStyle name="Normal 310 2 4 2" xfId="25691"/>
    <cellStyle name="Normal 310 2 4 2 2" xfId="25692"/>
    <cellStyle name="Normal 310 2 4 3" xfId="25693"/>
    <cellStyle name="Normal 310 2 5" xfId="25694"/>
    <cellStyle name="Normal 310 3" xfId="25695"/>
    <cellStyle name="Normal 310 3 2" xfId="25696"/>
    <cellStyle name="Normal 310 3 2 2" xfId="25697"/>
    <cellStyle name="Normal 310 3 2 2 2" xfId="25698"/>
    <cellStyle name="Normal 310 3 2 3" xfId="25699"/>
    <cellStyle name="Normal 310 3 2 3 2" xfId="25700"/>
    <cellStyle name="Normal 310 3 2 3 2 2" xfId="25701"/>
    <cellStyle name="Normal 310 3 2 3 3" xfId="25702"/>
    <cellStyle name="Normal 310 3 2 4" xfId="25703"/>
    <cellStyle name="Normal 310 3 3" xfId="25704"/>
    <cellStyle name="Normal 310 3 3 2" xfId="25705"/>
    <cellStyle name="Normal 310 3 3 2 2" xfId="25706"/>
    <cellStyle name="Normal 310 3 3 3" xfId="25707"/>
    <cellStyle name="Normal 310 3 4" xfId="25708"/>
    <cellStyle name="Normal 310 3 4 2" xfId="25709"/>
    <cellStyle name="Normal 310 3 4 2 2" xfId="25710"/>
    <cellStyle name="Normal 310 3 4 3" xfId="25711"/>
    <cellStyle name="Normal 310 3 5" xfId="25712"/>
    <cellStyle name="Normal 310 3 5 2" xfId="25713"/>
    <cellStyle name="Normal 310 3 5 2 2" xfId="25714"/>
    <cellStyle name="Normal 310 3 5 3" xfId="25715"/>
    <cellStyle name="Normal 310 3 6" xfId="25716"/>
    <cellStyle name="Normal 310 4" xfId="25717"/>
    <cellStyle name="Normal 310 4 2" xfId="25718"/>
    <cellStyle name="Normal 310 4 2 2" xfId="25719"/>
    <cellStyle name="Normal 310 4 3" xfId="25720"/>
    <cellStyle name="Normal 310 5" xfId="25721"/>
    <cellStyle name="Normal 310 5 2" xfId="25722"/>
    <cellStyle name="Normal 310 5 2 2" xfId="25723"/>
    <cellStyle name="Normal 310 5 3" xfId="25724"/>
    <cellStyle name="Normal 310 6" xfId="25725"/>
    <cellStyle name="Normal 310 6 2" xfId="25726"/>
    <cellStyle name="Normal 310 6 2 2" xfId="25727"/>
    <cellStyle name="Normal 310 6 3" xfId="25728"/>
    <cellStyle name="Normal 310 7" xfId="25729"/>
    <cellStyle name="Normal 311" xfId="25730"/>
    <cellStyle name="Normal 311 2" xfId="25731"/>
    <cellStyle name="Normal 311 2 2" xfId="25732"/>
    <cellStyle name="Normal 311 2 2 2" xfId="25733"/>
    <cellStyle name="Normal 311 2 3" xfId="25734"/>
    <cellStyle name="Normal 311 2 3 2" xfId="25735"/>
    <cellStyle name="Normal 311 2 3 2 2" xfId="25736"/>
    <cellStyle name="Normal 311 2 3 3" xfId="25737"/>
    <cellStyle name="Normal 311 2 4" xfId="25738"/>
    <cellStyle name="Normal 311 2 4 2" xfId="25739"/>
    <cellStyle name="Normal 311 2 4 2 2" xfId="25740"/>
    <cellStyle name="Normal 311 2 4 3" xfId="25741"/>
    <cellStyle name="Normal 311 2 5" xfId="25742"/>
    <cellStyle name="Normal 311 3" xfId="25743"/>
    <cellStyle name="Normal 311 3 2" xfId="25744"/>
    <cellStyle name="Normal 311 3 2 2" xfId="25745"/>
    <cellStyle name="Normal 311 3 2 2 2" xfId="25746"/>
    <cellStyle name="Normal 311 3 2 3" xfId="25747"/>
    <cellStyle name="Normal 311 3 2 3 2" xfId="25748"/>
    <cellStyle name="Normal 311 3 2 3 2 2" xfId="25749"/>
    <cellStyle name="Normal 311 3 2 3 3" xfId="25750"/>
    <cellStyle name="Normal 311 3 2 4" xfId="25751"/>
    <cellStyle name="Normal 311 3 3" xfId="25752"/>
    <cellStyle name="Normal 311 3 3 2" xfId="25753"/>
    <cellStyle name="Normal 311 3 3 2 2" xfId="25754"/>
    <cellStyle name="Normal 311 3 3 3" xfId="25755"/>
    <cellStyle name="Normal 311 3 4" xfId="25756"/>
    <cellStyle name="Normal 311 3 4 2" xfId="25757"/>
    <cellStyle name="Normal 311 3 4 2 2" xfId="25758"/>
    <cellStyle name="Normal 311 3 4 3" xfId="25759"/>
    <cellStyle name="Normal 311 3 5" xfId="25760"/>
    <cellStyle name="Normal 311 3 5 2" xfId="25761"/>
    <cellStyle name="Normal 311 3 5 2 2" xfId="25762"/>
    <cellStyle name="Normal 311 3 5 3" xfId="25763"/>
    <cellStyle name="Normal 311 3 6" xfId="25764"/>
    <cellStyle name="Normal 311 4" xfId="25765"/>
    <cellStyle name="Normal 311 4 2" xfId="25766"/>
    <cellStyle name="Normal 311 4 2 2" xfId="25767"/>
    <cellStyle name="Normal 311 4 3" xfId="25768"/>
    <cellStyle name="Normal 311 5" xfId="25769"/>
    <cellStyle name="Normal 311 5 2" xfId="25770"/>
    <cellStyle name="Normal 311 5 2 2" xfId="25771"/>
    <cellStyle name="Normal 311 5 3" xfId="25772"/>
    <cellStyle name="Normal 311 6" xfId="25773"/>
    <cellStyle name="Normal 311 6 2" xfId="25774"/>
    <cellStyle name="Normal 311 6 2 2" xfId="25775"/>
    <cellStyle name="Normal 311 6 3" xfId="25776"/>
    <cellStyle name="Normal 311 7" xfId="25777"/>
    <cellStyle name="Normal 312" xfId="25778"/>
    <cellStyle name="Normal 312 2" xfId="25779"/>
    <cellStyle name="Normal 312 2 2" xfId="25780"/>
    <cellStyle name="Normal 312 2 2 2" xfId="25781"/>
    <cellStyle name="Normal 312 2 3" xfId="25782"/>
    <cellStyle name="Normal 312 2 3 2" xfId="25783"/>
    <cellStyle name="Normal 312 2 3 2 2" xfId="25784"/>
    <cellStyle name="Normal 312 2 3 3" xfId="25785"/>
    <cellStyle name="Normal 312 2 4" xfId="25786"/>
    <cellStyle name="Normal 312 2 4 2" xfId="25787"/>
    <cellStyle name="Normal 312 2 4 2 2" xfId="25788"/>
    <cellStyle name="Normal 312 2 4 3" xfId="25789"/>
    <cellStyle name="Normal 312 2 5" xfId="25790"/>
    <cellStyle name="Normal 312 3" xfId="25791"/>
    <cellStyle name="Normal 312 3 2" xfId="25792"/>
    <cellStyle name="Normal 312 3 2 2" xfId="25793"/>
    <cellStyle name="Normal 312 3 2 2 2" xfId="25794"/>
    <cellStyle name="Normal 312 3 2 3" xfId="25795"/>
    <cellStyle name="Normal 312 3 2 3 2" xfId="25796"/>
    <cellStyle name="Normal 312 3 2 3 2 2" xfId="25797"/>
    <cellStyle name="Normal 312 3 2 3 3" xfId="25798"/>
    <cellStyle name="Normal 312 3 2 4" xfId="25799"/>
    <cellStyle name="Normal 312 3 3" xfId="25800"/>
    <cellStyle name="Normal 312 3 3 2" xfId="25801"/>
    <cellStyle name="Normal 312 3 3 2 2" xfId="25802"/>
    <cellStyle name="Normal 312 3 3 3" xfId="25803"/>
    <cellStyle name="Normal 312 3 4" xfId="25804"/>
    <cellStyle name="Normal 312 3 4 2" xfId="25805"/>
    <cellStyle name="Normal 312 3 4 2 2" xfId="25806"/>
    <cellStyle name="Normal 312 3 4 3" xfId="25807"/>
    <cellStyle name="Normal 312 3 5" xfId="25808"/>
    <cellStyle name="Normal 312 3 5 2" xfId="25809"/>
    <cellStyle name="Normal 312 3 5 2 2" xfId="25810"/>
    <cellStyle name="Normal 312 3 5 3" xfId="25811"/>
    <cellStyle name="Normal 312 3 6" xfId="25812"/>
    <cellStyle name="Normal 312 4" xfId="25813"/>
    <cellStyle name="Normal 312 4 2" xfId="25814"/>
    <cellStyle name="Normal 312 4 2 2" xfId="25815"/>
    <cellStyle name="Normal 312 4 3" xfId="25816"/>
    <cellStyle name="Normal 312 5" xfId="25817"/>
    <cellStyle name="Normal 312 5 2" xfId="25818"/>
    <cellStyle name="Normal 312 5 2 2" xfId="25819"/>
    <cellStyle name="Normal 312 5 3" xfId="25820"/>
    <cellStyle name="Normal 312 6" xfId="25821"/>
    <cellStyle name="Normal 312 6 2" xfId="25822"/>
    <cellStyle name="Normal 312 6 2 2" xfId="25823"/>
    <cellStyle name="Normal 312 6 3" xfId="25824"/>
    <cellStyle name="Normal 312 7" xfId="25825"/>
    <cellStyle name="Normal 313" xfId="25826"/>
    <cellStyle name="Normal 313 2" xfId="25827"/>
    <cellStyle name="Normal 313 2 2" xfId="25828"/>
    <cellStyle name="Normal 313 2 2 2" xfId="25829"/>
    <cellStyle name="Normal 313 2 3" xfId="25830"/>
    <cellStyle name="Normal 313 2 3 2" xfId="25831"/>
    <cellStyle name="Normal 313 2 3 2 2" xfId="25832"/>
    <cellStyle name="Normal 313 2 3 3" xfId="25833"/>
    <cellStyle name="Normal 313 2 4" xfId="25834"/>
    <cellStyle name="Normal 313 2 4 2" xfId="25835"/>
    <cellStyle name="Normal 313 2 4 2 2" xfId="25836"/>
    <cellStyle name="Normal 313 2 4 3" xfId="25837"/>
    <cellStyle name="Normal 313 2 5" xfId="25838"/>
    <cellStyle name="Normal 313 3" xfId="25839"/>
    <cellStyle name="Normal 313 3 2" xfId="25840"/>
    <cellStyle name="Normal 313 3 2 2" xfId="25841"/>
    <cellStyle name="Normal 313 3 2 2 2" xfId="25842"/>
    <cellStyle name="Normal 313 3 2 3" xfId="25843"/>
    <cellStyle name="Normal 313 3 2 3 2" xfId="25844"/>
    <cellStyle name="Normal 313 3 2 3 2 2" xfId="25845"/>
    <cellStyle name="Normal 313 3 2 3 3" xfId="25846"/>
    <cellStyle name="Normal 313 3 2 4" xfId="25847"/>
    <cellStyle name="Normal 313 3 3" xfId="25848"/>
    <cellStyle name="Normal 313 3 3 2" xfId="25849"/>
    <cellStyle name="Normal 313 3 3 2 2" xfId="25850"/>
    <cellStyle name="Normal 313 3 3 3" xfId="25851"/>
    <cellStyle name="Normal 313 3 4" xfId="25852"/>
    <cellStyle name="Normal 313 3 4 2" xfId="25853"/>
    <cellStyle name="Normal 313 3 4 2 2" xfId="25854"/>
    <cellStyle name="Normal 313 3 4 3" xfId="25855"/>
    <cellStyle name="Normal 313 3 5" xfId="25856"/>
    <cellStyle name="Normal 313 3 5 2" xfId="25857"/>
    <cellStyle name="Normal 313 3 5 2 2" xfId="25858"/>
    <cellStyle name="Normal 313 3 5 3" xfId="25859"/>
    <cellStyle name="Normal 313 3 6" xfId="25860"/>
    <cellStyle name="Normal 313 4" xfId="25861"/>
    <cellStyle name="Normal 313 4 2" xfId="25862"/>
    <cellStyle name="Normal 313 4 2 2" xfId="25863"/>
    <cellStyle name="Normal 313 4 3" xfId="25864"/>
    <cellStyle name="Normal 313 5" xfId="25865"/>
    <cellStyle name="Normal 313 5 2" xfId="25866"/>
    <cellStyle name="Normal 313 5 2 2" xfId="25867"/>
    <cellStyle name="Normal 313 5 3" xfId="25868"/>
    <cellStyle name="Normal 313 6" xfId="25869"/>
    <cellStyle name="Normal 313 6 2" xfId="25870"/>
    <cellStyle name="Normal 313 6 2 2" xfId="25871"/>
    <cellStyle name="Normal 313 6 3" xfId="25872"/>
    <cellStyle name="Normal 313 7" xfId="25873"/>
    <cellStyle name="Normal 314" xfId="25874"/>
    <cellStyle name="Normal 314 2" xfId="25875"/>
    <cellStyle name="Normal 314 2 2" xfId="25876"/>
    <cellStyle name="Normal 314 2 2 2" xfId="25877"/>
    <cellStyle name="Normal 314 2 3" xfId="25878"/>
    <cellStyle name="Normal 314 2 3 2" xfId="25879"/>
    <cellStyle name="Normal 314 2 3 2 2" xfId="25880"/>
    <cellStyle name="Normal 314 2 3 3" xfId="25881"/>
    <cellStyle name="Normal 314 2 4" xfId="25882"/>
    <cellStyle name="Normal 314 2 4 2" xfId="25883"/>
    <cellStyle name="Normal 314 2 4 2 2" xfId="25884"/>
    <cellStyle name="Normal 314 2 4 3" xfId="25885"/>
    <cellStyle name="Normal 314 2 5" xfId="25886"/>
    <cellStyle name="Normal 314 3" xfId="25887"/>
    <cellStyle name="Normal 314 3 2" xfId="25888"/>
    <cellStyle name="Normal 314 3 2 2" xfId="25889"/>
    <cellStyle name="Normal 314 3 2 2 2" xfId="25890"/>
    <cellStyle name="Normal 314 3 2 3" xfId="25891"/>
    <cellStyle name="Normal 314 3 2 3 2" xfId="25892"/>
    <cellStyle name="Normal 314 3 2 3 2 2" xfId="25893"/>
    <cellStyle name="Normal 314 3 2 3 3" xfId="25894"/>
    <cellStyle name="Normal 314 3 2 4" xfId="25895"/>
    <cellStyle name="Normal 314 3 3" xfId="25896"/>
    <cellStyle name="Normal 314 3 3 2" xfId="25897"/>
    <cellStyle name="Normal 314 3 3 2 2" xfId="25898"/>
    <cellStyle name="Normal 314 3 3 3" xfId="25899"/>
    <cellStyle name="Normal 314 3 4" xfId="25900"/>
    <cellStyle name="Normal 314 3 4 2" xfId="25901"/>
    <cellStyle name="Normal 314 3 4 2 2" xfId="25902"/>
    <cellStyle name="Normal 314 3 4 3" xfId="25903"/>
    <cellStyle name="Normal 314 3 5" xfId="25904"/>
    <cellStyle name="Normal 314 3 5 2" xfId="25905"/>
    <cellStyle name="Normal 314 3 5 2 2" xfId="25906"/>
    <cellStyle name="Normal 314 3 5 3" xfId="25907"/>
    <cellStyle name="Normal 314 3 6" xfId="25908"/>
    <cellStyle name="Normal 314 4" xfId="25909"/>
    <cellStyle name="Normal 314 4 2" xfId="25910"/>
    <cellStyle name="Normal 314 4 2 2" xfId="25911"/>
    <cellStyle name="Normal 314 4 3" xfId="25912"/>
    <cellStyle name="Normal 314 5" xfId="25913"/>
    <cellStyle name="Normal 314 5 2" xfId="25914"/>
    <cellStyle name="Normal 314 5 2 2" xfId="25915"/>
    <cellStyle name="Normal 314 5 3" xfId="25916"/>
    <cellStyle name="Normal 314 6" xfId="25917"/>
    <cellStyle name="Normal 314 6 2" xfId="25918"/>
    <cellStyle name="Normal 314 6 2 2" xfId="25919"/>
    <cellStyle name="Normal 314 6 3" xfId="25920"/>
    <cellStyle name="Normal 314 7" xfId="25921"/>
    <cellStyle name="Normal 315" xfId="25922"/>
    <cellStyle name="Normal 315 2" xfId="25923"/>
    <cellStyle name="Normal 315 2 2" xfId="25924"/>
    <cellStyle name="Normal 315 2 2 2" xfId="25925"/>
    <cellStyle name="Normal 315 2 3" xfId="25926"/>
    <cellStyle name="Normal 315 2 3 2" xfId="25927"/>
    <cellStyle name="Normal 315 2 3 2 2" xfId="25928"/>
    <cellStyle name="Normal 315 2 3 3" xfId="25929"/>
    <cellStyle name="Normal 315 2 4" xfId="25930"/>
    <cellStyle name="Normal 315 2 4 2" xfId="25931"/>
    <cellStyle name="Normal 315 2 4 2 2" xfId="25932"/>
    <cellStyle name="Normal 315 2 4 3" xfId="25933"/>
    <cellStyle name="Normal 315 2 5" xfId="25934"/>
    <cellStyle name="Normal 315 3" xfId="25935"/>
    <cellStyle name="Normal 315 3 2" xfId="25936"/>
    <cellStyle name="Normal 315 3 2 2" xfId="25937"/>
    <cellStyle name="Normal 315 3 2 2 2" xfId="25938"/>
    <cellStyle name="Normal 315 3 2 3" xfId="25939"/>
    <cellStyle name="Normal 315 3 2 3 2" xfId="25940"/>
    <cellStyle name="Normal 315 3 2 3 2 2" xfId="25941"/>
    <cellStyle name="Normal 315 3 2 3 3" xfId="25942"/>
    <cellStyle name="Normal 315 3 2 4" xfId="25943"/>
    <cellStyle name="Normal 315 3 3" xfId="25944"/>
    <cellStyle name="Normal 315 3 3 2" xfId="25945"/>
    <cellStyle name="Normal 315 3 3 2 2" xfId="25946"/>
    <cellStyle name="Normal 315 3 3 3" xfId="25947"/>
    <cellStyle name="Normal 315 3 4" xfId="25948"/>
    <cellStyle name="Normal 315 3 4 2" xfId="25949"/>
    <cellStyle name="Normal 315 3 4 2 2" xfId="25950"/>
    <cellStyle name="Normal 315 3 4 3" xfId="25951"/>
    <cellStyle name="Normal 315 3 5" xfId="25952"/>
    <cellStyle name="Normal 315 3 5 2" xfId="25953"/>
    <cellStyle name="Normal 315 3 5 2 2" xfId="25954"/>
    <cellStyle name="Normal 315 3 5 3" xfId="25955"/>
    <cellStyle name="Normal 315 3 6" xfId="25956"/>
    <cellStyle name="Normal 315 4" xfId="25957"/>
    <cellStyle name="Normal 315 4 2" xfId="25958"/>
    <cellStyle name="Normal 315 4 2 2" xfId="25959"/>
    <cellStyle name="Normal 315 4 3" xfId="25960"/>
    <cellStyle name="Normal 315 5" xfId="25961"/>
    <cellStyle name="Normal 315 5 2" xfId="25962"/>
    <cellStyle name="Normal 315 5 2 2" xfId="25963"/>
    <cellStyle name="Normal 315 5 3" xfId="25964"/>
    <cellStyle name="Normal 315 6" xfId="25965"/>
    <cellStyle name="Normal 315 6 2" xfId="25966"/>
    <cellStyle name="Normal 315 6 2 2" xfId="25967"/>
    <cellStyle name="Normal 315 6 3" xfId="25968"/>
    <cellStyle name="Normal 315 7" xfId="25969"/>
    <cellStyle name="Normal 316" xfId="25970"/>
    <cellStyle name="Normal 316 2" xfId="25971"/>
    <cellStyle name="Normal 316 2 2" xfId="25972"/>
    <cellStyle name="Normal 316 2 2 2" xfId="25973"/>
    <cellStyle name="Normal 316 2 3" xfId="25974"/>
    <cellStyle name="Normal 316 2 3 2" xfId="25975"/>
    <cellStyle name="Normal 316 2 3 2 2" xfId="25976"/>
    <cellStyle name="Normal 316 2 3 3" xfId="25977"/>
    <cellStyle name="Normal 316 2 4" xfId="25978"/>
    <cellStyle name="Normal 316 2 4 2" xfId="25979"/>
    <cellStyle name="Normal 316 2 4 2 2" xfId="25980"/>
    <cellStyle name="Normal 316 2 4 3" xfId="25981"/>
    <cellStyle name="Normal 316 2 5" xfId="25982"/>
    <cellStyle name="Normal 316 3" xfId="25983"/>
    <cellStyle name="Normal 316 3 2" xfId="25984"/>
    <cellStyle name="Normal 316 3 2 2" xfId="25985"/>
    <cellStyle name="Normal 316 3 2 2 2" xfId="25986"/>
    <cellStyle name="Normal 316 3 2 3" xfId="25987"/>
    <cellStyle name="Normal 316 3 2 3 2" xfId="25988"/>
    <cellStyle name="Normal 316 3 2 3 2 2" xfId="25989"/>
    <cellStyle name="Normal 316 3 2 3 3" xfId="25990"/>
    <cellStyle name="Normal 316 3 2 4" xfId="25991"/>
    <cellStyle name="Normal 316 3 3" xfId="25992"/>
    <cellStyle name="Normal 316 3 3 2" xfId="25993"/>
    <cellStyle name="Normal 316 3 3 2 2" xfId="25994"/>
    <cellStyle name="Normal 316 3 3 3" xfId="25995"/>
    <cellStyle name="Normal 316 3 4" xfId="25996"/>
    <cellStyle name="Normal 316 3 4 2" xfId="25997"/>
    <cellStyle name="Normal 316 3 4 2 2" xfId="25998"/>
    <cellStyle name="Normal 316 3 4 3" xfId="25999"/>
    <cellStyle name="Normal 316 3 5" xfId="26000"/>
    <cellStyle name="Normal 316 3 5 2" xfId="26001"/>
    <cellStyle name="Normal 316 3 5 2 2" xfId="26002"/>
    <cellStyle name="Normal 316 3 5 3" xfId="26003"/>
    <cellStyle name="Normal 316 3 6" xfId="26004"/>
    <cellStyle name="Normal 316 4" xfId="26005"/>
    <cellStyle name="Normal 316 4 2" xfId="26006"/>
    <cellStyle name="Normal 316 4 2 2" xfId="26007"/>
    <cellStyle name="Normal 316 4 3" xfId="26008"/>
    <cellStyle name="Normal 316 5" xfId="26009"/>
    <cellStyle name="Normal 316 5 2" xfId="26010"/>
    <cellStyle name="Normal 316 5 2 2" xfId="26011"/>
    <cellStyle name="Normal 316 5 3" xfId="26012"/>
    <cellStyle name="Normal 316 6" xfId="26013"/>
    <cellStyle name="Normal 316 6 2" xfId="26014"/>
    <cellStyle name="Normal 316 6 2 2" xfId="26015"/>
    <cellStyle name="Normal 316 6 3" xfId="26016"/>
    <cellStyle name="Normal 316 7" xfId="26017"/>
    <cellStyle name="Normal 317" xfId="26018"/>
    <cellStyle name="Normal 317 2" xfId="26019"/>
    <cellStyle name="Normal 317 2 2" xfId="26020"/>
    <cellStyle name="Normal 317 2 2 2" xfId="26021"/>
    <cellStyle name="Normal 317 2 3" xfId="26022"/>
    <cellStyle name="Normal 317 2 3 2" xfId="26023"/>
    <cellStyle name="Normal 317 2 3 2 2" xfId="26024"/>
    <cellStyle name="Normal 317 2 3 3" xfId="26025"/>
    <cellStyle name="Normal 317 2 4" xfId="26026"/>
    <cellStyle name="Normal 317 2 4 2" xfId="26027"/>
    <cellStyle name="Normal 317 2 4 2 2" xfId="26028"/>
    <cellStyle name="Normal 317 2 4 3" xfId="26029"/>
    <cellStyle name="Normal 317 2 5" xfId="26030"/>
    <cellStyle name="Normal 317 3" xfId="26031"/>
    <cellStyle name="Normal 317 3 2" xfId="26032"/>
    <cellStyle name="Normal 317 3 2 2" xfId="26033"/>
    <cellStyle name="Normal 317 3 2 2 2" xfId="26034"/>
    <cellStyle name="Normal 317 3 2 3" xfId="26035"/>
    <cellStyle name="Normal 317 3 2 3 2" xfId="26036"/>
    <cellStyle name="Normal 317 3 2 3 2 2" xfId="26037"/>
    <cellStyle name="Normal 317 3 2 3 3" xfId="26038"/>
    <cellStyle name="Normal 317 3 2 4" xfId="26039"/>
    <cellStyle name="Normal 317 3 3" xfId="26040"/>
    <cellStyle name="Normal 317 3 3 2" xfId="26041"/>
    <cellStyle name="Normal 317 3 3 2 2" xfId="26042"/>
    <cellStyle name="Normal 317 3 3 3" xfId="26043"/>
    <cellStyle name="Normal 317 3 4" xfId="26044"/>
    <cellStyle name="Normal 317 3 4 2" xfId="26045"/>
    <cellStyle name="Normal 317 3 4 2 2" xfId="26046"/>
    <cellStyle name="Normal 317 3 4 3" xfId="26047"/>
    <cellStyle name="Normal 317 3 5" xfId="26048"/>
    <cellStyle name="Normal 317 3 5 2" xfId="26049"/>
    <cellStyle name="Normal 317 3 5 2 2" xfId="26050"/>
    <cellStyle name="Normal 317 3 5 3" xfId="26051"/>
    <cellStyle name="Normal 317 3 6" xfId="26052"/>
    <cellStyle name="Normal 317 4" xfId="26053"/>
    <cellStyle name="Normal 317 4 2" xfId="26054"/>
    <cellStyle name="Normal 317 4 2 2" xfId="26055"/>
    <cellStyle name="Normal 317 4 3" xfId="26056"/>
    <cellStyle name="Normal 317 5" xfId="26057"/>
    <cellStyle name="Normal 317 5 2" xfId="26058"/>
    <cellStyle name="Normal 317 5 2 2" xfId="26059"/>
    <cellStyle name="Normal 317 5 3" xfId="26060"/>
    <cellStyle name="Normal 317 6" xfId="26061"/>
    <cellStyle name="Normal 317 6 2" xfId="26062"/>
    <cellStyle name="Normal 317 6 2 2" xfId="26063"/>
    <cellStyle name="Normal 317 6 3" xfId="26064"/>
    <cellStyle name="Normal 317 7" xfId="26065"/>
    <cellStyle name="Normal 318" xfId="26066"/>
    <cellStyle name="Normal 318 2" xfId="26067"/>
    <cellStyle name="Normal 318 2 2" xfId="26068"/>
    <cellStyle name="Normal 318 2 2 2" xfId="26069"/>
    <cellStyle name="Normal 318 2 3" xfId="26070"/>
    <cellStyle name="Normal 318 2 3 2" xfId="26071"/>
    <cellStyle name="Normal 318 2 3 2 2" xfId="26072"/>
    <cellStyle name="Normal 318 2 3 3" xfId="26073"/>
    <cellStyle name="Normal 318 2 4" xfId="26074"/>
    <cellStyle name="Normal 318 2 4 2" xfId="26075"/>
    <cellStyle name="Normal 318 2 4 2 2" xfId="26076"/>
    <cellStyle name="Normal 318 2 4 3" xfId="26077"/>
    <cellStyle name="Normal 318 2 5" xfId="26078"/>
    <cellStyle name="Normal 318 3" xfId="26079"/>
    <cellStyle name="Normal 318 3 2" xfId="26080"/>
    <cellStyle name="Normal 318 3 2 2" xfId="26081"/>
    <cellStyle name="Normal 318 3 2 2 2" xfId="26082"/>
    <cellStyle name="Normal 318 3 2 3" xfId="26083"/>
    <cellStyle name="Normal 318 3 2 3 2" xfId="26084"/>
    <cellStyle name="Normal 318 3 2 3 2 2" xfId="26085"/>
    <cellStyle name="Normal 318 3 2 3 3" xfId="26086"/>
    <cellStyle name="Normal 318 3 2 4" xfId="26087"/>
    <cellStyle name="Normal 318 3 3" xfId="26088"/>
    <cellStyle name="Normal 318 3 3 2" xfId="26089"/>
    <cellStyle name="Normal 318 3 3 2 2" xfId="26090"/>
    <cellStyle name="Normal 318 3 3 3" xfId="26091"/>
    <cellStyle name="Normal 318 3 4" xfId="26092"/>
    <cellStyle name="Normal 318 3 4 2" xfId="26093"/>
    <cellStyle name="Normal 318 3 4 2 2" xfId="26094"/>
    <cellStyle name="Normal 318 3 4 3" xfId="26095"/>
    <cellStyle name="Normal 318 3 5" xfId="26096"/>
    <cellStyle name="Normal 318 3 5 2" xfId="26097"/>
    <cellStyle name="Normal 318 3 5 2 2" xfId="26098"/>
    <cellStyle name="Normal 318 3 5 3" xfId="26099"/>
    <cellStyle name="Normal 318 3 6" xfId="26100"/>
    <cellStyle name="Normal 318 4" xfId="26101"/>
    <cellStyle name="Normal 318 4 2" xfId="26102"/>
    <cellStyle name="Normal 318 4 2 2" xfId="26103"/>
    <cellStyle name="Normal 318 4 3" xfId="26104"/>
    <cellStyle name="Normal 318 5" xfId="26105"/>
    <cellStyle name="Normal 318 5 2" xfId="26106"/>
    <cellStyle name="Normal 318 5 2 2" xfId="26107"/>
    <cellStyle name="Normal 318 5 3" xfId="26108"/>
    <cellStyle name="Normal 318 6" xfId="26109"/>
    <cellStyle name="Normal 318 6 2" xfId="26110"/>
    <cellStyle name="Normal 318 6 2 2" xfId="26111"/>
    <cellStyle name="Normal 318 6 3" xfId="26112"/>
    <cellStyle name="Normal 318 7" xfId="26113"/>
    <cellStyle name="Normal 319" xfId="26114"/>
    <cellStyle name="Normal 319 2" xfId="26115"/>
    <cellStyle name="Normal 319 2 2" xfId="26116"/>
    <cellStyle name="Normal 319 2 2 2" xfId="26117"/>
    <cellStyle name="Normal 319 2 3" xfId="26118"/>
    <cellStyle name="Normal 319 2 3 2" xfId="26119"/>
    <cellStyle name="Normal 319 2 3 2 2" xfId="26120"/>
    <cellStyle name="Normal 319 2 3 3" xfId="26121"/>
    <cellStyle name="Normal 319 2 4" xfId="26122"/>
    <cellStyle name="Normal 319 2 4 2" xfId="26123"/>
    <cellStyle name="Normal 319 2 4 2 2" xfId="26124"/>
    <cellStyle name="Normal 319 2 4 3" xfId="26125"/>
    <cellStyle name="Normal 319 2 5" xfId="26126"/>
    <cellStyle name="Normal 319 3" xfId="26127"/>
    <cellStyle name="Normal 319 3 2" xfId="26128"/>
    <cellStyle name="Normal 319 3 2 2" xfId="26129"/>
    <cellStyle name="Normal 319 3 2 2 2" xfId="26130"/>
    <cellStyle name="Normal 319 3 2 3" xfId="26131"/>
    <cellStyle name="Normal 319 3 2 3 2" xfId="26132"/>
    <cellStyle name="Normal 319 3 2 3 2 2" xfId="26133"/>
    <cellStyle name="Normal 319 3 2 3 3" xfId="26134"/>
    <cellStyle name="Normal 319 3 2 4" xfId="26135"/>
    <cellStyle name="Normal 319 3 3" xfId="26136"/>
    <cellStyle name="Normal 319 3 3 2" xfId="26137"/>
    <cellStyle name="Normal 319 3 3 2 2" xfId="26138"/>
    <cellStyle name="Normal 319 3 3 3" xfId="26139"/>
    <cellStyle name="Normal 319 3 4" xfId="26140"/>
    <cellStyle name="Normal 319 3 4 2" xfId="26141"/>
    <cellStyle name="Normal 319 3 4 2 2" xfId="26142"/>
    <cellStyle name="Normal 319 3 4 3" xfId="26143"/>
    <cellStyle name="Normal 319 3 5" xfId="26144"/>
    <cellStyle name="Normal 319 3 5 2" xfId="26145"/>
    <cellStyle name="Normal 319 3 5 2 2" xfId="26146"/>
    <cellStyle name="Normal 319 3 5 3" xfId="26147"/>
    <cellStyle name="Normal 319 3 6" xfId="26148"/>
    <cellStyle name="Normal 319 4" xfId="26149"/>
    <cellStyle name="Normal 319 4 2" xfId="26150"/>
    <cellStyle name="Normal 319 4 2 2" xfId="26151"/>
    <cellStyle name="Normal 319 4 3" xfId="26152"/>
    <cellStyle name="Normal 319 5" xfId="26153"/>
    <cellStyle name="Normal 319 5 2" xfId="26154"/>
    <cellStyle name="Normal 319 5 2 2" xfId="26155"/>
    <cellStyle name="Normal 319 5 3" xfId="26156"/>
    <cellStyle name="Normal 319 6" xfId="26157"/>
    <cellStyle name="Normal 319 6 2" xfId="26158"/>
    <cellStyle name="Normal 319 6 2 2" xfId="26159"/>
    <cellStyle name="Normal 319 6 3" xfId="26160"/>
    <cellStyle name="Normal 319 7" xfId="26161"/>
    <cellStyle name="Normal 32" xfId="26162"/>
    <cellStyle name="Normal 32 2" xfId="26163"/>
    <cellStyle name="Normal 32 2 2" xfId="26164"/>
    <cellStyle name="Normal 32 2 2 2" xfId="26165"/>
    <cellStyle name="Normal 32 2 2 2 2" xfId="26166"/>
    <cellStyle name="Normal 32 2 2 3" xfId="26167"/>
    <cellStyle name="Normal 32 2 2 3 2" xfId="26168"/>
    <cellStyle name="Normal 32 2 2 3 2 2" xfId="26169"/>
    <cellStyle name="Normal 32 2 2 3 3" xfId="26170"/>
    <cellStyle name="Normal 32 2 2 4" xfId="26171"/>
    <cellStyle name="Normal 32 2 2 4 2" xfId="26172"/>
    <cellStyle name="Normal 32 2 2 4 2 2" xfId="26173"/>
    <cellStyle name="Normal 32 2 2 4 3" xfId="26174"/>
    <cellStyle name="Normal 32 2 2 5" xfId="26175"/>
    <cellStyle name="Normal 32 2 3" xfId="26176"/>
    <cellStyle name="Normal 32 2 3 2" xfId="26177"/>
    <cellStyle name="Normal 32 2 3 2 2" xfId="26178"/>
    <cellStyle name="Normal 32 2 3 3" xfId="26179"/>
    <cellStyle name="Normal 32 2 4" xfId="26180"/>
    <cellStyle name="Normal 32 2 4 2" xfId="26181"/>
    <cellStyle name="Normal 32 2 4 2 2" xfId="26182"/>
    <cellStyle name="Normal 32 2 4 3" xfId="26183"/>
    <cellStyle name="Normal 32 2 5" xfId="26184"/>
    <cellStyle name="Normal 32 2 5 2" xfId="26185"/>
    <cellStyle name="Normal 32 2 5 2 2" xfId="26186"/>
    <cellStyle name="Normal 32 2 5 3" xfId="26187"/>
    <cellStyle name="Normal 32 2 6" xfId="26188"/>
    <cellStyle name="Normal 32 3" xfId="26189"/>
    <cellStyle name="Normal 32 3 2" xfId="26190"/>
    <cellStyle name="Normal 32 3 2 2" xfId="26191"/>
    <cellStyle name="Normal 32 3 3" xfId="26192"/>
    <cellStyle name="Normal 32 3 3 2" xfId="26193"/>
    <cellStyle name="Normal 32 3 3 2 2" xfId="26194"/>
    <cellStyle name="Normal 32 3 3 3" xfId="26195"/>
    <cellStyle name="Normal 32 3 4" xfId="26196"/>
    <cellStyle name="Normal 32 3 4 2" xfId="26197"/>
    <cellStyle name="Normal 32 3 4 2 2" xfId="26198"/>
    <cellStyle name="Normal 32 3 4 3" xfId="26199"/>
    <cellStyle name="Normal 32 3 5" xfId="26200"/>
    <cellStyle name="Normal 32 4" xfId="26201"/>
    <cellStyle name="Normal 32 4 2" xfId="26202"/>
    <cellStyle name="Normal 32 4 2 2" xfId="26203"/>
    <cellStyle name="Normal 32 4 3" xfId="26204"/>
    <cellStyle name="Normal 32 5" xfId="26205"/>
    <cellStyle name="Normal 32 5 2" xfId="26206"/>
    <cellStyle name="Normal 32 5 2 2" xfId="26207"/>
    <cellStyle name="Normal 32 5 3" xfId="26208"/>
    <cellStyle name="Normal 32 6" xfId="26209"/>
    <cellStyle name="Normal 32 6 2" xfId="26210"/>
    <cellStyle name="Normal 32 6 2 2" xfId="26211"/>
    <cellStyle name="Normal 32 6 3" xfId="26212"/>
    <cellStyle name="Normal 32 7" xfId="26213"/>
    <cellStyle name="Normal 320" xfId="26214"/>
    <cellStyle name="Normal 320 2" xfId="26215"/>
    <cellStyle name="Normal 320 2 2" xfId="26216"/>
    <cellStyle name="Normal 320 2 2 2" xfId="26217"/>
    <cellStyle name="Normal 320 2 3" xfId="26218"/>
    <cellStyle name="Normal 320 2 3 2" xfId="26219"/>
    <cellStyle name="Normal 320 2 3 2 2" xfId="26220"/>
    <cellStyle name="Normal 320 2 3 3" xfId="26221"/>
    <cellStyle name="Normal 320 2 4" xfId="26222"/>
    <cellStyle name="Normal 320 2 4 2" xfId="26223"/>
    <cellStyle name="Normal 320 2 4 2 2" xfId="26224"/>
    <cellStyle name="Normal 320 2 4 3" xfId="26225"/>
    <cellStyle name="Normal 320 2 5" xfId="26226"/>
    <cellStyle name="Normal 320 3" xfId="26227"/>
    <cellStyle name="Normal 320 3 2" xfId="26228"/>
    <cellStyle name="Normal 320 3 2 2" xfId="26229"/>
    <cellStyle name="Normal 320 3 2 2 2" xfId="26230"/>
    <cellStyle name="Normal 320 3 2 3" xfId="26231"/>
    <cellStyle name="Normal 320 3 2 3 2" xfId="26232"/>
    <cellStyle name="Normal 320 3 2 3 2 2" xfId="26233"/>
    <cellStyle name="Normal 320 3 2 3 3" xfId="26234"/>
    <cellStyle name="Normal 320 3 2 4" xfId="26235"/>
    <cellStyle name="Normal 320 3 3" xfId="26236"/>
    <cellStyle name="Normal 320 3 3 2" xfId="26237"/>
    <cellStyle name="Normal 320 3 3 2 2" xfId="26238"/>
    <cellStyle name="Normal 320 3 3 3" xfId="26239"/>
    <cellStyle name="Normal 320 3 4" xfId="26240"/>
    <cellStyle name="Normal 320 3 4 2" xfId="26241"/>
    <cellStyle name="Normal 320 3 4 2 2" xfId="26242"/>
    <cellStyle name="Normal 320 3 4 3" xfId="26243"/>
    <cellStyle name="Normal 320 3 5" xfId="26244"/>
    <cellStyle name="Normal 320 3 5 2" xfId="26245"/>
    <cellStyle name="Normal 320 3 5 2 2" xfId="26246"/>
    <cellStyle name="Normal 320 3 5 3" xfId="26247"/>
    <cellStyle name="Normal 320 3 6" xfId="26248"/>
    <cellStyle name="Normal 320 4" xfId="26249"/>
    <cellStyle name="Normal 320 4 2" xfId="26250"/>
    <cellStyle name="Normal 320 4 2 2" xfId="26251"/>
    <cellStyle name="Normal 320 4 3" xfId="26252"/>
    <cellStyle name="Normal 320 5" xfId="26253"/>
    <cellStyle name="Normal 320 5 2" xfId="26254"/>
    <cellStyle name="Normal 320 5 2 2" xfId="26255"/>
    <cellStyle name="Normal 320 5 3" xfId="26256"/>
    <cellStyle name="Normal 320 6" xfId="26257"/>
    <cellStyle name="Normal 320 6 2" xfId="26258"/>
    <cellStyle name="Normal 320 6 2 2" xfId="26259"/>
    <cellStyle name="Normal 320 6 3" xfId="26260"/>
    <cellStyle name="Normal 320 7" xfId="26261"/>
    <cellStyle name="Normal 321" xfId="26262"/>
    <cellStyle name="Normal 321 2" xfId="26263"/>
    <cellStyle name="Normal 321 2 2" xfId="26264"/>
    <cellStyle name="Normal 321 2 2 2" xfId="26265"/>
    <cellStyle name="Normal 321 2 3" xfId="26266"/>
    <cellStyle name="Normal 321 2 3 2" xfId="26267"/>
    <cellStyle name="Normal 321 2 3 2 2" xfId="26268"/>
    <cellStyle name="Normal 321 2 3 3" xfId="26269"/>
    <cellStyle name="Normal 321 2 4" xfId="26270"/>
    <cellStyle name="Normal 321 2 4 2" xfId="26271"/>
    <cellStyle name="Normal 321 2 4 2 2" xfId="26272"/>
    <cellStyle name="Normal 321 2 4 3" xfId="26273"/>
    <cellStyle name="Normal 321 2 5" xfId="26274"/>
    <cellStyle name="Normal 321 3" xfId="26275"/>
    <cellStyle name="Normal 321 3 2" xfId="26276"/>
    <cellStyle name="Normal 321 3 2 2" xfId="26277"/>
    <cellStyle name="Normal 321 3 2 2 2" xfId="26278"/>
    <cellStyle name="Normal 321 3 2 3" xfId="26279"/>
    <cellStyle name="Normal 321 3 2 3 2" xfId="26280"/>
    <cellStyle name="Normal 321 3 2 3 2 2" xfId="26281"/>
    <cellStyle name="Normal 321 3 2 3 3" xfId="26282"/>
    <cellStyle name="Normal 321 3 2 4" xfId="26283"/>
    <cellStyle name="Normal 321 3 3" xfId="26284"/>
    <cellStyle name="Normal 321 3 3 2" xfId="26285"/>
    <cellStyle name="Normal 321 3 3 2 2" xfId="26286"/>
    <cellStyle name="Normal 321 3 3 3" xfId="26287"/>
    <cellStyle name="Normal 321 3 4" xfId="26288"/>
    <cellStyle name="Normal 321 3 4 2" xfId="26289"/>
    <cellStyle name="Normal 321 3 4 2 2" xfId="26290"/>
    <cellStyle name="Normal 321 3 4 3" xfId="26291"/>
    <cellStyle name="Normal 321 3 5" xfId="26292"/>
    <cellStyle name="Normal 321 3 5 2" xfId="26293"/>
    <cellStyle name="Normal 321 3 5 2 2" xfId="26294"/>
    <cellStyle name="Normal 321 3 5 3" xfId="26295"/>
    <cellStyle name="Normal 321 3 6" xfId="26296"/>
    <cellStyle name="Normal 321 4" xfId="26297"/>
    <cellStyle name="Normal 321 4 2" xfId="26298"/>
    <cellStyle name="Normal 321 4 2 2" xfId="26299"/>
    <cellStyle name="Normal 321 4 3" xfId="26300"/>
    <cellStyle name="Normal 321 5" xfId="26301"/>
    <cellStyle name="Normal 321 5 2" xfId="26302"/>
    <cellStyle name="Normal 321 5 2 2" xfId="26303"/>
    <cellStyle name="Normal 321 5 3" xfId="26304"/>
    <cellStyle name="Normal 321 6" xfId="26305"/>
    <cellStyle name="Normal 321 6 2" xfId="26306"/>
    <cellStyle name="Normal 321 6 2 2" xfId="26307"/>
    <cellStyle name="Normal 321 6 3" xfId="26308"/>
    <cellStyle name="Normal 321 7" xfId="26309"/>
    <cellStyle name="Normal 322" xfId="26310"/>
    <cellStyle name="Normal 322 2" xfId="26311"/>
    <cellStyle name="Normal 322 2 2" xfId="26312"/>
    <cellStyle name="Normal 322 2 2 2" xfId="26313"/>
    <cellStyle name="Normal 322 2 3" xfId="26314"/>
    <cellStyle name="Normal 322 2 3 2" xfId="26315"/>
    <cellStyle name="Normal 322 2 3 2 2" xfId="26316"/>
    <cellStyle name="Normal 322 2 3 3" xfId="26317"/>
    <cellStyle name="Normal 322 2 4" xfId="26318"/>
    <cellStyle name="Normal 322 2 4 2" xfId="26319"/>
    <cellStyle name="Normal 322 2 4 2 2" xfId="26320"/>
    <cellStyle name="Normal 322 2 4 3" xfId="26321"/>
    <cellStyle name="Normal 322 2 5" xfId="26322"/>
    <cellStyle name="Normal 322 3" xfId="26323"/>
    <cellStyle name="Normal 322 3 2" xfId="26324"/>
    <cellStyle name="Normal 322 3 2 2" xfId="26325"/>
    <cellStyle name="Normal 322 3 2 2 2" xfId="26326"/>
    <cellStyle name="Normal 322 3 2 3" xfId="26327"/>
    <cellStyle name="Normal 322 3 2 3 2" xfId="26328"/>
    <cellStyle name="Normal 322 3 2 3 2 2" xfId="26329"/>
    <cellStyle name="Normal 322 3 2 3 3" xfId="26330"/>
    <cellStyle name="Normal 322 3 2 4" xfId="26331"/>
    <cellStyle name="Normal 322 3 3" xfId="26332"/>
    <cellStyle name="Normal 322 3 3 2" xfId="26333"/>
    <cellStyle name="Normal 322 3 3 2 2" xfId="26334"/>
    <cellStyle name="Normal 322 3 3 3" xfId="26335"/>
    <cellStyle name="Normal 322 3 4" xfId="26336"/>
    <cellStyle name="Normal 322 3 4 2" xfId="26337"/>
    <cellStyle name="Normal 322 3 4 2 2" xfId="26338"/>
    <cellStyle name="Normal 322 3 4 3" xfId="26339"/>
    <cellStyle name="Normal 322 3 5" xfId="26340"/>
    <cellStyle name="Normal 322 3 5 2" xfId="26341"/>
    <cellStyle name="Normal 322 3 5 2 2" xfId="26342"/>
    <cellStyle name="Normal 322 3 5 3" xfId="26343"/>
    <cellStyle name="Normal 322 3 6" xfId="26344"/>
    <cellStyle name="Normal 322 4" xfId="26345"/>
    <cellStyle name="Normal 322 4 2" xfId="26346"/>
    <cellStyle name="Normal 322 4 2 2" xfId="26347"/>
    <cellStyle name="Normal 322 4 3" xfId="26348"/>
    <cellStyle name="Normal 322 5" xfId="26349"/>
    <cellStyle name="Normal 322 5 2" xfId="26350"/>
    <cellStyle name="Normal 322 5 2 2" xfId="26351"/>
    <cellStyle name="Normal 322 5 3" xfId="26352"/>
    <cellStyle name="Normal 322 6" xfId="26353"/>
    <cellStyle name="Normal 322 6 2" xfId="26354"/>
    <cellStyle name="Normal 322 6 2 2" xfId="26355"/>
    <cellStyle name="Normal 322 6 3" xfId="26356"/>
    <cellStyle name="Normal 322 7" xfId="26357"/>
    <cellStyle name="Normal 323" xfId="26358"/>
    <cellStyle name="Normal 323 2" xfId="26359"/>
    <cellStyle name="Normal 323 2 2" xfId="26360"/>
    <cellStyle name="Normal 323 2 2 2" xfId="26361"/>
    <cellStyle name="Normal 323 2 3" xfId="26362"/>
    <cellStyle name="Normal 323 2 3 2" xfId="26363"/>
    <cellStyle name="Normal 323 2 3 2 2" xfId="26364"/>
    <cellStyle name="Normal 323 2 3 3" xfId="26365"/>
    <cellStyle name="Normal 323 2 4" xfId="26366"/>
    <cellStyle name="Normal 323 2 4 2" xfId="26367"/>
    <cellStyle name="Normal 323 2 4 2 2" xfId="26368"/>
    <cellStyle name="Normal 323 2 4 3" xfId="26369"/>
    <cellStyle name="Normal 323 2 5" xfId="26370"/>
    <cellStyle name="Normal 323 3" xfId="26371"/>
    <cellStyle name="Normal 323 3 2" xfId="26372"/>
    <cellStyle name="Normal 323 3 2 2" xfId="26373"/>
    <cellStyle name="Normal 323 3 2 2 2" xfId="26374"/>
    <cellStyle name="Normal 323 3 2 3" xfId="26375"/>
    <cellStyle name="Normal 323 3 2 3 2" xfId="26376"/>
    <cellStyle name="Normal 323 3 2 3 2 2" xfId="26377"/>
    <cellStyle name="Normal 323 3 2 3 3" xfId="26378"/>
    <cellStyle name="Normal 323 3 2 4" xfId="26379"/>
    <cellStyle name="Normal 323 3 3" xfId="26380"/>
    <cellStyle name="Normal 323 3 3 2" xfId="26381"/>
    <cellStyle name="Normal 323 3 3 2 2" xfId="26382"/>
    <cellStyle name="Normal 323 3 3 3" xfId="26383"/>
    <cellStyle name="Normal 323 3 4" xfId="26384"/>
    <cellStyle name="Normal 323 3 4 2" xfId="26385"/>
    <cellStyle name="Normal 323 3 4 2 2" xfId="26386"/>
    <cellStyle name="Normal 323 3 4 3" xfId="26387"/>
    <cellStyle name="Normal 323 3 5" xfId="26388"/>
    <cellStyle name="Normal 323 3 5 2" xfId="26389"/>
    <cellStyle name="Normal 323 3 5 2 2" xfId="26390"/>
    <cellStyle name="Normal 323 3 5 3" xfId="26391"/>
    <cellStyle name="Normal 323 3 6" xfId="26392"/>
    <cellStyle name="Normal 323 4" xfId="26393"/>
    <cellStyle name="Normal 323 4 2" xfId="26394"/>
    <cellStyle name="Normal 323 4 2 2" xfId="26395"/>
    <cellStyle name="Normal 323 4 3" xfId="26396"/>
    <cellStyle name="Normal 323 5" xfId="26397"/>
    <cellStyle name="Normal 323 5 2" xfId="26398"/>
    <cellStyle name="Normal 323 5 2 2" xfId="26399"/>
    <cellStyle name="Normal 323 5 3" xfId="26400"/>
    <cellStyle name="Normal 323 6" xfId="26401"/>
    <cellStyle name="Normal 323 6 2" xfId="26402"/>
    <cellStyle name="Normal 323 6 2 2" xfId="26403"/>
    <cellStyle name="Normal 323 6 3" xfId="26404"/>
    <cellStyle name="Normal 323 7" xfId="26405"/>
    <cellStyle name="Normal 324" xfId="26406"/>
    <cellStyle name="Normal 324 2" xfId="26407"/>
    <cellStyle name="Normal 324 2 2" xfId="26408"/>
    <cellStyle name="Normal 324 2 2 2" xfId="26409"/>
    <cellStyle name="Normal 324 2 3" xfId="26410"/>
    <cellStyle name="Normal 324 2 3 2" xfId="26411"/>
    <cellStyle name="Normal 324 2 3 2 2" xfId="26412"/>
    <cellStyle name="Normal 324 2 3 3" xfId="26413"/>
    <cellStyle name="Normal 324 2 4" xfId="26414"/>
    <cellStyle name="Normal 324 2 4 2" xfId="26415"/>
    <cellStyle name="Normal 324 2 4 2 2" xfId="26416"/>
    <cellStyle name="Normal 324 2 4 3" xfId="26417"/>
    <cellStyle name="Normal 324 2 5" xfId="26418"/>
    <cellStyle name="Normal 324 3" xfId="26419"/>
    <cellStyle name="Normal 324 3 2" xfId="26420"/>
    <cellStyle name="Normal 324 3 2 2" xfId="26421"/>
    <cellStyle name="Normal 324 3 2 2 2" xfId="26422"/>
    <cellStyle name="Normal 324 3 2 3" xfId="26423"/>
    <cellStyle name="Normal 324 3 2 3 2" xfId="26424"/>
    <cellStyle name="Normal 324 3 2 3 2 2" xfId="26425"/>
    <cellStyle name="Normal 324 3 2 3 3" xfId="26426"/>
    <cellStyle name="Normal 324 3 2 4" xfId="26427"/>
    <cellStyle name="Normal 324 3 3" xfId="26428"/>
    <cellStyle name="Normal 324 3 3 2" xfId="26429"/>
    <cellStyle name="Normal 324 3 3 2 2" xfId="26430"/>
    <cellStyle name="Normal 324 3 3 3" xfId="26431"/>
    <cellStyle name="Normal 324 3 4" xfId="26432"/>
    <cellStyle name="Normal 324 3 4 2" xfId="26433"/>
    <cellStyle name="Normal 324 3 4 2 2" xfId="26434"/>
    <cellStyle name="Normal 324 3 4 3" xfId="26435"/>
    <cellStyle name="Normal 324 3 5" xfId="26436"/>
    <cellStyle name="Normal 324 3 5 2" xfId="26437"/>
    <cellStyle name="Normal 324 3 5 2 2" xfId="26438"/>
    <cellStyle name="Normal 324 3 5 3" xfId="26439"/>
    <cellStyle name="Normal 324 3 6" xfId="26440"/>
    <cellStyle name="Normal 324 4" xfId="26441"/>
    <cellStyle name="Normal 324 4 2" xfId="26442"/>
    <cellStyle name="Normal 324 4 2 2" xfId="26443"/>
    <cellStyle name="Normal 324 4 3" xfId="26444"/>
    <cellStyle name="Normal 324 5" xfId="26445"/>
    <cellStyle name="Normal 324 5 2" xfId="26446"/>
    <cellStyle name="Normal 324 5 2 2" xfId="26447"/>
    <cellStyle name="Normal 324 5 3" xfId="26448"/>
    <cellStyle name="Normal 324 6" xfId="26449"/>
    <cellStyle name="Normal 324 6 2" xfId="26450"/>
    <cellStyle name="Normal 324 6 2 2" xfId="26451"/>
    <cellStyle name="Normal 324 6 3" xfId="26452"/>
    <cellStyle name="Normal 324 7" xfId="26453"/>
    <cellStyle name="Normal 325" xfId="26454"/>
    <cellStyle name="Normal 325 2" xfId="26455"/>
    <cellStyle name="Normal 325 2 2" xfId="26456"/>
    <cellStyle name="Normal 325 2 2 2" xfId="26457"/>
    <cellStyle name="Normal 325 2 3" xfId="26458"/>
    <cellStyle name="Normal 325 2 3 2" xfId="26459"/>
    <cellStyle name="Normal 325 2 3 2 2" xfId="26460"/>
    <cellStyle name="Normal 325 2 3 3" xfId="26461"/>
    <cellStyle name="Normal 325 2 4" xfId="26462"/>
    <cellStyle name="Normal 325 2 4 2" xfId="26463"/>
    <cellStyle name="Normal 325 2 4 2 2" xfId="26464"/>
    <cellStyle name="Normal 325 2 4 3" xfId="26465"/>
    <cellStyle name="Normal 325 2 5" xfId="26466"/>
    <cellStyle name="Normal 325 3" xfId="26467"/>
    <cellStyle name="Normal 325 3 2" xfId="26468"/>
    <cellStyle name="Normal 325 3 2 2" xfId="26469"/>
    <cellStyle name="Normal 325 3 2 2 2" xfId="26470"/>
    <cellStyle name="Normal 325 3 2 3" xfId="26471"/>
    <cellStyle name="Normal 325 3 2 3 2" xfId="26472"/>
    <cellStyle name="Normal 325 3 2 3 2 2" xfId="26473"/>
    <cellStyle name="Normal 325 3 2 3 3" xfId="26474"/>
    <cellStyle name="Normal 325 3 2 4" xfId="26475"/>
    <cellStyle name="Normal 325 3 3" xfId="26476"/>
    <cellStyle name="Normal 325 3 3 2" xfId="26477"/>
    <cellStyle name="Normal 325 3 3 2 2" xfId="26478"/>
    <cellStyle name="Normal 325 3 3 3" xfId="26479"/>
    <cellStyle name="Normal 325 3 4" xfId="26480"/>
    <cellStyle name="Normal 325 3 4 2" xfId="26481"/>
    <cellStyle name="Normal 325 3 4 2 2" xfId="26482"/>
    <cellStyle name="Normal 325 3 4 3" xfId="26483"/>
    <cellStyle name="Normal 325 3 5" xfId="26484"/>
    <cellStyle name="Normal 325 3 5 2" xfId="26485"/>
    <cellStyle name="Normal 325 3 5 2 2" xfId="26486"/>
    <cellStyle name="Normal 325 3 5 3" xfId="26487"/>
    <cellStyle name="Normal 325 3 6" xfId="26488"/>
    <cellStyle name="Normal 325 4" xfId="26489"/>
    <cellStyle name="Normal 325 4 2" xfId="26490"/>
    <cellStyle name="Normal 325 4 2 2" xfId="26491"/>
    <cellStyle name="Normal 325 4 3" xfId="26492"/>
    <cellStyle name="Normal 325 5" xfId="26493"/>
    <cellStyle name="Normal 325 5 2" xfId="26494"/>
    <cellStyle name="Normal 325 5 2 2" xfId="26495"/>
    <cellStyle name="Normal 325 5 3" xfId="26496"/>
    <cellStyle name="Normal 325 6" xfId="26497"/>
    <cellStyle name="Normal 325 6 2" xfId="26498"/>
    <cellStyle name="Normal 325 6 2 2" xfId="26499"/>
    <cellStyle name="Normal 325 6 3" xfId="26500"/>
    <cellStyle name="Normal 325 7" xfId="26501"/>
    <cellStyle name="Normal 326" xfId="26502"/>
    <cellStyle name="Normal 326 2" xfId="26503"/>
    <cellStyle name="Normal 326 2 2" xfId="26504"/>
    <cellStyle name="Normal 326 2 2 2" xfId="26505"/>
    <cellStyle name="Normal 326 2 3" xfId="26506"/>
    <cellStyle name="Normal 326 2 3 2" xfId="26507"/>
    <cellStyle name="Normal 326 2 3 2 2" xfId="26508"/>
    <cellStyle name="Normal 326 2 3 3" xfId="26509"/>
    <cellStyle name="Normal 326 2 4" xfId="26510"/>
    <cellStyle name="Normal 326 2 4 2" xfId="26511"/>
    <cellStyle name="Normal 326 2 4 2 2" xfId="26512"/>
    <cellStyle name="Normal 326 2 4 3" xfId="26513"/>
    <cellStyle name="Normal 326 2 5" xfId="26514"/>
    <cellStyle name="Normal 326 3" xfId="26515"/>
    <cellStyle name="Normal 326 3 2" xfId="26516"/>
    <cellStyle name="Normal 326 3 2 2" xfId="26517"/>
    <cellStyle name="Normal 326 3 2 2 2" xfId="26518"/>
    <cellStyle name="Normal 326 3 2 3" xfId="26519"/>
    <cellStyle name="Normal 326 3 2 3 2" xfId="26520"/>
    <cellStyle name="Normal 326 3 2 3 2 2" xfId="26521"/>
    <cellStyle name="Normal 326 3 2 3 3" xfId="26522"/>
    <cellStyle name="Normal 326 3 2 4" xfId="26523"/>
    <cellStyle name="Normal 326 3 3" xfId="26524"/>
    <cellStyle name="Normal 326 3 3 2" xfId="26525"/>
    <cellStyle name="Normal 326 3 3 2 2" xfId="26526"/>
    <cellStyle name="Normal 326 3 3 3" xfId="26527"/>
    <cellStyle name="Normal 326 3 4" xfId="26528"/>
    <cellStyle name="Normal 326 3 4 2" xfId="26529"/>
    <cellStyle name="Normal 326 3 4 2 2" xfId="26530"/>
    <cellStyle name="Normal 326 3 4 3" xfId="26531"/>
    <cellStyle name="Normal 326 3 5" xfId="26532"/>
    <cellStyle name="Normal 326 3 5 2" xfId="26533"/>
    <cellStyle name="Normal 326 3 5 2 2" xfId="26534"/>
    <cellStyle name="Normal 326 3 5 3" xfId="26535"/>
    <cellStyle name="Normal 326 3 6" xfId="26536"/>
    <cellStyle name="Normal 326 4" xfId="26537"/>
    <cellStyle name="Normal 326 4 2" xfId="26538"/>
    <cellStyle name="Normal 326 4 2 2" xfId="26539"/>
    <cellStyle name="Normal 326 4 3" xfId="26540"/>
    <cellStyle name="Normal 326 5" xfId="26541"/>
    <cellStyle name="Normal 326 5 2" xfId="26542"/>
    <cellStyle name="Normal 326 5 2 2" xfId="26543"/>
    <cellStyle name="Normal 326 5 3" xfId="26544"/>
    <cellStyle name="Normal 326 6" xfId="26545"/>
    <cellStyle name="Normal 326 6 2" xfId="26546"/>
    <cellStyle name="Normal 326 6 2 2" xfId="26547"/>
    <cellStyle name="Normal 326 6 3" xfId="26548"/>
    <cellStyle name="Normal 326 7" xfId="26549"/>
    <cellStyle name="Normal 327" xfId="26550"/>
    <cellStyle name="Normal 327 2" xfId="26551"/>
    <cellStyle name="Normal 327 2 2" xfId="26552"/>
    <cellStyle name="Normal 327 2 2 2" xfId="26553"/>
    <cellStyle name="Normal 327 2 3" xfId="26554"/>
    <cellStyle name="Normal 327 2 3 2" xfId="26555"/>
    <cellStyle name="Normal 327 2 3 2 2" xfId="26556"/>
    <cellStyle name="Normal 327 2 3 3" xfId="26557"/>
    <cellStyle name="Normal 327 2 4" xfId="26558"/>
    <cellStyle name="Normal 327 2 4 2" xfId="26559"/>
    <cellStyle name="Normal 327 2 4 2 2" xfId="26560"/>
    <cellStyle name="Normal 327 2 4 3" xfId="26561"/>
    <cellStyle name="Normal 327 2 5" xfId="26562"/>
    <cellStyle name="Normal 327 3" xfId="26563"/>
    <cellStyle name="Normal 327 3 2" xfId="26564"/>
    <cellStyle name="Normal 327 3 2 2" xfId="26565"/>
    <cellStyle name="Normal 327 3 2 2 2" xfId="26566"/>
    <cellStyle name="Normal 327 3 2 3" xfId="26567"/>
    <cellStyle name="Normal 327 3 2 3 2" xfId="26568"/>
    <cellStyle name="Normal 327 3 2 3 2 2" xfId="26569"/>
    <cellStyle name="Normal 327 3 2 3 3" xfId="26570"/>
    <cellStyle name="Normal 327 3 2 4" xfId="26571"/>
    <cellStyle name="Normal 327 3 3" xfId="26572"/>
    <cellStyle name="Normal 327 3 3 2" xfId="26573"/>
    <cellStyle name="Normal 327 3 3 2 2" xfId="26574"/>
    <cellStyle name="Normal 327 3 3 3" xfId="26575"/>
    <cellStyle name="Normal 327 3 4" xfId="26576"/>
    <cellStyle name="Normal 327 3 4 2" xfId="26577"/>
    <cellStyle name="Normal 327 3 4 2 2" xfId="26578"/>
    <cellStyle name="Normal 327 3 4 3" xfId="26579"/>
    <cellStyle name="Normal 327 3 5" xfId="26580"/>
    <cellStyle name="Normal 327 3 5 2" xfId="26581"/>
    <cellStyle name="Normal 327 3 5 2 2" xfId="26582"/>
    <cellStyle name="Normal 327 3 5 3" xfId="26583"/>
    <cellStyle name="Normal 327 3 6" xfId="26584"/>
    <cellStyle name="Normal 327 4" xfId="26585"/>
    <cellStyle name="Normal 327 4 2" xfId="26586"/>
    <cellStyle name="Normal 327 4 2 2" xfId="26587"/>
    <cellStyle name="Normal 327 4 3" xfId="26588"/>
    <cellStyle name="Normal 327 5" xfId="26589"/>
    <cellStyle name="Normal 327 5 2" xfId="26590"/>
    <cellStyle name="Normal 327 5 2 2" xfId="26591"/>
    <cellStyle name="Normal 327 5 3" xfId="26592"/>
    <cellStyle name="Normal 327 6" xfId="26593"/>
    <cellStyle name="Normal 327 6 2" xfId="26594"/>
    <cellStyle name="Normal 327 6 2 2" xfId="26595"/>
    <cellStyle name="Normal 327 6 3" xfId="26596"/>
    <cellStyle name="Normal 327 7" xfId="26597"/>
    <cellStyle name="Normal 328" xfId="26598"/>
    <cellStyle name="Normal 328 2" xfId="26599"/>
    <cellStyle name="Normal 328 2 2" xfId="26600"/>
    <cellStyle name="Normal 328 2 2 2" xfId="26601"/>
    <cellStyle name="Normal 328 2 3" xfId="26602"/>
    <cellStyle name="Normal 328 2 3 2" xfId="26603"/>
    <cellStyle name="Normal 328 2 3 2 2" xfId="26604"/>
    <cellStyle name="Normal 328 2 3 3" xfId="26605"/>
    <cellStyle name="Normal 328 2 4" xfId="26606"/>
    <cellStyle name="Normal 328 2 4 2" xfId="26607"/>
    <cellStyle name="Normal 328 2 4 2 2" xfId="26608"/>
    <cellStyle name="Normal 328 2 4 3" xfId="26609"/>
    <cellStyle name="Normal 328 2 5" xfId="26610"/>
    <cellStyle name="Normal 328 3" xfId="26611"/>
    <cellStyle name="Normal 328 3 2" xfId="26612"/>
    <cellStyle name="Normal 328 3 2 2" xfId="26613"/>
    <cellStyle name="Normal 328 3 2 2 2" xfId="26614"/>
    <cellStyle name="Normal 328 3 2 3" xfId="26615"/>
    <cellStyle name="Normal 328 3 2 3 2" xfId="26616"/>
    <cellStyle name="Normal 328 3 2 3 2 2" xfId="26617"/>
    <cellStyle name="Normal 328 3 2 3 3" xfId="26618"/>
    <cellStyle name="Normal 328 3 2 4" xfId="26619"/>
    <cellStyle name="Normal 328 3 3" xfId="26620"/>
    <cellStyle name="Normal 328 3 3 2" xfId="26621"/>
    <cellStyle name="Normal 328 3 3 2 2" xfId="26622"/>
    <cellStyle name="Normal 328 3 3 3" xfId="26623"/>
    <cellStyle name="Normal 328 3 4" xfId="26624"/>
    <cellStyle name="Normal 328 3 4 2" xfId="26625"/>
    <cellStyle name="Normal 328 3 4 2 2" xfId="26626"/>
    <cellStyle name="Normal 328 3 4 3" xfId="26627"/>
    <cellStyle name="Normal 328 3 5" xfId="26628"/>
    <cellStyle name="Normal 328 3 5 2" xfId="26629"/>
    <cellStyle name="Normal 328 3 5 2 2" xfId="26630"/>
    <cellStyle name="Normal 328 3 5 3" xfId="26631"/>
    <cellStyle name="Normal 328 3 6" xfId="26632"/>
    <cellStyle name="Normal 328 4" xfId="26633"/>
    <cellStyle name="Normal 328 4 2" xfId="26634"/>
    <cellStyle name="Normal 328 4 2 2" xfId="26635"/>
    <cellStyle name="Normal 328 4 3" xfId="26636"/>
    <cellStyle name="Normal 328 5" xfId="26637"/>
    <cellStyle name="Normal 328 5 2" xfId="26638"/>
    <cellStyle name="Normal 328 5 2 2" xfId="26639"/>
    <cellStyle name="Normal 328 5 3" xfId="26640"/>
    <cellStyle name="Normal 328 6" xfId="26641"/>
    <cellStyle name="Normal 328 6 2" xfId="26642"/>
    <cellStyle name="Normal 328 6 2 2" xfId="26643"/>
    <cellStyle name="Normal 328 6 3" xfId="26644"/>
    <cellStyle name="Normal 328 7" xfId="26645"/>
    <cellStyle name="Normal 329" xfId="26646"/>
    <cellStyle name="Normal 329 2" xfId="26647"/>
    <cellStyle name="Normal 329 2 2" xfId="26648"/>
    <cellStyle name="Normal 329 2 2 2" xfId="26649"/>
    <cellStyle name="Normal 329 2 3" xfId="26650"/>
    <cellStyle name="Normal 329 2 3 2" xfId="26651"/>
    <cellStyle name="Normal 329 2 3 2 2" xfId="26652"/>
    <cellStyle name="Normal 329 2 3 3" xfId="26653"/>
    <cellStyle name="Normal 329 2 4" xfId="26654"/>
    <cellStyle name="Normal 329 2 4 2" xfId="26655"/>
    <cellStyle name="Normal 329 2 4 2 2" xfId="26656"/>
    <cellStyle name="Normal 329 2 4 3" xfId="26657"/>
    <cellStyle name="Normal 329 2 5" xfId="26658"/>
    <cellStyle name="Normal 329 3" xfId="26659"/>
    <cellStyle name="Normal 329 3 2" xfId="26660"/>
    <cellStyle name="Normal 329 3 2 2" xfId="26661"/>
    <cellStyle name="Normal 329 3 2 2 2" xfId="26662"/>
    <cellStyle name="Normal 329 3 2 3" xfId="26663"/>
    <cellStyle name="Normal 329 3 2 3 2" xfId="26664"/>
    <cellStyle name="Normal 329 3 2 3 2 2" xfId="26665"/>
    <cellStyle name="Normal 329 3 2 3 3" xfId="26666"/>
    <cellStyle name="Normal 329 3 2 4" xfId="26667"/>
    <cellStyle name="Normal 329 3 3" xfId="26668"/>
    <cellStyle name="Normal 329 3 3 2" xfId="26669"/>
    <cellStyle name="Normal 329 3 3 2 2" xfId="26670"/>
    <cellStyle name="Normal 329 3 3 3" xfId="26671"/>
    <cellStyle name="Normal 329 3 4" xfId="26672"/>
    <cellStyle name="Normal 329 3 4 2" xfId="26673"/>
    <cellStyle name="Normal 329 3 4 2 2" xfId="26674"/>
    <cellStyle name="Normal 329 3 4 3" xfId="26675"/>
    <cellStyle name="Normal 329 3 5" xfId="26676"/>
    <cellStyle name="Normal 329 3 5 2" xfId="26677"/>
    <cellStyle name="Normal 329 3 5 2 2" xfId="26678"/>
    <cellStyle name="Normal 329 3 5 3" xfId="26679"/>
    <cellStyle name="Normal 329 3 6" xfId="26680"/>
    <cellStyle name="Normal 329 4" xfId="26681"/>
    <cellStyle name="Normal 329 4 2" xfId="26682"/>
    <cellStyle name="Normal 329 4 2 2" xfId="26683"/>
    <cellStyle name="Normal 329 4 3" xfId="26684"/>
    <cellStyle name="Normal 329 5" xfId="26685"/>
    <cellStyle name="Normal 329 5 2" xfId="26686"/>
    <cellStyle name="Normal 329 5 2 2" xfId="26687"/>
    <cellStyle name="Normal 329 5 3" xfId="26688"/>
    <cellStyle name="Normal 329 6" xfId="26689"/>
    <cellStyle name="Normal 329 6 2" xfId="26690"/>
    <cellStyle name="Normal 329 6 2 2" xfId="26691"/>
    <cellStyle name="Normal 329 6 3" xfId="26692"/>
    <cellStyle name="Normal 329 7" xfId="26693"/>
    <cellStyle name="Normal 33" xfId="26694"/>
    <cellStyle name="Normal 33 2" xfId="26695"/>
    <cellStyle name="Normal 33 2 2" xfId="26696"/>
    <cellStyle name="Normal 33 2 2 2" xfId="26697"/>
    <cellStyle name="Normal 33 2 2 2 2" xfId="26698"/>
    <cellStyle name="Normal 33 2 2 3" xfId="26699"/>
    <cellStyle name="Normal 33 2 2 3 2" xfId="26700"/>
    <cellStyle name="Normal 33 2 2 3 2 2" xfId="26701"/>
    <cellStyle name="Normal 33 2 2 3 3" xfId="26702"/>
    <cellStyle name="Normal 33 2 2 4" xfId="26703"/>
    <cellStyle name="Normal 33 2 2 4 2" xfId="26704"/>
    <cellStyle name="Normal 33 2 2 4 2 2" xfId="26705"/>
    <cellStyle name="Normal 33 2 2 4 3" xfId="26706"/>
    <cellStyle name="Normal 33 2 2 5" xfId="26707"/>
    <cellStyle name="Normal 33 2 3" xfId="26708"/>
    <cellStyle name="Normal 33 2 3 2" xfId="26709"/>
    <cellStyle name="Normal 33 2 3 2 2" xfId="26710"/>
    <cellStyle name="Normal 33 2 3 2 2 2" xfId="26711"/>
    <cellStyle name="Normal 33 2 3 2 3" xfId="26712"/>
    <cellStyle name="Normal 33 2 3 2 3 2" xfId="26713"/>
    <cellStyle name="Normal 33 2 3 2 3 2 2" xfId="26714"/>
    <cellStyle name="Normal 33 2 3 2 3 3" xfId="26715"/>
    <cellStyle name="Normal 33 2 3 2 4" xfId="26716"/>
    <cellStyle name="Normal 33 2 3 3" xfId="26717"/>
    <cellStyle name="Normal 33 2 3 3 2" xfId="26718"/>
    <cellStyle name="Normal 33 2 3 3 2 2" xfId="26719"/>
    <cellStyle name="Normal 33 2 3 3 3" xfId="26720"/>
    <cellStyle name="Normal 33 2 3 4" xfId="26721"/>
    <cellStyle name="Normal 33 2 3 4 2" xfId="26722"/>
    <cellStyle name="Normal 33 2 3 4 2 2" xfId="26723"/>
    <cellStyle name="Normal 33 2 3 4 3" xfId="26724"/>
    <cellStyle name="Normal 33 2 3 5" xfId="26725"/>
    <cellStyle name="Normal 33 2 3 5 2" xfId="26726"/>
    <cellStyle name="Normal 33 2 3 5 2 2" xfId="26727"/>
    <cellStyle name="Normal 33 2 3 5 3" xfId="26728"/>
    <cellStyle name="Normal 33 2 3 6" xfId="26729"/>
    <cellStyle name="Normal 33 2 4" xfId="26730"/>
    <cellStyle name="Normal 33 3" xfId="26731"/>
    <cellStyle name="Normal 33 3 2" xfId="26732"/>
    <cellStyle name="Normal 33 3 2 2" xfId="26733"/>
    <cellStyle name="Normal 33 3 2 2 2" xfId="26734"/>
    <cellStyle name="Normal 33 3 2 3" xfId="26735"/>
    <cellStyle name="Normal 33 3 2 3 2" xfId="26736"/>
    <cellStyle name="Normal 33 3 2 3 2 2" xfId="26737"/>
    <cellStyle name="Normal 33 3 2 3 3" xfId="26738"/>
    <cellStyle name="Normal 33 3 2 4" xfId="26739"/>
    <cellStyle name="Normal 33 3 2 4 2" xfId="26740"/>
    <cellStyle name="Normal 33 3 2 4 2 2" xfId="26741"/>
    <cellStyle name="Normal 33 3 2 4 3" xfId="26742"/>
    <cellStyle name="Normal 33 3 2 5" xfId="26743"/>
    <cellStyle name="Normal 33 3 3" xfId="26744"/>
    <cellStyle name="Normal 33 3 3 2" xfId="26745"/>
    <cellStyle name="Normal 33 3 3 2 2" xfId="26746"/>
    <cellStyle name="Normal 33 3 3 3" xfId="26747"/>
    <cellStyle name="Normal 33 3 4" xfId="26748"/>
    <cellStyle name="Normal 33 3 4 2" xfId="26749"/>
    <cellStyle name="Normal 33 3 4 2 2" xfId="26750"/>
    <cellStyle name="Normal 33 3 4 3" xfId="26751"/>
    <cellStyle name="Normal 33 3 5" xfId="26752"/>
    <cellStyle name="Normal 33 3 5 2" xfId="26753"/>
    <cellStyle name="Normal 33 3 5 2 2" xfId="26754"/>
    <cellStyle name="Normal 33 3 5 3" xfId="26755"/>
    <cellStyle name="Normal 33 3 6" xfId="26756"/>
    <cellStyle name="Normal 33 4" xfId="26757"/>
    <cellStyle name="Normal 33 4 2" xfId="26758"/>
    <cellStyle name="Normal 33 4 2 2" xfId="26759"/>
    <cellStyle name="Normal 33 4 3" xfId="26760"/>
    <cellStyle name="Normal 33 4 3 2" xfId="26761"/>
    <cellStyle name="Normal 33 4 3 2 2" xfId="26762"/>
    <cellStyle name="Normal 33 4 3 3" xfId="26763"/>
    <cellStyle name="Normal 33 4 4" xfId="26764"/>
    <cellStyle name="Normal 33 4 4 2" xfId="26765"/>
    <cellStyle name="Normal 33 4 4 2 2" xfId="26766"/>
    <cellStyle name="Normal 33 4 4 3" xfId="26767"/>
    <cellStyle name="Normal 33 4 5" xfId="26768"/>
    <cellStyle name="Normal 33 5" xfId="26769"/>
    <cellStyle name="Normal 33 5 2" xfId="26770"/>
    <cellStyle name="Normal 33 5 2 2" xfId="26771"/>
    <cellStyle name="Normal 33 5 3" xfId="26772"/>
    <cellStyle name="Normal 33 6" xfId="26773"/>
    <cellStyle name="Normal 330" xfId="26774"/>
    <cellStyle name="Normal 330 2" xfId="26775"/>
    <cellStyle name="Normal 330 2 2" xfId="26776"/>
    <cellStyle name="Normal 330 2 2 2" xfId="26777"/>
    <cellStyle name="Normal 330 2 3" xfId="26778"/>
    <cellStyle name="Normal 330 2 3 2" xfId="26779"/>
    <cellStyle name="Normal 330 2 3 2 2" xfId="26780"/>
    <cellStyle name="Normal 330 2 3 3" xfId="26781"/>
    <cellStyle name="Normal 330 2 4" xfId="26782"/>
    <cellStyle name="Normal 330 2 4 2" xfId="26783"/>
    <cellStyle name="Normal 330 2 4 2 2" xfId="26784"/>
    <cellStyle name="Normal 330 2 4 3" xfId="26785"/>
    <cellStyle name="Normal 330 2 5" xfId="26786"/>
    <cellStyle name="Normal 330 3" xfId="26787"/>
    <cellStyle name="Normal 330 3 2" xfId="26788"/>
    <cellStyle name="Normal 330 3 2 2" xfId="26789"/>
    <cellStyle name="Normal 330 3 2 2 2" xfId="26790"/>
    <cellStyle name="Normal 330 3 2 3" xfId="26791"/>
    <cellStyle name="Normal 330 3 2 3 2" xfId="26792"/>
    <cellStyle name="Normal 330 3 2 3 2 2" xfId="26793"/>
    <cellStyle name="Normal 330 3 2 3 3" xfId="26794"/>
    <cellStyle name="Normal 330 3 2 4" xfId="26795"/>
    <cellStyle name="Normal 330 3 3" xfId="26796"/>
    <cellStyle name="Normal 330 3 3 2" xfId="26797"/>
    <cellStyle name="Normal 330 3 3 2 2" xfId="26798"/>
    <cellStyle name="Normal 330 3 3 3" xfId="26799"/>
    <cellStyle name="Normal 330 3 4" xfId="26800"/>
    <cellStyle name="Normal 330 3 4 2" xfId="26801"/>
    <cellStyle name="Normal 330 3 4 2 2" xfId="26802"/>
    <cellStyle name="Normal 330 3 4 3" xfId="26803"/>
    <cellStyle name="Normal 330 3 5" xfId="26804"/>
    <cellStyle name="Normal 330 3 5 2" xfId="26805"/>
    <cellStyle name="Normal 330 3 5 2 2" xfId="26806"/>
    <cellStyle name="Normal 330 3 5 3" xfId="26807"/>
    <cellStyle name="Normal 330 3 6" xfId="26808"/>
    <cellStyle name="Normal 330 4" xfId="26809"/>
    <cellStyle name="Normal 330 4 2" xfId="26810"/>
    <cellStyle name="Normal 330 4 2 2" xfId="26811"/>
    <cellStyle name="Normal 330 4 3" xfId="26812"/>
    <cellStyle name="Normal 330 5" xfId="26813"/>
    <cellStyle name="Normal 330 5 2" xfId="26814"/>
    <cellStyle name="Normal 330 5 2 2" xfId="26815"/>
    <cellStyle name="Normal 330 5 3" xfId="26816"/>
    <cellStyle name="Normal 330 6" xfId="26817"/>
    <cellStyle name="Normal 330 6 2" xfId="26818"/>
    <cellStyle name="Normal 330 6 2 2" xfId="26819"/>
    <cellStyle name="Normal 330 6 3" xfId="26820"/>
    <cellStyle name="Normal 330 7" xfId="26821"/>
    <cellStyle name="Normal 331" xfId="26822"/>
    <cellStyle name="Normal 331 2" xfId="26823"/>
    <cellStyle name="Normal 331 2 2" xfId="26824"/>
    <cellStyle name="Normal 331 2 2 2" xfId="26825"/>
    <cellStyle name="Normal 331 2 3" xfId="26826"/>
    <cellStyle name="Normal 331 2 3 2" xfId="26827"/>
    <cellStyle name="Normal 331 2 3 2 2" xfId="26828"/>
    <cellStyle name="Normal 331 2 3 3" xfId="26829"/>
    <cellStyle name="Normal 331 2 4" xfId="26830"/>
    <cellStyle name="Normal 331 2 4 2" xfId="26831"/>
    <cellStyle name="Normal 331 2 4 2 2" xfId="26832"/>
    <cellStyle name="Normal 331 2 4 3" xfId="26833"/>
    <cellStyle name="Normal 331 2 5" xfId="26834"/>
    <cellStyle name="Normal 331 3" xfId="26835"/>
    <cellStyle name="Normal 331 3 2" xfId="26836"/>
    <cellStyle name="Normal 331 3 2 2" xfId="26837"/>
    <cellStyle name="Normal 331 3 2 2 2" xfId="26838"/>
    <cellStyle name="Normal 331 3 2 3" xfId="26839"/>
    <cellStyle name="Normal 331 3 2 3 2" xfId="26840"/>
    <cellStyle name="Normal 331 3 2 3 2 2" xfId="26841"/>
    <cellStyle name="Normal 331 3 2 3 3" xfId="26842"/>
    <cellStyle name="Normal 331 3 2 4" xfId="26843"/>
    <cellStyle name="Normal 331 3 3" xfId="26844"/>
    <cellStyle name="Normal 331 3 3 2" xfId="26845"/>
    <cellStyle name="Normal 331 3 3 2 2" xfId="26846"/>
    <cellStyle name="Normal 331 3 3 3" xfId="26847"/>
    <cellStyle name="Normal 331 3 4" xfId="26848"/>
    <cellStyle name="Normal 331 3 4 2" xfId="26849"/>
    <cellStyle name="Normal 331 3 4 2 2" xfId="26850"/>
    <cellStyle name="Normal 331 3 4 3" xfId="26851"/>
    <cellStyle name="Normal 331 3 5" xfId="26852"/>
    <cellStyle name="Normal 331 3 5 2" xfId="26853"/>
    <cellStyle name="Normal 331 3 5 2 2" xfId="26854"/>
    <cellStyle name="Normal 331 3 5 3" xfId="26855"/>
    <cellStyle name="Normal 331 3 6" xfId="26856"/>
    <cellStyle name="Normal 331 4" xfId="26857"/>
    <cellStyle name="Normal 331 4 2" xfId="26858"/>
    <cellStyle name="Normal 331 4 2 2" xfId="26859"/>
    <cellStyle name="Normal 331 4 3" xfId="26860"/>
    <cellStyle name="Normal 331 5" xfId="26861"/>
    <cellStyle name="Normal 331 5 2" xfId="26862"/>
    <cellStyle name="Normal 331 5 2 2" xfId="26863"/>
    <cellStyle name="Normal 331 5 3" xfId="26864"/>
    <cellStyle name="Normal 331 6" xfId="26865"/>
    <cellStyle name="Normal 331 6 2" xfId="26866"/>
    <cellStyle name="Normal 331 6 2 2" xfId="26867"/>
    <cellStyle name="Normal 331 6 3" xfId="26868"/>
    <cellStyle name="Normal 331 7" xfId="26869"/>
    <cellStyle name="Normal 332" xfId="26870"/>
    <cellStyle name="Normal 332 2" xfId="26871"/>
    <cellStyle name="Normal 332 2 2" xfId="26872"/>
    <cellStyle name="Normal 332 2 2 2" xfId="26873"/>
    <cellStyle name="Normal 332 2 3" xfId="26874"/>
    <cellStyle name="Normal 332 2 3 2" xfId="26875"/>
    <cellStyle name="Normal 332 2 3 2 2" xfId="26876"/>
    <cellStyle name="Normal 332 2 3 3" xfId="26877"/>
    <cellStyle name="Normal 332 2 4" xfId="26878"/>
    <cellStyle name="Normal 332 2 4 2" xfId="26879"/>
    <cellStyle name="Normal 332 2 4 2 2" xfId="26880"/>
    <cellStyle name="Normal 332 2 4 3" xfId="26881"/>
    <cellStyle name="Normal 332 2 5" xfId="26882"/>
    <cellStyle name="Normal 332 3" xfId="26883"/>
    <cellStyle name="Normal 332 3 2" xfId="26884"/>
    <cellStyle name="Normal 332 3 2 2" xfId="26885"/>
    <cellStyle name="Normal 332 3 2 2 2" xfId="26886"/>
    <cellStyle name="Normal 332 3 2 3" xfId="26887"/>
    <cellStyle name="Normal 332 3 2 3 2" xfId="26888"/>
    <cellStyle name="Normal 332 3 2 3 2 2" xfId="26889"/>
    <cellStyle name="Normal 332 3 2 3 3" xfId="26890"/>
    <cellStyle name="Normal 332 3 2 4" xfId="26891"/>
    <cellStyle name="Normal 332 3 3" xfId="26892"/>
    <cellStyle name="Normal 332 3 3 2" xfId="26893"/>
    <cellStyle name="Normal 332 3 3 2 2" xfId="26894"/>
    <cellStyle name="Normal 332 3 3 3" xfId="26895"/>
    <cellStyle name="Normal 332 3 4" xfId="26896"/>
    <cellStyle name="Normal 332 3 4 2" xfId="26897"/>
    <cellStyle name="Normal 332 3 4 2 2" xfId="26898"/>
    <cellStyle name="Normal 332 3 4 3" xfId="26899"/>
    <cellStyle name="Normal 332 3 5" xfId="26900"/>
    <cellStyle name="Normal 332 3 5 2" xfId="26901"/>
    <cellStyle name="Normal 332 3 5 2 2" xfId="26902"/>
    <cellStyle name="Normal 332 3 5 3" xfId="26903"/>
    <cellStyle name="Normal 332 3 6" xfId="26904"/>
    <cellStyle name="Normal 332 4" xfId="26905"/>
    <cellStyle name="Normal 332 4 2" xfId="26906"/>
    <cellStyle name="Normal 332 4 2 2" xfId="26907"/>
    <cellStyle name="Normal 332 4 3" xfId="26908"/>
    <cellStyle name="Normal 332 5" xfId="26909"/>
    <cellStyle name="Normal 332 5 2" xfId="26910"/>
    <cellStyle name="Normal 332 5 2 2" xfId="26911"/>
    <cellStyle name="Normal 332 5 3" xfId="26912"/>
    <cellStyle name="Normal 332 6" xfId="26913"/>
    <cellStyle name="Normal 332 6 2" xfId="26914"/>
    <cellStyle name="Normal 332 6 2 2" xfId="26915"/>
    <cellStyle name="Normal 332 6 3" xfId="26916"/>
    <cellStyle name="Normal 332 7" xfId="26917"/>
    <cellStyle name="Normal 333" xfId="26918"/>
    <cellStyle name="Normal 333 2" xfId="26919"/>
    <cellStyle name="Normal 333 2 2" xfId="26920"/>
    <cellStyle name="Normal 333 2 2 2" xfId="26921"/>
    <cellStyle name="Normal 333 2 3" xfId="26922"/>
    <cellStyle name="Normal 333 2 3 2" xfId="26923"/>
    <cellStyle name="Normal 333 2 3 2 2" xfId="26924"/>
    <cellStyle name="Normal 333 2 3 3" xfId="26925"/>
    <cellStyle name="Normal 333 2 4" xfId="26926"/>
    <cellStyle name="Normal 333 2 4 2" xfId="26927"/>
    <cellStyle name="Normal 333 2 4 2 2" xfId="26928"/>
    <cellStyle name="Normal 333 2 4 3" xfId="26929"/>
    <cellStyle name="Normal 333 2 5" xfId="26930"/>
    <cellStyle name="Normal 333 3" xfId="26931"/>
    <cellStyle name="Normal 333 3 2" xfId="26932"/>
    <cellStyle name="Normal 333 3 2 2" xfId="26933"/>
    <cellStyle name="Normal 333 3 2 2 2" xfId="26934"/>
    <cellStyle name="Normal 333 3 2 3" xfId="26935"/>
    <cellStyle name="Normal 333 3 2 3 2" xfId="26936"/>
    <cellStyle name="Normal 333 3 2 3 2 2" xfId="26937"/>
    <cellStyle name="Normal 333 3 2 3 3" xfId="26938"/>
    <cellStyle name="Normal 333 3 2 4" xfId="26939"/>
    <cellStyle name="Normal 333 3 3" xfId="26940"/>
    <cellStyle name="Normal 333 3 3 2" xfId="26941"/>
    <cellStyle name="Normal 333 3 3 2 2" xfId="26942"/>
    <cellStyle name="Normal 333 3 3 3" xfId="26943"/>
    <cellStyle name="Normal 333 3 4" xfId="26944"/>
    <cellStyle name="Normal 333 3 4 2" xfId="26945"/>
    <cellStyle name="Normal 333 3 4 2 2" xfId="26946"/>
    <cellStyle name="Normal 333 3 4 3" xfId="26947"/>
    <cellStyle name="Normal 333 3 5" xfId="26948"/>
    <cellStyle name="Normal 333 3 5 2" xfId="26949"/>
    <cellStyle name="Normal 333 3 5 2 2" xfId="26950"/>
    <cellStyle name="Normal 333 3 5 3" xfId="26951"/>
    <cellStyle name="Normal 333 3 6" xfId="26952"/>
    <cellStyle name="Normal 333 4" xfId="26953"/>
    <cellStyle name="Normal 333 4 2" xfId="26954"/>
    <cellStyle name="Normal 333 4 2 2" xfId="26955"/>
    <cellStyle name="Normal 333 4 3" xfId="26956"/>
    <cellStyle name="Normal 333 5" xfId="26957"/>
    <cellStyle name="Normal 333 5 2" xfId="26958"/>
    <cellStyle name="Normal 333 5 2 2" xfId="26959"/>
    <cellStyle name="Normal 333 5 3" xfId="26960"/>
    <cellStyle name="Normal 333 6" xfId="26961"/>
    <cellStyle name="Normal 333 6 2" xfId="26962"/>
    <cellStyle name="Normal 333 6 2 2" xfId="26963"/>
    <cellStyle name="Normal 333 6 3" xfId="26964"/>
    <cellStyle name="Normal 333 7" xfId="26965"/>
    <cellStyle name="Normal 334" xfId="26966"/>
    <cellStyle name="Normal 334 2" xfId="26967"/>
    <cellStyle name="Normal 334 2 2" xfId="26968"/>
    <cellStyle name="Normal 334 2 2 2" xfId="26969"/>
    <cellStyle name="Normal 334 2 3" xfId="26970"/>
    <cellStyle name="Normal 334 2 3 2" xfId="26971"/>
    <cellStyle name="Normal 334 2 3 2 2" xfId="26972"/>
    <cellStyle name="Normal 334 2 3 3" xfId="26973"/>
    <cellStyle name="Normal 334 2 4" xfId="26974"/>
    <cellStyle name="Normal 334 2 4 2" xfId="26975"/>
    <cellStyle name="Normal 334 2 4 2 2" xfId="26976"/>
    <cellStyle name="Normal 334 2 4 3" xfId="26977"/>
    <cellStyle name="Normal 334 2 5" xfId="26978"/>
    <cellStyle name="Normal 334 3" xfId="26979"/>
    <cellStyle name="Normal 334 3 2" xfId="26980"/>
    <cellStyle name="Normal 334 3 2 2" xfId="26981"/>
    <cellStyle name="Normal 334 3 2 2 2" xfId="26982"/>
    <cellStyle name="Normal 334 3 2 3" xfId="26983"/>
    <cellStyle name="Normal 334 3 2 3 2" xfId="26984"/>
    <cellStyle name="Normal 334 3 2 3 2 2" xfId="26985"/>
    <cellStyle name="Normal 334 3 2 3 3" xfId="26986"/>
    <cellStyle name="Normal 334 3 2 4" xfId="26987"/>
    <cellStyle name="Normal 334 3 3" xfId="26988"/>
    <cellStyle name="Normal 334 3 3 2" xfId="26989"/>
    <cellStyle name="Normal 334 3 3 2 2" xfId="26990"/>
    <cellStyle name="Normal 334 3 3 3" xfId="26991"/>
    <cellStyle name="Normal 334 3 4" xfId="26992"/>
    <cellStyle name="Normal 334 3 4 2" xfId="26993"/>
    <cellStyle name="Normal 334 3 4 2 2" xfId="26994"/>
    <cellStyle name="Normal 334 3 4 3" xfId="26995"/>
    <cellStyle name="Normal 334 3 5" xfId="26996"/>
    <cellStyle name="Normal 334 3 5 2" xfId="26997"/>
    <cellStyle name="Normal 334 3 5 2 2" xfId="26998"/>
    <cellStyle name="Normal 334 3 5 3" xfId="26999"/>
    <cellStyle name="Normal 334 3 6" xfId="27000"/>
    <cellStyle name="Normal 334 4" xfId="27001"/>
    <cellStyle name="Normal 334 4 2" xfId="27002"/>
    <cellStyle name="Normal 334 4 2 2" xfId="27003"/>
    <cellStyle name="Normal 334 4 3" xfId="27004"/>
    <cellStyle name="Normal 334 5" xfId="27005"/>
    <cellStyle name="Normal 334 5 2" xfId="27006"/>
    <cellStyle name="Normal 334 5 2 2" xfId="27007"/>
    <cellStyle name="Normal 334 5 3" xfId="27008"/>
    <cellStyle name="Normal 334 6" xfId="27009"/>
    <cellStyle name="Normal 334 6 2" xfId="27010"/>
    <cellStyle name="Normal 334 6 2 2" xfId="27011"/>
    <cellStyle name="Normal 334 6 3" xfId="27012"/>
    <cellStyle name="Normal 334 7" xfId="27013"/>
    <cellStyle name="Normal 335" xfId="27014"/>
    <cellStyle name="Normal 335 2" xfId="27015"/>
    <cellStyle name="Normal 335 2 2" xfId="27016"/>
    <cellStyle name="Normal 335 2 2 2" xfId="27017"/>
    <cellStyle name="Normal 335 2 3" xfId="27018"/>
    <cellStyle name="Normal 335 2 3 2" xfId="27019"/>
    <cellStyle name="Normal 335 2 3 2 2" xfId="27020"/>
    <cellStyle name="Normal 335 2 3 3" xfId="27021"/>
    <cellStyle name="Normal 335 2 4" xfId="27022"/>
    <cellStyle name="Normal 335 2 4 2" xfId="27023"/>
    <cellStyle name="Normal 335 2 4 2 2" xfId="27024"/>
    <cellStyle name="Normal 335 2 4 3" xfId="27025"/>
    <cellStyle name="Normal 335 2 5" xfId="27026"/>
    <cellStyle name="Normal 335 3" xfId="27027"/>
    <cellStyle name="Normal 335 3 2" xfId="27028"/>
    <cellStyle name="Normal 335 3 2 2" xfId="27029"/>
    <cellStyle name="Normal 335 3 2 2 2" xfId="27030"/>
    <cellStyle name="Normal 335 3 2 3" xfId="27031"/>
    <cellStyle name="Normal 335 3 2 3 2" xfId="27032"/>
    <cellStyle name="Normal 335 3 2 3 2 2" xfId="27033"/>
    <cellStyle name="Normal 335 3 2 3 3" xfId="27034"/>
    <cellStyle name="Normal 335 3 2 4" xfId="27035"/>
    <cellStyle name="Normal 335 3 3" xfId="27036"/>
    <cellStyle name="Normal 335 3 3 2" xfId="27037"/>
    <cellStyle name="Normal 335 3 3 2 2" xfId="27038"/>
    <cellStyle name="Normal 335 3 3 3" xfId="27039"/>
    <cellStyle name="Normal 335 3 4" xfId="27040"/>
    <cellStyle name="Normal 335 3 4 2" xfId="27041"/>
    <cellStyle name="Normal 335 3 4 2 2" xfId="27042"/>
    <cellStyle name="Normal 335 3 4 3" xfId="27043"/>
    <cellStyle name="Normal 335 3 5" xfId="27044"/>
    <cellStyle name="Normal 335 3 5 2" xfId="27045"/>
    <cellStyle name="Normal 335 3 5 2 2" xfId="27046"/>
    <cellStyle name="Normal 335 3 5 3" xfId="27047"/>
    <cellStyle name="Normal 335 3 6" xfId="27048"/>
    <cellStyle name="Normal 335 4" xfId="27049"/>
    <cellStyle name="Normal 335 4 2" xfId="27050"/>
    <cellStyle name="Normal 335 4 2 2" xfId="27051"/>
    <cellStyle name="Normal 335 4 3" xfId="27052"/>
    <cellStyle name="Normal 335 5" xfId="27053"/>
    <cellStyle name="Normal 335 5 2" xfId="27054"/>
    <cellStyle name="Normal 335 5 2 2" xfId="27055"/>
    <cellStyle name="Normal 335 5 3" xfId="27056"/>
    <cellStyle name="Normal 335 6" xfId="27057"/>
    <cellStyle name="Normal 335 6 2" xfId="27058"/>
    <cellStyle name="Normal 335 6 2 2" xfId="27059"/>
    <cellStyle name="Normal 335 6 3" xfId="27060"/>
    <cellStyle name="Normal 335 7" xfId="27061"/>
    <cellStyle name="Normal 336" xfId="27062"/>
    <cellStyle name="Normal 336 2" xfId="27063"/>
    <cellStyle name="Normal 336 2 2" xfId="27064"/>
    <cellStyle name="Normal 336 2 2 2" xfId="27065"/>
    <cellStyle name="Normal 336 2 3" xfId="27066"/>
    <cellStyle name="Normal 336 2 3 2" xfId="27067"/>
    <cellStyle name="Normal 336 2 3 2 2" xfId="27068"/>
    <cellStyle name="Normal 336 2 3 3" xfId="27069"/>
    <cellStyle name="Normal 336 2 4" xfId="27070"/>
    <cellStyle name="Normal 336 2 4 2" xfId="27071"/>
    <cellStyle name="Normal 336 2 4 2 2" xfId="27072"/>
    <cellStyle name="Normal 336 2 4 3" xfId="27073"/>
    <cellStyle name="Normal 336 2 5" xfId="27074"/>
    <cellStyle name="Normal 336 3" xfId="27075"/>
    <cellStyle name="Normal 336 3 2" xfId="27076"/>
    <cellStyle name="Normal 336 3 2 2" xfId="27077"/>
    <cellStyle name="Normal 336 3 2 2 2" xfId="27078"/>
    <cellStyle name="Normal 336 3 2 3" xfId="27079"/>
    <cellStyle name="Normal 336 3 2 3 2" xfId="27080"/>
    <cellStyle name="Normal 336 3 2 3 2 2" xfId="27081"/>
    <cellStyle name="Normal 336 3 2 3 3" xfId="27082"/>
    <cellStyle name="Normal 336 3 2 4" xfId="27083"/>
    <cellStyle name="Normal 336 3 3" xfId="27084"/>
    <cellStyle name="Normal 336 3 3 2" xfId="27085"/>
    <cellStyle name="Normal 336 3 3 2 2" xfId="27086"/>
    <cellStyle name="Normal 336 3 3 3" xfId="27087"/>
    <cellStyle name="Normal 336 3 4" xfId="27088"/>
    <cellStyle name="Normal 336 3 4 2" xfId="27089"/>
    <cellStyle name="Normal 336 3 4 2 2" xfId="27090"/>
    <cellStyle name="Normal 336 3 4 3" xfId="27091"/>
    <cellStyle name="Normal 336 3 5" xfId="27092"/>
    <cellStyle name="Normal 336 3 5 2" xfId="27093"/>
    <cellStyle name="Normal 336 3 5 2 2" xfId="27094"/>
    <cellStyle name="Normal 336 3 5 3" xfId="27095"/>
    <cellStyle name="Normal 336 3 6" xfId="27096"/>
    <cellStyle name="Normal 336 4" xfId="27097"/>
    <cellStyle name="Normal 336 4 2" xfId="27098"/>
    <cellStyle name="Normal 336 4 2 2" xfId="27099"/>
    <cellStyle name="Normal 336 4 3" xfId="27100"/>
    <cellStyle name="Normal 336 5" xfId="27101"/>
    <cellStyle name="Normal 336 5 2" xfId="27102"/>
    <cellStyle name="Normal 336 5 2 2" xfId="27103"/>
    <cellStyle name="Normal 336 5 3" xfId="27104"/>
    <cellStyle name="Normal 336 6" xfId="27105"/>
    <cellStyle name="Normal 336 6 2" xfId="27106"/>
    <cellStyle name="Normal 336 6 2 2" xfId="27107"/>
    <cellStyle name="Normal 336 6 3" xfId="27108"/>
    <cellStyle name="Normal 336 7" xfId="27109"/>
    <cellStyle name="Normal 337" xfId="27110"/>
    <cellStyle name="Normal 337 2" xfId="27111"/>
    <cellStyle name="Normal 337 2 2" xfId="27112"/>
    <cellStyle name="Normal 337 2 2 2" xfId="27113"/>
    <cellStyle name="Normal 337 2 3" xfId="27114"/>
    <cellStyle name="Normal 337 2 3 2" xfId="27115"/>
    <cellStyle name="Normal 337 2 3 2 2" xfId="27116"/>
    <cellStyle name="Normal 337 2 3 3" xfId="27117"/>
    <cellStyle name="Normal 337 2 4" xfId="27118"/>
    <cellStyle name="Normal 337 2 4 2" xfId="27119"/>
    <cellStyle name="Normal 337 2 4 2 2" xfId="27120"/>
    <cellStyle name="Normal 337 2 4 3" xfId="27121"/>
    <cellStyle name="Normal 337 2 5" xfId="27122"/>
    <cellStyle name="Normal 337 3" xfId="27123"/>
    <cellStyle name="Normal 337 3 2" xfId="27124"/>
    <cellStyle name="Normal 337 3 2 2" xfId="27125"/>
    <cellStyle name="Normal 337 3 2 2 2" xfId="27126"/>
    <cellStyle name="Normal 337 3 2 3" xfId="27127"/>
    <cellStyle name="Normal 337 3 2 3 2" xfId="27128"/>
    <cellStyle name="Normal 337 3 2 3 2 2" xfId="27129"/>
    <cellStyle name="Normal 337 3 2 3 3" xfId="27130"/>
    <cellStyle name="Normal 337 3 2 4" xfId="27131"/>
    <cellStyle name="Normal 337 3 3" xfId="27132"/>
    <cellStyle name="Normal 337 3 3 2" xfId="27133"/>
    <cellStyle name="Normal 337 3 3 2 2" xfId="27134"/>
    <cellStyle name="Normal 337 3 3 3" xfId="27135"/>
    <cellStyle name="Normal 337 3 4" xfId="27136"/>
    <cellStyle name="Normal 337 3 4 2" xfId="27137"/>
    <cellStyle name="Normal 337 3 4 2 2" xfId="27138"/>
    <cellStyle name="Normal 337 3 4 3" xfId="27139"/>
    <cellStyle name="Normal 337 3 5" xfId="27140"/>
    <cellStyle name="Normal 337 3 5 2" xfId="27141"/>
    <cellStyle name="Normal 337 3 5 2 2" xfId="27142"/>
    <cellStyle name="Normal 337 3 5 3" xfId="27143"/>
    <cellStyle name="Normal 337 3 6" xfId="27144"/>
    <cellStyle name="Normal 337 4" xfId="27145"/>
    <cellStyle name="Normal 337 4 2" xfId="27146"/>
    <cellStyle name="Normal 337 4 2 2" xfId="27147"/>
    <cellStyle name="Normal 337 4 3" xfId="27148"/>
    <cellStyle name="Normal 337 5" xfId="27149"/>
    <cellStyle name="Normal 337 5 2" xfId="27150"/>
    <cellStyle name="Normal 337 5 2 2" xfId="27151"/>
    <cellStyle name="Normal 337 5 3" xfId="27152"/>
    <cellStyle name="Normal 337 6" xfId="27153"/>
    <cellStyle name="Normal 337 6 2" xfId="27154"/>
    <cellStyle name="Normal 337 6 2 2" xfId="27155"/>
    <cellStyle name="Normal 337 6 3" xfId="27156"/>
    <cellStyle name="Normal 337 7" xfId="27157"/>
    <cellStyle name="Normal 338" xfId="27158"/>
    <cellStyle name="Normal 338 2" xfId="27159"/>
    <cellStyle name="Normal 338 2 2" xfId="27160"/>
    <cellStyle name="Normal 338 2 2 2" xfId="27161"/>
    <cellStyle name="Normal 338 2 3" xfId="27162"/>
    <cellStyle name="Normal 338 2 3 2" xfId="27163"/>
    <cellStyle name="Normal 338 2 3 2 2" xfId="27164"/>
    <cellStyle name="Normal 338 2 3 3" xfId="27165"/>
    <cellStyle name="Normal 338 2 4" xfId="27166"/>
    <cellStyle name="Normal 338 2 4 2" xfId="27167"/>
    <cellStyle name="Normal 338 2 4 2 2" xfId="27168"/>
    <cellStyle name="Normal 338 2 4 3" xfId="27169"/>
    <cellStyle name="Normal 338 2 5" xfId="27170"/>
    <cellStyle name="Normal 338 3" xfId="27171"/>
    <cellStyle name="Normal 338 3 2" xfId="27172"/>
    <cellStyle name="Normal 338 3 2 2" xfId="27173"/>
    <cellStyle name="Normal 338 3 2 2 2" xfId="27174"/>
    <cellStyle name="Normal 338 3 2 3" xfId="27175"/>
    <cellStyle name="Normal 338 3 2 3 2" xfId="27176"/>
    <cellStyle name="Normal 338 3 2 3 2 2" xfId="27177"/>
    <cellStyle name="Normal 338 3 2 3 3" xfId="27178"/>
    <cellStyle name="Normal 338 3 2 4" xfId="27179"/>
    <cellStyle name="Normal 338 3 3" xfId="27180"/>
    <cellStyle name="Normal 338 3 3 2" xfId="27181"/>
    <cellStyle name="Normal 338 3 3 2 2" xfId="27182"/>
    <cellStyle name="Normal 338 3 3 3" xfId="27183"/>
    <cellStyle name="Normal 338 3 4" xfId="27184"/>
    <cellStyle name="Normal 338 3 4 2" xfId="27185"/>
    <cellStyle name="Normal 338 3 4 2 2" xfId="27186"/>
    <cellStyle name="Normal 338 3 4 3" xfId="27187"/>
    <cellStyle name="Normal 338 3 5" xfId="27188"/>
    <cellStyle name="Normal 338 3 5 2" xfId="27189"/>
    <cellStyle name="Normal 338 3 5 2 2" xfId="27190"/>
    <cellStyle name="Normal 338 3 5 3" xfId="27191"/>
    <cellStyle name="Normal 338 3 6" xfId="27192"/>
    <cellStyle name="Normal 338 4" xfId="27193"/>
    <cellStyle name="Normal 338 4 2" xfId="27194"/>
    <cellStyle name="Normal 338 4 2 2" xfId="27195"/>
    <cellStyle name="Normal 338 4 3" xfId="27196"/>
    <cellStyle name="Normal 338 5" xfId="27197"/>
    <cellStyle name="Normal 338 5 2" xfId="27198"/>
    <cellStyle name="Normal 338 5 2 2" xfId="27199"/>
    <cellStyle name="Normal 338 5 3" xfId="27200"/>
    <cellStyle name="Normal 338 6" xfId="27201"/>
    <cellStyle name="Normal 338 6 2" xfId="27202"/>
    <cellStyle name="Normal 338 6 2 2" xfId="27203"/>
    <cellStyle name="Normal 338 6 3" xfId="27204"/>
    <cellStyle name="Normal 338 7" xfId="27205"/>
    <cellStyle name="Normal 339" xfId="27206"/>
    <cellStyle name="Normal 339 2" xfId="27207"/>
    <cellStyle name="Normal 339 2 2" xfId="27208"/>
    <cellStyle name="Normal 339 2 2 2" xfId="27209"/>
    <cellStyle name="Normal 339 2 3" xfId="27210"/>
    <cellStyle name="Normal 339 2 3 2" xfId="27211"/>
    <cellStyle name="Normal 339 2 3 2 2" xfId="27212"/>
    <cellStyle name="Normal 339 2 3 3" xfId="27213"/>
    <cellStyle name="Normal 339 2 4" xfId="27214"/>
    <cellStyle name="Normal 339 2 4 2" xfId="27215"/>
    <cellStyle name="Normal 339 2 4 2 2" xfId="27216"/>
    <cellStyle name="Normal 339 2 4 3" xfId="27217"/>
    <cellStyle name="Normal 339 2 5" xfId="27218"/>
    <cellStyle name="Normal 339 3" xfId="27219"/>
    <cellStyle name="Normal 339 3 2" xfId="27220"/>
    <cellStyle name="Normal 339 3 2 2" xfId="27221"/>
    <cellStyle name="Normal 339 3 2 2 2" xfId="27222"/>
    <cellStyle name="Normal 339 3 2 3" xfId="27223"/>
    <cellStyle name="Normal 339 3 2 3 2" xfId="27224"/>
    <cellStyle name="Normal 339 3 2 3 2 2" xfId="27225"/>
    <cellStyle name="Normal 339 3 2 3 3" xfId="27226"/>
    <cellStyle name="Normal 339 3 2 4" xfId="27227"/>
    <cellStyle name="Normal 339 3 3" xfId="27228"/>
    <cellStyle name="Normal 339 3 3 2" xfId="27229"/>
    <cellStyle name="Normal 339 3 3 2 2" xfId="27230"/>
    <cellStyle name="Normal 339 3 3 3" xfId="27231"/>
    <cellStyle name="Normal 339 3 4" xfId="27232"/>
    <cellStyle name="Normal 339 3 4 2" xfId="27233"/>
    <cellStyle name="Normal 339 3 4 2 2" xfId="27234"/>
    <cellStyle name="Normal 339 3 4 3" xfId="27235"/>
    <cellStyle name="Normal 339 3 5" xfId="27236"/>
    <cellStyle name="Normal 339 3 5 2" xfId="27237"/>
    <cellStyle name="Normal 339 3 5 2 2" xfId="27238"/>
    <cellStyle name="Normal 339 3 5 3" xfId="27239"/>
    <cellStyle name="Normal 339 3 6" xfId="27240"/>
    <cellStyle name="Normal 339 4" xfId="27241"/>
    <cellStyle name="Normal 339 4 2" xfId="27242"/>
    <cellStyle name="Normal 339 4 2 2" xfId="27243"/>
    <cellStyle name="Normal 339 4 3" xfId="27244"/>
    <cellStyle name="Normal 339 5" xfId="27245"/>
    <cellStyle name="Normal 339 5 2" xfId="27246"/>
    <cellStyle name="Normal 339 5 2 2" xfId="27247"/>
    <cellStyle name="Normal 339 5 3" xfId="27248"/>
    <cellStyle name="Normal 339 6" xfId="27249"/>
    <cellStyle name="Normal 339 6 2" xfId="27250"/>
    <cellStyle name="Normal 339 6 2 2" xfId="27251"/>
    <cellStyle name="Normal 339 6 3" xfId="27252"/>
    <cellStyle name="Normal 339 7" xfId="27253"/>
    <cellStyle name="Normal 34" xfId="27254"/>
    <cellStyle name="Normal 34 2" xfId="27255"/>
    <cellStyle name="Normal 34 2 2" xfId="27256"/>
    <cellStyle name="Normal 34 2 2 2" xfId="27257"/>
    <cellStyle name="Normal 34 2 2 2 2" xfId="27258"/>
    <cellStyle name="Normal 34 2 2 3" xfId="27259"/>
    <cellStyle name="Normal 34 2 2 3 2" xfId="27260"/>
    <cellStyle name="Normal 34 2 2 3 2 2" xfId="27261"/>
    <cellStyle name="Normal 34 2 2 3 3" xfId="27262"/>
    <cellStyle name="Normal 34 2 2 4" xfId="27263"/>
    <cellStyle name="Normal 34 2 2 4 2" xfId="27264"/>
    <cellStyle name="Normal 34 2 2 4 2 2" xfId="27265"/>
    <cellStyle name="Normal 34 2 2 4 3" xfId="27266"/>
    <cellStyle name="Normal 34 2 2 5" xfId="27267"/>
    <cellStyle name="Normal 34 2 3" xfId="27268"/>
    <cellStyle name="Normal 34 2 3 2" xfId="27269"/>
    <cellStyle name="Normal 34 2 3 2 2" xfId="27270"/>
    <cellStyle name="Normal 34 2 3 3" xfId="27271"/>
    <cellStyle name="Normal 34 2 4" xfId="27272"/>
    <cellStyle name="Normal 34 2 4 2" xfId="27273"/>
    <cellStyle name="Normal 34 2 4 2 2" xfId="27274"/>
    <cellStyle name="Normal 34 2 4 3" xfId="27275"/>
    <cellStyle name="Normal 34 2 5" xfId="27276"/>
    <cellStyle name="Normal 34 2 5 2" xfId="27277"/>
    <cellStyle name="Normal 34 2 5 2 2" xfId="27278"/>
    <cellStyle name="Normal 34 2 5 3" xfId="27279"/>
    <cellStyle name="Normal 34 2 6" xfId="27280"/>
    <cellStyle name="Normal 34 3" xfId="27281"/>
    <cellStyle name="Normal 34 3 2" xfId="27282"/>
    <cellStyle name="Normal 34 3 2 2" xfId="27283"/>
    <cellStyle name="Normal 34 3 3" xfId="27284"/>
    <cellStyle name="Normal 34 3 3 2" xfId="27285"/>
    <cellStyle name="Normal 34 3 3 2 2" xfId="27286"/>
    <cellStyle name="Normal 34 3 3 3" xfId="27287"/>
    <cellStyle name="Normal 34 3 4" xfId="27288"/>
    <cellStyle name="Normal 34 3 4 2" xfId="27289"/>
    <cellStyle name="Normal 34 3 4 2 2" xfId="27290"/>
    <cellStyle name="Normal 34 3 4 3" xfId="27291"/>
    <cellStyle name="Normal 34 3 5" xfId="27292"/>
    <cellStyle name="Normal 34 4" xfId="27293"/>
    <cellStyle name="Normal 34 4 2" xfId="27294"/>
    <cellStyle name="Normal 34 4 2 2" xfId="27295"/>
    <cellStyle name="Normal 34 4 3" xfId="27296"/>
    <cellStyle name="Normal 34 5" xfId="27297"/>
    <cellStyle name="Normal 34 5 2" xfId="27298"/>
    <cellStyle name="Normal 34 5 2 2" xfId="27299"/>
    <cellStyle name="Normal 34 5 3" xfId="27300"/>
    <cellStyle name="Normal 34 6" xfId="27301"/>
    <cellStyle name="Normal 34 6 2" xfId="27302"/>
    <cellStyle name="Normal 34 6 2 2" xfId="27303"/>
    <cellStyle name="Normal 34 6 3" xfId="27304"/>
    <cellStyle name="Normal 34 7" xfId="27305"/>
    <cellStyle name="Normal 340" xfId="27306"/>
    <cellStyle name="Normal 340 2" xfId="27307"/>
    <cellStyle name="Normal 340 2 2" xfId="27308"/>
    <cellStyle name="Normal 340 2 2 2" xfId="27309"/>
    <cellStyle name="Normal 340 2 3" xfId="27310"/>
    <cellStyle name="Normal 340 2 3 2" xfId="27311"/>
    <cellStyle name="Normal 340 2 3 2 2" xfId="27312"/>
    <cellStyle name="Normal 340 2 3 3" xfId="27313"/>
    <cellStyle name="Normal 340 2 4" xfId="27314"/>
    <cellStyle name="Normal 340 2 4 2" xfId="27315"/>
    <cellStyle name="Normal 340 2 4 2 2" xfId="27316"/>
    <cellStyle name="Normal 340 2 4 3" xfId="27317"/>
    <cellStyle name="Normal 340 2 5" xfId="27318"/>
    <cellStyle name="Normal 340 3" xfId="27319"/>
    <cellStyle name="Normal 340 3 2" xfId="27320"/>
    <cellStyle name="Normal 340 3 2 2" xfId="27321"/>
    <cellStyle name="Normal 340 3 2 2 2" xfId="27322"/>
    <cellStyle name="Normal 340 3 2 3" xfId="27323"/>
    <cellStyle name="Normal 340 3 2 3 2" xfId="27324"/>
    <cellStyle name="Normal 340 3 2 3 2 2" xfId="27325"/>
    <cellStyle name="Normal 340 3 2 3 3" xfId="27326"/>
    <cellStyle name="Normal 340 3 2 4" xfId="27327"/>
    <cellStyle name="Normal 340 3 3" xfId="27328"/>
    <cellStyle name="Normal 340 3 3 2" xfId="27329"/>
    <cellStyle name="Normal 340 3 3 2 2" xfId="27330"/>
    <cellStyle name="Normal 340 3 3 3" xfId="27331"/>
    <cellStyle name="Normal 340 3 4" xfId="27332"/>
    <cellStyle name="Normal 340 3 4 2" xfId="27333"/>
    <cellStyle name="Normal 340 3 4 2 2" xfId="27334"/>
    <cellStyle name="Normal 340 3 4 3" xfId="27335"/>
    <cellStyle name="Normal 340 3 5" xfId="27336"/>
    <cellStyle name="Normal 340 3 5 2" xfId="27337"/>
    <cellStyle name="Normal 340 3 5 2 2" xfId="27338"/>
    <cellStyle name="Normal 340 3 5 3" xfId="27339"/>
    <cellStyle name="Normal 340 3 6" xfId="27340"/>
    <cellStyle name="Normal 340 4" xfId="27341"/>
    <cellStyle name="Normal 340 4 2" xfId="27342"/>
    <cellStyle name="Normal 340 4 2 2" xfId="27343"/>
    <cellStyle name="Normal 340 4 3" xfId="27344"/>
    <cellStyle name="Normal 340 5" xfId="27345"/>
    <cellStyle name="Normal 340 5 2" xfId="27346"/>
    <cellStyle name="Normal 340 5 2 2" xfId="27347"/>
    <cellStyle name="Normal 340 5 3" xfId="27348"/>
    <cellStyle name="Normal 340 6" xfId="27349"/>
    <cellStyle name="Normal 340 6 2" xfId="27350"/>
    <cellStyle name="Normal 340 6 2 2" xfId="27351"/>
    <cellStyle name="Normal 340 6 3" xfId="27352"/>
    <cellStyle name="Normal 340 7" xfId="27353"/>
    <cellStyle name="Normal 341" xfId="27354"/>
    <cellStyle name="Normal 341 2" xfId="27355"/>
    <cellStyle name="Normal 341 2 2" xfId="27356"/>
    <cellStyle name="Normal 341 2 2 2" xfId="27357"/>
    <cellStyle name="Normal 341 2 3" xfId="27358"/>
    <cellStyle name="Normal 341 2 3 2" xfId="27359"/>
    <cellStyle name="Normal 341 2 3 2 2" xfId="27360"/>
    <cellStyle name="Normal 341 2 3 3" xfId="27361"/>
    <cellStyle name="Normal 341 2 4" xfId="27362"/>
    <cellStyle name="Normal 341 2 4 2" xfId="27363"/>
    <cellStyle name="Normal 341 2 4 2 2" xfId="27364"/>
    <cellStyle name="Normal 341 2 4 3" xfId="27365"/>
    <cellStyle name="Normal 341 2 5" xfId="27366"/>
    <cellStyle name="Normal 341 3" xfId="27367"/>
    <cellStyle name="Normal 341 3 2" xfId="27368"/>
    <cellStyle name="Normal 341 3 2 2" xfId="27369"/>
    <cellStyle name="Normal 341 3 2 2 2" xfId="27370"/>
    <cellStyle name="Normal 341 3 2 3" xfId="27371"/>
    <cellStyle name="Normal 341 3 2 3 2" xfId="27372"/>
    <cellStyle name="Normal 341 3 2 3 2 2" xfId="27373"/>
    <cellStyle name="Normal 341 3 2 3 3" xfId="27374"/>
    <cellStyle name="Normal 341 3 2 4" xfId="27375"/>
    <cellStyle name="Normal 341 3 3" xfId="27376"/>
    <cellStyle name="Normal 341 3 3 2" xfId="27377"/>
    <cellStyle name="Normal 341 3 3 2 2" xfId="27378"/>
    <cellStyle name="Normal 341 3 3 3" xfId="27379"/>
    <cellStyle name="Normal 341 3 4" xfId="27380"/>
    <cellStyle name="Normal 341 3 4 2" xfId="27381"/>
    <cellStyle name="Normal 341 3 4 2 2" xfId="27382"/>
    <cellStyle name="Normal 341 3 4 3" xfId="27383"/>
    <cellStyle name="Normal 341 3 5" xfId="27384"/>
    <cellStyle name="Normal 341 3 5 2" xfId="27385"/>
    <cellStyle name="Normal 341 3 5 2 2" xfId="27386"/>
    <cellStyle name="Normal 341 3 5 3" xfId="27387"/>
    <cellStyle name="Normal 341 3 6" xfId="27388"/>
    <cellStyle name="Normal 341 4" xfId="27389"/>
    <cellStyle name="Normal 341 4 2" xfId="27390"/>
    <cellStyle name="Normal 341 4 2 2" xfId="27391"/>
    <cellStyle name="Normal 341 4 3" xfId="27392"/>
    <cellStyle name="Normal 341 5" xfId="27393"/>
    <cellStyle name="Normal 341 5 2" xfId="27394"/>
    <cellStyle name="Normal 341 5 2 2" xfId="27395"/>
    <cellStyle name="Normal 341 5 3" xfId="27396"/>
    <cellStyle name="Normal 341 6" xfId="27397"/>
    <cellStyle name="Normal 341 6 2" xfId="27398"/>
    <cellStyle name="Normal 341 6 2 2" xfId="27399"/>
    <cellStyle name="Normal 341 6 3" xfId="27400"/>
    <cellStyle name="Normal 341 7" xfId="27401"/>
    <cellStyle name="Normal 342" xfId="27402"/>
    <cellStyle name="Normal 342 2" xfId="27403"/>
    <cellStyle name="Normal 342 2 2" xfId="27404"/>
    <cellStyle name="Normal 342 2 2 2" xfId="27405"/>
    <cellStyle name="Normal 342 2 3" xfId="27406"/>
    <cellStyle name="Normal 342 2 3 2" xfId="27407"/>
    <cellStyle name="Normal 342 2 3 2 2" xfId="27408"/>
    <cellStyle name="Normal 342 2 3 3" xfId="27409"/>
    <cellStyle name="Normal 342 2 4" xfId="27410"/>
    <cellStyle name="Normal 342 2 4 2" xfId="27411"/>
    <cellStyle name="Normal 342 2 4 2 2" xfId="27412"/>
    <cellStyle name="Normal 342 2 4 3" xfId="27413"/>
    <cellStyle name="Normal 342 2 5" xfId="27414"/>
    <cellStyle name="Normal 342 3" xfId="27415"/>
    <cellStyle name="Normal 342 3 2" xfId="27416"/>
    <cellStyle name="Normal 342 3 2 2" xfId="27417"/>
    <cellStyle name="Normal 342 3 2 2 2" xfId="27418"/>
    <cellStyle name="Normal 342 3 2 3" xfId="27419"/>
    <cellStyle name="Normal 342 3 2 3 2" xfId="27420"/>
    <cellStyle name="Normal 342 3 2 3 2 2" xfId="27421"/>
    <cellStyle name="Normal 342 3 2 3 3" xfId="27422"/>
    <cellStyle name="Normal 342 3 2 4" xfId="27423"/>
    <cellStyle name="Normal 342 3 3" xfId="27424"/>
    <cellStyle name="Normal 342 3 3 2" xfId="27425"/>
    <cellStyle name="Normal 342 3 3 2 2" xfId="27426"/>
    <cellStyle name="Normal 342 3 3 3" xfId="27427"/>
    <cellStyle name="Normal 342 3 4" xfId="27428"/>
    <cellStyle name="Normal 342 3 4 2" xfId="27429"/>
    <cellStyle name="Normal 342 3 4 2 2" xfId="27430"/>
    <cellStyle name="Normal 342 3 4 3" xfId="27431"/>
    <cellStyle name="Normal 342 3 5" xfId="27432"/>
    <cellStyle name="Normal 342 3 5 2" xfId="27433"/>
    <cellStyle name="Normal 342 3 5 2 2" xfId="27434"/>
    <cellStyle name="Normal 342 3 5 3" xfId="27435"/>
    <cellStyle name="Normal 342 3 6" xfId="27436"/>
    <cellStyle name="Normal 342 4" xfId="27437"/>
    <cellStyle name="Normal 342 4 2" xfId="27438"/>
    <cellStyle name="Normal 342 4 2 2" xfId="27439"/>
    <cellStyle name="Normal 342 4 3" xfId="27440"/>
    <cellStyle name="Normal 342 5" xfId="27441"/>
    <cellStyle name="Normal 342 5 2" xfId="27442"/>
    <cellStyle name="Normal 342 5 2 2" xfId="27443"/>
    <cellStyle name="Normal 342 5 3" xfId="27444"/>
    <cellStyle name="Normal 342 6" xfId="27445"/>
    <cellStyle name="Normal 342 6 2" xfId="27446"/>
    <cellStyle name="Normal 342 6 2 2" xfId="27447"/>
    <cellStyle name="Normal 342 6 3" xfId="27448"/>
    <cellStyle name="Normal 342 7" xfId="27449"/>
    <cellStyle name="Normal 343" xfId="27450"/>
    <cellStyle name="Normal 343 2" xfId="27451"/>
    <cellStyle name="Normal 343 2 2" xfId="27452"/>
    <cellStyle name="Normal 343 2 2 2" xfId="27453"/>
    <cellStyle name="Normal 343 2 3" xfId="27454"/>
    <cellStyle name="Normal 343 2 3 2" xfId="27455"/>
    <cellStyle name="Normal 343 2 3 2 2" xfId="27456"/>
    <cellStyle name="Normal 343 2 3 3" xfId="27457"/>
    <cellStyle name="Normal 343 2 4" xfId="27458"/>
    <cellStyle name="Normal 343 2 4 2" xfId="27459"/>
    <cellStyle name="Normal 343 2 4 2 2" xfId="27460"/>
    <cellStyle name="Normal 343 2 4 3" xfId="27461"/>
    <cellStyle name="Normal 343 2 5" xfId="27462"/>
    <cellStyle name="Normal 343 3" xfId="27463"/>
    <cellStyle name="Normal 343 3 2" xfId="27464"/>
    <cellStyle name="Normal 343 3 2 2" xfId="27465"/>
    <cellStyle name="Normal 343 3 2 2 2" xfId="27466"/>
    <cellStyle name="Normal 343 3 2 3" xfId="27467"/>
    <cellStyle name="Normal 343 3 2 3 2" xfId="27468"/>
    <cellStyle name="Normal 343 3 2 3 2 2" xfId="27469"/>
    <cellStyle name="Normal 343 3 2 3 3" xfId="27470"/>
    <cellStyle name="Normal 343 3 2 4" xfId="27471"/>
    <cellStyle name="Normal 343 3 3" xfId="27472"/>
    <cellStyle name="Normal 343 3 3 2" xfId="27473"/>
    <cellStyle name="Normal 343 3 3 2 2" xfId="27474"/>
    <cellStyle name="Normal 343 3 3 3" xfId="27475"/>
    <cellStyle name="Normal 343 3 4" xfId="27476"/>
    <cellStyle name="Normal 343 3 4 2" xfId="27477"/>
    <cellStyle name="Normal 343 3 4 2 2" xfId="27478"/>
    <cellStyle name="Normal 343 3 4 3" xfId="27479"/>
    <cellStyle name="Normal 343 3 5" xfId="27480"/>
    <cellStyle name="Normal 343 3 5 2" xfId="27481"/>
    <cellStyle name="Normal 343 3 5 2 2" xfId="27482"/>
    <cellStyle name="Normal 343 3 5 3" xfId="27483"/>
    <cellStyle name="Normal 343 3 6" xfId="27484"/>
    <cellStyle name="Normal 343 4" xfId="27485"/>
    <cellStyle name="Normal 343 4 2" xfId="27486"/>
    <cellStyle name="Normal 343 4 2 2" xfId="27487"/>
    <cellStyle name="Normal 343 4 3" xfId="27488"/>
    <cellStyle name="Normal 343 5" xfId="27489"/>
    <cellStyle name="Normal 343 5 2" xfId="27490"/>
    <cellStyle name="Normal 343 5 2 2" xfId="27491"/>
    <cellStyle name="Normal 343 5 3" xfId="27492"/>
    <cellStyle name="Normal 343 6" xfId="27493"/>
    <cellStyle name="Normal 343 6 2" xfId="27494"/>
    <cellStyle name="Normal 343 6 2 2" xfId="27495"/>
    <cellStyle name="Normal 343 6 3" xfId="27496"/>
    <cellStyle name="Normal 343 7" xfId="27497"/>
    <cellStyle name="Normal 344" xfId="27498"/>
    <cellStyle name="Normal 344 2" xfId="27499"/>
    <cellStyle name="Normal 344 2 2" xfId="27500"/>
    <cellStyle name="Normal 344 2 2 2" xfId="27501"/>
    <cellStyle name="Normal 344 2 3" xfId="27502"/>
    <cellStyle name="Normal 344 2 3 2" xfId="27503"/>
    <cellStyle name="Normal 344 2 3 2 2" xfId="27504"/>
    <cellStyle name="Normal 344 2 3 3" xfId="27505"/>
    <cellStyle name="Normal 344 2 4" xfId="27506"/>
    <cellStyle name="Normal 344 2 4 2" xfId="27507"/>
    <cellStyle name="Normal 344 2 4 2 2" xfId="27508"/>
    <cellStyle name="Normal 344 2 4 3" xfId="27509"/>
    <cellStyle name="Normal 344 2 5" xfId="27510"/>
    <cellStyle name="Normal 344 3" xfId="27511"/>
    <cellStyle name="Normal 344 3 2" xfId="27512"/>
    <cellStyle name="Normal 344 3 2 2" xfId="27513"/>
    <cellStyle name="Normal 344 3 2 2 2" xfId="27514"/>
    <cellStyle name="Normal 344 3 2 3" xfId="27515"/>
    <cellStyle name="Normal 344 3 2 3 2" xfId="27516"/>
    <cellStyle name="Normal 344 3 2 3 2 2" xfId="27517"/>
    <cellStyle name="Normal 344 3 2 3 3" xfId="27518"/>
    <cellStyle name="Normal 344 3 2 4" xfId="27519"/>
    <cellStyle name="Normal 344 3 3" xfId="27520"/>
    <cellStyle name="Normal 344 3 3 2" xfId="27521"/>
    <cellStyle name="Normal 344 3 3 2 2" xfId="27522"/>
    <cellStyle name="Normal 344 3 3 3" xfId="27523"/>
    <cellStyle name="Normal 344 3 4" xfId="27524"/>
    <cellStyle name="Normal 344 3 4 2" xfId="27525"/>
    <cellStyle name="Normal 344 3 4 2 2" xfId="27526"/>
    <cellStyle name="Normal 344 3 4 3" xfId="27527"/>
    <cellStyle name="Normal 344 3 5" xfId="27528"/>
    <cellStyle name="Normal 344 3 5 2" xfId="27529"/>
    <cellStyle name="Normal 344 3 5 2 2" xfId="27530"/>
    <cellStyle name="Normal 344 3 5 3" xfId="27531"/>
    <cellStyle name="Normal 344 3 6" xfId="27532"/>
    <cellStyle name="Normal 344 4" xfId="27533"/>
    <cellStyle name="Normal 344 4 2" xfId="27534"/>
    <cellStyle name="Normal 344 4 2 2" xfId="27535"/>
    <cellStyle name="Normal 344 4 3" xfId="27536"/>
    <cellStyle name="Normal 344 5" xfId="27537"/>
    <cellStyle name="Normal 344 5 2" xfId="27538"/>
    <cellStyle name="Normal 344 5 2 2" xfId="27539"/>
    <cellStyle name="Normal 344 5 3" xfId="27540"/>
    <cellStyle name="Normal 344 6" xfId="27541"/>
    <cellStyle name="Normal 344 6 2" xfId="27542"/>
    <cellStyle name="Normal 344 6 2 2" xfId="27543"/>
    <cellStyle name="Normal 344 6 3" xfId="27544"/>
    <cellStyle name="Normal 344 7" xfId="27545"/>
    <cellStyle name="Normal 345" xfId="27546"/>
    <cellStyle name="Normal 345 2" xfId="27547"/>
    <cellStyle name="Normal 345 2 2" xfId="27548"/>
    <cellStyle name="Normal 345 2 2 2" xfId="27549"/>
    <cellStyle name="Normal 345 2 3" xfId="27550"/>
    <cellStyle name="Normal 345 2 3 2" xfId="27551"/>
    <cellStyle name="Normal 345 2 3 2 2" xfId="27552"/>
    <cellStyle name="Normal 345 2 3 3" xfId="27553"/>
    <cellStyle name="Normal 345 2 4" xfId="27554"/>
    <cellStyle name="Normal 345 2 4 2" xfId="27555"/>
    <cellStyle name="Normal 345 2 4 2 2" xfId="27556"/>
    <cellStyle name="Normal 345 2 4 3" xfId="27557"/>
    <cellStyle name="Normal 345 2 5" xfId="27558"/>
    <cellStyle name="Normal 345 3" xfId="27559"/>
    <cellStyle name="Normal 345 3 2" xfId="27560"/>
    <cellStyle name="Normal 345 3 2 2" xfId="27561"/>
    <cellStyle name="Normal 345 3 2 2 2" xfId="27562"/>
    <cellStyle name="Normal 345 3 2 3" xfId="27563"/>
    <cellStyle name="Normal 345 3 2 3 2" xfId="27564"/>
    <cellStyle name="Normal 345 3 2 3 2 2" xfId="27565"/>
    <cellStyle name="Normal 345 3 2 3 3" xfId="27566"/>
    <cellStyle name="Normal 345 3 2 4" xfId="27567"/>
    <cellStyle name="Normal 345 3 3" xfId="27568"/>
    <cellStyle name="Normal 345 3 3 2" xfId="27569"/>
    <cellStyle name="Normal 345 3 3 2 2" xfId="27570"/>
    <cellStyle name="Normal 345 3 3 3" xfId="27571"/>
    <cellStyle name="Normal 345 3 4" xfId="27572"/>
    <cellStyle name="Normal 345 3 4 2" xfId="27573"/>
    <cellStyle name="Normal 345 3 4 2 2" xfId="27574"/>
    <cellStyle name="Normal 345 3 4 3" xfId="27575"/>
    <cellStyle name="Normal 345 3 5" xfId="27576"/>
    <cellStyle name="Normal 345 3 5 2" xfId="27577"/>
    <cellStyle name="Normal 345 3 5 2 2" xfId="27578"/>
    <cellStyle name="Normal 345 3 5 3" xfId="27579"/>
    <cellStyle name="Normal 345 3 6" xfId="27580"/>
    <cellStyle name="Normal 345 4" xfId="27581"/>
    <cellStyle name="Normal 345 4 2" xfId="27582"/>
    <cellStyle name="Normal 345 4 2 2" xfId="27583"/>
    <cellStyle name="Normal 345 4 3" xfId="27584"/>
    <cellStyle name="Normal 345 5" xfId="27585"/>
    <cellStyle name="Normal 345 5 2" xfId="27586"/>
    <cellStyle name="Normal 345 5 2 2" xfId="27587"/>
    <cellStyle name="Normal 345 5 3" xfId="27588"/>
    <cellStyle name="Normal 345 6" xfId="27589"/>
    <cellStyle name="Normal 345 6 2" xfId="27590"/>
    <cellStyle name="Normal 345 6 2 2" xfId="27591"/>
    <cellStyle name="Normal 345 6 3" xfId="27592"/>
    <cellStyle name="Normal 345 7" xfId="27593"/>
    <cellStyle name="Normal 346" xfId="27594"/>
    <cellStyle name="Normal 346 2" xfId="27595"/>
    <cellStyle name="Normal 346 2 2" xfId="27596"/>
    <cellStyle name="Normal 346 2 2 2" xfId="27597"/>
    <cellStyle name="Normal 346 2 3" xfId="27598"/>
    <cellStyle name="Normal 346 2 3 2" xfId="27599"/>
    <cellStyle name="Normal 346 2 3 2 2" xfId="27600"/>
    <cellStyle name="Normal 346 2 3 3" xfId="27601"/>
    <cellStyle name="Normal 346 2 4" xfId="27602"/>
    <cellStyle name="Normal 346 2 4 2" xfId="27603"/>
    <cellStyle name="Normal 346 2 4 2 2" xfId="27604"/>
    <cellStyle name="Normal 346 2 4 3" xfId="27605"/>
    <cellStyle name="Normal 346 2 5" xfId="27606"/>
    <cellStyle name="Normal 346 3" xfId="27607"/>
    <cellStyle name="Normal 346 3 2" xfId="27608"/>
    <cellStyle name="Normal 346 3 2 2" xfId="27609"/>
    <cellStyle name="Normal 346 3 2 2 2" xfId="27610"/>
    <cellStyle name="Normal 346 3 2 3" xfId="27611"/>
    <cellStyle name="Normal 346 3 2 3 2" xfId="27612"/>
    <cellStyle name="Normal 346 3 2 3 2 2" xfId="27613"/>
    <cellStyle name="Normal 346 3 2 3 3" xfId="27614"/>
    <cellStyle name="Normal 346 3 2 4" xfId="27615"/>
    <cellStyle name="Normal 346 3 3" xfId="27616"/>
    <cellStyle name="Normal 346 3 3 2" xfId="27617"/>
    <cellStyle name="Normal 346 3 3 2 2" xfId="27618"/>
    <cellStyle name="Normal 346 3 3 3" xfId="27619"/>
    <cellStyle name="Normal 346 3 4" xfId="27620"/>
    <cellStyle name="Normal 346 3 4 2" xfId="27621"/>
    <cellStyle name="Normal 346 3 4 2 2" xfId="27622"/>
    <cellStyle name="Normal 346 3 4 3" xfId="27623"/>
    <cellStyle name="Normal 346 3 5" xfId="27624"/>
    <cellStyle name="Normal 346 3 5 2" xfId="27625"/>
    <cellStyle name="Normal 346 3 5 2 2" xfId="27626"/>
    <cellStyle name="Normal 346 3 5 3" xfId="27627"/>
    <cellStyle name="Normal 346 3 6" xfId="27628"/>
    <cellStyle name="Normal 346 4" xfId="27629"/>
    <cellStyle name="Normal 346 4 2" xfId="27630"/>
    <cellStyle name="Normal 346 4 2 2" xfId="27631"/>
    <cellStyle name="Normal 346 4 3" xfId="27632"/>
    <cellStyle name="Normal 346 5" xfId="27633"/>
    <cellStyle name="Normal 346 5 2" xfId="27634"/>
    <cellStyle name="Normal 346 5 2 2" xfId="27635"/>
    <cellStyle name="Normal 346 5 3" xfId="27636"/>
    <cellStyle name="Normal 346 6" xfId="27637"/>
    <cellStyle name="Normal 346 6 2" xfId="27638"/>
    <cellStyle name="Normal 346 6 2 2" xfId="27639"/>
    <cellStyle name="Normal 346 6 3" xfId="27640"/>
    <cellStyle name="Normal 346 7" xfId="27641"/>
    <cellStyle name="Normal 347" xfId="27642"/>
    <cellStyle name="Normal 347 2" xfId="27643"/>
    <cellStyle name="Normal 347 2 2" xfId="27644"/>
    <cellStyle name="Normal 347 2 2 2" xfId="27645"/>
    <cellStyle name="Normal 347 2 3" xfId="27646"/>
    <cellStyle name="Normal 347 2 3 2" xfId="27647"/>
    <cellStyle name="Normal 347 2 3 2 2" xfId="27648"/>
    <cellStyle name="Normal 347 2 3 3" xfId="27649"/>
    <cellStyle name="Normal 347 2 4" xfId="27650"/>
    <cellStyle name="Normal 347 2 4 2" xfId="27651"/>
    <cellStyle name="Normal 347 2 4 2 2" xfId="27652"/>
    <cellStyle name="Normal 347 2 4 3" xfId="27653"/>
    <cellStyle name="Normal 347 2 5" xfId="27654"/>
    <cellStyle name="Normal 347 3" xfId="27655"/>
    <cellStyle name="Normal 347 3 2" xfId="27656"/>
    <cellStyle name="Normal 347 3 2 2" xfId="27657"/>
    <cellStyle name="Normal 347 3 2 2 2" xfId="27658"/>
    <cellStyle name="Normal 347 3 2 3" xfId="27659"/>
    <cellStyle name="Normal 347 3 2 3 2" xfId="27660"/>
    <cellStyle name="Normal 347 3 2 3 2 2" xfId="27661"/>
    <cellStyle name="Normal 347 3 2 3 3" xfId="27662"/>
    <cellStyle name="Normal 347 3 2 4" xfId="27663"/>
    <cellStyle name="Normal 347 3 3" xfId="27664"/>
    <cellStyle name="Normal 347 3 3 2" xfId="27665"/>
    <cellStyle name="Normal 347 3 3 2 2" xfId="27666"/>
    <cellStyle name="Normal 347 3 3 3" xfId="27667"/>
    <cellStyle name="Normal 347 3 4" xfId="27668"/>
    <cellStyle name="Normal 347 3 4 2" xfId="27669"/>
    <cellStyle name="Normal 347 3 4 2 2" xfId="27670"/>
    <cellStyle name="Normal 347 3 4 3" xfId="27671"/>
    <cellStyle name="Normal 347 3 5" xfId="27672"/>
    <cellStyle name="Normal 347 3 5 2" xfId="27673"/>
    <cellStyle name="Normal 347 3 5 2 2" xfId="27674"/>
    <cellStyle name="Normal 347 3 5 3" xfId="27675"/>
    <cellStyle name="Normal 347 3 6" xfId="27676"/>
    <cellStyle name="Normal 347 4" xfId="27677"/>
    <cellStyle name="Normal 347 4 2" xfId="27678"/>
    <cellStyle name="Normal 347 4 2 2" xfId="27679"/>
    <cellStyle name="Normal 347 4 3" xfId="27680"/>
    <cellStyle name="Normal 347 5" xfId="27681"/>
    <cellStyle name="Normal 347 5 2" xfId="27682"/>
    <cellStyle name="Normal 347 5 2 2" xfId="27683"/>
    <cellStyle name="Normal 347 5 3" xfId="27684"/>
    <cellStyle name="Normal 347 6" xfId="27685"/>
    <cellStyle name="Normal 347 6 2" xfId="27686"/>
    <cellStyle name="Normal 347 6 2 2" xfId="27687"/>
    <cellStyle name="Normal 347 6 3" xfId="27688"/>
    <cellStyle name="Normal 347 7" xfId="27689"/>
    <cellStyle name="Normal 348" xfId="27690"/>
    <cellStyle name="Normal 348 2" xfId="27691"/>
    <cellStyle name="Normal 348 2 2" xfId="27692"/>
    <cellStyle name="Normal 348 2 2 2" xfId="27693"/>
    <cellStyle name="Normal 348 2 3" xfId="27694"/>
    <cellStyle name="Normal 348 2 3 2" xfId="27695"/>
    <cellStyle name="Normal 348 2 3 2 2" xfId="27696"/>
    <cellStyle name="Normal 348 2 3 3" xfId="27697"/>
    <cellStyle name="Normal 348 2 4" xfId="27698"/>
    <cellStyle name="Normal 348 2 4 2" xfId="27699"/>
    <cellStyle name="Normal 348 2 4 2 2" xfId="27700"/>
    <cellStyle name="Normal 348 2 4 3" xfId="27701"/>
    <cellStyle name="Normal 348 2 5" xfId="27702"/>
    <cellStyle name="Normal 348 3" xfId="27703"/>
    <cellStyle name="Normal 348 3 2" xfId="27704"/>
    <cellStyle name="Normal 348 3 2 2" xfId="27705"/>
    <cellStyle name="Normal 348 3 2 2 2" xfId="27706"/>
    <cellStyle name="Normal 348 3 2 3" xfId="27707"/>
    <cellStyle name="Normal 348 3 2 3 2" xfId="27708"/>
    <cellStyle name="Normal 348 3 2 3 2 2" xfId="27709"/>
    <cellStyle name="Normal 348 3 2 3 3" xfId="27710"/>
    <cellStyle name="Normal 348 3 2 4" xfId="27711"/>
    <cellStyle name="Normal 348 3 3" xfId="27712"/>
    <cellStyle name="Normal 348 3 3 2" xfId="27713"/>
    <cellStyle name="Normal 348 3 3 2 2" xfId="27714"/>
    <cellStyle name="Normal 348 3 3 3" xfId="27715"/>
    <cellStyle name="Normal 348 3 4" xfId="27716"/>
    <cellStyle name="Normal 348 3 4 2" xfId="27717"/>
    <cellStyle name="Normal 348 3 4 2 2" xfId="27718"/>
    <cellStyle name="Normal 348 3 4 3" xfId="27719"/>
    <cellStyle name="Normal 348 3 5" xfId="27720"/>
    <cellStyle name="Normal 348 3 5 2" xfId="27721"/>
    <cellStyle name="Normal 348 3 5 2 2" xfId="27722"/>
    <cellStyle name="Normal 348 3 5 3" xfId="27723"/>
    <cellStyle name="Normal 348 3 6" xfId="27724"/>
    <cellStyle name="Normal 348 4" xfId="27725"/>
    <cellStyle name="Normal 348 4 2" xfId="27726"/>
    <cellStyle name="Normal 348 4 2 2" xfId="27727"/>
    <cellStyle name="Normal 348 4 3" xfId="27728"/>
    <cellStyle name="Normal 348 5" xfId="27729"/>
    <cellStyle name="Normal 348 5 2" xfId="27730"/>
    <cellStyle name="Normal 348 5 2 2" xfId="27731"/>
    <cellStyle name="Normal 348 5 3" xfId="27732"/>
    <cellStyle name="Normal 348 6" xfId="27733"/>
    <cellStyle name="Normal 348 6 2" xfId="27734"/>
    <cellStyle name="Normal 348 6 2 2" xfId="27735"/>
    <cellStyle name="Normal 348 6 3" xfId="27736"/>
    <cellStyle name="Normal 348 7" xfId="27737"/>
    <cellStyle name="Normal 349" xfId="27738"/>
    <cellStyle name="Normal 349 2" xfId="27739"/>
    <cellStyle name="Normal 349 2 2" xfId="27740"/>
    <cellStyle name="Normal 349 2 2 2" xfId="27741"/>
    <cellStyle name="Normal 349 2 3" xfId="27742"/>
    <cellStyle name="Normal 349 2 3 2" xfId="27743"/>
    <cellStyle name="Normal 349 2 3 2 2" xfId="27744"/>
    <cellStyle name="Normal 349 2 3 3" xfId="27745"/>
    <cellStyle name="Normal 349 2 4" xfId="27746"/>
    <cellStyle name="Normal 349 2 4 2" xfId="27747"/>
    <cellStyle name="Normal 349 2 4 2 2" xfId="27748"/>
    <cellStyle name="Normal 349 2 4 3" xfId="27749"/>
    <cellStyle name="Normal 349 2 5" xfId="27750"/>
    <cellStyle name="Normal 349 3" xfId="27751"/>
    <cellStyle name="Normal 349 3 2" xfId="27752"/>
    <cellStyle name="Normal 349 3 2 2" xfId="27753"/>
    <cellStyle name="Normal 349 3 2 2 2" xfId="27754"/>
    <cellStyle name="Normal 349 3 2 3" xfId="27755"/>
    <cellStyle name="Normal 349 3 2 3 2" xfId="27756"/>
    <cellStyle name="Normal 349 3 2 3 2 2" xfId="27757"/>
    <cellStyle name="Normal 349 3 2 3 3" xfId="27758"/>
    <cellStyle name="Normal 349 3 2 4" xfId="27759"/>
    <cellStyle name="Normal 349 3 3" xfId="27760"/>
    <cellStyle name="Normal 349 3 3 2" xfId="27761"/>
    <cellStyle name="Normal 349 3 3 2 2" xfId="27762"/>
    <cellStyle name="Normal 349 3 3 3" xfId="27763"/>
    <cellStyle name="Normal 349 3 4" xfId="27764"/>
    <cellStyle name="Normal 349 3 4 2" xfId="27765"/>
    <cellStyle name="Normal 349 3 4 2 2" xfId="27766"/>
    <cellStyle name="Normal 349 3 4 3" xfId="27767"/>
    <cellStyle name="Normal 349 3 5" xfId="27768"/>
    <cellStyle name="Normal 349 3 5 2" xfId="27769"/>
    <cellStyle name="Normal 349 3 5 2 2" xfId="27770"/>
    <cellStyle name="Normal 349 3 5 3" xfId="27771"/>
    <cellStyle name="Normal 349 3 6" xfId="27772"/>
    <cellStyle name="Normal 349 4" xfId="27773"/>
    <cellStyle name="Normal 349 4 2" xfId="27774"/>
    <cellStyle name="Normal 349 4 2 2" xfId="27775"/>
    <cellStyle name="Normal 349 4 3" xfId="27776"/>
    <cellStyle name="Normal 349 5" xfId="27777"/>
    <cellStyle name="Normal 349 5 2" xfId="27778"/>
    <cellStyle name="Normal 349 5 2 2" xfId="27779"/>
    <cellStyle name="Normal 349 5 3" xfId="27780"/>
    <cellStyle name="Normal 349 6" xfId="27781"/>
    <cellStyle name="Normal 349 6 2" xfId="27782"/>
    <cellStyle name="Normal 349 6 2 2" xfId="27783"/>
    <cellStyle name="Normal 349 6 3" xfId="27784"/>
    <cellStyle name="Normal 349 7" xfId="27785"/>
    <cellStyle name="Normal 35" xfId="27786"/>
    <cellStyle name="Normal 35 2" xfId="27787"/>
    <cellStyle name="Normal 35 2 2" xfId="27788"/>
    <cellStyle name="Normal 35 2 2 2" xfId="27789"/>
    <cellStyle name="Normal 35 2 2 2 2" xfId="27790"/>
    <cellStyle name="Normal 35 2 2 3" xfId="27791"/>
    <cellStyle name="Normal 35 2 2 3 2" xfId="27792"/>
    <cellStyle name="Normal 35 2 2 3 2 2" xfId="27793"/>
    <cellStyle name="Normal 35 2 2 3 3" xfId="27794"/>
    <cellStyle name="Normal 35 2 2 4" xfId="27795"/>
    <cellStyle name="Normal 35 2 2 4 2" xfId="27796"/>
    <cellStyle name="Normal 35 2 2 4 2 2" xfId="27797"/>
    <cellStyle name="Normal 35 2 2 4 3" xfId="27798"/>
    <cellStyle name="Normal 35 2 2 5" xfId="27799"/>
    <cellStyle name="Normal 35 2 3" xfId="27800"/>
    <cellStyle name="Normal 35 2 3 2" xfId="27801"/>
    <cellStyle name="Normal 35 2 3 2 2" xfId="27802"/>
    <cellStyle name="Normal 35 2 3 3" xfId="27803"/>
    <cellStyle name="Normal 35 2 4" xfId="27804"/>
    <cellStyle name="Normal 35 2 4 2" xfId="27805"/>
    <cellStyle name="Normal 35 2 4 2 2" xfId="27806"/>
    <cellStyle name="Normal 35 2 4 3" xfId="27807"/>
    <cellStyle name="Normal 35 2 5" xfId="27808"/>
    <cellStyle name="Normal 35 2 5 2" xfId="27809"/>
    <cellStyle name="Normal 35 2 5 2 2" xfId="27810"/>
    <cellStyle name="Normal 35 2 5 3" xfId="27811"/>
    <cellStyle name="Normal 35 2 6" xfId="27812"/>
    <cellStyle name="Normal 35 3" xfId="27813"/>
    <cellStyle name="Normal 35 3 2" xfId="27814"/>
    <cellStyle name="Normal 35 3 2 2" xfId="27815"/>
    <cellStyle name="Normal 35 3 3" xfId="27816"/>
    <cellStyle name="Normal 35 3 3 2" xfId="27817"/>
    <cellStyle name="Normal 35 3 3 2 2" xfId="27818"/>
    <cellStyle name="Normal 35 3 3 3" xfId="27819"/>
    <cellStyle name="Normal 35 3 4" xfId="27820"/>
    <cellStyle name="Normal 35 3 4 2" xfId="27821"/>
    <cellStyle name="Normal 35 3 4 2 2" xfId="27822"/>
    <cellStyle name="Normal 35 3 4 3" xfId="27823"/>
    <cellStyle name="Normal 35 3 5" xfId="27824"/>
    <cellStyle name="Normal 35 4" xfId="27825"/>
    <cellStyle name="Normal 35 4 2" xfId="27826"/>
    <cellStyle name="Normal 35 4 2 2" xfId="27827"/>
    <cellStyle name="Normal 35 4 3" xfId="27828"/>
    <cellStyle name="Normal 35 5" xfId="27829"/>
    <cellStyle name="Normal 35 5 2" xfId="27830"/>
    <cellStyle name="Normal 35 5 2 2" xfId="27831"/>
    <cellStyle name="Normal 35 5 3" xfId="27832"/>
    <cellStyle name="Normal 35 6" xfId="27833"/>
    <cellStyle name="Normal 35 6 2" xfId="27834"/>
    <cellStyle name="Normal 35 6 2 2" xfId="27835"/>
    <cellStyle name="Normal 35 6 3" xfId="27836"/>
    <cellStyle name="Normal 35 7" xfId="27837"/>
    <cellStyle name="Normal 350" xfId="27838"/>
    <cellStyle name="Normal 350 2" xfId="27839"/>
    <cellStyle name="Normal 350 2 2" xfId="27840"/>
    <cellStyle name="Normal 350 2 2 2" xfId="27841"/>
    <cellStyle name="Normal 350 2 3" xfId="27842"/>
    <cellStyle name="Normal 350 2 3 2" xfId="27843"/>
    <cellStyle name="Normal 350 2 3 2 2" xfId="27844"/>
    <cellStyle name="Normal 350 2 3 3" xfId="27845"/>
    <cellStyle name="Normal 350 2 4" xfId="27846"/>
    <cellStyle name="Normal 350 2 4 2" xfId="27847"/>
    <cellStyle name="Normal 350 2 4 2 2" xfId="27848"/>
    <cellStyle name="Normal 350 2 4 3" xfId="27849"/>
    <cellStyle name="Normal 350 2 5" xfId="27850"/>
    <cellStyle name="Normal 350 3" xfId="27851"/>
    <cellStyle name="Normal 350 3 2" xfId="27852"/>
    <cellStyle name="Normal 350 3 2 2" xfId="27853"/>
    <cellStyle name="Normal 350 3 2 2 2" xfId="27854"/>
    <cellStyle name="Normal 350 3 2 3" xfId="27855"/>
    <cellStyle name="Normal 350 3 2 3 2" xfId="27856"/>
    <cellStyle name="Normal 350 3 2 3 2 2" xfId="27857"/>
    <cellStyle name="Normal 350 3 2 3 3" xfId="27858"/>
    <cellStyle name="Normal 350 3 2 4" xfId="27859"/>
    <cellStyle name="Normal 350 3 3" xfId="27860"/>
    <cellStyle name="Normal 350 3 3 2" xfId="27861"/>
    <cellStyle name="Normal 350 3 3 2 2" xfId="27862"/>
    <cellStyle name="Normal 350 3 3 3" xfId="27863"/>
    <cellStyle name="Normal 350 3 4" xfId="27864"/>
    <cellStyle name="Normal 350 3 4 2" xfId="27865"/>
    <cellStyle name="Normal 350 3 4 2 2" xfId="27866"/>
    <cellStyle name="Normal 350 3 4 3" xfId="27867"/>
    <cellStyle name="Normal 350 3 5" xfId="27868"/>
    <cellStyle name="Normal 350 3 5 2" xfId="27869"/>
    <cellStyle name="Normal 350 3 5 2 2" xfId="27870"/>
    <cellStyle name="Normal 350 3 5 3" xfId="27871"/>
    <cellStyle name="Normal 350 3 6" xfId="27872"/>
    <cellStyle name="Normal 350 4" xfId="27873"/>
    <cellStyle name="Normal 350 4 2" xfId="27874"/>
    <cellStyle name="Normal 350 4 2 2" xfId="27875"/>
    <cellStyle name="Normal 350 4 3" xfId="27876"/>
    <cellStyle name="Normal 350 5" xfId="27877"/>
    <cellStyle name="Normal 350 5 2" xfId="27878"/>
    <cellStyle name="Normal 350 5 2 2" xfId="27879"/>
    <cellStyle name="Normal 350 5 3" xfId="27880"/>
    <cellStyle name="Normal 350 6" xfId="27881"/>
    <cellStyle name="Normal 350 6 2" xfId="27882"/>
    <cellStyle name="Normal 350 6 2 2" xfId="27883"/>
    <cellStyle name="Normal 350 6 3" xfId="27884"/>
    <cellStyle name="Normal 350 7" xfId="27885"/>
    <cellStyle name="Normal 351" xfId="27886"/>
    <cellStyle name="Normal 351 2" xfId="27887"/>
    <cellStyle name="Normal 351 2 2" xfId="27888"/>
    <cellStyle name="Normal 351 2 2 2" xfId="27889"/>
    <cellStyle name="Normal 351 2 3" xfId="27890"/>
    <cellStyle name="Normal 351 2 3 2" xfId="27891"/>
    <cellStyle name="Normal 351 2 3 2 2" xfId="27892"/>
    <cellStyle name="Normal 351 2 3 3" xfId="27893"/>
    <cellStyle name="Normal 351 2 4" xfId="27894"/>
    <cellStyle name="Normal 351 2 4 2" xfId="27895"/>
    <cellStyle name="Normal 351 2 4 2 2" xfId="27896"/>
    <cellStyle name="Normal 351 2 4 3" xfId="27897"/>
    <cellStyle name="Normal 351 2 5" xfId="27898"/>
    <cellStyle name="Normal 351 3" xfId="27899"/>
    <cellStyle name="Normal 351 3 2" xfId="27900"/>
    <cellStyle name="Normal 351 3 2 2" xfId="27901"/>
    <cellStyle name="Normal 351 3 2 2 2" xfId="27902"/>
    <cellStyle name="Normal 351 3 2 3" xfId="27903"/>
    <cellStyle name="Normal 351 3 2 3 2" xfId="27904"/>
    <cellStyle name="Normal 351 3 2 3 2 2" xfId="27905"/>
    <cellStyle name="Normal 351 3 2 3 3" xfId="27906"/>
    <cellStyle name="Normal 351 3 2 4" xfId="27907"/>
    <cellStyle name="Normal 351 3 3" xfId="27908"/>
    <cellStyle name="Normal 351 3 3 2" xfId="27909"/>
    <cellStyle name="Normal 351 3 3 2 2" xfId="27910"/>
    <cellStyle name="Normal 351 3 3 3" xfId="27911"/>
    <cellStyle name="Normal 351 3 4" xfId="27912"/>
    <cellStyle name="Normal 351 3 4 2" xfId="27913"/>
    <cellStyle name="Normal 351 3 4 2 2" xfId="27914"/>
    <cellStyle name="Normal 351 3 4 3" xfId="27915"/>
    <cellStyle name="Normal 351 3 5" xfId="27916"/>
    <cellStyle name="Normal 351 3 5 2" xfId="27917"/>
    <cellStyle name="Normal 351 3 5 2 2" xfId="27918"/>
    <cellStyle name="Normal 351 3 5 3" xfId="27919"/>
    <cellStyle name="Normal 351 3 6" xfId="27920"/>
    <cellStyle name="Normal 351 4" xfId="27921"/>
    <cellStyle name="Normal 351 4 2" xfId="27922"/>
    <cellStyle name="Normal 351 4 2 2" xfId="27923"/>
    <cellStyle name="Normal 351 4 3" xfId="27924"/>
    <cellStyle name="Normal 351 5" xfId="27925"/>
    <cellStyle name="Normal 351 5 2" xfId="27926"/>
    <cellStyle name="Normal 351 5 2 2" xfId="27927"/>
    <cellStyle name="Normal 351 5 3" xfId="27928"/>
    <cellStyle name="Normal 351 6" xfId="27929"/>
    <cellStyle name="Normal 351 6 2" xfId="27930"/>
    <cellStyle name="Normal 351 6 2 2" xfId="27931"/>
    <cellStyle name="Normal 351 6 3" xfId="27932"/>
    <cellStyle name="Normal 351 7" xfId="27933"/>
    <cellStyle name="Normal 352" xfId="27934"/>
    <cellStyle name="Normal 352 2" xfId="27935"/>
    <cellStyle name="Normal 352 2 2" xfId="27936"/>
    <cellStyle name="Normal 352 2 2 2" xfId="27937"/>
    <cellStyle name="Normal 352 2 3" xfId="27938"/>
    <cellStyle name="Normal 352 2 3 2" xfId="27939"/>
    <cellStyle name="Normal 352 2 3 2 2" xfId="27940"/>
    <cellStyle name="Normal 352 2 3 3" xfId="27941"/>
    <cellStyle name="Normal 352 2 4" xfId="27942"/>
    <cellStyle name="Normal 352 2 4 2" xfId="27943"/>
    <cellStyle name="Normal 352 2 4 2 2" xfId="27944"/>
    <cellStyle name="Normal 352 2 4 3" xfId="27945"/>
    <cellStyle name="Normal 352 2 5" xfId="27946"/>
    <cellStyle name="Normal 352 3" xfId="27947"/>
    <cellStyle name="Normal 352 3 2" xfId="27948"/>
    <cellStyle name="Normal 352 3 2 2" xfId="27949"/>
    <cellStyle name="Normal 352 3 2 2 2" xfId="27950"/>
    <cellStyle name="Normal 352 3 2 3" xfId="27951"/>
    <cellStyle name="Normal 352 3 2 3 2" xfId="27952"/>
    <cellStyle name="Normal 352 3 2 3 2 2" xfId="27953"/>
    <cellStyle name="Normal 352 3 2 3 3" xfId="27954"/>
    <cellStyle name="Normal 352 3 2 4" xfId="27955"/>
    <cellStyle name="Normal 352 3 3" xfId="27956"/>
    <cellStyle name="Normal 352 3 3 2" xfId="27957"/>
    <cellStyle name="Normal 352 3 3 2 2" xfId="27958"/>
    <cellStyle name="Normal 352 3 3 3" xfId="27959"/>
    <cellStyle name="Normal 352 3 4" xfId="27960"/>
    <cellStyle name="Normal 352 3 4 2" xfId="27961"/>
    <cellStyle name="Normal 352 3 4 2 2" xfId="27962"/>
    <cellStyle name="Normal 352 3 4 3" xfId="27963"/>
    <cellStyle name="Normal 352 3 5" xfId="27964"/>
    <cellStyle name="Normal 352 3 5 2" xfId="27965"/>
    <cellStyle name="Normal 352 3 5 2 2" xfId="27966"/>
    <cellStyle name="Normal 352 3 5 3" xfId="27967"/>
    <cellStyle name="Normal 352 3 6" xfId="27968"/>
    <cellStyle name="Normal 352 4" xfId="27969"/>
    <cellStyle name="Normal 352 4 2" xfId="27970"/>
    <cellStyle name="Normal 352 4 2 2" xfId="27971"/>
    <cellStyle name="Normal 352 4 3" xfId="27972"/>
    <cellStyle name="Normal 352 5" xfId="27973"/>
    <cellStyle name="Normal 352 5 2" xfId="27974"/>
    <cellStyle name="Normal 352 5 2 2" xfId="27975"/>
    <cellStyle name="Normal 352 5 3" xfId="27976"/>
    <cellStyle name="Normal 352 6" xfId="27977"/>
    <cellStyle name="Normal 352 6 2" xfId="27978"/>
    <cellStyle name="Normal 352 6 2 2" xfId="27979"/>
    <cellStyle name="Normal 352 6 3" xfId="27980"/>
    <cellStyle name="Normal 352 7" xfId="27981"/>
    <cellStyle name="Normal 353" xfId="27982"/>
    <cellStyle name="Normal 353 2" xfId="27983"/>
    <cellStyle name="Normal 353 2 2" xfId="27984"/>
    <cellStyle name="Normal 353 2 2 2" xfId="27985"/>
    <cellStyle name="Normal 353 2 3" xfId="27986"/>
    <cellStyle name="Normal 353 2 3 2" xfId="27987"/>
    <cellStyle name="Normal 353 2 3 2 2" xfId="27988"/>
    <cellStyle name="Normal 353 2 3 3" xfId="27989"/>
    <cellStyle name="Normal 353 2 4" xfId="27990"/>
    <cellStyle name="Normal 353 2 4 2" xfId="27991"/>
    <cellStyle name="Normal 353 2 4 2 2" xfId="27992"/>
    <cellStyle name="Normal 353 2 4 3" xfId="27993"/>
    <cellStyle name="Normal 353 2 5" xfId="27994"/>
    <cellStyle name="Normal 353 3" xfId="27995"/>
    <cellStyle name="Normal 353 3 2" xfId="27996"/>
    <cellStyle name="Normal 353 3 2 2" xfId="27997"/>
    <cellStyle name="Normal 353 3 2 2 2" xfId="27998"/>
    <cellStyle name="Normal 353 3 2 3" xfId="27999"/>
    <cellStyle name="Normal 353 3 2 3 2" xfId="28000"/>
    <cellStyle name="Normal 353 3 2 3 2 2" xfId="28001"/>
    <cellStyle name="Normal 353 3 2 3 3" xfId="28002"/>
    <cellStyle name="Normal 353 3 2 4" xfId="28003"/>
    <cellStyle name="Normal 353 3 3" xfId="28004"/>
    <cellStyle name="Normal 353 3 3 2" xfId="28005"/>
    <cellStyle name="Normal 353 3 3 2 2" xfId="28006"/>
    <cellStyle name="Normal 353 3 3 3" xfId="28007"/>
    <cellStyle name="Normal 353 3 4" xfId="28008"/>
    <cellStyle name="Normal 353 3 4 2" xfId="28009"/>
    <cellStyle name="Normal 353 3 4 2 2" xfId="28010"/>
    <cellStyle name="Normal 353 3 4 3" xfId="28011"/>
    <cellStyle name="Normal 353 3 5" xfId="28012"/>
    <cellStyle name="Normal 353 3 5 2" xfId="28013"/>
    <cellStyle name="Normal 353 3 5 2 2" xfId="28014"/>
    <cellStyle name="Normal 353 3 5 3" xfId="28015"/>
    <cellStyle name="Normal 353 3 6" xfId="28016"/>
    <cellStyle name="Normal 353 4" xfId="28017"/>
    <cellStyle name="Normal 353 4 2" xfId="28018"/>
    <cellStyle name="Normal 353 4 2 2" xfId="28019"/>
    <cellStyle name="Normal 353 4 3" xfId="28020"/>
    <cellStyle name="Normal 353 5" xfId="28021"/>
    <cellStyle name="Normal 353 5 2" xfId="28022"/>
    <cellStyle name="Normal 353 5 2 2" xfId="28023"/>
    <cellStyle name="Normal 353 5 3" xfId="28024"/>
    <cellStyle name="Normal 353 6" xfId="28025"/>
    <cellStyle name="Normal 353 6 2" xfId="28026"/>
    <cellStyle name="Normal 353 6 2 2" xfId="28027"/>
    <cellStyle name="Normal 353 6 3" xfId="28028"/>
    <cellStyle name="Normal 353 7" xfId="28029"/>
    <cellStyle name="Normal 354" xfId="28030"/>
    <cellStyle name="Normal 354 2" xfId="28031"/>
    <cellStyle name="Normal 354 2 2" xfId="28032"/>
    <cellStyle name="Normal 354 2 2 2" xfId="28033"/>
    <cellStyle name="Normal 354 2 3" xfId="28034"/>
    <cellStyle name="Normal 354 2 3 2" xfId="28035"/>
    <cellStyle name="Normal 354 2 3 2 2" xfId="28036"/>
    <cellStyle name="Normal 354 2 3 3" xfId="28037"/>
    <cellStyle name="Normal 354 2 4" xfId="28038"/>
    <cellStyle name="Normal 354 2 4 2" xfId="28039"/>
    <cellStyle name="Normal 354 2 4 2 2" xfId="28040"/>
    <cellStyle name="Normal 354 2 4 3" xfId="28041"/>
    <cellStyle name="Normal 354 2 5" xfId="28042"/>
    <cellStyle name="Normal 354 3" xfId="28043"/>
    <cellStyle name="Normal 354 3 2" xfId="28044"/>
    <cellStyle name="Normal 354 3 2 2" xfId="28045"/>
    <cellStyle name="Normal 354 3 2 2 2" xfId="28046"/>
    <cellStyle name="Normal 354 3 2 3" xfId="28047"/>
    <cellStyle name="Normal 354 3 2 3 2" xfId="28048"/>
    <cellStyle name="Normal 354 3 2 3 2 2" xfId="28049"/>
    <cellStyle name="Normal 354 3 2 3 3" xfId="28050"/>
    <cellStyle name="Normal 354 3 2 4" xfId="28051"/>
    <cellStyle name="Normal 354 3 3" xfId="28052"/>
    <cellStyle name="Normal 354 3 3 2" xfId="28053"/>
    <cellStyle name="Normal 354 3 3 2 2" xfId="28054"/>
    <cellStyle name="Normal 354 3 3 3" xfId="28055"/>
    <cellStyle name="Normal 354 3 4" xfId="28056"/>
    <cellStyle name="Normal 354 3 4 2" xfId="28057"/>
    <cellStyle name="Normal 354 3 4 2 2" xfId="28058"/>
    <cellStyle name="Normal 354 3 4 3" xfId="28059"/>
    <cellStyle name="Normal 354 3 5" xfId="28060"/>
    <cellStyle name="Normal 354 3 5 2" xfId="28061"/>
    <cellStyle name="Normal 354 3 5 2 2" xfId="28062"/>
    <cellStyle name="Normal 354 3 5 3" xfId="28063"/>
    <cellStyle name="Normal 354 3 6" xfId="28064"/>
    <cellStyle name="Normal 354 4" xfId="28065"/>
    <cellStyle name="Normal 354 4 2" xfId="28066"/>
    <cellStyle name="Normal 354 4 2 2" xfId="28067"/>
    <cellStyle name="Normal 354 4 3" xfId="28068"/>
    <cellStyle name="Normal 354 5" xfId="28069"/>
    <cellStyle name="Normal 354 5 2" xfId="28070"/>
    <cellStyle name="Normal 354 5 2 2" xfId="28071"/>
    <cellStyle name="Normal 354 5 3" xfId="28072"/>
    <cellStyle name="Normal 354 6" xfId="28073"/>
    <cellStyle name="Normal 354 6 2" xfId="28074"/>
    <cellStyle name="Normal 354 6 2 2" xfId="28075"/>
    <cellStyle name="Normal 354 6 3" xfId="28076"/>
    <cellStyle name="Normal 354 7" xfId="28077"/>
    <cellStyle name="Normal 355" xfId="28078"/>
    <cellStyle name="Normal 355 2" xfId="28079"/>
    <cellStyle name="Normal 355 2 2" xfId="28080"/>
    <cellStyle name="Normal 355 2 2 2" xfId="28081"/>
    <cellStyle name="Normal 355 2 3" xfId="28082"/>
    <cellStyle name="Normal 355 2 3 2" xfId="28083"/>
    <cellStyle name="Normal 355 2 3 2 2" xfId="28084"/>
    <cellStyle name="Normal 355 2 3 3" xfId="28085"/>
    <cellStyle name="Normal 355 2 4" xfId="28086"/>
    <cellStyle name="Normal 355 2 4 2" xfId="28087"/>
    <cellStyle name="Normal 355 2 4 2 2" xfId="28088"/>
    <cellStyle name="Normal 355 2 4 3" xfId="28089"/>
    <cellStyle name="Normal 355 2 5" xfId="28090"/>
    <cellStyle name="Normal 355 3" xfId="28091"/>
    <cellStyle name="Normal 355 3 2" xfId="28092"/>
    <cellStyle name="Normal 355 3 2 2" xfId="28093"/>
    <cellStyle name="Normal 355 3 2 2 2" xfId="28094"/>
    <cellStyle name="Normal 355 3 2 3" xfId="28095"/>
    <cellStyle name="Normal 355 3 2 3 2" xfId="28096"/>
    <cellStyle name="Normal 355 3 2 3 2 2" xfId="28097"/>
    <cellStyle name="Normal 355 3 2 3 3" xfId="28098"/>
    <cellStyle name="Normal 355 3 2 4" xfId="28099"/>
    <cellStyle name="Normal 355 3 3" xfId="28100"/>
    <cellStyle name="Normal 355 3 3 2" xfId="28101"/>
    <cellStyle name="Normal 355 3 3 2 2" xfId="28102"/>
    <cellStyle name="Normal 355 3 3 3" xfId="28103"/>
    <cellStyle name="Normal 355 3 4" xfId="28104"/>
    <cellStyle name="Normal 355 3 4 2" xfId="28105"/>
    <cellStyle name="Normal 355 3 4 2 2" xfId="28106"/>
    <cellStyle name="Normal 355 3 4 3" xfId="28107"/>
    <cellStyle name="Normal 355 3 5" xfId="28108"/>
    <cellStyle name="Normal 355 3 5 2" xfId="28109"/>
    <cellStyle name="Normal 355 3 5 2 2" xfId="28110"/>
    <cellStyle name="Normal 355 3 5 3" xfId="28111"/>
    <cellStyle name="Normal 355 3 6" xfId="28112"/>
    <cellStyle name="Normal 355 4" xfId="28113"/>
    <cellStyle name="Normal 355 4 2" xfId="28114"/>
    <cellStyle name="Normal 355 4 2 2" xfId="28115"/>
    <cellStyle name="Normal 355 4 3" xfId="28116"/>
    <cellStyle name="Normal 355 5" xfId="28117"/>
    <cellStyle name="Normal 355 5 2" xfId="28118"/>
    <cellStyle name="Normal 355 5 2 2" xfId="28119"/>
    <cellStyle name="Normal 355 5 3" xfId="28120"/>
    <cellStyle name="Normal 355 6" xfId="28121"/>
    <cellStyle name="Normal 355 6 2" xfId="28122"/>
    <cellStyle name="Normal 355 6 2 2" xfId="28123"/>
    <cellStyle name="Normal 355 6 3" xfId="28124"/>
    <cellStyle name="Normal 355 7" xfId="28125"/>
    <cellStyle name="Normal 356" xfId="28126"/>
    <cellStyle name="Normal 356 2" xfId="28127"/>
    <cellStyle name="Normal 356 2 2" xfId="28128"/>
    <cellStyle name="Normal 356 2 2 2" xfId="28129"/>
    <cellStyle name="Normal 356 2 3" xfId="28130"/>
    <cellStyle name="Normal 356 2 3 2" xfId="28131"/>
    <cellStyle name="Normal 356 2 3 2 2" xfId="28132"/>
    <cellStyle name="Normal 356 2 3 3" xfId="28133"/>
    <cellStyle name="Normal 356 2 4" xfId="28134"/>
    <cellStyle name="Normal 356 2 4 2" xfId="28135"/>
    <cellStyle name="Normal 356 2 4 2 2" xfId="28136"/>
    <cellStyle name="Normal 356 2 4 3" xfId="28137"/>
    <cellStyle name="Normal 356 2 5" xfId="28138"/>
    <cellStyle name="Normal 356 3" xfId="28139"/>
    <cellStyle name="Normal 356 3 2" xfId="28140"/>
    <cellStyle name="Normal 356 3 2 2" xfId="28141"/>
    <cellStyle name="Normal 356 3 2 2 2" xfId="28142"/>
    <cellStyle name="Normal 356 3 2 3" xfId="28143"/>
    <cellStyle name="Normal 356 3 2 3 2" xfId="28144"/>
    <cellStyle name="Normal 356 3 2 3 2 2" xfId="28145"/>
    <cellStyle name="Normal 356 3 2 3 3" xfId="28146"/>
    <cellStyle name="Normal 356 3 2 4" xfId="28147"/>
    <cellStyle name="Normal 356 3 3" xfId="28148"/>
    <cellStyle name="Normal 356 3 3 2" xfId="28149"/>
    <cellStyle name="Normal 356 3 3 2 2" xfId="28150"/>
    <cellStyle name="Normal 356 3 3 3" xfId="28151"/>
    <cellStyle name="Normal 356 3 4" xfId="28152"/>
    <cellStyle name="Normal 356 3 4 2" xfId="28153"/>
    <cellStyle name="Normal 356 3 4 2 2" xfId="28154"/>
    <cellStyle name="Normal 356 3 4 3" xfId="28155"/>
    <cellStyle name="Normal 356 3 5" xfId="28156"/>
    <cellStyle name="Normal 356 3 5 2" xfId="28157"/>
    <cellStyle name="Normal 356 3 5 2 2" xfId="28158"/>
    <cellStyle name="Normal 356 3 5 3" xfId="28159"/>
    <cellStyle name="Normal 356 3 6" xfId="28160"/>
    <cellStyle name="Normal 356 4" xfId="28161"/>
    <cellStyle name="Normal 356 4 2" xfId="28162"/>
    <cellStyle name="Normal 356 4 2 2" xfId="28163"/>
    <cellStyle name="Normal 356 4 3" xfId="28164"/>
    <cellStyle name="Normal 356 5" xfId="28165"/>
    <cellStyle name="Normal 356 5 2" xfId="28166"/>
    <cellStyle name="Normal 356 5 2 2" xfId="28167"/>
    <cellStyle name="Normal 356 5 3" xfId="28168"/>
    <cellStyle name="Normal 356 6" xfId="28169"/>
    <cellStyle name="Normal 356 6 2" xfId="28170"/>
    <cellStyle name="Normal 356 6 2 2" xfId="28171"/>
    <cellStyle name="Normal 356 6 3" xfId="28172"/>
    <cellStyle name="Normal 356 7" xfId="28173"/>
    <cellStyle name="Normal 357" xfId="28174"/>
    <cellStyle name="Normal 357 2" xfId="28175"/>
    <cellStyle name="Normal 357 2 2" xfId="28176"/>
    <cellStyle name="Normal 357 2 2 2" xfId="28177"/>
    <cellStyle name="Normal 357 2 3" xfId="28178"/>
    <cellStyle name="Normal 357 2 3 2" xfId="28179"/>
    <cellStyle name="Normal 357 2 3 2 2" xfId="28180"/>
    <cellStyle name="Normal 357 2 3 3" xfId="28181"/>
    <cellStyle name="Normal 357 2 4" xfId="28182"/>
    <cellStyle name="Normal 357 2 4 2" xfId="28183"/>
    <cellStyle name="Normal 357 2 4 2 2" xfId="28184"/>
    <cellStyle name="Normal 357 2 4 3" xfId="28185"/>
    <cellStyle name="Normal 357 2 5" xfId="28186"/>
    <cellStyle name="Normal 357 3" xfId="28187"/>
    <cellStyle name="Normal 357 3 2" xfId="28188"/>
    <cellStyle name="Normal 357 3 2 2" xfId="28189"/>
    <cellStyle name="Normal 357 3 2 2 2" xfId="28190"/>
    <cellStyle name="Normal 357 3 2 3" xfId="28191"/>
    <cellStyle name="Normal 357 3 2 3 2" xfId="28192"/>
    <cellStyle name="Normal 357 3 2 3 2 2" xfId="28193"/>
    <cellStyle name="Normal 357 3 2 3 3" xfId="28194"/>
    <cellStyle name="Normal 357 3 2 4" xfId="28195"/>
    <cellStyle name="Normal 357 3 3" xfId="28196"/>
    <cellStyle name="Normal 357 3 3 2" xfId="28197"/>
    <cellStyle name="Normal 357 3 3 2 2" xfId="28198"/>
    <cellStyle name="Normal 357 3 3 3" xfId="28199"/>
    <cellStyle name="Normal 357 3 4" xfId="28200"/>
    <cellStyle name="Normal 357 3 4 2" xfId="28201"/>
    <cellStyle name="Normal 357 3 4 2 2" xfId="28202"/>
    <cellStyle name="Normal 357 3 4 3" xfId="28203"/>
    <cellStyle name="Normal 357 3 5" xfId="28204"/>
    <cellStyle name="Normal 357 3 5 2" xfId="28205"/>
    <cellStyle name="Normal 357 3 5 2 2" xfId="28206"/>
    <cellStyle name="Normal 357 3 5 3" xfId="28207"/>
    <cellStyle name="Normal 357 3 6" xfId="28208"/>
    <cellStyle name="Normal 357 4" xfId="28209"/>
    <cellStyle name="Normal 357 4 2" xfId="28210"/>
    <cellStyle name="Normal 357 4 2 2" xfId="28211"/>
    <cellStyle name="Normal 357 4 3" xfId="28212"/>
    <cellStyle name="Normal 357 5" xfId="28213"/>
    <cellStyle name="Normal 357 5 2" xfId="28214"/>
    <cellStyle name="Normal 357 5 2 2" xfId="28215"/>
    <cellStyle name="Normal 357 5 3" xfId="28216"/>
    <cellStyle name="Normal 357 6" xfId="28217"/>
    <cellStyle name="Normal 357 6 2" xfId="28218"/>
    <cellStyle name="Normal 357 6 2 2" xfId="28219"/>
    <cellStyle name="Normal 357 6 3" xfId="28220"/>
    <cellStyle name="Normal 357 7" xfId="28221"/>
    <cellStyle name="Normal 358" xfId="28222"/>
    <cellStyle name="Normal 358 2" xfId="28223"/>
    <cellStyle name="Normal 358 2 2" xfId="28224"/>
    <cellStyle name="Normal 358 2 2 2" xfId="28225"/>
    <cellStyle name="Normal 358 2 3" xfId="28226"/>
    <cellStyle name="Normal 358 2 3 2" xfId="28227"/>
    <cellStyle name="Normal 358 2 3 2 2" xfId="28228"/>
    <cellStyle name="Normal 358 2 3 3" xfId="28229"/>
    <cellStyle name="Normal 358 2 4" xfId="28230"/>
    <cellStyle name="Normal 358 2 4 2" xfId="28231"/>
    <cellStyle name="Normal 358 2 4 2 2" xfId="28232"/>
    <cellStyle name="Normal 358 2 4 3" xfId="28233"/>
    <cellStyle name="Normal 358 2 5" xfId="28234"/>
    <cellStyle name="Normal 358 3" xfId="28235"/>
    <cellStyle name="Normal 358 3 2" xfId="28236"/>
    <cellStyle name="Normal 358 3 2 2" xfId="28237"/>
    <cellStyle name="Normal 358 3 2 2 2" xfId="28238"/>
    <cellStyle name="Normal 358 3 2 3" xfId="28239"/>
    <cellStyle name="Normal 358 3 2 3 2" xfId="28240"/>
    <cellStyle name="Normal 358 3 2 3 2 2" xfId="28241"/>
    <cellStyle name="Normal 358 3 2 3 3" xfId="28242"/>
    <cellStyle name="Normal 358 3 2 4" xfId="28243"/>
    <cellStyle name="Normal 358 3 3" xfId="28244"/>
    <cellStyle name="Normal 358 3 3 2" xfId="28245"/>
    <cellStyle name="Normal 358 3 3 2 2" xfId="28246"/>
    <cellStyle name="Normal 358 3 3 3" xfId="28247"/>
    <cellStyle name="Normal 358 3 4" xfId="28248"/>
    <cellStyle name="Normal 358 3 4 2" xfId="28249"/>
    <cellStyle name="Normal 358 3 4 2 2" xfId="28250"/>
    <cellStyle name="Normal 358 3 4 3" xfId="28251"/>
    <cellStyle name="Normal 358 3 5" xfId="28252"/>
    <cellStyle name="Normal 358 3 5 2" xfId="28253"/>
    <cellStyle name="Normal 358 3 5 2 2" xfId="28254"/>
    <cellStyle name="Normal 358 3 5 3" xfId="28255"/>
    <cellStyle name="Normal 358 3 6" xfId="28256"/>
    <cellStyle name="Normal 358 4" xfId="28257"/>
    <cellStyle name="Normal 358 4 2" xfId="28258"/>
    <cellStyle name="Normal 358 4 2 2" xfId="28259"/>
    <cellStyle name="Normal 358 4 3" xfId="28260"/>
    <cellStyle name="Normal 358 5" xfId="28261"/>
    <cellStyle name="Normal 358 5 2" xfId="28262"/>
    <cellStyle name="Normal 358 5 2 2" xfId="28263"/>
    <cellStyle name="Normal 358 5 3" xfId="28264"/>
    <cellStyle name="Normal 358 6" xfId="28265"/>
    <cellStyle name="Normal 358 6 2" xfId="28266"/>
    <cellStyle name="Normal 358 6 2 2" xfId="28267"/>
    <cellStyle name="Normal 358 6 3" xfId="28268"/>
    <cellStyle name="Normal 358 7" xfId="28269"/>
    <cellStyle name="Normal 359" xfId="28270"/>
    <cellStyle name="Normal 359 2" xfId="28271"/>
    <cellStyle name="Normal 359 2 2" xfId="28272"/>
    <cellStyle name="Normal 359 2 2 2" xfId="28273"/>
    <cellStyle name="Normal 359 2 3" xfId="28274"/>
    <cellStyle name="Normal 359 2 3 2" xfId="28275"/>
    <cellStyle name="Normal 359 2 3 2 2" xfId="28276"/>
    <cellStyle name="Normal 359 2 3 3" xfId="28277"/>
    <cellStyle name="Normal 359 2 4" xfId="28278"/>
    <cellStyle name="Normal 359 2 4 2" xfId="28279"/>
    <cellStyle name="Normal 359 2 4 2 2" xfId="28280"/>
    <cellStyle name="Normal 359 2 4 3" xfId="28281"/>
    <cellStyle name="Normal 359 2 5" xfId="28282"/>
    <cellStyle name="Normal 359 3" xfId="28283"/>
    <cellStyle name="Normal 359 3 2" xfId="28284"/>
    <cellStyle name="Normal 359 3 2 2" xfId="28285"/>
    <cellStyle name="Normal 359 3 2 2 2" xfId="28286"/>
    <cellStyle name="Normal 359 3 2 3" xfId="28287"/>
    <cellStyle name="Normal 359 3 2 3 2" xfId="28288"/>
    <cellStyle name="Normal 359 3 2 3 2 2" xfId="28289"/>
    <cellStyle name="Normal 359 3 2 3 3" xfId="28290"/>
    <cellStyle name="Normal 359 3 2 4" xfId="28291"/>
    <cellStyle name="Normal 359 3 3" xfId="28292"/>
    <cellStyle name="Normal 359 3 3 2" xfId="28293"/>
    <cellStyle name="Normal 359 3 3 2 2" xfId="28294"/>
    <cellStyle name="Normal 359 3 3 3" xfId="28295"/>
    <cellStyle name="Normal 359 3 4" xfId="28296"/>
    <cellStyle name="Normal 359 3 4 2" xfId="28297"/>
    <cellStyle name="Normal 359 3 4 2 2" xfId="28298"/>
    <cellStyle name="Normal 359 3 4 3" xfId="28299"/>
    <cellStyle name="Normal 359 3 5" xfId="28300"/>
    <cellStyle name="Normal 359 3 5 2" xfId="28301"/>
    <cellStyle name="Normal 359 3 5 2 2" xfId="28302"/>
    <cellStyle name="Normal 359 3 5 3" xfId="28303"/>
    <cellStyle name="Normal 359 3 6" xfId="28304"/>
    <cellStyle name="Normal 359 4" xfId="28305"/>
    <cellStyle name="Normal 359 4 2" xfId="28306"/>
    <cellStyle name="Normal 359 4 2 2" xfId="28307"/>
    <cellStyle name="Normal 359 4 3" xfId="28308"/>
    <cellStyle name="Normal 359 5" xfId="28309"/>
    <cellStyle name="Normal 359 5 2" xfId="28310"/>
    <cellStyle name="Normal 359 5 2 2" xfId="28311"/>
    <cellStyle name="Normal 359 5 3" xfId="28312"/>
    <cellStyle name="Normal 359 6" xfId="28313"/>
    <cellStyle name="Normal 359 6 2" xfId="28314"/>
    <cellStyle name="Normal 359 6 2 2" xfId="28315"/>
    <cellStyle name="Normal 359 6 3" xfId="28316"/>
    <cellStyle name="Normal 359 7" xfId="28317"/>
    <cellStyle name="Normal 36" xfId="28318"/>
    <cellStyle name="Normal 36 2" xfId="28319"/>
    <cellStyle name="Normal 36 2 2" xfId="28320"/>
    <cellStyle name="Normal 36 2 2 2" xfId="28321"/>
    <cellStyle name="Normal 36 2 2 2 2" xfId="28322"/>
    <cellStyle name="Normal 36 2 2 3" xfId="28323"/>
    <cellStyle name="Normal 36 2 2 3 2" xfId="28324"/>
    <cellStyle name="Normal 36 2 2 3 2 2" xfId="28325"/>
    <cellStyle name="Normal 36 2 2 3 3" xfId="28326"/>
    <cellStyle name="Normal 36 2 2 4" xfId="28327"/>
    <cellStyle name="Normal 36 2 2 4 2" xfId="28328"/>
    <cellStyle name="Normal 36 2 2 4 2 2" xfId="28329"/>
    <cellStyle name="Normal 36 2 2 4 3" xfId="28330"/>
    <cellStyle name="Normal 36 2 2 5" xfId="28331"/>
    <cellStyle name="Normal 36 2 3" xfId="28332"/>
    <cellStyle name="Normal 36 2 3 2" xfId="28333"/>
    <cellStyle name="Normal 36 2 3 2 2" xfId="28334"/>
    <cellStyle name="Normal 36 2 3 3" xfId="28335"/>
    <cellStyle name="Normal 36 2 4" xfId="28336"/>
    <cellStyle name="Normal 36 2 4 2" xfId="28337"/>
    <cellStyle name="Normal 36 2 4 2 2" xfId="28338"/>
    <cellStyle name="Normal 36 2 4 3" xfId="28339"/>
    <cellStyle name="Normal 36 2 5" xfId="28340"/>
    <cellStyle name="Normal 36 2 5 2" xfId="28341"/>
    <cellStyle name="Normal 36 2 5 2 2" xfId="28342"/>
    <cellStyle name="Normal 36 2 5 3" xfId="28343"/>
    <cellStyle name="Normal 36 2 6" xfId="28344"/>
    <cellStyle name="Normal 36 3" xfId="28345"/>
    <cellStyle name="Normal 36 3 2" xfId="28346"/>
    <cellStyle name="Normal 36 3 2 2" xfId="28347"/>
    <cellStyle name="Normal 36 3 3" xfId="28348"/>
    <cellStyle name="Normal 36 3 3 2" xfId="28349"/>
    <cellStyle name="Normal 36 3 3 2 2" xfId="28350"/>
    <cellStyle name="Normal 36 3 3 3" xfId="28351"/>
    <cellStyle name="Normal 36 3 4" xfId="28352"/>
    <cellStyle name="Normal 36 3 4 2" xfId="28353"/>
    <cellStyle name="Normal 36 3 4 2 2" xfId="28354"/>
    <cellStyle name="Normal 36 3 4 3" xfId="28355"/>
    <cellStyle name="Normal 36 3 5" xfId="28356"/>
    <cellStyle name="Normal 36 4" xfId="28357"/>
    <cellStyle name="Normal 36 4 2" xfId="28358"/>
    <cellStyle name="Normal 36 4 2 2" xfId="28359"/>
    <cellStyle name="Normal 36 4 3" xfId="28360"/>
    <cellStyle name="Normal 36 5" xfId="28361"/>
    <cellStyle name="Normal 36 5 2" xfId="28362"/>
    <cellStyle name="Normal 36 5 2 2" xfId="28363"/>
    <cellStyle name="Normal 36 5 3" xfId="28364"/>
    <cellStyle name="Normal 36 6" xfId="28365"/>
    <cellStyle name="Normal 36 6 2" xfId="28366"/>
    <cellStyle name="Normal 36 6 2 2" xfId="28367"/>
    <cellStyle name="Normal 36 6 3" xfId="28368"/>
    <cellStyle name="Normal 36 7" xfId="28369"/>
    <cellStyle name="Normal 360" xfId="28370"/>
    <cellStyle name="Normal 360 2" xfId="28371"/>
    <cellStyle name="Normal 360 2 2" xfId="28372"/>
    <cellStyle name="Normal 360 2 2 2" xfId="28373"/>
    <cellStyle name="Normal 360 2 3" xfId="28374"/>
    <cellStyle name="Normal 360 2 3 2" xfId="28375"/>
    <cellStyle name="Normal 360 2 3 2 2" xfId="28376"/>
    <cellStyle name="Normal 360 2 3 3" xfId="28377"/>
    <cellStyle name="Normal 360 2 4" xfId="28378"/>
    <cellStyle name="Normal 360 2 4 2" xfId="28379"/>
    <cellStyle name="Normal 360 2 4 2 2" xfId="28380"/>
    <cellStyle name="Normal 360 2 4 3" xfId="28381"/>
    <cellStyle name="Normal 360 2 5" xfId="28382"/>
    <cellStyle name="Normal 360 3" xfId="28383"/>
    <cellStyle name="Normal 360 3 2" xfId="28384"/>
    <cellStyle name="Normal 360 3 2 2" xfId="28385"/>
    <cellStyle name="Normal 360 3 2 2 2" xfId="28386"/>
    <cellStyle name="Normal 360 3 2 3" xfId="28387"/>
    <cellStyle name="Normal 360 3 2 3 2" xfId="28388"/>
    <cellStyle name="Normal 360 3 2 3 2 2" xfId="28389"/>
    <cellStyle name="Normal 360 3 2 3 3" xfId="28390"/>
    <cellStyle name="Normal 360 3 2 4" xfId="28391"/>
    <cellStyle name="Normal 360 3 3" xfId="28392"/>
    <cellStyle name="Normal 360 3 3 2" xfId="28393"/>
    <cellStyle name="Normal 360 3 3 2 2" xfId="28394"/>
    <cellStyle name="Normal 360 3 3 3" xfId="28395"/>
    <cellStyle name="Normal 360 3 4" xfId="28396"/>
    <cellStyle name="Normal 360 3 4 2" xfId="28397"/>
    <cellStyle name="Normal 360 3 4 2 2" xfId="28398"/>
    <cellStyle name="Normal 360 3 4 3" xfId="28399"/>
    <cellStyle name="Normal 360 3 5" xfId="28400"/>
    <cellStyle name="Normal 360 3 5 2" xfId="28401"/>
    <cellStyle name="Normal 360 3 5 2 2" xfId="28402"/>
    <cellStyle name="Normal 360 3 5 3" xfId="28403"/>
    <cellStyle name="Normal 360 3 6" xfId="28404"/>
    <cellStyle name="Normal 360 4" xfId="28405"/>
    <cellStyle name="Normal 360 4 2" xfId="28406"/>
    <cellStyle name="Normal 360 4 2 2" xfId="28407"/>
    <cellStyle name="Normal 360 4 3" xfId="28408"/>
    <cellStyle name="Normal 360 5" xfId="28409"/>
    <cellStyle name="Normal 360 5 2" xfId="28410"/>
    <cellStyle name="Normal 360 5 2 2" xfId="28411"/>
    <cellStyle name="Normal 360 5 3" xfId="28412"/>
    <cellStyle name="Normal 360 6" xfId="28413"/>
    <cellStyle name="Normal 360 6 2" xfId="28414"/>
    <cellStyle name="Normal 360 6 2 2" xfId="28415"/>
    <cellStyle name="Normal 360 6 3" xfId="28416"/>
    <cellStyle name="Normal 360 7" xfId="28417"/>
    <cellStyle name="Normal 361" xfId="28418"/>
    <cellStyle name="Normal 361 2" xfId="28419"/>
    <cellStyle name="Normal 361 2 2" xfId="28420"/>
    <cellStyle name="Normal 361 2 2 2" xfId="28421"/>
    <cellStyle name="Normal 361 2 3" xfId="28422"/>
    <cellStyle name="Normal 361 2 3 2" xfId="28423"/>
    <cellStyle name="Normal 361 2 3 2 2" xfId="28424"/>
    <cellStyle name="Normal 361 2 3 3" xfId="28425"/>
    <cellStyle name="Normal 361 2 4" xfId="28426"/>
    <cellStyle name="Normal 361 2 4 2" xfId="28427"/>
    <cellStyle name="Normal 361 2 4 2 2" xfId="28428"/>
    <cellStyle name="Normal 361 2 4 3" xfId="28429"/>
    <cellStyle name="Normal 361 2 5" xfId="28430"/>
    <cellStyle name="Normal 361 3" xfId="28431"/>
    <cellStyle name="Normal 361 3 2" xfId="28432"/>
    <cellStyle name="Normal 361 3 2 2" xfId="28433"/>
    <cellStyle name="Normal 361 3 2 2 2" xfId="28434"/>
    <cellStyle name="Normal 361 3 2 3" xfId="28435"/>
    <cellStyle name="Normal 361 3 2 3 2" xfId="28436"/>
    <cellStyle name="Normal 361 3 2 3 2 2" xfId="28437"/>
    <cellStyle name="Normal 361 3 2 3 3" xfId="28438"/>
    <cellStyle name="Normal 361 3 2 4" xfId="28439"/>
    <cellStyle name="Normal 361 3 3" xfId="28440"/>
    <cellStyle name="Normal 361 3 3 2" xfId="28441"/>
    <cellStyle name="Normal 361 3 3 2 2" xfId="28442"/>
    <cellStyle name="Normal 361 3 3 3" xfId="28443"/>
    <cellStyle name="Normal 361 3 4" xfId="28444"/>
    <cellStyle name="Normal 361 3 4 2" xfId="28445"/>
    <cellStyle name="Normal 361 3 4 2 2" xfId="28446"/>
    <cellStyle name="Normal 361 3 4 3" xfId="28447"/>
    <cellStyle name="Normal 361 3 5" xfId="28448"/>
    <cellStyle name="Normal 361 3 5 2" xfId="28449"/>
    <cellStyle name="Normal 361 3 5 2 2" xfId="28450"/>
    <cellStyle name="Normal 361 3 5 3" xfId="28451"/>
    <cellStyle name="Normal 361 3 6" xfId="28452"/>
    <cellStyle name="Normal 361 4" xfId="28453"/>
    <cellStyle name="Normal 361 4 2" xfId="28454"/>
    <cellStyle name="Normal 361 4 2 2" xfId="28455"/>
    <cellStyle name="Normal 361 4 3" xfId="28456"/>
    <cellStyle name="Normal 361 5" xfId="28457"/>
    <cellStyle name="Normal 361 5 2" xfId="28458"/>
    <cellStyle name="Normal 361 5 2 2" xfId="28459"/>
    <cellStyle name="Normal 361 5 3" xfId="28460"/>
    <cellStyle name="Normal 361 6" xfId="28461"/>
    <cellStyle name="Normal 361 6 2" xfId="28462"/>
    <cellStyle name="Normal 361 6 2 2" xfId="28463"/>
    <cellStyle name="Normal 361 6 3" xfId="28464"/>
    <cellStyle name="Normal 361 7" xfId="28465"/>
    <cellStyle name="Normal 362" xfId="28466"/>
    <cellStyle name="Normal 362 2" xfId="28467"/>
    <cellStyle name="Normal 362 2 2" xfId="28468"/>
    <cellStyle name="Normal 362 2 2 2" xfId="28469"/>
    <cellStyle name="Normal 362 2 3" xfId="28470"/>
    <cellStyle name="Normal 362 2 3 2" xfId="28471"/>
    <cellStyle name="Normal 362 2 3 2 2" xfId="28472"/>
    <cellStyle name="Normal 362 2 3 3" xfId="28473"/>
    <cellStyle name="Normal 362 2 4" xfId="28474"/>
    <cellStyle name="Normal 362 2 4 2" xfId="28475"/>
    <cellStyle name="Normal 362 2 4 2 2" xfId="28476"/>
    <cellStyle name="Normal 362 2 4 3" xfId="28477"/>
    <cellStyle name="Normal 362 2 5" xfId="28478"/>
    <cellStyle name="Normal 362 3" xfId="28479"/>
    <cellStyle name="Normal 362 3 2" xfId="28480"/>
    <cellStyle name="Normal 362 3 2 2" xfId="28481"/>
    <cellStyle name="Normal 362 3 2 2 2" xfId="28482"/>
    <cellStyle name="Normal 362 3 2 3" xfId="28483"/>
    <cellStyle name="Normal 362 3 2 3 2" xfId="28484"/>
    <cellStyle name="Normal 362 3 2 3 2 2" xfId="28485"/>
    <cellStyle name="Normal 362 3 2 3 3" xfId="28486"/>
    <cellStyle name="Normal 362 3 2 4" xfId="28487"/>
    <cellStyle name="Normal 362 3 3" xfId="28488"/>
    <cellStyle name="Normal 362 3 3 2" xfId="28489"/>
    <cellStyle name="Normal 362 3 3 2 2" xfId="28490"/>
    <cellStyle name="Normal 362 3 3 3" xfId="28491"/>
    <cellStyle name="Normal 362 3 4" xfId="28492"/>
    <cellStyle name="Normal 362 3 4 2" xfId="28493"/>
    <cellStyle name="Normal 362 3 4 2 2" xfId="28494"/>
    <cellStyle name="Normal 362 3 4 3" xfId="28495"/>
    <cellStyle name="Normal 362 3 5" xfId="28496"/>
    <cellStyle name="Normal 362 3 5 2" xfId="28497"/>
    <cellStyle name="Normal 362 3 5 2 2" xfId="28498"/>
    <cellStyle name="Normal 362 3 5 3" xfId="28499"/>
    <cellStyle name="Normal 362 3 6" xfId="28500"/>
    <cellStyle name="Normal 362 4" xfId="28501"/>
    <cellStyle name="Normal 362 4 2" xfId="28502"/>
    <cellStyle name="Normal 362 4 2 2" xfId="28503"/>
    <cellStyle name="Normal 362 4 3" xfId="28504"/>
    <cellStyle name="Normal 362 5" xfId="28505"/>
    <cellStyle name="Normal 362 5 2" xfId="28506"/>
    <cellStyle name="Normal 362 5 2 2" xfId="28507"/>
    <cellStyle name="Normal 362 5 3" xfId="28508"/>
    <cellStyle name="Normal 362 6" xfId="28509"/>
    <cellStyle name="Normal 362 6 2" xfId="28510"/>
    <cellStyle name="Normal 362 6 2 2" xfId="28511"/>
    <cellStyle name="Normal 362 6 3" xfId="28512"/>
    <cellStyle name="Normal 362 7" xfId="28513"/>
    <cellStyle name="Normal 363" xfId="28514"/>
    <cellStyle name="Normal 363 2" xfId="28515"/>
    <cellStyle name="Normal 363 2 2" xfId="28516"/>
    <cellStyle name="Normal 363 2 2 2" xfId="28517"/>
    <cellStyle name="Normal 363 2 3" xfId="28518"/>
    <cellStyle name="Normal 363 2 3 2" xfId="28519"/>
    <cellStyle name="Normal 363 2 3 2 2" xfId="28520"/>
    <cellStyle name="Normal 363 2 3 3" xfId="28521"/>
    <cellStyle name="Normal 363 2 4" xfId="28522"/>
    <cellStyle name="Normal 363 2 4 2" xfId="28523"/>
    <cellStyle name="Normal 363 2 4 2 2" xfId="28524"/>
    <cellStyle name="Normal 363 2 4 3" xfId="28525"/>
    <cellStyle name="Normal 363 2 5" xfId="28526"/>
    <cellStyle name="Normal 363 3" xfId="28527"/>
    <cellStyle name="Normal 363 3 2" xfId="28528"/>
    <cellStyle name="Normal 363 3 2 2" xfId="28529"/>
    <cellStyle name="Normal 363 3 2 2 2" xfId="28530"/>
    <cellStyle name="Normal 363 3 2 3" xfId="28531"/>
    <cellStyle name="Normal 363 3 2 3 2" xfId="28532"/>
    <cellStyle name="Normal 363 3 2 3 2 2" xfId="28533"/>
    <cellStyle name="Normal 363 3 2 3 3" xfId="28534"/>
    <cellStyle name="Normal 363 3 2 4" xfId="28535"/>
    <cellStyle name="Normal 363 3 3" xfId="28536"/>
    <cellStyle name="Normal 363 3 3 2" xfId="28537"/>
    <cellStyle name="Normal 363 3 3 2 2" xfId="28538"/>
    <cellStyle name="Normal 363 3 3 3" xfId="28539"/>
    <cellStyle name="Normal 363 3 4" xfId="28540"/>
    <cellStyle name="Normal 363 3 4 2" xfId="28541"/>
    <cellStyle name="Normal 363 3 4 2 2" xfId="28542"/>
    <cellStyle name="Normal 363 3 4 3" xfId="28543"/>
    <cellStyle name="Normal 363 3 5" xfId="28544"/>
    <cellStyle name="Normal 363 3 5 2" xfId="28545"/>
    <cellStyle name="Normal 363 3 5 2 2" xfId="28546"/>
    <cellStyle name="Normal 363 3 5 3" xfId="28547"/>
    <cellStyle name="Normal 363 3 6" xfId="28548"/>
    <cellStyle name="Normal 363 4" xfId="28549"/>
    <cellStyle name="Normal 363 4 2" xfId="28550"/>
    <cellStyle name="Normal 363 4 2 2" xfId="28551"/>
    <cellStyle name="Normal 363 4 3" xfId="28552"/>
    <cellStyle name="Normal 363 5" xfId="28553"/>
    <cellStyle name="Normal 363 5 2" xfId="28554"/>
    <cellStyle name="Normal 363 5 2 2" xfId="28555"/>
    <cellStyle name="Normal 363 5 3" xfId="28556"/>
    <cellStyle name="Normal 363 6" xfId="28557"/>
    <cellStyle name="Normal 363 6 2" xfId="28558"/>
    <cellStyle name="Normal 363 6 2 2" xfId="28559"/>
    <cellStyle name="Normal 363 6 3" xfId="28560"/>
    <cellStyle name="Normal 363 7" xfId="28561"/>
    <cellStyle name="Normal 364" xfId="28562"/>
    <cellStyle name="Normal 364 2" xfId="28563"/>
    <cellStyle name="Normal 364 2 2" xfId="28564"/>
    <cellStyle name="Normal 364 2 2 2" xfId="28565"/>
    <cellStyle name="Normal 364 2 3" xfId="28566"/>
    <cellStyle name="Normal 364 2 3 2" xfId="28567"/>
    <cellStyle name="Normal 364 2 3 2 2" xfId="28568"/>
    <cellStyle name="Normal 364 2 3 3" xfId="28569"/>
    <cellStyle name="Normal 364 2 4" xfId="28570"/>
    <cellStyle name="Normal 364 2 4 2" xfId="28571"/>
    <cellStyle name="Normal 364 2 4 2 2" xfId="28572"/>
    <cellStyle name="Normal 364 2 4 3" xfId="28573"/>
    <cellStyle name="Normal 364 2 5" xfId="28574"/>
    <cellStyle name="Normal 364 3" xfId="28575"/>
    <cellStyle name="Normal 364 3 2" xfId="28576"/>
    <cellStyle name="Normal 364 3 2 2" xfId="28577"/>
    <cellStyle name="Normal 364 3 2 2 2" xfId="28578"/>
    <cellStyle name="Normal 364 3 2 3" xfId="28579"/>
    <cellStyle name="Normal 364 3 2 3 2" xfId="28580"/>
    <cellStyle name="Normal 364 3 2 3 2 2" xfId="28581"/>
    <cellStyle name="Normal 364 3 2 3 3" xfId="28582"/>
    <cellStyle name="Normal 364 3 2 4" xfId="28583"/>
    <cellStyle name="Normal 364 3 3" xfId="28584"/>
    <cellStyle name="Normal 364 3 3 2" xfId="28585"/>
    <cellStyle name="Normal 364 3 3 2 2" xfId="28586"/>
    <cellStyle name="Normal 364 3 3 3" xfId="28587"/>
    <cellStyle name="Normal 364 3 4" xfId="28588"/>
    <cellStyle name="Normal 364 3 4 2" xfId="28589"/>
    <cellStyle name="Normal 364 3 4 2 2" xfId="28590"/>
    <cellStyle name="Normal 364 3 4 3" xfId="28591"/>
    <cellStyle name="Normal 364 3 5" xfId="28592"/>
    <cellStyle name="Normal 364 3 5 2" xfId="28593"/>
    <cellStyle name="Normal 364 3 5 2 2" xfId="28594"/>
    <cellStyle name="Normal 364 3 5 3" xfId="28595"/>
    <cellStyle name="Normal 364 3 6" xfId="28596"/>
    <cellStyle name="Normal 364 4" xfId="28597"/>
    <cellStyle name="Normal 364 4 2" xfId="28598"/>
    <cellStyle name="Normal 364 4 2 2" xfId="28599"/>
    <cellStyle name="Normal 364 4 3" xfId="28600"/>
    <cellStyle name="Normal 364 5" xfId="28601"/>
    <cellStyle name="Normal 364 5 2" xfId="28602"/>
    <cellStyle name="Normal 364 5 2 2" xfId="28603"/>
    <cellStyle name="Normal 364 5 3" xfId="28604"/>
    <cellStyle name="Normal 364 6" xfId="28605"/>
    <cellStyle name="Normal 364 6 2" xfId="28606"/>
    <cellStyle name="Normal 364 6 2 2" xfId="28607"/>
    <cellStyle name="Normal 364 6 3" xfId="28608"/>
    <cellStyle name="Normal 364 7" xfId="28609"/>
    <cellStyle name="Normal 365" xfId="28610"/>
    <cellStyle name="Normal 365 2" xfId="28611"/>
    <cellStyle name="Normal 365 2 2" xfId="28612"/>
    <cellStyle name="Normal 365 2 2 2" xfId="28613"/>
    <cellStyle name="Normal 365 2 3" xfId="28614"/>
    <cellStyle name="Normal 365 2 3 2" xfId="28615"/>
    <cellStyle name="Normal 365 2 3 2 2" xfId="28616"/>
    <cellStyle name="Normal 365 2 3 3" xfId="28617"/>
    <cellStyle name="Normal 365 2 4" xfId="28618"/>
    <cellStyle name="Normal 365 2 4 2" xfId="28619"/>
    <cellStyle name="Normal 365 2 4 2 2" xfId="28620"/>
    <cellStyle name="Normal 365 2 4 3" xfId="28621"/>
    <cellStyle name="Normal 365 2 5" xfId="28622"/>
    <cellStyle name="Normal 365 3" xfId="28623"/>
    <cellStyle name="Normal 365 3 2" xfId="28624"/>
    <cellStyle name="Normal 365 3 2 2" xfId="28625"/>
    <cellStyle name="Normal 365 3 2 2 2" xfId="28626"/>
    <cellStyle name="Normal 365 3 2 3" xfId="28627"/>
    <cellStyle name="Normal 365 3 2 3 2" xfId="28628"/>
    <cellStyle name="Normal 365 3 2 3 2 2" xfId="28629"/>
    <cellStyle name="Normal 365 3 2 3 3" xfId="28630"/>
    <cellStyle name="Normal 365 3 2 4" xfId="28631"/>
    <cellStyle name="Normal 365 3 3" xfId="28632"/>
    <cellStyle name="Normal 365 3 3 2" xfId="28633"/>
    <cellStyle name="Normal 365 3 3 2 2" xfId="28634"/>
    <cellStyle name="Normal 365 3 3 3" xfId="28635"/>
    <cellStyle name="Normal 365 3 4" xfId="28636"/>
    <cellStyle name="Normal 365 3 4 2" xfId="28637"/>
    <cellStyle name="Normal 365 3 4 2 2" xfId="28638"/>
    <cellStyle name="Normal 365 3 4 3" xfId="28639"/>
    <cellStyle name="Normal 365 3 5" xfId="28640"/>
    <cellStyle name="Normal 365 3 5 2" xfId="28641"/>
    <cellStyle name="Normal 365 3 5 2 2" xfId="28642"/>
    <cellStyle name="Normal 365 3 5 3" xfId="28643"/>
    <cellStyle name="Normal 365 3 6" xfId="28644"/>
    <cellStyle name="Normal 365 4" xfId="28645"/>
    <cellStyle name="Normal 365 4 2" xfId="28646"/>
    <cellStyle name="Normal 365 4 2 2" xfId="28647"/>
    <cellStyle name="Normal 365 4 3" xfId="28648"/>
    <cellStyle name="Normal 365 5" xfId="28649"/>
    <cellStyle name="Normal 365 5 2" xfId="28650"/>
    <cellStyle name="Normal 365 5 2 2" xfId="28651"/>
    <cellStyle name="Normal 365 5 3" xfId="28652"/>
    <cellStyle name="Normal 365 6" xfId="28653"/>
    <cellStyle name="Normal 365 6 2" xfId="28654"/>
    <cellStyle name="Normal 365 6 2 2" xfId="28655"/>
    <cellStyle name="Normal 365 6 3" xfId="28656"/>
    <cellStyle name="Normal 365 7" xfId="28657"/>
    <cellStyle name="Normal 366" xfId="28658"/>
    <cellStyle name="Normal 366 2" xfId="28659"/>
    <cellStyle name="Normal 366 2 2" xfId="28660"/>
    <cellStyle name="Normal 366 2 2 2" xfId="28661"/>
    <cellStyle name="Normal 366 2 3" xfId="28662"/>
    <cellStyle name="Normal 366 2 3 2" xfId="28663"/>
    <cellStyle name="Normal 366 2 3 2 2" xfId="28664"/>
    <cellStyle name="Normal 366 2 3 3" xfId="28665"/>
    <cellStyle name="Normal 366 2 4" xfId="28666"/>
    <cellStyle name="Normal 366 2 4 2" xfId="28667"/>
    <cellStyle name="Normal 366 2 4 2 2" xfId="28668"/>
    <cellStyle name="Normal 366 2 4 3" xfId="28669"/>
    <cellStyle name="Normal 366 2 5" xfId="28670"/>
    <cellStyle name="Normal 366 3" xfId="28671"/>
    <cellStyle name="Normal 366 3 2" xfId="28672"/>
    <cellStyle name="Normal 366 3 2 2" xfId="28673"/>
    <cellStyle name="Normal 366 3 2 2 2" xfId="28674"/>
    <cellStyle name="Normal 366 3 2 3" xfId="28675"/>
    <cellStyle name="Normal 366 3 2 3 2" xfId="28676"/>
    <cellStyle name="Normal 366 3 2 3 2 2" xfId="28677"/>
    <cellStyle name="Normal 366 3 2 3 3" xfId="28678"/>
    <cellStyle name="Normal 366 3 2 4" xfId="28679"/>
    <cellStyle name="Normal 366 3 3" xfId="28680"/>
    <cellStyle name="Normal 366 3 3 2" xfId="28681"/>
    <cellStyle name="Normal 366 3 3 2 2" xfId="28682"/>
    <cellStyle name="Normal 366 3 3 3" xfId="28683"/>
    <cellStyle name="Normal 366 3 4" xfId="28684"/>
    <cellStyle name="Normal 366 3 4 2" xfId="28685"/>
    <cellStyle name="Normal 366 3 4 2 2" xfId="28686"/>
    <cellStyle name="Normal 366 3 4 3" xfId="28687"/>
    <cellStyle name="Normal 366 3 5" xfId="28688"/>
    <cellStyle name="Normal 366 3 5 2" xfId="28689"/>
    <cellStyle name="Normal 366 3 5 2 2" xfId="28690"/>
    <cellStyle name="Normal 366 3 5 3" xfId="28691"/>
    <cellStyle name="Normal 366 3 6" xfId="28692"/>
    <cellStyle name="Normal 366 4" xfId="28693"/>
    <cellStyle name="Normal 366 4 2" xfId="28694"/>
    <cellStyle name="Normal 366 4 2 2" xfId="28695"/>
    <cellStyle name="Normal 366 4 3" xfId="28696"/>
    <cellStyle name="Normal 366 5" xfId="28697"/>
    <cellStyle name="Normal 366 5 2" xfId="28698"/>
    <cellStyle name="Normal 366 5 2 2" xfId="28699"/>
    <cellStyle name="Normal 366 5 3" xfId="28700"/>
    <cellStyle name="Normal 366 6" xfId="28701"/>
    <cellStyle name="Normal 366 6 2" xfId="28702"/>
    <cellStyle name="Normal 366 6 2 2" xfId="28703"/>
    <cellStyle name="Normal 366 6 3" xfId="28704"/>
    <cellStyle name="Normal 366 7" xfId="28705"/>
    <cellStyle name="Normal 367" xfId="28706"/>
    <cellStyle name="Normal 367 2" xfId="28707"/>
    <cellStyle name="Normal 367 2 2" xfId="28708"/>
    <cellStyle name="Normal 367 2 2 2" xfId="28709"/>
    <cellStyle name="Normal 367 2 3" xfId="28710"/>
    <cellStyle name="Normal 367 2 3 2" xfId="28711"/>
    <cellStyle name="Normal 367 2 3 2 2" xfId="28712"/>
    <cellStyle name="Normal 367 2 3 3" xfId="28713"/>
    <cellStyle name="Normal 367 2 4" xfId="28714"/>
    <cellStyle name="Normal 367 2 4 2" xfId="28715"/>
    <cellStyle name="Normal 367 2 4 2 2" xfId="28716"/>
    <cellStyle name="Normal 367 2 4 3" xfId="28717"/>
    <cellStyle name="Normal 367 2 5" xfId="28718"/>
    <cellStyle name="Normal 367 3" xfId="28719"/>
    <cellStyle name="Normal 367 3 2" xfId="28720"/>
    <cellStyle name="Normal 367 3 2 2" xfId="28721"/>
    <cellStyle name="Normal 367 3 2 2 2" xfId="28722"/>
    <cellStyle name="Normal 367 3 2 3" xfId="28723"/>
    <cellStyle name="Normal 367 3 2 3 2" xfId="28724"/>
    <cellStyle name="Normal 367 3 2 3 2 2" xfId="28725"/>
    <cellStyle name="Normal 367 3 2 3 3" xfId="28726"/>
    <cellStyle name="Normal 367 3 2 4" xfId="28727"/>
    <cellStyle name="Normal 367 3 3" xfId="28728"/>
    <cellStyle name="Normal 367 3 3 2" xfId="28729"/>
    <cellStyle name="Normal 367 3 3 2 2" xfId="28730"/>
    <cellStyle name="Normal 367 3 3 3" xfId="28731"/>
    <cellStyle name="Normal 367 3 4" xfId="28732"/>
    <cellStyle name="Normal 367 3 4 2" xfId="28733"/>
    <cellStyle name="Normal 367 3 4 2 2" xfId="28734"/>
    <cellStyle name="Normal 367 3 4 3" xfId="28735"/>
    <cellStyle name="Normal 367 3 5" xfId="28736"/>
    <cellStyle name="Normal 367 3 5 2" xfId="28737"/>
    <cellStyle name="Normal 367 3 5 2 2" xfId="28738"/>
    <cellStyle name="Normal 367 3 5 3" xfId="28739"/>
    <cellStyle name="Normal 367 3 6" xfId="28740"/>
    <cellStyle name="Normal 367 4" xfId="28741"/>
    <cellStyle name="Normal 367 4 2" xfId="28742"/>
    <cellStyle name="Normal 367 4 2 2" xfId="28743"/>
    <cellStyle name="Normal 367 4 3" xfId="28744"/>
    <cellStyle name="Normal 367 5" xfId="28745"/>
    <cellStyle name="Normal 367 5 2" xfId="28746"/>
    <cellStyle name="Normal 367 5 2 2" xfId="28747"/>
    <cellStyle name="Normal 367 5 3" xfId="28748"/>
    <cellStyle name="Normal 367 6" xfId="28749"/>
    <cellStyle name="Normal 367 6 2" xfId="28750"/>
    <cellStyle name="Normal 367 6 2 2" xfId="28751"/>
    <cellStyle name="Normal 367 6 3" xfId="28752"/>
    <cellStyle name="Normal 367 7" xfId="28753"/>
    <cellStyle name="Normal 368" xfId="28754"/>
    <cellStyle name="Normal 368 2" xfId="28755"/>
    <cellStyle name="Normal 368 2 2" xfId="28756"/>
    <cellStyle name="Normal 368 2 2 2" xfId="28757"/>
    <cellStyle name="Normal 368 2 3" xfId="28758"/>
    <cellStyle name="Normal 368 2 3 2" xfId="28759"/>
    <cellStyle name="Normal 368 2 3 2 2" xfId="28760"/>
    <cellStyle name="Normal 368 2 3 3" xfId="28761"/>
    <cellStyle name="Normal 368 2 4" xfId="28762"/>
    <cellStyle name="Normal 368 2 4 2" xfId="28763"/>
    <cellStyle name="Normal 368 2 4 2 2" xfId="28764"/>
    <cellStyle name="Normal 368 2 4 3" xfId="28765"/>
    <cellStyle name="Normal 368 2 5" xfId="28766"/>
    <cellStyle name="Normal 368 3" xfId="28767"/>
    <cellStyle name="Normal 368 3 2" xfId="28768"/>
    <cellStyle name="Normal 368 3 2 2" xfId="28769"/>
    <cellStyle name="Normal 368 3 2 2 2" xfId="28770"/>
    <cellStyle name="Normal 368 3 2 3" xfId="28771"/>
    <cellStyle name="Normal 368 3 2 3 2" xfId="28772"/>
    <cellStyle name="Normal 368 3 2 3 2 2" xfId="28773"/>
    <cellStyle name="Normal 368 3 2 3 3" xfId="28774"/>
    <cellStyle name="Normal 368 3 2 4" xfId="28775"/>
    <cellStyle name="Normal 368 3 3" xfId="28776"/>
    <cellStyle name="Normal 368 3 3 2" xfId="28777"/>
    <cellStyle name="Normal 368 3 3 2 2" xfId="28778"/>
    <cellStyle name="Normal 368 3 3 3" xfId="28779"/>
    <cellStyle name="Normal 368 3 4" xfId="28780"/>
    <cellStyle name="Normal 368 3 4 2" xfId="28781"/>
    <cellStyle name="Normal 368 3 4 2 2" xfId="28782"/>
    <cellStyle name="Normal 368 3 4 3" xfId="28783"/>
    <cellStyle name="Normal 368 3 5" xfId="28784"/>
    <cellStyle name="Normal 368 3 5 2" xfId="28785"/>
    <cellStyle name="Normal 368 3 5 2 2" xfId="28786"/>
    <cellStyle name="Normal 368 3 5 3" xfId="28787"/>
    <cellStyle name="Normal 368 3 6" xfId="28788"/>
    <cellStyle name="Normal 368 4" xfId="28789"/>
    <cellStyle name="Normal 368 4 2" xfId="28790"/>
    <cellStyle name="Normal 368 4 2 2" xfId="28791"/>
    <cellStyle name="Normal 368 4 3" xfId="28792"/>
    <cellStyle name="Normal 368 5" xfId="28793"/>
    <cellStyle name="Normal 368 5 2" xfId="28794"/>
    <cellStyle name="Normal 368 5 2 2" xfId="28795"/>
    <cellStyle name="Normal 368 5 3" xfId="28796"/>
    <cellStyle name="Normal 368 6" xfId="28797"/>
    <cellStyle name="Normal 368 6 2" xfId="28798"/>
    <cellStyle name="Normal 368 6 2 2" xfId="28799"/>
    <cellStyle name="Normal 368 6 3" xfId="28800"/>
    <cellStyle name="Normal 368 7" xfId="28801"/>
    <cellStyle name="Normal 369" xfId="28802"/>
    <cellStyle name="Normal 369 2" xfId="28803"/>
    <cellStyle name="Normal 369 2 2" xfId="28804"/>
    <cellStyle name="Normal 369 2 2 2" xfId="28805"/>
    <cellStyle name="Normal 369 2 3" xfId="28806"/>
    <cellStyle name="Normal 369 2 3 2" xfId="28807"/>
    <cellStyle name="Normal 369 2 3 2 2" xfId="28808"/>
    <cellStyle name="Normal 369 2 3 3" xfId="28809"/>
    <cellStyle name="Normal 369 2 4" xfId="28810"/>
    <cellStyle name="Normal 369 2 4 2" xfId="28811"/>
    <cellStyle name="Normal 369 2 4 2 2" xfId="28812"/>
    <cellStyle name="Normal 369 2 4 3" xfId="28813"/>
    <cellStyle name="Normal 369 2 5" xfId="28814"/>
    <cellStyle name="Normal 369 3" xfId="28815"/>
    <cellStyle name="Normal 369 3 2" xfId="28816"/>
    <cellStyle name="Normal 369 3 2 2" xfId="28817"/>
    <cellStyle name="Normal 369 3 2 2 2" xfId="28818"/>
    <cellStyle name="Normal 369 3 2 3" xfId="28819"/>
    <cellStyle name="Normal 369 3 2 3 2" xfId="28820"/>
    <cellStyle name="Normal 369 3 2 3 2 2" xfId="28821"/>
    <cellStyle name="Normal 369 3 2 3 3" xfId="28822"/>
    <cellStyle name="Normal 369 3 2 4" xfId="28823"/>
    <cellStyle name="Normal 369 3 3" xfId="28824"/>
    <cellStyle name="Normal 369 3 3 2" xfId="28825"/>
    <cellStyle name="Normal 369 3 3 2 2" xfId="28826"/>
    <cellStyle name="Normal 369 3 3 3" xfId="28827"/>
    <cellStyle name="Normal 369 3 4" xfId="28828"/>
    <cellStyle name="Normal 369 3 4 2" xfId="28829"/>
    <cellStyle name="Normal 369 3 4 2 2" xfId="28830"/>
    <cellStyle name="Normal 369 3 4 3" xfId="28831"/>
    <cellStyle name="Normal 369 3 5" xfId="28832"/>
    <cellStyle name="Normal 369 3 5 2" xfId="28833"/>
    <cellStyle name="Normal 369 3 5 2 2" xfId="28834"/>
    <cellStyle name="Normal 369 3 5 3" xfId="28835"/>
    <cellStyle name="Normal 369 3 6" xfId="28836"/>
    <cellStyle name="Normal 369 4" xfId="28837"/>
    <cellStyle name="Normal 369 4 2" xfId="28838"/>
    <cellStyle name="Normal 369 4 2 2" xfId="28839"/>
    <cellStyle name="Normal 369 4 3" xfId="28840"/>
    <cellStyle name="Normal 369 5" xfId="28841"/>
    <cellStyle name="Normal 369 5 2" xfId="28842"/>
    <cellStyle name="Normal 369 5 2 2" xfId="28843"/>
    <cellStyle name="Normal 369 5 3" xfId="28844"/>
    <cellStyle name="Normal 369 6" xfId="28845"/>
    <cellStyle name="Normal 369 6 2" xfId="28846"/>
    <cellStyle name="Normal 369 6 2 2" xfId="28847"/>
    <cellStyle name="Normal 369 6 3" xfId="28848"/>
    <cellStyle name="Normal 369 7" xfId="28849"/>
    <cellStyle name="Normal 37" xfId="28850"/>
    <cellStyle name="Normal 37 2" xfId="28851"/>
    <cellStyle name="Normal 37 2 2" xfId="28852"/>
    <cellStyle name="Normal 37 2 2 2" xfId="28853"/>
    <cellStyle name="Normal 37 2 2 2 2" xfId="28854"/>
    <cellStyle name="Normal 37 2 2 3" xfId="28855"/>
    <cellStyle name="Normal 37 2 2 3 2" xfId="28856"/>
    <cellStyle name="Normal 37 2 2 3 2 2" xfId="28857"/>
    <cellStyle name="Normal 37 2 2 3 3" xfId="28858"/>
    <cellStyle name="Normal 37 2 2 4" xfId="28859"/>
    <cellStyle name="Normal 37 2 2 4 2" xfId="28860"/>
    <cellStyle name="Normal 37 2 2 4 2 2" xfId="28861"/>
    <cellStyle name="Normal 37 2 2 4 3" xfId="28862"/>
    <cellStyle name="Normal 37 2 2 5" xfId="28863"/>
    <cellStyle name="Normal 37 2 3" xfId="28864"/>
    <cellStyle name="Normal 37 2 3 2" xfId="28865"/>
    <cellStyle name="Normal 37 2 3 2 2" xfId="28866"/>
    <cellStyle name="Normal 37 2 3 3" xfId="28867"/>
    <cellStyle name="Normal 37 2 4" xfId="28868"/>
    <cellStyle name="Normal 37 2 4 2" xfId="28869"/>
    <cellStyle name="Normal 37 2 4 2 2" xfId="28870"/>
    <cellStyle name="Normal 37 2 4 3" xfId="28871"/>
    <cellStyle name="Normal 37 2 5" xfId="28872"/>
    <cellStyle name="Normal 37 2 5 2" xfId="28873"/>
    <cellStyle name="Normal 37 2 5 2 2" xfId="28874"/>
    <cellStyle name="Normal 37 2 5 3" xfId="28875"/>
    <cellStyle name="Normal 37 2 6" xfId="28876"/>
    <cellStyle name="Normal 37 3" xfId="28877"/>
    <cellStyle name="Normal 37 3 2" xfId="28878"/>
    <cellStyle name="Normal 37 3 2 2" xfId="28879"/>
    <cellStyle name="Normal 37 3 3" xfId="28880"/>
    <cellStyle name="Normal 37 3 3 2" xfId="28881"/>
    <cellStyle name="Normal 37 3 3 2 2" xfId="28882"/>
    <cellStyle name="Normal 37 3 3 3" xfId="28883"/>
    <cellStyle name="Normal 37 3 4" xfId="28884"/>
    <cellStyle name="Normal 37 3 4 2" xfId="28885"/>
    <cellStyle name="Normal 37 3 4 2 2" xfId="28886"/>
    <cellStyle name="Normal 37 3 4 3" xfId="28887"/>
    <cellStyle name="Normal 37 3 5" xfId="28888"/>
    <cellStyle name="Normal 37 4" xfId="28889"/>
    <cellStyle name="Normal 37 4 2" xfId="28890"/>
    <cellStyle name="Normal 37 4 2 2" xfId="28891"/>
    <cellStyle name="Normal 37 4 3" xfId="28892"/>
    <cellStyle name="Normal 37 5" xfId="28893"/>
    <cellStyle name="Normal 37 5 2" xfId="28894"/>
    <cellStyle name="Normal 37 5 2 2" xfId="28895"/>
    <cellStyle name="Normal 37 5 3" xfId="28896"/>
    <cellStyle name="Normal 37 6" xfId="28897"/>
    <cellStyle name="Normal 37 6 2" xfId="28898"/>
    <cellStyle name="Normal 37 6 2 2" xfId="28899"/>
    <cellStyle name="Normal 37 6 3" xfId="28900"/>
    <cellStyle name="Normal 37 7" xfId="28901"/>
    <cellStyle name="Normal 370" xfId="28902"/>
    <cellStyle name="Normal 370 2" xfId="28903"/>
    <cellStyle name="Normal 370 2 2" xfId="28904"/>
    <cellStyle name="Normal 370 2 2 2" xfId="28905"/>
    <cellStyle name="Normal 370 2 3" xfId="28906"/>
    <cellStyle name="Normal 370 2 3 2" xfId="28907"/>
    <cellStyle name="Normal 370 2 3 2 2" xfId="28908"/>
    <cellStyle name="Normal 370 2 3 3" xfId="28909"/>
    <cellStyle name="Normal 370 2 4" xfId="28910"/>
    <cellStyle name="Normal 370 2 4 2" xfId="28911"/>
    <cellStyle name="Normal 370 2 4 2 2" xfId="28912"/>
    <cellStyle name="Normal 370 2 4 3" xfId="28913"/>
    <cellStyle name="Normal 370 2 5" xfId="28914"/>
    <cellStyle name="Normal 370 3" xfId="28915"/>
    <cellStyle name="Normal 370 3 2" xfId="28916"/>
    <cellStyle name="Normal 370 3 2 2" xfId="28917"/>
    <cellStyle name="Normal 370 3 2 2 2" xfId="28918"/>
    <cellStyle name="Normal 370 3 2 3" xfId="28919"/>
    <cellStyle name="Normal 370 3 2 3 2" xfId="28920"/>
    <cellStyle name="Normal 370 3 2 3 2 2" xfId="28921"/>
    <cellStyle name="Normal 370 3 2 3 3" xfId="28922"/>
    <cellStyle name="Normal 370 3 2 4" xfId="28923"/>
    <cellStyle name="Normal 370 3 3" xfId="28924"/>
    <cellStyle name="Normal 370 3 3 2" xfId="28925"/>
    <cellStyle name="Normal 370 3 3 2 2" xfId="28926"/>
    <cellStyle name="Normal 370 3 3 3" xfId="28927"/>
    <cellStyle name="Normal 370 3 4" xfId="28928"/>
    <cellStyle name="Normal 370 3 4 2" xfId="28929"/>
    <cellStyle name="Normal 370 3 4 2 2" xfId="28930"/>
    <cellStyle name="Normal 370 3 4 3" xfId="28931"/>
    <cellStyle name="Normal 370 3 5" xfId="28932"/>
    <cellStyle name="Normal 370 3 5 2" xfId="28933"/>
    <cellStyle name="Normal 370 3 5 2 2" xfId="28934"/>
    <cellStyle name="Normal 370 3 5 3" xfId="28935"/>
    <cellStyle name="Normal 370 3 6" xfId="28936"/>
    <cellStyle name="Normal 370 4" xfId="28937"/>
    <cellStyle name="Normal 370 4 2" xfId="28938"/>
    <cellStyle name="Normal 370 4 2 2" xfId="28939"/>
    <cellStyle name="Normal 370 4 3" xfId="28940"/>
    <cellStyle name="Normal 370 5" xfId="28941"/>
    <cellStyle name="Normal 370 5 2" xfId="28942"/>
    <cellStyle name="Normal 370 5 2 2" xfId="28943"/>
    <cellStyle name="Normal 370 5 3" xfId="28944"/>
    <cellStyle name="Normal 370 6" xfId="28945"/>
    <cellStyle name="Normal 370 6 2" xfId="28946"/>
    <cellStyle name="Normal 370 6 2 2" xfId="28947"/>
    <cellStyle name="Normal 370 6 3" xfId="28948"/>
    <cellStyle name="Normal 370 7" xfId="28949"/>
    <cellStyle name="Normal 371" xfId="28950"/>
    <cellStyle name="Normal 371 2" xfId="28951"/>
    <cellStyle name="Normal 371 2 2" xfId="28952"/>
    <cellStyle name="Normal 371 2 2 2" xfId="28953"/>
    <cellStyle name="Normal 371 2 3" xfId="28954"/>
    <cellStyle name="Normal 371 2 3 2" xfId="28955"/>
    <cellStyle name="Normal 371 2 3 2 2" xfId="28956"/>
    <cellStyle name="Normal 371 2 3 3" xfId="28957"/>
    <cellStyle name="Normal 371 2 4" xfId="28958"/>
    <cellStyle name="Normal 371 2 4 2" xfId="28959"/>
    <cellStyle name="Normal 371 2 4 2 2" xfId="28960"/>
    <cellStyle name="Normal 371 2 4 3" xfId="28961"/>
    <cellStyle name="Normal 371 2 5" xfId="28962"/>
    <cellStyle name="Normal 371 3" xfId="28963"/>
    <cellStyle name="Normal 371 3 2" xfId="28964"/>
    <cellStyle name="Normal 371 3 2 2" xfId="28965"/>
    <cellStyle name="Normal 371 3 2 2 2" xfId="28966"/>
    <cellStyle name="Normal 371 3 2 3" xfId="28967"/>
    <cellStyle name="Normal 371 3 2 3 2" xfId="28968"/>
    <cellStyle name="Normal 371 3 2 3 2 2" xfId="28969"/>
    <cellStyle name="Normal 371 3 2 3 3" xfId="28970"/>
    <cellStyle name="Normal 371 3 2 4" xfId="28971"/>
    <cellStyle name="Normal 371 3 3" xfId="28972"/>
    <cellStyle name="Normal 371 3 3 2" xfId="28973"/>
    <cellStyle name="Normal 371 3 3 2 2" xfId="28974"/>
    <cellStyle name="Normal 371 3 3 3" xfId="28975"/>
    <cellStyle name="Normal 371 3 4" xfId="28976"/>
    <cellStyle name="Normal 371 3 4 2" xfId="28977"/>
    <cellStyle name="Normal 371 3 4 2 2" xfId="28978"/>
    <cellStyle name="Normal 371 3 4 3" xfId="28979"/>
    <cellStyle name="Normal 371 3 5" xfId="28980"/>
    <cellStyle name="Normal 371 3 5 2" xfId="28981"/>
    <cellStyle name="Normal 371 3 5 2 2" xfId="28982"/>
    <cellStyle name="Normal 371 3 5 3" xfId="28983"/>
    <cellStyle name="Normal 371 3 6" xfId="28984"/>
    <cellStyle name="Normal 371 4" xfId="28985"/>
    <cellStyle name="Normal 371 4 2" xfId="28986"/>
    <cellStyle name="Normal 371 4 2 2" xfId="28987"/>
    <cellStyle name="Normal 371 4 3" xfId="28988"/>
    <cellStyle name="Normal 371 5" xfId="28989"/>
    <cellStyle name="Normal 371 5 2" xfId="28990"/>
    <cellStyle name="Normal 371 5 2 2" xfId="28991"/>
    <cellStyle name="Normal 371 5 3" xfId="28992"/>
    <cellStyle name="Normal 371 6" xfId="28993"/>
    <cellStyle name="Normal 371 6 2" xfId="28994"/>
    <cellStyle name="Normal 371 6 2 2" xfId="28995"/>
    <cellStyle name="Normal 371 6 3" xfId="28996"/>
    <cellStyle name="Normal 371 7" xfId="28997"/>
    <cellStyle name="Normal 372" xfId="28998"/>
    <cellStyle name="Normal 372 2" xfId="28999"/>
    <cellStyle name="Normal 372 2 2" xfId="29000"/>
    <cellStyle name="Normal 372 2 2 2" xfId="29001"/>
    <cellStyle name="Normal 372 2 3" xfId="29002"/>
    <cellStyle name="Normal 372 2 3 2" xfId="29003"/>
    <cellStyle name="Normal 372 2 3 2 2" xfId="29004"/>
    <cellStyle name="Normal 372 2 3 3" xfId="29005"/>
    <cellStyle name="Normal 372 2 4" xfId="29006"/>
    <cellStyle name="Normal 372 2 4 2" xfId="29007"/>
    <cellStyle name="Normal 372 2 4 2 2" xfId="29008"/>
    <cellStyle name="Normal 372 2 4 3" xfId="29009"/>
    <cellStyle name="Normal 372 2 5" xfId="29010"/>
    <cellStyle name="Normal 372 3" xfId="29011"/>
    <cellStyle name="Normal 372 3 2" xfId="29012"/>
    <cellStyle name="Normal 372 3 2 2" xfId="29013"/>
    <cellStyle name="Normal 372 3 2 2 2" xfId="29014"/>
    <cellStyle name="Normal 372 3 2 3" xfId="29015"/>
    <cellStyle name="Normal 372 3 2 3 2" xfId="29016"/>
    <cellStyle name="Normal 372 3 2 3 2 2" xfId="29017"/>
    <cellStyle name="Normal 372 3 2 3 3" xfId="29018"/>
    <cellStyle name="Normal 372 3 2 4" xfId="29019"/>
    <cellStyle name="Normal 372 3 3" xfId="29020"/>
    <cellStyle name="Normal 372 3 3 2" xfId="29021"/>
    <cellStyle name="Normal 372 3 3 2 2" xfId="29022"/>
    <cellStyle name="Normal 372 3 3 3" xfId="29023"/>
    <cellStyle name="Normal 372 3 4" xfId="29024"/>
    <cellStyle name="Normal 372 3 4 2" xfId="29025"/>
    <cellStyle name="Normal 372 3 4 2 2" xfId="29026"/>
    <cellStyle name="Normal 372 3 4 3" xfId="29027"/>
    <cellStyle name="Normal 372 3 5" xfId="29028"/>
    <cellStyle name="Normal 372 3 5 2" xfId="29029"/>
    <cellStyle name="Normal 372 3 5 2 2" xfId="29030"/>
    <cellStyle name="Normal 372 3 5 3" xfId="29031"/>
    <cellStyle name="Normal 372 3 6" xfId="29032"/>
    <cellStyle name="Normal 372 4" xfId="29033"/>
    <cellStyle name="Normal 372 4 2" xfId="29034"/>
    <cellStyle name="Normal 372 4 2 2" xfId="29035"/>
    <cellStyle name="Normal 372 4 3" xfId="29036"/>
    <cellStyle name="Normal 372 5" xfId="29037"/>
    <cellStyle name="Normal 372 5 2" xfId="29038"/>
    <cellStyle name="Normal 372 5 2 2" xfId="29039"/>
    <cellStyle name="Normal 372 5 3" xfId="29040"/>
    <cellStyle name="Normal 372 6" xfId="29041"/>
    <cellStyle name="Normal 372 6 2" xfId="29042"/>
    <cellStyle name="Normal 372 6 2 2" xfId="29043"/>
    <cellStyle name="Normal 372 6 3" xfId="29044"/>
    <cellStyle name="Normal 372 7" xfId="29045"/>
    <cellStyle name="Normal 373" xfId="29046"/>
    <cellStyle name="Normal 373 2" xfId="29047"/>
    <cellStyle name="Normal 373 2 2" xfId="29048"/>
    <cellStyle name="Normal 373 2 2 2" xfId="29049"/>
    <cellStyle name="Normal 373 2 3" xfId="29050"/>
    <cellStyle name="Normal 373 2 3 2" xfId="29051"/>
    <cellStyle name="Normal 373 2 3 2 2" xfId="29052"/>
    <cellStyle name="Normal 373 2 3 3" xfId="29053"/>
    <cellStyle name="Normal 373 2 4" xfId="29054"/>
    <cellStyle name="Normal 373 2 4 2" xfId="29055"/>
    <cellStyle name="Normal 373 2 4 2 2" xfId="29056"/>
    <cellStyle name="Normal 373 2 4 3" xfId="29057"/>
    <cellStyle name="Normal 373 2 5" xfId="29058"/>
    <cellStyle name="Normal 373 3" xfId="29059"/>
    <cellStyle name="Normal 373 3 2" xfId="29060"/>
    <cellStyle name="Normal 373 3 2 2" xfId="29061"/>
    <cellStyle name="Normal 373 3 2 2 2" xfId="29062"/>
    <cellStyle name="Normal 373 3 2 3" xfId="29063"/>
    <cellStyle name="Normal 373 3 2 3 2" xfId="29064"/>
    <cellStyle name="Normal 373 3 2 3 2 2" xfId="29065"/>
    <cellStyle name="Normal 373 3 2 3 3" xfId="29066"/>
    <cellStyle name="Normal 373 3 2 4" xfId="29067"/>
    <cellStyle name="Normal 373 3 3" xfId="29068"/>
    <cellStyle name="Normal 373 3 3 2" xfId="29069"/>
    <cellStyle name="Normal 373 3 3 2 2" xfId="29070"/>
    <cellStyle name="Normal 373 3 3 3" xfId="29071"/>
    <cellStyle name="Normal 373 3 4" xfId="29072"/>
    <cellStyle name="Normal 373 3 4 2" xfId="29073"/>
    <cellStyle name="Normal 373 3 4 2 2" xfId="29074"/>
    <cellStyle name="Normal 373 3 4 3" xfId="29075"/>
    <cellStyle name="Normal 373 3 5" xfId="29076"/>
    <cellStyle name="Normal 373 3 5 2" xfId="29077"/>
    <cellStyle name="Normal 373 3 5 2 2" xfId="29078"/>
    <cellStyle name="Normal 373 3 5 3" xfId="29079"/>
    <cellStyle name="Normal 373 3 6" xfId="29080"/>
    <cellStyle name="Normal 373 4" xfId="29081"/>
    <cellStyle name="Normal 373 4 2" xfId="29082"/>
    <cellStyle name="Normal 373 4 2 2" xfId="29083"/>
    <cellStyle name="Normal 373 4 3" xfId="29084"/>
    <cellStyle name="Normal 373 5" xfId="29085"/>
    <cellStyle name="Normal 373 5 2" xfId="29086"/>
    <cellStyle name="Normal 373 5 2 2" xfId="29087"/>
    <cellStyle name="Normal 373 5 3" xfId="29088"/>
    <cellStyle name="Normal 373 6" xfId="29089"/>
    <cellStyle name="Normal 373 6 2" xfId="29090"/>
    <cellStyle name="Normal 373 6 2 2" xfId="29091"/>
    <cellStyle name="Normal 373 6 3" xfId="29092"/>
    <cellStyle name="Normal 373 7" xfId="29093"/>
    <cellStyle name="Normal 374" xfId="29094"/>
    <cellStyle name="Normal 374 2" xfId="29095"/>
    <cellStyle name="Normal 374 2 2" xfId="29096"/>
    <cellStyle name="Normal 374 2 2 2" xfId="29097"/>
    <cellStyle name="Normal 374 2 3" xfId="29098"/>
    <cellStyle name="Normal 374 2 3 2" xfId="29099"/>
    <cellStyle name="Normal 374 2 3 2 2" xfId="29100"/>
    <cellStyle name="Normal 374 2 3 3" xfId="29101"/>
    <cellStyle name="Normal 374 2 4" xfId="29102"/>
    <cellStyle name="Normal 374 2 4 2" xfId="29103"/>
    <cellStyle name="Normal 374 2 4 2 2" xfId="29104"/>
    <cellStyle name="Normal 374 2 4 3" xfId="29105"/>
    <cellStyle name="Normal 374 2 5" xfId="29106"/>
    <cellStyle name="Normal 374 3" xfId="29107"/>
    <cellStyle name="Normal 374 3 2" xfId="29108"/>
    <cellStyle name="Normal 374 3 2 2" xfId="29109"/>
    <cellStyle name="Normal 374 3 2 2 2" xfId="29110"/>
    <cellStyle name="Normal 374 3 2 3" xfId="29111"/>
    <cellStyle name="Normal 374 3 2 3 2" xfId="29112"/>
    <cellStyle name="Normal 374 3 2 3 2 2" xfId="29113"/>
    <cellStyle name="Normal 374 3 2 3 3" xfId="29114"/>
    <cellStyle name="Normal 374 3 2 4" xfId="29115"/>
    <cellStyle name="Normal 374 3 3" xfId="29116"/>
    <cellStyle name="Normal 374 3 3 2" xfId="29117"/>
    <cellStyle name="Normal 374 3 3 2 2" xfId="29118"/>
    <cellStyle name="Normal 374 3 3 3" xfId="29119"/>
    <cellStyle name="Normal 374 3 4" xfId="29120"/>
    <cellStyle name="Normal 374 3 4 2" xfId="29121"/>
    <cellStyle name="Normal 374 3 4 2 2" xfId="29122"/>
    <cellStyle name="Normal 374 3 4 3" xfId="29123"/>
    <cellStyle name="Normal 374 3 5" xfId="29124"/>
    <cellStyle name="Normal 374 3 5 2" xfId="29125"/>
    <cellStyle name="Normal 374 3 5 2 2" xfId="29126"/>
    <cellStyle name="Normal 374 3 5 3" xfId="29127"/>
    <cellStyle name="Normal 374 3 6" xfId="29128"/>
    <cellStyle name="Normal 374 4" xfId="29129"/>
    <cellStyle name="Normal 374 4 2" xfId="29130"/>
    <cellStyle name="Normal 374 4 2 2" xfId="29131"/>
    <cellStyle name="Normal 374 4 3" xfId="29132"/>
    <cellStyle name="Normal 374 5" xfId="29133"/>
    <cellStyle name="Normal 374 5 2" xfId="29134"/>
    <cellStyle name="Normal 374 5 2 2" xfId="29135"/>
    <cellStyle name="Normal 374 5 3" xfId="29136"/>
    <cellStyle name="Normal 374 6" xfId="29137"/>
    <cellStyle name="Normal 374 6 2" xfId="29138"/>
    <cellStyle name="Normal 374 6 2 2" xfId="29139"/>
    <cellStyle name="Normal 374 6 3" xfId="29140"/>
    <cellStyle name="Normal 374 7" xfId="29141"/>
    <cellStyle name="Normal 375" xfId="29142"/>
    <cellStyle name="Normal 375 2" xfId="29143"/>
    <cellStyle name="Normal 375 2 2" xfId="29144"/>
    <cellStyle name="Normal 375 2 2 2" xfId="29145"/>
    <cellStyle name="Normal 375 2 3" xfId="29146"/>
    <cellStyle name="Normal 375 2 3 2" xfId="29147"/>
    <cellStyle name="Normal 375 2 3 2 2" xfId="29148"/>
    <cellStyle name="Normal 375 2 3 3" xfId="29149"/>
    <cellStyle name="Normal 375 2 4" xfId="29150"/>
    <cellStyle name="Normal 375 2 4 2" xfId="29151"/>
    <cellStyle name="Normal 375 2 4 2 2" xfId="29152"/>
    <cellStyle name="Normal 375 2 4 3" xfId="29153"/>
    <cellStyle name="Normal 375 2 5" xfId="29154"/>
    <cellStyle name="Normal 375 3" xfId="29155"/>
    <cellStyle name="Normal 375 3 2" xfId="29156"/>
    <cellStyle name="Normal 375 3 2 2" xfId="29157"/>
    <cellStyle name="Normal 375 3 2 2 2" xfId="29158"/>
    <cellStyle name="Normal 375 3 2 3" xfId="29159"/>
    <cellStyle name="Normal 375 3 2 3 2" xfId="29160"/>
    <cellStyle name="Normal 375 3 2 3 2 2" xfId="29161"/>
    <cellStyle name="Normal 375 3 2 3 3" xfId="29162"/>
    <cellStyle name="Normal 375 3 2 4" xfId="29163"/>
    <cellStyle name="Normal 375 3 3" xfId="29164"/>
    <cellStyle name="Normal 375 3 3 2" xfId="29165"/>
    <cellStyle name="Normal 375 3 3 2 2" xfId="29166"/>
    <cellStyle name="Normal 375 3 3 3" xfId="29167"/>
    <cellStyle name="Normal 375 3 4" xfId="29168"/>
    <cellStyle name="Normal 375 3 4 2" xfId="29169"/>
    <cellStyle name="Normal 375 3 4 2 2" xfId="29170"/>
    <cellStyle name="Normal 375 3 4 3" xfId="29171"/>
    <cellStyle name="Normal 375 3 5" xfId="29172"/>
    <cellStyle name="Normal 375 3 5 2" xfId="29173"/>
    <cellStyle name="Normal 375 3 5 2 2" xfId="29174"/>
    <cellStyle name="Normal 375 3 5 3" xfId="29175"/>
    <cellStyle name="Normal 375 3 6" xfId="29176"/>
    <cellStyle name="Normal 375 4" xfId="29177"/>
    <cellStyle name="Normal 375 4 2" xfId="29178"/>
    <cellStyle name="Normal 375 4 2 2" xfId="29179"/>
    <cellStyle name="Normal 375 4 3" xfId="29180"/>
    <cellStyle name="Normal 375 5" xfId="29181"/>
    <cellStyle name="Normal 375 5 2" xfId="29182"/>
    <cellStyle name="Normal 375 5 2 2" xfId="29183"/>
    <cellStyle name="Normal 375 5 3" xfId="29184"/>
    <cellStyle name="Normal 375 6" xfId="29185"/>
    <cellStyle name="Normal 375 6 2" xfId="29186"/>
    <cellStyle name="Normal 375 6 2 2" xfId="29187"/>
    <cellStyle name="Normal 375 6 3" xfId="29188"/>
    <cellStyle name="Normal 375 7" xfId="29189"/>
    <cellStyle name="Normal 376" xfId="29190"/>
    <cellStyle name="Normal 376 2" xfId="29191"/>
    <cellStyle name="Normal 376 2 2" xfId="29192"/>
    <cellStyle name="Normal 376 2 2 2" xfId="29193"/>
    <cellStyle name="Normal 376 2 3" xfId="29194"/>
    <cellStyle name="Normal 376 2 3 2" xfId="29195"/>
    <cellStyle name="Normal 376 2 3 2 2" xfId="29196"/>
    <cellStyle name="Normal 376 2 3 3" xfId="29197"/>
    <cellStyle name="Normal 376 2 4" xfId="29198"/>
    <cellStyle name="Normal 376 2 4 2" xfId="29199"/>
    <cellStyle name="Normal 376 2 4 2 2" xfId="29200"/>
    <cellStyle name="Normal 376 2 4 3" xfId="29201"/>
    <cellStyle name="Normal 376 2 5" xfId="29202"/>
    <cellStyle name="Normal 376 3" xfId="29203"/>
    <cellStyle name="Normal 376 3 2" xfId="29204"/>
    <cellStyle name="Normal 376 3 2 2" xfId="29205"/>
    <cellStyle name="Normal 376 3 2 2 2" xfId="29206"/>
    <cellStyle name="Normal 376 3 2 3" xfId="29207"/>
    <cellStyle name="Normal 376 3 2 3 2" xfId="29208"/>
    <cellStyle name="Normal 376 3 2 3 2 2" xfId="29209"/>
    <cellStyle name="Normal 376 3 2 3 3" xfId="29210"/>
    <cellStyle name="Normal 376 3 2 4" xfId="29211"/>
    <cellStyle name="Normal 376 3 3" xfId="29212"/>
    <cellStyle name="Normal 376 3 3 2" xfId="29213"/>
    <cellStyle name="Normal 376 3 3 2 2" xfId="29214"/>
    <cellStyle name="Normal 376 3 3 3" xfId="29215"/>
    <cellStyle name="Normal 376 3 4" xfId="29216"/>
    <cellStyle name="Normal 376 3 4 2" xfId="29217"/>
    <cellStyle name="Normal 376 3 4 2 2" xfId="29218"/>
    <cellStyle name="Normal 376 3 4 3" xfId="29219"/>
    <cellStyle name="Normal 376 3 5" xfId="29220"/>
    <cellStyle name="Normal 376 3 5 2" xfId="29221"/>
    <cellStyle name="Normal 376 3 5 2 2" xfId="29222"/>
    <cellStyle name="Normal 376 3 5 3" xfId="29223"/>
    <cellStyle name="Normal 376 3 6" xfId="29224"/>
    <cellStyle name="Normal 376 4" xfId="29225"/>
    <cellStyle name="Normal 376 4 2" xfId="29226"/>
    <cellStyle name="Normal 376 4 2 2" xfId="29227"/>
    <cellStyle name="Normal 376 4 3" xfId="29228"/>
    <cellStyle name="Normal 376 5" xfId="29229"/>
    <cellStyle name="Normal 376 5 2" xfId="29230"/>
    <cellStyle name="Normal 376 5 2 2" xfId="29231"/>
    <cellStyle name="Normal 376 5 3" xfId="29232"/>
    <cellStyle name="Normal 376 6" xfId="29233"/>
    <cellStyle name="Normal 376 6 2" xfId="29234"/>
    <cellStyle name="Normal 376 6 2 2" xfId="29235"/>
    <cellStyle name="Normal 376 6 3" xfId="29236"/>
    <cellStyle name="Normal 376 7" xfId="29237"/>
    <cellStyle name="Normal 377" xfId="29238"/>
    <cellStyle name="Normal 377 2" xfId="29239"/>
    <cellStyle name="Normal 377 2 2" xfId="29240"/>
    <cellStyle name="Normal 377 2 2 2" xfId="29241"/>
    <cellStyle name="Normal 377 2 3" xfId="29242"/>
    <cellStyle name="Normal 377 2 3 2" xfId="29243"/>
    <cellStyle name="Normal 377 2 3 2 2" xfId="29244"/>
    <cellStyle name="Normal 377 2 3 3" xfId="29245"/>
    <cellStyle name="Normal 377 2 4" xfId="29246"/>
    <cellStyle name="Normal 377 2 4 2" xfId="29247"/>
    <cellStyle name="Normal 377 2 4 2 2" xfId="29248"/>
    <cellStyle name="Normal 377 2 4 3" xfId="29249"/>
    <cellStyle name="Normal 377 2 5" xfId="29250"/>
    <cellStyle name="Normal 377 3" xfId="29251"/>
    <cellStyle name="Normal 377 3 2" xfId="29252"/>
    <cellStyle name="Normal 377 3 2 2" xfId="29253"/>
    <cellStyle name="Normal 377 3 2 2 2" xfId="29254"/>
    <cellStyle name="Normal 377 3 2 3" xfId="29255"/>
    <cellStyle name="Normal 377 3 2 3 2" xfId="29256"/>
    <cellStyle name="Normal 377 3 2 3 2 2" xfId="29257"/>
    <cellStyle name="Normal 377 3 2 3 3" xfId="29258"/>
    <cellStyle name="Normal 377 3 2 4" xfId="29259"/>
    <cellStyle name="Normal 377 3 3" xfId="29260"/>
    <cellStyle name="Normal 377 3 3 2" xfId="29261"/>
    <cellStyle name="Normal 377 3 3 2 2" xfId="29262"/>
    <cellStyle name="Normal 377 3 3 3" xfId="29263"/>
    <cellStyle name="Normal 377 3 4" xfId="29264"/>
    <cellStyle name="Normal 377 3 4 2" xfId="29265"/>
    <cellStyle name="Normal 377 3 4 2 2" xfId="29266"/>
    <cellStyle name="Normal 377 3 4 3" xfId="29267"/>
    <cellStyle name="Normal 377 3 5" xfId="29268"/>
    <cellStyle name="Normal 377 3 5 2" xfId="29269"/>
    <cellStyle name="Normal 377 3 5 2 2" xfId="29270"/>
    <cellStyle name="Normal 377 3 5 3" xfId="29271"/>
    <cellStyle name="Normal 377 3 6" xfId="29272"/>
    <cellStyle name="Normal 377 4" xfId="29273"/>
    <cellStyle name="Normal 377 4 2" xfId="29274"/>
    <cellStyle name="Normal 377 4 2 2" xfId="29275"/>
    <cellStyle name="Normal 377 4 3" xfId="29276"/>
    <cellStyle name="Normal 377 5" xfId="29277"/>
    <cellStyle name="Normal 377 5 2" xfId="29278"/>
    <cellStyle name="Normal 377 5 2 2" xfId="29279"/>
    <cellStyle name="Normal 377 5 3" xfId="29280"/>
    <cellStyle name="Normal 377 6" xfId="29281"/>
    <cellStyle name="Normal 377 6 2" xfId="29282"/>
    <cellStyle name="Normal 377 6 2 2" xfId="29283"/>
    <cellStyle name="Normal 377 6 3" xfId="29284"/>
    <cellStyle name="Normal 377 7" xfId="29285"/>
    <cellStyle name="Normal 378" xfId="29286"/>
    <cellStyle name="Normal 378 2" xfId="29287"/>
    <cellStyle name="Normal 378 2 2" xfId="29288"/>
    <cellStyle name="Normal 378 2 2 2" xfId="29289"/>
    <cellStyle name="Normal 378 2 3" xfId="29290"/>
    <cellStyle name="Normal 378 2 3 2" xfId="29291"/>
    <cellStyle name="Normal 378 2 3 2 2" xfId="29292"/>
    <cellStyle name="Normal 378 2 3 3" xfId="29293"/>
    <cellStyle name="Normal 378 2 4" xfId="29294"/>
    <cellStyle name="Normal 378 2 4 2" xfId="29295"/>
    <cellStyle name="Normal 378 2 4 2 2" xfId="29296"/>
    <cellStyle name="Normal 378 2 4 3" xfId="29297"/>
    <cellStyle name="Normal 378 2 5" xfId="29298"/>
    <cellStyle name="Normal 378 3" xfId="29299"/>
    <cellStyle name="Normal 378 3 2" xfId="29300"/>
    <cellStyle name="Normal 378 3 2 2" xfId="29301"/>
    <cellStyle name="Normal 378 3 2 2 2" xfId="29302"/>
    <cellStyle name="Normal 378 3 2 3" xfId="29303"/>
    <cellStyle name="Normal 378 3 2 3 2" xfId="29304"/>
    <cellStyle name="Normal 378 3 2 3 2 2" xfId="29305"/>
    <cellStyle name="Normal 378 3 2 3 3" xfId="29306"/>
    <cellStyle name="Normal 378 3 2 4" xfId="29307"/>
    <cellStyle name="Normal 378 3 3" xfId="29308"/>
    <cellStyle name="Normal 378 3 3 2" xfId="29309"/>
    <cellStyle name="Normal 378 3 3 2 2" xfId="29310"/>
    <cellStyle name="Normal 378 3 3 3" xfId="29311"/>
    <cellStyle name="Normal 378 3 4" xfId="29312"/>
    <cellStyle name="Normal 378 3 4 2" xfId="29313"/>
    <cellStyle name="Normal 378 3 4 2 2" xfId="29314"/>
    <cellStyle name="Normal 378 3 4 3" xfId="29315"/>
    <cellStyle name="Normal 378 3 5" xfId="29316"/>
    <cellStyle name="Normal 378 3 5 2" xfId="29317"/>
    <cellStyle name="Normal 378 3 5 2 2" xfId="29318"/>
    <cellStyle name="Normal 378 3 5 3" xfId="29319"/>
    <cellStyle name="Normal 378 3 6" xfId="29320"/>
    <cellStyle name="Normal 378 4" xfId="29321"/>
    <cellStyle name="Normal 378 4 2" xfId="29322"/>
    <cellStyle name="Normal 378 4 2 2" xfId="29323"/>
    <cellStyle name="Normal 378 4 3" xfId="29324"/>
    <cellStyle name="Normal 378 5" xfId="29325"/>
    <cellStyle name="Normal 378 5 2" xfId="29326"/>
    <cellStyle name="Normal 378 5 2 2" xfId="29327"/>
    <cellStyle name="Normal 378 5 3" xfId="29328"/>
    <cellStyle name="Normal 378 6" xfId="29329"/>
    <cellStyle name="Normal 378 6 2" xfId="29330"/>
    <cellStyle name="Normal 378 6 2 2" xfId="29331"/>
    <cellStyle name="Normal 378 6 3" xfId="29332"/>
    <cellStyle name="Normal 378 7" xfId="29333"/>
    <cellStyle name="Normal 379" xfId="29334"/>
    <cellStyle name="Normal 379 2" xfId="29335"/>
    <cellStyle name="Normal 379 2 2" xfId="29336"/>
    <cellStyle name="Normal 379 2 2 2" xfId="29337"/>
    <cellStyle name="Normal 379 2 3" xfId="29338"/>
    <cellStyle name="Normal 379 2 3 2" xfId="29339"/>
    <cellStyle name="Normal 379 2 3 2 2" xfId="29340"/>
    <cellStyle name="Normal 379 2 3 3" xfId="29341"/>
    <cellStyle name="Normal 379 2 4" xfId="29342"/>
    <cellStyle name="Normal 379 2 4 2" xfId="29343"/>
    <cellStyle name="Normal 379 2 4 2 2" xfId="29344"/>
    <cellStyle name="Normal 379 2 4 3" xfId="29345"/>
    <cellStyle name="Normal 379 2 5" xfId="29346"/>
    <cellStyle name="Normal 379 3" xfId="29347"/>
    <cellStyle name="Normal 379 3 2" xfId="29348"/>
    <cellStyle name="Normal 379 3 2 2" xfId="29349"/>
    <cellStyle name="Normal 379 3 2 2 2" xfId="29350"/>
    <cellStyle name="Normal 379 3 2 3" xfId="29351"/>
    <cellStyle name="Normal 379 3 2 3 2" xfId="29352"/>
    <cellStyle name="Normal 379 3 2 3 2 2" xfId="29353"/>
    <cellStyle name="Normal 379 3 2 3 3" xfId="29354"/>
    <cellStyle name="Normal 379 3 2 4" xfId="29355"/>
    <cellStyle name="Normal 379 3 3" xfId="29356"/>
    <cellStyle name="Normal 379 3 3 2" xfId="29357"/>
    <cellStyle name="Normal 379 3 3 2 2" xfId="29358"/>
    <cellStyle name="Normal 379 3 3 3" xfId="29359"/>
    <cellStyle name="Normal 379 3 4" xfId="29360"/>
    <cellStyle name="Normal 379 3 4 2" xfId="29361"/>
    <cellStyle name="Normal 379 3 4 2 2" xfId="29362"/>
    <cellStyle name="Normal 379 3 4 3" xfId="29363"/>
    <cellStyle name="Normal 379 3 5" xfId="29364"/>
    <cellStyle name="Normal 379 3 5 2" xfId="29365"/>
    <cellStyle name="Normal 379 3 5 2 2" xfId="29366"/>
    <cellStyle name="Normal 379 3 5 3" xfId="29367"/>
    <cellStyle name="Normal 379 3 6" xfId="29368"/>
    <cellStyle name="Normal 379 4" xfId="29369"/>
    <cellStyle name="Normal 379 4 2" xfId="29370"/>
    <cellStyle name="Normal 379 4 2 2" xfId="29371"/>
    <cellStyle name="Normal 379 4 3" xfId="29372"/>
    <cellStyle name="Normal 379 5" xfId="29373"/>
    <cellStyle name="Normal 379 5 2" xfId="29374"/>
    <cellStyle name="Normal 379 5 2 2" xfId="29375"/>
    <cellStyle name="Normal 379 5 3" xfId="29376"/>
    <cellStyle name="Normal 379 6" xfId="29377"/>
    <cellStyle name="Normal 379 6 2" xfId="29378"/>
    <cellStyle name="Normal 379 6 2 2" xfId="29379"/>
    <cellStyle name="Normal 379 6 3" xfId="29380"/>
    <cellStyle name="Normal 379 7" xfId="29381"/>
    <cellStyle name="Normal 38" xfId="29382"/>
    <cellStyle name="Normal 38 2" xfId="29383"/>
    <cellStyle name="Normal 38 2 2" xfId="29384"/>
    <cellStyle name="Normal 38 2 2 2" xfId="29385"/>
    <cellStyle name="Normal 38 2 2 2 2" xfId="29386"/>
    <cellStyle name="Normal 38 2 2 3" xfId="29387"/>
    <cellStyle name="Normal 38 2 2 3 2" xfId="29388"/>
    <cellStyle name="Normal 38 2 2 3 2 2" xfId="29389"/>
    <cellStyle name="Normal 38 2 2 3 3" xfId="29390"/>
    <cellStyle name="Normal 38 2 2 4" xfId="29391"/>
    <cellStyle name="Normal 38 2 2 4 2" xfId="29392"/>
    <cellStyle name="Normal 38 2 2 4 2 2" xfId="29393"/>
    <cellStyle name="Normal 38 2 2 4 3" xfId="29394"/>
    <cellStyle name="Normal 38 2 2 5" xfId="29395"/>
    <cellStyle name="Normal 38 2 3" xfId="29396"/>
    <cellStyle name="Normal 38 2 3 2" xfId="29397"/>
    <cellStyle name="Normal 38 2 3 2 2" xfId="29398"/>
    <cellStyle name="Normal 38 2 3 3" xfId="29399"/>
    <cellStyle name="Normal 38 2 4" xfId="29400"/>
    <cellStyle name="Normal 38 2 4 2" xfId="29401"/>
    <cellStyle name="Normal 38 2 4 2 2" xfId="29402"/>
    <cellStyle name="Normal 38 2 4 3" xfId="29403"/>
    <cellStyle name="Normal 38 2 5" xfId="29404"/>
    <cellStyle name="Normal 38 2 5 2" xfId="29405"/>
    <cellStyle name="Normal 38 2 5 2 2" xfId="29406"/>
    <cellStyle name="Normal 38 2 5 3" xfId="29407"/>
    <cellStyle name="Normal 38 2 6" xfId="29408"/>
    <cellStyle name="Normal 38 3" xfId="29409"/>
    <cellStyle name="Normal 38 3 2" xfId="29410"/>
    <cellStyle name="Normal 38 3 2 2" xfId="29411"/>
    <cellStyle name="Normal 38 3 3" xfId="29412"/>
    <cellStyle name="Normal 38 3 3 2" xfId="29413"/>
    <cellStyle name="Normal 38 3 3 2 2" xfId="29414"/>
    <cellStyle name="Normal 38 3 3 3" xfId="29415"/>
    <cellStyle name="Normal 38 3 4" xfId="29416"/>
    <cellStyle name="Normal 38 3 4 2" xfId="29417"/>
    <cellStyle name="Normal 38 3 4 2 2" xfId="29418"/>
    <cellStyle name="Normal 38 3 4 3" xfId="29419"/>
    <cellStyle name="Normal 38 3 5" xfId="29420"/>
    <cellStyle name="Normal 38 4" xfId="29421"/>
    <cellStyle name="Normal 38 4 2" xfId="29422"/>
    <cellStyle name="Normal 38 4 2 2" xfId="29423"/>
    <cellStyle name="Normal 38 4 3" xfId="29424"/>
    <cellStyle name="Normal 38 5" xfId="29425"/>
    <cellStyle name="Normal 38 5 2" xfId="29426"/>
    <cellStyle name="Normal 38 5 2 2" xfId="29427"/>
    <cellStyle name="Normal 38 5 3" xfId="29428"/>
    <cellStyle name="Normal 38 6" xfId="29429"/>
    <cellStyle name="Normal 38 6 2" xfId="29430"/>
    <cellStyle name="Normal 38 6 2 2" xfId="29431"/>
    <cellStyle name="Normal 38 6 3" xfId="29432"/>
    <cellStyle name="Normal 38 7" xfId="29433"/>
    <cellStyle name="Normal 380" xfId="29434"/>
    <cellStyle name="Normal 380 2" xfId="29435"/>
    <cellStyle name="Normal 380 2 2" xfId="29436"/>
    <cellStyle name="Normal 380 2 2 2" xfId="29437"/>
    <cellStyle name="Normal 380 2 3" xfId="29438"/>
    <cellStyle name="Normal 380 2 3 2" xfId="29439"/>
    <cellStyle name="Normal 380 2 3 2 2" xfId="29440"/>
    <cellStyle name="Normal 380 2 3 3" xfId="29441"/>
    <cellStyle name="Normal 380 2 4" xfId="29442"/>
    <cellStyle name="Normal 380 2 4 2" xfId="29443"/>
    <cellStyle name="Normal 380 2 4 2 2" xfId="29444"/>
    <cellStyle name="Normal 380 2 4 3" xfId="29445"/>
    <cellStyle name="Normal 380 2 5" xfId="29446"/>
    <cellStyle name="Normal 380 3" xfId="29447"/>
    <cellStyle name="Normal 380 3 2" xfId="29448"/>
    <cellStyle name="Normal 380 3 2 2" xfId="29449"/>
    <cellStyle name="Normal 380 3 2 2 2" xfId="29450"/>
    <cellStyle name="Normal 380 3 2 3" xfId="29451"/>
    <cellStyle name="Normal 380 3 2 3 2" xfId="29452"/>
    <cellStyle name="Normal 380 3 2 3 2 2" xfId="29453"/>
    <cellStyle name="Normal 380 3 2 3 3" xfId="29454"/>
    <cellStyle name="Normal 380 3 2 4" xfId="29455"/>
    <cellStyle name="Normal 380 3 3" xfId="29456"/>
    <cellStyle name="Normal 380 3 3 2" xfId="29457"/>
    <cellStyle name="Normal 380 3 3 2 2" xfId="29458"/>
    <cellStyle name="Normal 380 3 3 3" xfId="29459"/>
    <cellStyle name="Normal 380 3 4" xfId="29460"/>
    <cellStyle name="Normal 380 3 4 2" xfId="29461"/>
    <cellStyle name="Normal 380 3 4 2 2" xfId="29462"/>
    <cellStyle name="Normal 380 3 4 3" xfId="29463"/>
    <cellStyle name="Normal 380 3 5" xfId="29464"/>
    <cellStyle name="Normal 380 3 5 2" xfId="29465"/>
    <cellStyle name="Normal 380 3 5 2 2" xfId="29466"/>
    <cellStyle name="Normal 380 3 5 3" xfId="29467"/>
    <cellStyle name="Normal 380 3 6" xfId="29468"/>
    <cellStyle name="Normal 380 4" xfId="29469"/>
    <cellStyle name="Normal 380 4 2" xfId="29470"/>
    <cellStyle name="Normal 380 4 2 2" xfId="29471"/>
    <cellStyle name="Normal 380 4 3" xfId="29472"/>
    <cellStyle name="Normal 380 5" xfId="29473"/>
    <cellStyle name="Normal 380 5 2" xfId="29474"/>
    <cellStyle name="Normal 380 5 2 2" xfId="29475"/>
    <cellStyle name="Normal 380 5 3" xfId="29476"/>
    <cellStyle name="Normal 380 6" xfId="29477"/>
    <cellStyle name="Normal 380 6 2" xfId="29478"/>
    <cellStyle name="Normal 380 6 2 2" xfId="29479"/>
    <cellStyle name="Normal 380 6 3" xfId="29480"/>
    <cellStyle name="Normal 380 7" xfId="29481"/>
    <cellStyle name="Normal 381" xfId="29482"/>
    <cellStyle name="Normal 381 2" xfId="29483"/>
    <cellStyle name="Normal 381 2 2" xfId="29484"/>
    <cellStyle name="Normal 381 2 2 2" xfId="29485"/>
    <cellStyle name="Normal 381 2 3" xfId="29486"/>
    <cellStyle name="Normal 381 2 3 2" xfId="29487"/>
    <cellStyle name="Normal 381 2 3 2 2" xfId="29488"/>
    <cellStyle name="Normal 381 2 3 3" xfId="29489"/>
    <cellStyle name="Normal 381 2 4" xfId="29490"/>
    <cellStyle name="Normal 381 2 4 2" xfId="29491"/>
    <cellStyle name="Normal 381 2 4 2 2" xfId="29492"/>
    <cellStyle name="Normal 381 2 4 3" xfId="29493"/>
    <cellStyle name="Normal 381 2 5" xfId="29494"/>
    <cellStyle name="Normal 381 3" xfId="29495"/>
    <cellStyle name="Normal 381 3 2" xfId="29496"/>
    <cellStyle name="Normal 381 3 2 2" xfId="29497"/>
    <cellStyle name="Normal 381 3 2 2 2" xfId="29498"/>
    <cellStyle name="Normal 381 3 2 3" xfId="29499"/>
    <cellStyle name="Normal 381 3 2 3 2" xfId="29500"/>
    <cellStyle name="Normal 381 3 2 3 2 2" xfId="29501"/>
    <cellStyle name="Normal 381 3 2 3 3" xfId="29502"/>
    <cellStyle name="Normal 381 3 2 4" xfId="29503"/>
    <cellStyle name="Normal 381 3 3" xfId="29504"/>
    <cellStyle name="Normal 381 3 3 2" xfId="29505"/>
    <cellStyle name="Normal 381 3 3 2 2" xfId="29506"/>
    <cellStyle name="Normal 381 3 3 3" xfId="29507"/>
    <cellStyle name="Normal 381 3 4" xfId="29508"/>
    <cellStyle name="Normal 381 3 4 2" xfId="29509"/>
    <cellStyle name="Normal 381 3 4 2 2" xfId="29510"/>
    <cellStyle name="Normal 381 3 4 3" xfId="29511"/>
    <cellStyle name="Normal 381 3 5" xfId="29512"/>
    <cellStyle name="Normal 381 3 5 2" xfId="29513"/>
    <cellStyle name="Normal 381 3 5 2 2" xfId="29514"/>
    <cellStyle name="Normal 381 3 5 3" xfId="29515"/>
    <cellStyle name="Normal 381 3 6" xfId="29516"/>
    <cellStyle name="Normal 381 4" xfId="29517"/>
    <cellStyle name="Normal 381 4 2" xfId="29518"/>
    <cellStyle name="Normal 381 4 2 2" xfId="29519"/>
    <cellStyle name="Normal 381 4 3" xfId="29520"/>
    <cellStyle name="Normal 381 5" xfId="29521"/>
    <cellStyle name="Normal 381 5 2" xfId="29522"/>
    <cellStyle name="Normal 381 5 2 2" xfId="29523"/>
    <cellStyle name="Normal 381 5 3" xfId="29524"/>
    <cellStyle name="Normal 381 6" xfId="29525"/>
    <cellStyle name="Normal 381 6 2" xfId="29526"/>
    <cellStyle name="Normal 381 6 2 2" xfId="29527"/>
    <cellStyle name="Normal 381 6 3" xfId="29528"/>
    <cellStyle name="Normal 381 7" xfId="29529"/>
    <cellStyle name="Normal 382" xfId="29530"/>
    <cellStyle name="Normal 382 2" xfId="29531"/>
    <cellStyle name="Normal 382 2 2" xfId="29532"/>
    <cellStyle name="Normal 382 2 2 2" xfId="29533"/>
    <cellStyle name="Normal 382 2 3" xfId="29534"/>
    <cellStyle name="Normal 382 2 3 2" xfId="29535"/>
    <cellStyle name="Normal 382 2 3 2 2" xfId="29536"/>
    <cellStyle name="Normal 382 2 3 3" xfId="29537"/>
    <cellStyle name="Normal 382 2 4" xfId="29538"/>
    <cellStyle name="Normal 382 2 4 2" xfId="29539"/>
    <cellStyle name="Normal 382 2 4 2 2" xfId="29540"/>
    <cellStyle name="Normal 382 2 4 3" xfId="29541"/>
    <cellStyle name="Normal 382 2 5" xfId="29542"/>
    <cellStyle name="Normal 382 3" xfId="29543"/>
    <cellStyle name="Normal 382 3 2" xfId="29544"/>
    <cellStyle name="Normal 382 3 2 2" xfId="29545"/>
    <cellStyle name="Normal 382 3 2 2 2" xfId="29546"/>
    <cellStyle name="Normal 382 3 2 3" xfId="29547"/>
    <cellStyle name="Normal 382 3 2 3 2" xfId="29548"/>
    <cellStyle name="Normal 382 3 2 3 2 2" xfId="29549"/>
    <cellStyle name="Normal 382 3 2 3 3" xfId="29550"/>
    <cellStyle name="Normal 382 3 2 4" xfId="29551"/>
    <cellStyle name="Normal 382 3 3" xfId="29552"/>
    <cellStyle name="Normal 382 3 3 2" xfId="29553"/>
    <cellStyle name="Normal 382 3 3 2 2" xfId="29554"/>
    <cellStyle name="Normal 382 3 3 3" xfId="29555"/>
    <cellStyle name="Normal 382 3 4" xfId="29556"/>
    <cellStyle name="Normal 382 3 4 2" xfId="29557"/>
    <cellStyle name="Normal 382 3 4 2 2" xfId="29558"/>
    <cellStyle name="Normal 382 3 4 3" xfId="29559"/>
    <cellStyle name="Normal 382 3 5" xfId="29560"/>
    <cellStyle name="Normal 382 3 5 2" xfId="29561"/>
    <cellStyle name="Normal 382 3 5 2 2" xfId="29562"/>
    <cellStyle name="Normal 382 3 5 3" xfId="29563"/>
    <cellStyle name="Normal 382 3 6" xfId="29564"/>
    <cellStyle name="Normal 382 4" xfId="29565"/>
    <cellStyle name="Normal 382 4 2" xfId="29566"/>
    <cellStyle name="Normal 382 4 2 2" xfId="29567"/>
    <cellStyle name="Normal 382 4 3" xfId="29568"/>
    <cellStyle name="Normal 382 5" xfId="29569"/>
    <cellStyle name="Normal 382 5 2" xfId="29570"/>
    <cellStyle name="Normal 382 5 2 2" xfId="29571"/>
    <cellStyle name="Normal 382 5 3" xfId="29572"/>
    <cellStyle name="Normal 382 6" xfId="29573"/>
    <cellStyle name="Normal 382 6 2" xfId="29574"/>
    <cellStyle name="Normal 382 6 2 2" xfId="29575"/>
    <cellStyle name="Normal 382 6 3" xfId="29576"/>
    <cellStyle name="Normal 382 7" xfId="29577"/>
    <cellStyle name="Normal 383" xfId="29578"/>
    <cellStyle name="Normal 383 2" xfId="29579"/>
    <cellStyle name="Normal 383 2 2" xfId="29580"/>
    <cellStyle name="Normal 383 2 2 2" xfId="29581"/>
    <cellStyle name="Normal 383 2 3" xfId="29582"/>
    <cellStyle name="Normal 383 2 3 2" xfId="29583"/>
    <cellStyle name="Normal 383 2 3 2 2" xfId="29584"/>
    <cellStyle name="Normal 383 2 3 3" xfId="29585"/>
    <cellStyle name="Normal 383 2 4" xfId="29586"/>
    <cellStyle name="Normal 383 2 4 2" xfId="29587"/>
    <cellStyle name="Normal 383 2 4 2 2" xfId="29588"/>
    <cellStyle name="Normal 383 2 4 3" xfId="29589"/>
    <cellStyle name="Normal 383 2 5" xfId="29590"/>
    <cellStyle name="Normal 383 3" xfId="29591"/>
    <cellStyle name="Normal 383 3 2" xfId="29592"/>
    <cellStyle name="Normal 383 3 2 2" xfId="29593"/>
    <cellStyle name="Normal 383 3 2 2 2" xfId="29594"/>
    <cellStyle name="Normal 383 3 2 3" xfId="29595"/>
    <cellStyle name="Normal 383 3 2 3 2" xfId="29596"/>
    <cellStyle name="Normal 383 3 2 3 2 2" xfId="29597"/>
    <cellStyle name="Normal 383 3 2 3 3" xfId="29598"/>
    <cellStyle name="Normal 383 3 2 4" xfId="29599"/>
    <cellStyle name="Normal 383 3 3" xfId="29600"/>
    <cellStyle name="Normal 383 3 3 2" xfId="29601"/>
    <cellStyle name="Normal 383 3 3 2 2" xfId="29602"/>
    <cellStyle name="Normal 383 3 3 3" xfId="29603"/>
    <cellStyle name="Normal 383 3 4" xfId="29604"/>
    <cellStyle name="Normal 383 3 4 2" xfId="29605"/>
    <cellStyle name="Normal 383 3 4 2 2" xfId="29606"/>
    <cellStyle name="Normal 383 3 4 3" xfId="29607"/>
    <cellStyle name="Normal 383 3 5" xfId="29608"/>
    <cellStyle name="Normal 383 3 5 2" xfId="29609"/>
    <cellStyle name="Normal 383 3 5 2 2" xfId="29610"/>
    <cellStyle name="Normal 383 3 5 3" xfId="29611"/>
    <cellStyle name="Normal 383 3 6" xfId="29612"/>
    <cellStyle name="Normal 383 4" xfId="29613"/>
    <cellStyle name="Normal 383 4 2" xfId="29614"/>
    <cellStyle name="Normal 383 4 2 2" xfId="29615"/>
    <cellStyle name="Normal 383 4 3" xfId="29616"/>
    <cellStyle name="Normal 383 5" xfId="29617"/>
    <cellStyle name="Normal 383 5 2" xfId="29618"/>
    <cellStyle name="Normal 383 5 2 2" xfId="29619"/>
    <cellStyle name="Normal 383 5 3" xfId="29620"/>
    <cellStyle name="Normal 383 6" xfId="29621"/>
    <cellStyle name="Normal 383 6 2" xfId="29622"/>
    <cellStyle name="Normal 383 6 2 2" xfId="29623"/>
    <cellStyle name="Normal 383 6 3" xfId="29624"/>
    <cellStyle name="Normal 383 7" xfId="29625"/>
    <cellStyle name="Normal 384" xfId="29626"/>
    <cellStyle name="Normal 384 2" xfId="29627"/>
    <cellStyle name="Normal 384 2 2" xfId="29628"/>
    <cellStyle name="Normal 384 2 2 2" xfId="29629"/>
    <cellStyle name="Normal 384 2 3" xfId="29630"/>
    <cellStyle name="Normal 384 2 3 2" xfId="29631"/>
    <cellStyle name="Normal 384 2 3 2 2" xfId="29632"/>
    <cellStyle name="Normal 384 2 3 3" xfId="29633"/>
    <cellStyle name="Normal 384 2 4" xfId="29634"/>
    <cellStyle name="Normal 384 2 4 2" xfId="29635"/>
    <cellStyle name="Normal 384 2 4 2 2" xfId="29636"/>
    <cellStyle name="Normal 384 2 4 3" xfId="29637"/>
    <cellStyle name="Normal 384 2 5" xfId="29638"/>
    <cellStyle name="Normal 384 3" xfId="29639"/>
    <cellStyle name="Normal 384 3 2" xfId="29640"/>
    <cellStyle name="Normal 384 3 2 2" xfId="29641"/>
    <cellStyle name="Normal 384 3 2 2 2" xfId="29642"/>
    <cellStyle name="Normal 384 3 2 3" xfId="29643"/>
    <cellStyle name="Normal 384 3 2 3 2" xfId="29644"/>
    <cellStyle name="Normal 384 3 2 3 2 2" xfId="29645"/>
    <cellStyle name="Normal 384 3 2 3 3" xfId="29646"/>
    <cellStyle name="Normal 384 3 2 4" xfId="29647"/>
    <cellStyle name="Normal 384 3 3" xfId="29648"/>
    <cellStyle name="Normal 384 3 3 2" xfId="29649"/>
    <cellStyle name="Normal 384 3 3 2 2" xfId="29650"/>
    <cellStyle name="Normal 384 3 3 3" xfId="29651"/>
    <cellStyle name="Normal 384 3 4" xfId="29652"/>
    <cellStyle name="Normal 384 3 4 2" xfId="29653"/>
    <cellStyle name="Normal 384 3 4 2 2" xfId="29654"/>
    <cellStyle name="Normal 384 3 4 3" xfId="29655"/>
    <cellStyle name="Normal 384 3 5" xfId="29656"/>
    <cellStyle name="Normal 384 3 5 2" xfId="29657"/>
    <cellStyle name="Normal 384 3 5 2 2" xfId="29658"/>
    <cellStyle name="Normal 384 3 5 3" xfId="29659"/>
    <cellStyle name="Normal 384 3 6" xfId="29660"/>
    <cellStyle name="Normal 384 4" xfId="29661"/>
    <cellStyle name="Normal 384 4 2" xfId="29662"/>
    <cellStyle name="Normal 384 4 2 2" xfId="29663"/>
    <cellStyle name="Normal 384 4 3" xfId="29664"/>
    <cellStyle name="Normal 384 5" xfId="29665"/>
    <cellStyle name="Normal 384 5 2" xfId="29666"/>
    <cellStyle name="Normal 384 5 2 2" xfId="29667"/>
    <cellStyle name="Normal 384 5 3" xfId="29668"/>
    <cellStyle name="Normal 384 6" xfId="29669"/>
    <cellStyle name="Normal 384 6 2" xfId="29670"/>
    <cellStyle name="Normal 384 6 2 2" xfId="29671"/>
    <cellStyle name="Normal 384 6 3" xfId="29672"/>
    <cellStyle name="Normal 384 7" xfId="29673"/>
    <cellStyle name="Normal 385" xfId="29674"/>
    <cellStyle name="Normal 385 2" xfId="29675"/>
    <cellStyle name="Normal 385 2 2" xfId="29676"/>
    <cellStyle name="Normal 385 2 2 2" xfId="29677"/>
    <cellStyle name="Normal 385 2 3" xfId="29678"/>
    <cellStyle name="Normal 385 2 3 2" xfId="29679"/>
    <cellStyle name="Normal 385 2 3 2 2" xfId="29680"/>
    <cellStyle name="Normal 385 2 3 3" xfId="29681"/>
    <cellStyle name="Normal 385 2 4" xfId="29682"/>
    <cellStyle name="Normal 385 2 4 2" xfId="29683"/>
    <cellStyle name="Normal 385 2 4 2 2" xfId="29684"/>
    <cellStyle name="Normal 385 2 4 3" xfId="29685"/>
    <cellStyle name="Normal 385 2 5" xfId="29686"/>
    <cellStyle name="Normal 385 3" xfId="29687"/>
    <cellStyle name="Normal 385 3 2" xfId="29688"/>
    <cellStyle name="Normal 385 3 2 2" xfId="29689"/>
    <cellStyle name="Normal 385 3 2 2 2" xfId="29690"/>
    <cellStyle name="Normal 385 3 2 3" xfId="29691"/>
    <cellStyle name="Normal 385 3 2 3 2" xfId="29692"/>
    <cellStyle name="Normal 385 3 2 3 2 2" xfId="29693"/>
    <cellStyle name="Normal 385 3 2 3 3" xfId="29694"/>
    <cellStyle name="Normal 385 3 2 4" xfId="29695"/>
    <cellStyle name="Normal 385 3 3" xfId="29696"/>
    <cellStyle name="Normal 385 3 3 2" xfId="29697"/>
    <cellStyle name="Normal 385 3 3 2 2" xfId="29698"/>
    <cellStyle name="Normal 385 3 3 3" xfId="29699"/>
    <cellStyle name="Normal 385 3 4" xfId="29700"/>
    <cellStyle name="Normal 385 3 4 2" xfId="29701"/>
    <cellStyle name="Normal 385 3 4 2 2" xfId="29702"/>
    <cellStyle name="Normal 385 3 4 3" xfId="29703"/>
    <cellStyle name="Normal 385 3 5" xfId="29704"/>
    <cellStyle name="Normal 385 3 5 2" xfId="29705"/>
    <cellStyle name="Normal 385 3 5 2 2" xfId="29706"/>
    <cellStyle name="Normal 385 3 5 3" xfId="29707"/>
    <cellStyle name="Normal 385 3 6" xfId="29708"/>
    <cellStyle name="Normal 385 4" xfId="29709"/>
    <cellStyle name="Normal 385 4 2" xfId="29710"/>
    <cellStyle name="Normal 385 4 2 2" xfId="29711"/>
    <cellStyle name="Normal 385 4 3" xfId="29712"/>
    <cellStyle name="Normal 385 5" xfId="29713"/>
    <cellStyle name="Normal 385 5 2" xfId="29714"/>
    <cellStyle name="Normal 385 5 2 2" xfId="29715"/>
    <cellStyle name="Normal 385 5 3" xfId="29716"/>
    <cellStyle name="Normal 385 6" xfId="29717"/>
    <cellStyle name="Normal 385 6 2" xfId="29718"/>
    <cellStyle name="Normal 385 6 2 2" xfId="29719"/>
    <cellStyle name="Normal 385 6 3" xfId="29720"/>
    <cellStyle name="Normal 385 7" xfId="29721"/>
    <cellStyle name="Normal 386" xfId="29722"/>
    <cellStyle name="Normal 386 2" xfId="29723"/>
    <cellStyle name="Normal 386 2 2" xfId="29724"/>
    <cellStyle name="Normal 386 2 2 2" xfId="29725"/>
    <cellStyle name="Normal 386 2 3" xfId="29726"/>
    <cellStyle name="Normal 386 2 3 2" xfId="29727"/>
    <cellStyle name="Normal 386 2 3 2 2" xfId="29728"/>
    <cellStyle name="Normal 386 2 3 3" xfId="29729"/>
    <cellStyle name="Normal 386 2 4" xfId="29730"/>
    <cellStyle name="Normal 386 2 4 2" xfId="29731"/>
    <cellStyle name="Normal 386 2 4 2 2" xfId="29732"/>
    <cellStyle name="Normal 386 2 4 3" xfId="29733"/>
    <cellStyle name="Normal 386 2 5" xfId="29734"/>
    <cellStyle name="Normal 386 3" xfId="29735"/>
    <cellStyle name="Normal 386 3 2" xfId="29736"/>
    <cellStyle name="Normal 386 3 2 2" xfId="29737"/>
    <cellStyle name="Normal 386 3 2 2 2" xfId="29738"/>
    <cellStyle name="Normal 386 3 2 3" xfId="29739"/>
    <cellStyle name="Normal 386 3 2 3 2" xfId="29740"/>
    <cellStyle name="Normal 386 3 2 3 2 2" xfId="29741"/>
    <cellStyle name="Normal 386 3 2 3 3" xfId="29742"/>
    <cellStyle name="Normal 386 3 2 4" xfId="29743"/>
    <cellStyle name="Normal 386 3 3" xfId="29744"/>
    <cellStyle name="Normal 386 3 3 2" xfId="29745"/>
    <cellStyle name="Normal 386 3 3 2 2" xfId="29746"/>
    <cellStyle name="Normal 386 3 3 3" xfId="29747"/>
    <cellStyle name="Normal 386 3 4" xfId="29748"/>
    <cellStyle name="Normal 386 3 4 2" xfId="29749"/>
    <cellStyle name="Normal 386 3 4 2 2" xfId="29750"/>
    <cellStyle name="Normal 386 3 4 3" xfId="29751"/>
    <cellStyle name="Normal 386 3 5" xfId="29752"/>
    <cellStyle name="Normal 386 3 5 2" xfId="29753"/>
    <cellStyle name="Normal 386 3 5 2 2" xfId="29754"/>
    <cellStyle name="Normal 386 3 5 3" xfId="29755"/>
    <cellStyle name="Normal 386 3 6" xfId="29756"/>
    <cellStyle name="Normal 386 4" xfId="29757"/>
    <cellStyle name="Normal 386 4 2" xfId="29758"/>
    <cellStyle name="Normal 386 4 2 2" xfId="29759"/>
    <cellStyle name="Normal 386 4 3" xfId="29760"/>
    <cellStyle name="Normal 386 5" xfId="29761"/>
    <cellStyle name="Normal 386 5 2" xfId="29762"/>
    <cellStyle name="Normal 386 5 2 2" xfId="29763"/>
    <cellStyle name="Normal 386 5 3" xfId="29764"/>
    <cellStyle name="Normal 386 6" xfId="29765"/>
    <cellStyle name="Normal 386 6 2" xfId="29766"/>
    <cellStyle name="Normal 386 6 2 2" xfId="29767"/>
    <cellStyle name="Normal 386 6 3" xfId="29768"/>
    <cellStyle name="Normal 386 7" xfId="29769"/>
    <cellStyle name="Normal 387" xfId="29770"/>
    <cellStyle name="Normal 387 2" xfId="29771"/>
    <cellStyle name="Normal 387 2 2" xfId="29772"/>
    <cellStyle name="Normal 387 2 2 2" xfId="29773"/>
    <cellStyle name="Normal 387 2 3" xfId="29774"/>
    <cellStyle name="Normal 387 2 3 2" xfId="29775"/>
    <cellStyle name="Normal 387 2 3 2 2" xfId="29776"/>
    <cellStyle name="Normal 387 2 3 3" xfId="29777"/>
    <cellStyle name="Normal 387 2 4" xfId="29778"/>
    <cellStyle name="Normal 387 2 4 2" xfId="29779"/>
    <cellStyle name="Normal 387 2 4 2 2" xfId="29780"/>
    <cellStyle name="Normal 387 2 4 3" xfId="29781"/>
    <cellStyle name="Normal 387 2 5" xfId="29782"/>
    <cellStyle name="Normal 387 3" xfId="29783"/>
    <cellStyle name="Normal 387 3 2" xfId="29784"/>
    <cellStyle name="Normal 387 3 2 2" xfId="29785"/>
    <cellStyle name="Normal 387 3 2 2 2" xfId="29786"/>
    <cellStyle name="Normal 387 3 2 3" xfId="29787"/>
    <cellStyle name="Normal 387 3 2 3 2" xfId="29788"/>
    <cellStyle name="Normal 387 3 2 3 2 2" xfId="29789"/>
    <cellStyle name="Normal 387 3 2 3 3" xfId="29790"/>
    <cellStyle name="Normal 387 3 2 4" xfId="29791"/>
    <cellStyle name="Normal 387 3 3" xfId="29792"/>
    <cellStyle name="Normal 387 3 3 2" xfId="29793"/>
    <cellStyle name="Normal 387 3 3 2 2" xfId="29794"/>
    <cellStyle name="Normal 387 3 3 3" xfId="29795"/>
    <cellStyle name="Normal 387 3 4" xfId="29796"/>
    <cellStyle name="Normal 387 3 4 2" xfId="29797"/>
    <cellStyle name="Normal 387 3 4 2 2" xfId="29798"/>
    <cellStyle name="Normal 387 3 4 3" xfId="29799"/>
    <cellStyle name="Normal 387 3 5" xfId="29800"/>
    <cellStyle name="Normal 387 3 5 2" xfId="29801"/>
    <cellStyle name="Normal 387 3 5 2 2" xfId="29802"/>
    <cellStyle name="Normal 387 3 5 3" xfId="29803"/>
    <cellStyle name="Normal 387 3 6" xfId="29804"/>
    <cellStyle name="Normal 387 4" xfId="29805"/>
    <cellStyle name="Normal 387 4 2" xfId="29806"/>
    <cellStyle name="Normal 387 4 2 2" xfId="29807"/>
    <cellStyle name="Normal 387 4 3" xfId="29808"/>
    <cellStyle name="Normal 387 5" xfId="29809"/>
    <cellStyle name="Normal 387 5 2" xfId="29810"/>
    <cellStyle name="Normal 387 5 2 2" xfId="29811"/>
    <cellStyle name="Normal 387 5 3" xfId="29812"/>
    <cellStyle name="Normal 387 6" xfId="29813"/>
    <cellStyle name="Normal 387 6 2" xfId="29814"/>
    <cellStyle name="Normal 387 6 2 2" xfId="29815"/>
    <cellStyle name="Normal 387 6 3" xfId="29816"/>
    <cellStyle name="Normal 387 7" xfId="29817"/>
    <cellStyle name="Normal 388" xfId="29818"/>
    <cellStyle name="Normal 388 2" xfId="29819"/>
    <cellStyle name="Normal 388 2 2" xfId="29820"/>
    <cellStyle name="Normal 388 2 2 2" xfId="29821"/>
    <cellStyle name="Normal 388 2 3" xfId="29822"/>
    <cellStyle name="Normal 388 2 3 2" xfId="29823"/>
    <cellStyle name="Normal 388 2 3 2 2" xfId="29824"/>
    <cellStyle name="Normal 388 2 3 3" xfId="29825"/>
    <cellStyle name="Normal 388 2 4" xfId="29826"/>
    <cellStyle name="Normal 388 2 4 2" xfId="29827"/>
    <cellStyle name="Normal 388 2 4 2 2" xfId="29828"/>
    <cellStyle name="Normal 388 2 4 3" xfId="29829"/>
    <cellStyle name="Normal 388 2 5" xfId="29830"/>
    <cellStyle name="Normal 388 3" xfId="29831"/>
    <cellStyle name="Normal 388 3 2" xfId="29832"/>
    <cellStyle name="Normal 388 3 2 2" xfId="29833"/>
    <cellStyle name="Normal 388 3 2 2 2" xfId="29834"/>
    <cellStyle name="Normal 388 3 2 3" xfId="29835"/>
    <cellStyle name="Normal 388 3 2 3 2" xfId="29836"/>
    <cellStyle name="Normal 388 3 2 3 2 2" xfId="29837"/>
    <cellStyle name="Normal 388 3 2 3 3" xfId="29838"/>
    <cellStyle name="Normal 388 3 2 4" xfId="29839"/>
    <cellStyle name="Normal 388 3 3" xfId="29840"/>
    <cellStyle name="Normal 388 3 3 2" xfId="29841"/>
    <cellStyle name="Normal 388 3 3 2 2" xfId="29842"/>
    <cellStyle name="Normal 388 3 3 3" xfId="29843"/>
    <cellStyle name="Normal 388 3 4" xfId="29844"/>
    <cellStyle name="Normal 388 3 4 2" xfId="29845"/>
    <cellStyle name="Normal 388 3 4 2 2" xfId="29846"/>
    <cellStyle name="Normal 388 3 4 3" xfId="29847"/>
    <cellStyle name="Normal 388 3 5" xfId="29848"/>
    <cellStyle name="Normal 388 3 5 2" xfId="29849"/>
    <cellStyle name="Normal 388 3 5 2 2" xfId="29850"/>
    <cellStyle name="Normal 388 3 5 3" xfId="29851"/>
    <cellStyle name="Normal 388 3 6" xfId="29852"/>
    <cellStyle name="Normal 388 4" xfId="29853"/>
    <cellStyle name="Normal 388 4 2" xfId="29854"/>
    <cellStyle name="Normal 388 4 2 2" xfId="29855"/>
    <cellStyle name="Normal 388 4 3" xfId="29856"/>
    <cellStyle name="Normal 388 5" xfId="29857"/>
    <cellStyle name="Normal 388 5 2" xfId="29858"/>
    <cellStyle name="Normal 388 5 2 2" xfId="29859"/>
    <cellStyle name="Normal 388 5 3" xfId="29860"/>
    <cellStyle name="Normal 388 6" xfId="29861"/>
    <cellStyle name="Normal 388 6 2" xfId="29862"/>
    <cellStyle name="Normal 388 6 2 2" xfId="29863"/>
    <cellStyle name="Normal 388 6 3" xfId="29864"/>
    <cellStyle name="Normal 388 7" xfId="29865"/>
    <cellStyle name="Normal 389" xfId="29866"/>
    <cellStyle name="Normal 389 2" xfId="29867"/>
    <cellStyle name="Normal 389 2 2" xfId="29868"/>
    <cellStyle name="Normal 389 2 2 2" xfId="29869"/>
    <cellStyle name="Normal 389 2 3" xfId="29870"/>
    <cellStyle name="Normal 389 2 3 2" xfId="29871"/>
    <cellStyle name="Normal 389 2 3 2 2" xfId="29872"/>
    <cellStyle name="Normal 389 2 3 3" xfId="29873"/>
    <cellStyle name="Normal 389 2 4" xfId="29874"/>
    <cellStyle name="Normal 389 2 4 2" xfId="29875"/>
    <cellStyle name="Normal 389 2 4 2 2" xfId="29876"/>
    <cellStyle name="Normal 389 2 4 3" xfId="29877"/>
    <cellStyle name="Normal 389 2 5" xfId="29878"/>
    <cellStyle name="Normal 389 3" xfId="29879"/>
    <cellStyle name="Normal 389 3 2" xfId="29880"/>
    <cellStyle name="Normal 389 3 2 2" xfId="29881"/>
    <cellStyle name="Normal 389 3 2 2 2" xfId="29882"/>
    <cellStyle name="Normal 389 3 2 3" xfId="29883"/>
    <cellStyle name="Normal 389 3 2 3 2" xfId="29884"/>
    <cellStyle name="Normal 389 3 2 3 2 2" xfId="29885"/>
    <cellStyle name="Normal 389 3 2 3 3" xfId="29886"/>
    <cellStyle name="Normal 389 3 2 4" xfId="29887"/>
    <cellStyle name="Normal 389 3 3" xfId="29888"/>
    <cellStyle name="Normal 389 3 3 2" xfId="29889"/>
    <cellStyle name="Normal 389 3 3 2 2" xfId="29890"/>
    <cellStyle name="Normal 389 3 3 3" xfId="29891"/>
    <cellStyle name="Normal 389 3 4" xfId="29892"/>
    <cellStyle name="Normal 389 3 4 2" xfId="29893"/>
    <cellStyle name="Normal 389 3 4 2 2" xfId="29894"/>
    <cellStyle name="Normal 389 3 4 3" xfId="29895"/>
    <cellStyle name="Normal 389 3 5" xfId="29896"/>
    <cellStyle name="Normal 389 3 5 2" xfId="29897"/>
    <cellStyle name="Normal 389 3 5 2 2" xfId="29898"/>
    <cellStyle name="Normal 389 3 5 3" xfId="29899"/>
    <cellStyle name="Normal 389 3 6" xfId="29900"/>
    <cellStyle name="Normal 389 4" xfId="29901"/>
    <cellStyle name="Normal 389 4 2" xfId="29902"/>
    <cellStyle name="Normal 389 4 2 2" xfId="29903"/>
    <cellStyle name="Normal 389 4 3" xfId="29904"/>
    <cellStyle name="Normal 389 5" xfId="29905"/>
    <cellStyle name="Normal 389 5 2" xfId="29906"/>
    <cellStyle name="Normal 389 5 2 2" xfId="29907"/>
    <cellStyle name="Normal 389 5 3" xfId="29908"/>
    <cellStyle name="Normal 389 6" xfId="29909"/>
    <cellStyle name="Normal 389 6 2" xfId="29910"/>
    <cellStyle name="Normal 389 6 2 2" xfId="29911"/>
    <cellStyle name="Normal 389 6 3" xfId="29912"/>
    <cellStyle name="Normal 389 7" xfId="29913"/>
    <cellStyle name="Normal 39" xfId="29914"/>
    <cellStyle name="Normal 39 2" xfId="29915"/>
    <cellStyle name="Normal 39 2 2" xfId="29916"/>
    <cellStyle name="Normal 39 2 2 2" xfId="29917"/>
    <cellStyle name="Normal 39 2 2 2 2" xfId="29918"/>
    <cellStyle name="Normal 39 2 2 3" xfId="29919"/>
    <cellStyle name="Normal 39 2 2 3 2" xfId="29920"/>
    <cellStyle name="Normal 39 2 2 3 2 2" xfId="29921"/>
    <cellStyle name="Normal 39 2 2 3 3" xfId="29922"/>
    <cellStyle name="Normal 39 2 2 4" xfId="29923"/>
    <cellStyle name="Normal 39 2 2 4 2" xfId="29924"/>
    <cellStyle name="Normal 39 2 2 4 2 2" xfId="29925"/>
    <cellStyle name="Normal 39 2 2 4 3" xfId="29926"/>
    <cellStyle name="Normal 39 2 2 5" xfId="29927"/>
    <cellStyle name="Normal 39 2 3" xfId="29928"/>
    <cellStyle name="Normal 39 2 3 2" xfId="29929"/>
    <cellStyle name="Normal 39 2 3 2 2" xfId="29930"/>
    <cellStyle name="Normal 39 2 3 3" xfId="29931"/>
    <cellStyle name="Normal 39 2 4" xfId="29932"/>
    <cellStyle name="Normal 39 2 4 2" xfId="29933"/>
    <cellStyle name="Normal 39 2 4 2 2" xfId="29934"/>
    <cellStyle name="Normal 39 2 4 3" xfId="29935"/>
    <cellStyle name="Normal 39 2 5" xfId="29936"/>
    <cellStyle name="Normal 39 2 5 2" xfId="29937"/>
    <cellStyle name="Normal 39 2 5 2 2" xfId="29938"/>
    <cellStyle name="Normal 39 2 5 3" xfId="29939"/>
    <cellStyle name="Normal 39 2 6" xfId="29940"/>
    <cellStyle name="Normal 39 3" xfId="29941"/>
    <cellStyle name="Normal 39 3 2" xfId="29942"/>
    <cellStyle name="Normal 39 3 2 2" xfId="29943"/>
    <cellStyle name="Normal 39 3 3" xfId="29944"/>
    <cellStyle name="Normal 39 3 3 2" xfId="29945"/>
    <cellStyle name="Normal 39 3 3 2 2" xfId="29946"/>
    <cellStyle name="Normal 39 3 3 3" xfId="29947"/>
    <cellStyle name="Normal 39 3 4" xfId="29948"/>
    <cellStyle name="Normal 39 3 4 2" xfId="29949"/>
    <cellStyle name="Normal 39 3 4 2 2" xfId="29950"/>
    <cellStyle name="Normal 39 3 4 3" xfId="29951"/>
    <cellStyle name="Normal 39 3 5" xfId="29952"/>
    <cellStyle name="Normal 39 4" xfId="29953"/>
    <cellStyle name="Normal 39 4 2" xfId="29954"/>
    <cellStyle name="Normal 39 4 2 2" xfId="29955"/>
    <cellStyle name="Normal 39 4 3" xfId="29956"/>
    <cellStyle name="Normal 39 5" xfId="29957"/>
    <cellStyle name="Normal 39 5 2" xfId="29958"/>
    <cellStyle name="Normal 39 5 2 2" xfId="29959"/>
    <cellStyle name="Normal 39 5 3" xfId="29960"/>
    <cellStyle name="Normal 39 6" xfId="29961"/>
    <cellStyle name="Normal 39 6 2" xfId="29962"/>
    <cellStyle name="Normal 39 6 2 2" xfId="29963"/>
    <cellStyle name="Normal 39 6 3" xfId="29964"/>
    <cellStyle name="Normal 39 7" xfId="29965"/>
    <cellStyle name="Normal 390" xfId="29966"/>
    <cellStyle name="Normal 390 2" xfId="29967"/>
    <cellStyle name="Normal 390 2 2" xfId="29968"/>
    <cellStyle name="Normal 390 2 2 2" xfId="29969"/>
    <cellStyle name="Normal 390 2 3" xfId="29970"/>
    <cellStyle name="Normal 390 2 3 2" xfId="29971"/>
    <cellStyle name="Normal 390 2 3 2 2" xfId="29972"/>
    <cellStyle name="Normal 390 2 3 3" xfId="29973"/>
    <cellStyle name="Normal 390 2 4" xfId="29974"/>
    <cellStyle name="Normal 390 2 4 2" xfId="29975"/>
    <cellStyle name="Normal 390 2 4 2 2" xfId="29976"/>
    <cellStyle name="Normal 390 2 4 3" xfId="29977"/>
    <cellStyle name="Normal 390 2 5" xfId="29978"/>
    <cellStyle name="Normal 390 3" xfId="29979"/>
    <cellStyle name="Normal 390 3 2" xfId="29980"/>
    <cellStyle name="Normal 390 3 2 2" xfId="29981"/>
    <cellStyle name="Normal 390 3 2 2 2" xfId="29982"/>
    <cellStyle name="Normal 390 3 2 3" xfId="29983"/>
    <cellStyle name="Normal 390 3 2 3 2" xfId="29984"/>
    <cellStyle name="Normal 390 3 2 3 2 2" xfId="29985"/>
    <cellStyle name="Normal 390 3 2 3 3" xfId="29986"/>
    <cellStyle name="Normal 390 3 2 4" xfId="29987"/>
    <cellStyle name="Normal 390 3 3" xfId="29988"/>
    <cellStyle name="Normal 390 3 3 2" xfId="29989"/>
    <cellStyle name="Normal 390 3 3 2 2" xfId="29990"/>
    <cellStyle name="Normal 390 3 3 3" xfId="29991"/>
    <cellStyle name="Normal 390 3 4" xfId="29992"/>
    <cellStyle name="Normal 390 3 4 2" xfId="29993"/>
    <cellStyle name="Normal 390 3 4 2 2" xfId="29994"/>
    <cellStyle name="Normal 390 3 4 3" xfId="29995"/>
    <cellStyle name="Normal 390 3 5" xfId="29996"/>
    <cellStyle name="Normal 390 3 5 2" xfId="29997"/>
    <cellStyle name="Normal 390 3 5 2 2" xfId="29998"/>
    <cellStyle name="Normal 390 3 5 3" xfId="29999"/>
    <cellStyle name="Normal 390 3 6" xfId="30000"/>
    <cellStyle name="Normal 390 4" xfId="30001"/>
    <cellStyle name="Normal 390 4 2" xfId="30002"/>
    <cellStyle name="Normal 390 4 2 2" xfId="30003"/>
    <cellStyle name="Normal 390 4 3" xfId="30004"/>
    <cellStyle name="Normal 390 5" xfId="30005"/>
    <cellStyle name="Normal 390 5 2" xfId="30006"/>
    <cellStyle name="Normal 390 5 2 2" xfId="30007"/>
    <cellStyle name="Normal 390 5 3" xfId="30008"/>
    <cellStyle name="Normal 390 6" xfId="30009"/>
    <cellStyle name="Normal 390 6 2" xfId="30010"/>
    <cellStyle name="Normal 390 6 2 2" xfId="30011"/>
    <cellStyle name="Normal 390 6 3" xfId="30012"/>
    <cellStyle name="Normal 390 7" xfId="30013"/>
    <cellStyle name="Normal 391" xfId="30014"/>
    <cellStyle name="Normal 391 2" xfId="30015"/>
    <cellStyle name="Normal 391 2 2" xfId="30016"/>
    <cellStyle name="Normal 391 2 2 2" xfId="30017"/>
    <cellStyle name="Normal 391 2 3" xfId="30018"/>
    <cellStyle name="Normal 391 2 3 2" xfId="30019"/>
    <cellStyle name="Normal 391 2 3 2 2" xfId="30020"/>
    <cellStyle name="Normal 391 2 3 3" xfId="30021"/>
    <cellStyle name="Normal 391 2 4" xfId="30022"/>
    <cellStyle name="Normal 391 2 4 2" xfId="30023"/>
    <cellStyle name="Normal 391 2 4 2 2" xfId="30024"/>
    <cellStyle name="Normal 391 2 4 3" xfId="30025"/>
    <cellStyle name="Normal 391 2 5" xfId="30026"/>
    <cellStyle name="Normal 391 3" xfId="30027"/>
    <cellStyle name="Normal 391 3 2" xfId="30028"/>
    <cellStyle name="Normal 391 3 2 2" xfId="30029"/>
    <cellStyle name="Normal 391 3 2 2 2" xfId="30030"/>
    <cellStyle name="Normal 391 3 2 3" xfId="30031"/>
    <cellStyle name="Normal 391 3 2 3 2" xfId="30032"/>
    <cellStyle name="Normal 391 3 2 3 2 2" xfId="30033"/>
    <cellStyle name="Normal 391 3 2 3 3" xfId="30034"/>
    <cellStyle name="Normal 391 3 2 4" xfId="30035"/>
    <cellStyle name="Normal 391 3 3" xfId="30036"/>
    <cellStyle name="Normal 391 3 3 2" xfId="30037"/>
    <cellStyle name="Normal 391 3 3 2 2" xfId="30038"/>
    <cellStyle name="Normal 391 3 3 3" xfId="30039"/>
    <cellStyle name="Normal 391 3 4" xfId="30040"/>
    <cellStyle name="Normal 391 3 4 2" xfId="30041"/>
    <cellStyle name="Normal 391 3 4 2 2" xfId="30042"/>
    <cellStyle name="Normal 391 3 4 3" xfId="30043"/>
    <cellStyle name="Normal 391 3 5" xfId="30044"/>
    <cellStyle name="Normal 391 3 5 2" xfId="30045"/>
    <cellStyle name="Normal 391 3 5 2 2" xfId="30046"/>
    <cellStyle name="Normal 391 3 5 3" xfId="30047"/>
    <cellStyle name="Normal 391 3 6" xfId="30048"/>
    <cellStyle name="Normal 391 4" xfId="30049"/>
    <cellStyle name="Normal 391 4 2" xfId="30050"/>
    <cellStyle name="Normal 391 4 2 2" xfId="30051"/>
    <cellStyle name="Normal 391 4 3" xfId="30052"/>
    <cellStyle name="Normal 391 5" xfId="30053"/>
    <cellStyle name="Normal 391 5 2" xfId="30054"/>
    <cellStyle name="Normal 391 5 2 2" xfId="30055"/>
    <cellStyle name="Normal 391 5 3" xfId="30056"/>
    <cellStyle name="Normal 391 6" xfId="30057"/>
    <cellStyle name="Normal 391 6 2" xfId="30058"/>
    <cellStyle name="Normal 391 6 2 2" xfId="30059"/>
    <cellStyle name="Normal 391 6 3" xfId="30060"/>
    <cellStyle name="Normal 391 7" xfId="30061"/>
    <cellStyle name="Normal 392" xfId="30062"/>
    <cellStyle name="Normal 392 2" xfId="30063"/>
    <cellStyle name="Normal 392 2 2" xfId="30064"/>
    <cellStyle name="Normal 392 2 2 2" xfId="30065"/>
    <cellStyle name="Normal 392 2 3" xfId="30066"/>
    <cellStyle name="Normal 392 2 3 2" xfId="30067"/>
    <cellStyle name="Normal 392 2 3 2 2" xfId="30068"/>
    <cellStyle name="Normal 392 2 3 3" xfId="30069"/>
    <cellStyle name="Normal 392 2 4" xfId="30070"/>
    <cellStyle name="Normal 392 2 4 2" xfId="30071"/>
    <cellStyle name="Normal 392 2 4 2 2" xfId="30072"/>
    <cellStyle name="Normal 392 2 4 3" xfId="30073"/>
    <cellStyle name="Normal 392 2 5" xfId="30074"/>
    <cellStyle name="Normal 392 3" xfId="30075"/>
    <cellStyle name="Normal 392 3 2" xfId="30076"/>
    <cellStyle name="Normal 392 3 2 2" xfId="30077"/>
    <cellStyle name="Normal 392 3 2 2 2" xfId="30078"/>
    <cellStyle name="Normal 392 3 2 3" xfId="30079"/>
    <cellStyle name="Normal 392 3 2 3 2" xfId="30080"/>
    <cellStyle name="Normal 392 3 2 3 2 2" xfId="30081"/>
    <cellStyle name="Normal 392 3 2 3 3" xfId="30082"/>
    <cellStyle name="Normal 392 3 2 4" xfId="30083"/>
    <cellStyle name="Normal 392 3 3" xfId="30084"/>
    <cellStyle name="Normal 392 3 3 2" xfId="30085"/>
    <cellStyle name="Normal 392 3 3 2 2" xfId="30086"/>
    <cellStyle name="Normal 392 3 3 3" xfId="30087"/>
    <cellStyle name="Normal 392 3 4" xfId="30088"/>
    <cellStyle name="Normal 392 3 4 2" xfId="30089"/>
    <cellStyle name="Normal 392 3 4 2 2" xfId="30090"/>
    <cellStyle name="Normal 392 3 4 3" xfId="30091"/>
    <cellStyle name="Normal 392 3 5" xfId="30092"/>
    <cellStyle name="Normal 392 3 5 2" xfId="30093"/>
    <cellStyle name="Normal 392 3 5 2 2" xfId="30094"/>
    <cellStyle name="Normal 392 3 5 3" xfId="30095"/>
    <cellStyle name="Normal 392 3 6" xfId="30096"/>
    <cellStyle name="Normal 392 4" xfId="30097"/>
    <cellStyle name="Normal 392 4 2" xfId="30098"/>
    <cellStyle name="Normal 392 4 2 2" xfId="30099"/>
    <cellStyle name="Normal 392 4 3" xfId="30100"/>
    <cellStyle name="Normal 392 5" xfId="30101"/>
    <cellStyle name="Normal 392 5 2" xfId="30102"/>
    <cellStyle name="Normal 392 5 2 2" xfId="30103"/>
    <cellStyle name="Normal 392 5 3" xfId="30104"/>
    <cellStyle name="Normal 392 6" xfId="30105"/>
    <cellStyle name="Normal 392 6 2" xfId="30106"/>
    <cellStyle name="Normal 392 6 2 2" xfId="30107"/>
    <cellStyle name="Normal 392 6 3" xfId="30108"/>
    <cellStyle name="Normal 392 7" xfId="30109"/>
    <cellStyle name="Normal 393" xfId="30110"/>
    <cellStyle name="Normal 393 2" xfId="30111"/>
    <cellStyle name="Normal 393 2 2" xfId="30112"/>
    <cellStyle name="Normal 393 2 2 2" xfId="30113"/>
    <cellStyle name="Normal 393 2 3" xfId="30114"/>
    <cellStyle name="Normal 393 2 3 2" xfId="30115"/>
    <cellStyle name="Normal 393 2 3 2 2" xfId="30116"/>
    <cellStyle name="Normal 393 2 3 3" xfId="30117"/>
    <cellStyle name="Normal 393 2 4" xfId="30118"/>
    <cellStyle name="Normal 393 2 4 2" xfId="30119"/>
    <cellStyle name="Normal 393 2 4 2 2" xfId="30120"/>
    <cellStyle name="Normal 393 2 4 3" xfId="30121"/>
    <cellStyle name="Normal 393 2 5" xfId="30122"/>
    <cellStyle name="Normal 393 3" xfId="30123"/>
    <cellStyle name="Normal 393 3 2" xfId="30124"/>
    <cellStyle name="Normal 393 3 2 2" xfId="30125"/>
    <cellStyle name="Normal 393 3 2 2 2" xfId="30126"/>
    <cellStyle name="Normal 393 3 2 3" xfId="30127"/>
    <cellStyle name="Normal 393 3 2 3 2" xfId="30128"/>
    <cellStyle name="Normal 393 3 2 3 2 2" xfId="30129"/>
    <cellStyle name="Normal 393 3 2 3 3" xfId="30130"/>
    <cellStyle name="Normal 393 3 2 4" xfId="30131"/>
    <cellStyle name="Normal 393 3 3" xfId="30132"/>
    <cellStyle name="Normal 393 3 3 2" xfId="30133"/>
    <cellStyle name="Normal 393 3 3 2 2" xfId="30134"/>
    <cellStyle name="Normal 393 3 3 3" xfId="30135"/>
    <cellStyle name="Normal 393 3 4" xfId="30136"/>
    <cellStyle name="Normal 393 3 4 2" xfId="30137"/>
    <cellStyle name="Normal 393 3 4 2 2" xfId="30138"/>
    <cellStyle name="Normal 393 3 4 3" xfId="30139"/>
    <cellStyle name="Normal 393 3 5" xfId="30140"/>
    <cellStyle name="Normal 393 3 5 2" xfId="30141"/>
    <cellStyle name="Normal 393 3 5 2 2" xfId="30142"/>
    <cellStyle name="Normal 393 3 5 3" xfId="30143"/>
    <cellStyle name="Normal 393 3 6" xfId="30144"/>
    <cellStyle name="Normal 393 4" xfId="30145"/>
    <cellStyle name="Normal 393 4 2" xfId="30146"/>
    <cellStyle name="Normal 393 4 2 2" xfId="30147"/>
    <cellStyle name="Normal 393 4 3" xfId="30148"/>
    <cellStyle name="Normal 393 5" xfId="30149"/>
    <cellStyle name="Normal 393 5 2" xfId="30150"/>
    <cellStyle name="Normal 393 5 2 2" xfId="30151"/>
    <cellStyle name="Normal 393 5 3" xfId="30152"/>
    <cellStyle name="Normal 393 6" xfId="30153"/>
    <cellStyle name="Normal 393 6 2" xfId="30154"/>
    <cellStyle name="Normal 393 6 2 2" xfId="30155"/>
    <cellStyle name="Normal 393 6 3" xfId="30156"/>
    <cellStyle name="Normal 393 7" xfId="30157"/>
    <cellStyle name="Normal 394" xfId="30158"/>
    <cellStyle name="Normal 394 2" xfId="30159"/>
    <cellStyle name="Normal 394 2 2" xfId="30160"/>
    <cellStyle name="Normal 394 2 2 2" xfId="30161"/>
    <cellStyle name="Normal 394 2 3" xfId="30162"/>
    <cellStyle name="Normal 394 2 3 2" xfId="30163"/>
    <cellStyle name="Normal 394 2 3 2 2" xfId="30164"/>
    <cellStyle name="Normal 394 2 3 3" xfId="30165"/>
    <cellStyle name="Normal 394 2 4" xfId="30166"/>
    <cellStyle name="Normal 394 2 4 2" xfId="30167"/>
    <cellStyle name="Normal 394 2 4 2 2" xfId="30168"/>
    <cellStyle name="Normal 394 2 4 3" xfId="30169"/>
    <cellStyle name="Normal 394 2 5" xfId="30170"/>
    <cellStyle name="Normal 394 3" xfId="30171"/>
    <cellStyle name="Normal 394 3 2" xfId="30172"/>
    <cellStyle name="Normal 394 3 2 2" xfId="30173"/>
    <cellStyle name="Normal 394 3 2 2 2" xfId="30174"/>
    <cellStyle name="Normal 394 3 2 3" xfId="30175"/>
    <cellStyle name="Normal 394 3 2 3 2" xfId="30176"/>
    <cellStyle name="Normal 394 3 2 3 2 2" xfId="30177"/>
    <cellStyle name="Normal 394 3 2 3 3" xfId="30178"/>
    <cellStyle name="Normal 394 3 2 4" xfId="30179"/>
    <cellStyle name="Normal 394 3 3" xfId="30180"/>
    <cellStyle name="Normal 394 3 3 2" xfId="30181"/>
    <cellStyle name="Normal 394 3 3 2 2" xfId="30182"/>
    <cellStyle name="Normal 394 3 3 3" xfId="30183"/>
    <cellStyle name="Normal 394 3 4" xfId="30184"/>
    <cellStyle name="Normal 394 3 4 2" xfId="30185"/>
    <cellStyle name="Normal 394 3 4 2 2" xfId="30186"/>
    <cellStyle name="Normal 394 3 4 3" xfId="30187"/>
    <cellStyle name="Normal 394 3 5" xfId="30188"/>
    <cellStyle name="Normal 394 3 5 2" xfId="30189"/>
    <cellStyle name="Normal 394 3 5 2 2" xfId="30190"/>
    <cellStyle name="Normal 394 3 5 3" xfId="30191"/>
    <cellStyle name="Normal 394 3 6" xfId="30192"/>
    <cellStyle name="Normal 394 4" xfId="30193"/>
    <cellStyle name="Normal 394 4 2" xfId="30194"/>
    <cellStyle name="Normal 394 4 2 2" xfId="30195"/>
    <cellStyle name="Normal 394 4 3" xfId="30196"/>
    <cellStyle name="Normal 394 5" xfId="30197"/>
    <cellStyle name="Normal 394 5 2" xfId="30198"/>
    <cellStyle name="Normal 394 5 2 2" xfId="30199"/>
    <cellStyle name="Normal 394 5 3" xfId="30200"/>
    <cellStyle name="Normal 394 6" xfId="30201"/>
    <cellStyle name="Normal 394 6 2" xfId="30202"/>
    <cellStyle name="Normal 394 6 2 2" xfId="30203"/>
    <cellStyle name="Normal 394 6 3" xfId="30204"/>
    <cellStyle name="Normal 394 7" xfId="30205"/>
    <cellStyle name="Normal 395" xfId="30206"/>
    <cellStyle name="Normal 395 2" xfId="30207"/>
    <cellStyle name="Normal 395 2 2" xfId="30208"/>
    <cellStyle name="Normal 395 2 2 2" xfId="30209"/>
    <cellStyle name="Normal 395 2 3" xfId="30210"/>
    <cellStyle name="Normal 395 2 3 2" xfId="30211"/>
    <cellStyle name="Normal 395 2 3 2 2" xfId="30212"/>
    <cellStyle name="Normal 395 2 3 3" xfId="30213"/>
    <cellStyle name="Normal 395 2 4" xfId="30214"/>
    <cellStyle name="Normal 395 2 4 2" xfId="30215"/>
    <cellStyle name="Normal 395 2 4 2 2" xfId="30216"/>
    <cellStyle name="Normal 395 2 4 3" xfId="30217"/>
    <cellStyle name="Normal 395 2 5" xfId="30218"/>
    <cellStyle name="Normal 395 3" xfId="30219"/>
    <cellStyle name="Normal 395 3 2" xfId="30220"/>
    <cellStyle name="Normal 395 3 2 2" xfId="30221"/>
    <cellStyle name="Normal 395 3 2 2 2" xfId="30222"/>
    <cellStyle name="Normal 395 3 2 3" xfId="30223"/>
    <cellStyle name="Normal 395 3 2 3 2" xfId="30224"/>
    <cellStyle name="Normal 395 3 2 3 2 2" xfId="30225"/>
    <cellStyle name="Normal 395 3 2 3 3" xfId="30226"/>
    <cellStyle name="Normal 395 3 2 4" xfId="30227"/>
    <cellStyle name="Normal 395 3 3" xfId="30228"/>
    <cellStyle name="Normal 395 3 3 2" xfId="30229"/>
    <cellStyle name="Normal 395 3 3 2 2" xfId="30230"/>
    <cellStyle name="Normal 395 3 3 3" xfId="30231"/>
    <cellStyle name="Normal 395 3 4" xfId="30232"/>
    <cellStyle name="Normal 395 3 4 2" xfId="30233"/>
    <cellStyle name="Normal 395 3 4 2 2" xfId="30234"/>
    <cellStyle name="Normal 395 3 4 3" xfId="30235"/>
    <cellStyle name="Normal 395 3 5" xfId="30236"/>
    <cellStyle name="Normal 395 3 5 2" xfId="30237"/>
    <cellStyle name="Normal 395 3 5 2 2" xfId="30238"/>
    <cellStyle name="Normal 395 3 5 3" xfId="30239"/>
    <cellStyle name="Normal 395 3 6" xfId="30240"/>
    <cellStyle name="Normal 395 4" xfId="30241"/>
    <cellStyle name="Normal 395 4 2" xfId="30242"/>
    <cellStyle name="Normal 395 4 2 2" xfId="30243"/>
    <cellStyle name="Normal 395 4 3" xfId="30244"/>
    <cellStyle name="Normal 395 5" xfId="30245"/>
    <cellStyle name="Normal 395 5 2" xfId="30246"/>
    <cellStyle name="Normal 395 5 2 2" xfId="30247"/>
    <cellStyle name="Normal 395 5 3" xfId="30248"/>
    <cellStyle name="Normal 395 6" xfId="30249"/>
    <cellStyle name="Normal 395 6 2" xfId="30250"/>
    <cellStyle name="Normal 395 6 2 2" xfId="30251"/>
    <cellStyle name="Normal 395 6 3" xfId="30252"/>
    <cellStyle name="Normal 395 7" xfId="30253"/>
    <cellStyle name="Normal 396" xfId="30254"/>
    <cellStyle name="Normal 396 2" xfId="30255"/>
    <cellStyle name="Normal 396 2 2" xfId="30256"/>
    <cellStyle name="Normal 396 2 2 2" xfId="30257"/>
    <cellStyle name="Normal 396 2 3" xfId="30258"/>
    <cellStyle name="Normal 396 2 3 2" xfId="30259"/>
    <cellStyle name="Normal 396 2 3 2 2" xfId="30260"/>
    <cellStyle name="Normal 396 2 3 3" xfId="30261"/>
    <cellStyle name="Normal 396 2 4" xfId="30262"/>
    <cellStyle name="Normal 396 2 4 2" xfId="30263"/>
    <cellStyle name="Normal 396 2 4 2 2" xfId="30264"/>
    <cellStyle name="Normal 396 2 4 3" xfId="30265"/>
    <cellStyle name="Normal 396 2 5" xfId="30266"/>
    <cellStyle name="Normal 396 3" xfId="30267"/>
    <cellStyle name="Normal 396 3 2" xfId="30268"/>
    <cellStyle name="Normal 396 3 2 2" xfId="30269"/>
    <cellStyle name="Normal 396 3 2 2 2" xfId="30270"/>
    <cellStyle name="Normal 396 3 2 3" xfId="30271"/>
    <cellStyle name="Normal 396 3 2 3 2" xfId="30272"/>
    <cellStyle name="Normal 396 3 2 3 2 2" xfId="30273"/>
    <cellStyle name="Normal 396 3 2 3 3" xfId="30274"/>
    <cellStyle name="Normal 396 3 2 4" xfId="30275"/>
    <cellStyle name="Normal 396 3 3" xfId="30276"/>
    <cellStyle name="Normal 396 3 3 2" xfId="30277"/>
    <cellStyle name="Normal 396 3 3 2 2" xfId="30278"/>
    <cellStyle name="Normal 396 3 3 3" xfId="30279"/>
    <cellStyle name="Normal 396 3 4" xfId="30280"/>
    <cellStyle name="Normal 396 3 4 2" xfId="30281"/>
    <cellStyle name="Normal 396 3 4 2 2" xfId="30282"/>
    <cellStyle name="Normal 396 3 4 3" xfId="30283"/>
    <cellStyle name="Normal 396 3 5" xfId="30284"/>
    <cellStyle name="Normal 396 3 5 2" xfId="30285"/>
    <cellStyle name="Normal 396 3 5 2 2" xfId="30286"/>
    <cellStyle name="Normal 396 3 5 3" xfId="30287"/>
    <cellStyle name="Normal 396 3 6" xfId="30288"/>
    <cellStyle name="Normal 396 4" xfId="30289"/>
    <cellStyle name="Normal 396 4 2" xfId="30290"/>
    <cellStyle name="Normal 396 4 2 2" xfId="30291"/>
    <cellStyle name="Normal 396 4 3" xfId="30292"/>
    <cellStyle name="Normal 396 5" xfId="30293"/>
    <cellStyle name="Normal 396 5 2" xfId="30294"/>
    <cellStyle name="Normal 396 5 2 2" xfId="30295"/>
    <cellStyle name="Normal 396 5 3" xfId="30296"/>
    <cellStyle name="Normal 396 6" xfId="30297"/>
    <cellStyle name="Normal 396 6 2" xfId="30298"/>
    <cellStyle name="Normal 396 6 2 2" xfId="30299"/>
    <cellStyle name="Normal 396 6 3" xfId="30300"/>
    <cellStyle name="Normal 396 7" xfId="30301"/>
    <cellStyle name="Normal 397" xfId="30302"/>
    <cellStyle name="Normal 397 2" xfId="30303"/>
    <cellStyle name="Normal 397 2 2" xfId="30304"/>
    <cellStyle name="Normal 397 2 2 2" xfId="30305"/>
    <cellStyle name="Normal 397 2 3" xfId="30306"/>
    <cellStyle name="Normal 397 2 3 2" xfId="30307"/>
    <cellStyle name="Normal 397 2 3 2 2" xfId="30308"/>
    <cellStyle name="Normal 397 2 3 3" xfId="30309"/>
    <cellStyle name="Normal 397 2 4" xfId="30310"/>
    <cellStyle name="Normal 397 2 4 2" xfId="30311"/>
    <cellStyle name="Normal 397 2 4 2 2" xfId="30312"/>
    <cellStyle name="Normal 397 2 4 3" xfId="30313"/>
    <cellStyle name="Normal 397 2 5" xfId="30314"/>
    <cellStyle name="Normal 397 3" xfId="30315"/>
    <cellStyle name="Normal 397 3 2" xfId="30316"/>
    <cellStyle name="Normal 397 3 2 2" xfId="30317"/>
    <cellStyle name="Normal 397 3 2 2 2" xfId="30318"/>
    <cellStyle name="Normal 397 3 2 3" xfId="30319"/>
    <cellStyle name="Normal 397 3 2 3 2" xfId="30320"/>
    <cellStyle name="Normal 397 3 2 3 2 2" xfId="30321"/>
    <cellStyle name="Normal 397 3 2 3 3" xfId="30322"/>
    <cellStyle name="Normal 397 3 2 4" xfId="30323"/>
    <cellStyle name="Normal 397 3 3" xfId="30324"/>
    <cellStyle name="Normal 397 3 3 2" xfId="30325"/>
    <cellStyle name="Normal 397 3 3 2 2" xfId="30326"/>
    <cellStyle name="Normal 397 3 3 3" xfId="30327"/>
    <cellStyle name="Normal 397 3 4" xfId="30328"/>
    <cellStyle name="Normal 397 3 4 2" xfId="30329"/>
    <cellStyle name="Normal 397 3 4 2 2" xfId="30330"/>
    <cellStyle name="Normal 397 3 4 3" xfId="30331"/>
    <cellStyle name="Normal 397 3 5" xfId="30332"/>
    <cellStyle name="Normal 397 3 5 2" xfId="30333"/>
    <cellStyle name="Normal 397 3 5 2 2" xfId="30334"/>
    <cellStyle name="Normal 397 3 5 3" xfId="30335"/>
    <cellStyle name="Normal 397 3 6" xfId="30336"/>
    <cellStyle name="Normal 397 4" xfId="30337"/>
    <cellStyle name="Normal 397 4 2" xfId="30338"/>
    <cellStyle name="Normal 397 4 2 2" xfId="30339"/>
    <cellStyle name="Normal 397 4 3" xfId="30340"/>
    <cellStyle name="Normal 397 5" xfId="30341"/>
    <cellStyle name="Normal 397 5 2" xfId="30342"/>
    <cellStyle name="Normal 397 5 2 2" xfId="30343"/>
    <cellStyle name="Normal 397 5 3" xfId="30344"/>
    <cellStyle name="Normal 397 6" xfId="30345"/>
    <cellStyle name="Normal 397 6 2" xfId="30346"/>
    <cellStyle name="Normal 397 6 2 2" xfId="30347"/>
    <cellStyle name="Normal 397 6 3" xfId="30348"/>
    <cellStyle name="Normal 397 7" xfId="30349"/>
    <cellStyle name="Normal 398" xfId="30350"/>
    <cellStyle name="Normal 398 2" xfId="30351"/>
    <cellStyle name="Normal 398 2 2" xfId="30352"/>
    <cellStyle name="Normal 398 2 2 2" xfId="30353"/>
    <cellStyle name="Normal 398 2 3" xfId="30354"/>
    <cellStyle name="Normal 398 2 3 2" xfId="30355"/>
    <cellStyle name="Normal 398 2 3 2 2" xfId="30356"/>
    <cellStyle name="Normal 398 2 3 3" xfId="30357"/>
    <cellStyle name="Normal 398 2 4" xfId="30358"/>
    <cellStyle name="Normal 398 2 4 2" xfId="30359"/>
    <cellStyle name="Normal 398 2 4 2 2" xfId="30360"/>
    <cellStyle name="Normal 398 2 4 3" xfId="30361"/>
    <cellStyle name="Normal 398 2 5" xfId="30362"/>
    <cellStyle name="Normal 398 3" xfId="30363"/>
    <cellStyle name="Normal 398 3 2" xfId="30364"/>
    <cellStyle name="Normal 398 3 2 2" xfId="30365"/>
    <cellStyle name="Normal 398 3 2 2 2" xfId="30366"/>
    <cellStyle name="Normal 398 3 2 3" xfId="30367"/>
    <cellStyle name="Normal 398 3 2 3 2" xfId="30368"/>
    <cellStyle name="Normal 398 3 2 3 2 2" xfId="30369"/>
    <cellStyle name="Normal 398 3 2 3 3" xfId="30370"/>
    <cellStyle name="Normal 398 3 2 4" xfId="30371"/>
    <cellStyle name="Normal 398 3 3" xfId="30372"/>
    <cellStyle name="Normal 398 3 3 2" xfId="30373"/>
    <cellStyle name="Normal 398 3 3 2 2" xfId="30374"/>
    <cellStyle name="Normal 398 3 3 3" xfId="30375"/>
    <cellStyle name="Normal 398 3 4" xfId="30376"/>
    <cellStyle name="Normal 398 3 4 2" xfId="30377"/>
    <cellStyle name="Normal 398 3 4 2 2" xfId="30378"/>
    <cellStyle name="Normal 398 3 4 3" xfId="30379"/>
    <cellStyle name="Normal 398 3 5" xfId="30380"/>
    <cellStyle name="Normal 398 3 5 2" xfId="30381"/>
    <cellStyle name="Normal 398 3 5 2 2" xfId="30382"/>
    <cellStyle name="Normal 398 3 5 3" xfId="30383"/>
    <cellStyle name="Normal 398 3 6" xfId="30384"/>
    <cellStyle name="Normal 398 4" xfId="30385"/>
    <cellStyle name="Normal 398 4 2" xfId="30386"/>
    <cellStyle name="Normal 398 4 2 2" xfId="30387"/>
    <cellStyle name="Normal 398 4 3" xfId="30388"/>
    <cellStyle name="Normal 398 5" xfId="30389"/>
    <cellStyle name="Normal 398 5 2" xfId="30390"/>
    <cellStyle name="Normal 398 5 2 2" xfId="30391"/>
    <cellStyle name="Normal 398 5 3" xfId="30392"/>
    <cellStyle name="Normal 398 6" xfId="30393"/>
    <cellStyle name="Normal 398 6 2" xfId="30394"/>
    <cellStyle name="Normal 398 6 2 2" xfId="30395"/>
    <cellStyle name="Normal 398 6 3" xfId="30396"/>
    <cellStyle name="Normal 398 7" xfId="30397"/>
    <cellStyle name="Normal 399" xfId="30398"/>
    <cellStyle name="Normal 399 2" xfId="30399"/>
    <cellStyle name="Normal 399 2 2" xfId="30400"/>
    <cellStyle name="Normal 399 2 2 2" xfId="30401"/>
    <cellStyle name="Normal 399 2 3" xfId="30402"/>
    <cellStyle name="Normal 399 2 3 2" xfId="30403"/>
    <cellStyle name="Normal 399 2 3 2 2" xfId="30404"/>
    <cellStyle name="Normal 399 2 3 3" xfId="30405"/>
    <cellStyle name="Normal 399 2 4" xfId="30406"/>
    <cellStyle name="Normal 399 2 4 2" xfId="30407"/>
    <cellStyle name="Normal 399 2 4 2 2" xfId="30408"/>
    <cellStyle name="Normal 399 2 4 3" xfId="30409"/>
    <cellStyle name="Normal 399 2 5" xfId="30410"/>
    <cellStyle name="Normal 399 3" xfId="30411"/>
    <cellStyle name="Normal 399 3 2" xfId="30412"/>
    <cellStyle name="Normal 399 3 2 2" xfId="30413"/>
    <cellStyle name="Normal 399 3 2 2 2" xfId="30414"/>
    <cellStyle name="Normal 399 3 2 3" xfId="30415"/>
    <cellStyle name="Normal 399 3 2 3 2" xfId="30416"/>
    <cellStyle name="Normal 399 3 2 3 2 2" xfId="30417"/>
    <cellStyle name="Normal 399 3 2 3 3" xfId="30418"/>
    <cellStyle name="Normal 399 3 2 4" xfId="30419"/>
    <cellStyle name="Normal 399 3 3" xfId="30420"/>
    <cellStyle name="Normal 399 3 3 2" xfId="30421"/>
    <cellStyle name="Normal 399 3 3 2 2" xfId="30422"/>
    <cellStyle name="Normal 399 3 3 3" xfId="30423"/>
    <cellStyle name="Normal 399 3 4" xfId="30424"/>
    <cellStyle name="Normal 399 3 4 2" xfId="30425"/>
    <cellStyle name="Normal 399 3 4 2 2" xfId="30426"/>
    <cellStyle name="Normal 399 3 4 3" xfId="30427"/>
    <cellStyle name="Normal 399 3 5" xfId="30428"/>
    <cellStyle name="Normal 399 3 5 2" xfId="30429"/>
    <cellStyle name="Normal 399 3 5 2 2" xfId="30430"/>
    <cellStyle name="Normal 399 3 5 3" xfId="30431"/>
    <cellStyle name="Normal 399 3 6" xfId="30432"/>
    <cellStyle name="Normal 399 4" xfId="30433"/>
    <cellStyle name="Normal 399 4 2" xfId="30434"/>
    <cellStyle name="Normal 399 4 2 2" xfId="30435"/>
    <cellStyle name="Normal 399 4 3" xfId="30436"/>
    <cellStyle name="Normal 399 5" xfId="30437"/>
    <cellStyle name="Normal 399 5 2" xfId="30438"/>
    <cellStyle name="Normal 399 5 2 2" xfId="30439"/>
    <cellStyle name="Normal 399 5 3" xfId="30440"/>
    <cellStyle name="Normal 399 6" xfId="30441"/>
    <cellStyle name="Normal 399 6 2" xfId="30442"/>
    <cellStyle name="Normal 399 6 2 2" xfId="30443"/>
    <cellStyle name="Normal 399 6 3" xfId="30444"/>
    <cellStyle name="Normal 399 7" xfId="30445"/>
    <cellStyle name="Normal 4" xfId="33"/>
    <cellStyle name="Normal 4 10" xfId="30446"/>
    <cellStyle name="Normal 4 10 2" xfId="30447"/>
    <cellStyle name="Normal 4 11" xfId="30448"/>
    <cellStyle name="Normal 4 12" xfId="30449"/>
    <cellStyle name="Normal 4 2" xfId="104"/>
    <cellStyle name="Normal 4 2 2" xfId="30450"/>
    <cellStyle name="Normal 4 2 2 2" xfId="30451"/>
    <cellStyle name="Normal 4 2 2 2 2" xfId="30452"/>
    <cellStyle name="Normal 4 2 2 3" xfId="30453"/>
    <cellStyle name="Normal 4 2 2 3 2" xfId="30454"/>
    <cellStyle name="Normal 4 2 2 3 2 2" xfId="30455"/>
    <cellStyle name="Normal 4 2 2 3 3" xfId="30456"/>
    <cellStyle name="Normal 4 2 2 4" xfId="30457"/>
    <cellStyle name="Normal 4 2 2 4 2" xfId="30458"/>
    <cellStyle name="Normal 4 2 2 4 2 2" xfId="30459"/>
    <cellStyle name="Normal 4 2 2 4 3" xfId="30460"/>
    <cellStyle name="Normal 4 2 2 5" xfId="30461"/>
    <cellStyle name="Normal 4 2 3" xfId="30462"/>
    <cellStyle name="Normal 4 2 3 2" xfId="30463"/>
    <cellStyle name="Normal 4 2 3 2 2" xfId="30464"/>
    <cellStyle name="Normal 4 2 3 2 2 2" xfId="30465"/>
    <cellStyle name="Normal 4 2 3 2 3" xfId="30466"/>
    <cellStyle name="Normal 4 2 3 2 3 2" xfId="30467"/>
    <cellStyle name="Normal 4 2 3 2 3 2 2" xfId="30468"/>
    <cellStyle name="Normal 4 2 3 2 3 3" xfId="30469"/>
    <cellStyle name="Normal 4 2 3 2 4" xfId="30470"/>
    <cellStyle name="Normal 4 2 3 3" xfId="30471"/>
    <cellStyle name="Normal 4 2 3 3 2" xfId="30472"/>
    <cellStyle name="Normal 4 2 3 3 2 2" xfId="30473"/>
    <cellStyle name="Normal 4 2 3 3 3" xfId="30474"/>
    <cellStyle name="Normal 4 2 3 4" xfId="30475"/>
    <cellStyle name="Normal 4 2 3 4 2" xfId="30476"/>
    <cellStyle name="Normal 4 2 3 4 2 2" xfId="30477"/>
    <cellStyle name="Normal 4 2 3 4 3" xfId="30478"/>
    <cellStyle name="Normal 4 2 3 5" xfId="30479"/>
    <cellStyle name="Normal 4 2 3 5 2" xfId="30480"/>
    <cellStyle name="Normal 4 2 3 5 2 2" xfId="30481"/>
    <cellStyle name="Normal 4 2 3 5 3" xfId="30482"/>
    <cellStyle name="Normal 4 2 3 6" xfId="30483"/>
    <cellStyle name="Normal 4 2 4" xfId="30484"/>
    <cellStyle name="Normal 4 2 4 2" xfId="30485"/>
    <cellStyle name="Normal 4 2 4 2 2" xfId="30486"/>
    <cellStyle name="Normal 4 2 4 3" xfId="30487"/>
    <cellStyle name="Normal 4 2 5" xfId="30488"/>
    <cellStyle name="Normal 4 2 5 2" xfId="30489"/>
    <cellStyle name="Normal 4 2 5 2 2" xfId="30490"/>
    <cellStyle name="Normal 4 2 5 3" xfId="30491"/>
    <cellStyle name="Normal 4 2 6" xfId="30492"/>
    <cellStyle name="Normal 4 2 6 2" xfId="30493"/>
    <cellStyle name="Normal 4 2 6 2 2" xfId="30494"/>
    <cellStyle name="Normal 4 2 6 3" xfId="30495"/>
    <cellStyle name="Normal 4 2 7" xfId="30496"/>
    <cellStyle name="Normal 4 2 7 2" xfId="30497"/>
    <cellStyle name="Normal 4 2 8" xfId="30498"/>
    <cellStyle name="Normal 4 3" xfId="30499"/>
    <cellStyle name="Normal 4 3 2" xfId="30500"/>
    <cellStyle name="Normal 4 3 2 2" xfId="30501"/>
    <cellStyle name="Normal 4 3 2 2 2" xfId="30502"/>
    <cellStyle name="Normal 4 3 2 3" xfId="30503"/>
    <cellStyle name="Normal 4 3 2 3 2" xfId="30504"/>
    <cellStyle name="Normal 4 3 2 3 2 2" xfId="30505"/>
    <cellStyle name="Normal 4 3 2 3 3" xfId="30506"/>
    <cellStyle name="Normal 4 3 2 4" xfId="30507"/>
    <cellStyle name="Normal 4 3 2 4 2" xfId="30508"/>
    <cellStyle name="Normal 4 3 2 4 2 2" xfId="30509"/>
    <cellStyle name="Normal 4 3 2 4 3" xfId="30510"/>
    <cellStyle name="Normal 4 3 2 5" xfId="30511"/>
    <cellStyle name="Normal 4 3 3" xfId="30512"/>
    <cellStyle name="Normal 4 3 3 2" xfId="30513"/>
    <cellStyle name="Normal 4 3 3 2 2" xfId="30514"/>
    <cellStyle name="Normal 4 3 3 3" xfId="30515"/>
    <cellStyle name="Normal 4 3 4" xfId="30516"/>
    <cellStyle name="Normal 4 3 4 2" xfId="30517"/>
    <cellStyle name="Normal 4 3 4 2 2" xfId="30518"/>
    <cellStyle name="Normal 4 3 4 3" xfId="30519"/>
    <cellStyle name="Normal 4 3 5" xfId="30520"/>
    <cellStyle name="Normal 4 3 5 2" xfId="30521"/>
    <cellStyle name="Normal 4 3 5 2 2" xfId="30522"/>
    <cellStyle name="Normal 4 3 5 3" xfId="30523"/>
    <cellStyle name="Normal 4 3 6" xfId="30524"/>
    <cellStyle name="Normal 4 4" xfId="30525"/>
    <cellStyle name="Normal 4 4 2" xfId="30526"/>
    <cellStyle name="Normal 4 4 2 2" xfId="30527"/>
    <cellStyle name="Normal 4 4 2 2 2" xfId="30528"/>
    <cellStyle name="Normal 4 4 2 3" xfId="30529"/>
    <cellStyle name="Normal 4 4 2 3 2" xfId="30530"/>
    <cellStyle name="Normal 4 4 2 3 2 2" xfId="30531"/>
    <cellStyle name="Normal 4 4 2 3 3" xfId="30532"/>
    <cellStyle name="Normal 4 4 2 4" xfId="30533"/>
    <cellStyle name="Normal 4 4 2 4 2" xfId="30534"/>
    <cellStyle name="Normal 4 4 2 4 2 2" xfId="30535"/>
    <cellStyle name="Normal 4 4 2 4 3" xfId="30536"/>
    <cellStyle name="Normal 4 4 2 5" xfId="30537"/>
    <cellStyle name="Normal 4 4 3" xfId="30538"/>
    <cellStyle name="Normal 4 4 3 2" xfId="30539"/>
    <cellStyle name="Normal 4 4 3 2 2" xfId="30540"/>
    <cellStyle name="Normal 4 4 3 3" xfId="30541"/>
    <cellStyle name="Normal 4 4 4" xfId="30542"/>
    <cellStyle name="Normal 4 4 4 2" xfId="30543"/>
    <cellStyle name="Normal 4 4 4 2 2" xfId="30544"/>
    <cellStyle name="Normal 4 4 4 3" xfId="30545"/>
    <cellStyle name="Normal 4 4 5" xfId="30546"/>
    <cellStyle name="Normal 4 4 5 2" xfId="30547"/>
    <cellStyle name="Normal 4 4 5 2 2" xfId="30548"/>
    <cellStyle name="Normal 4 4 5 3" xfId="30549"/>
    <cellStyle name="Normal 4 4 6" xfId="30550"/>
    <cellStyle name="Normal 4 5" xfId="30551"/>
    <cellStyle name="Normal 4 5 2" xfId="30552"/>
    <cellStyle name="Normal 4 5 2 2" xfId="30553"/>
    <cellStyle name="Normal 4 5 3" xfId="30554"/>
    <cellStyle name="Normal 4 5 3 2" xfId="30555"/>
    <cellStyle name="Normal 4 5 3 2 2" xfId="30556"/>
    <cellStyle name="Normal 4 5 3 3" xfId="30557"/>
    <cellStyle name="Normal 4 5 4" xfId="30558"/>
    <cellStyle name="Normal 4 5 4 2" xfId="30559"/>
    <cellStyle name="Normal 4 5 4 2 2" xfId="30560"/>
    <cellStyle name="Normal 4 5 4 3" xfId="30561"/>
    <cellStyle name="Normal 4 5 5" xfId="30562"/>
    <cellStyle name="Normal 4 6" xfId="30563"/>
    <cellStyle name="Normal 4 6 2" xfId="30564"/>
    <cellStyle name="Normal 4 6 2 2" xfId="30565"/>
    <cellStyle name="Normal 4 6 3" xfId="30566"/>
    <cellStyle name="Normal 4 6 3 2" xfId="30567"/>
    <cellStyle name="Normal 4 6 3 2 2" xfId="30568"/>
    <cellStyle name="Normal 4 6 3 3" xfId="30569"/>
    <cellStyle name="Normal 4 6 4" xfId="30570"/>
    <cellStyle name="Normal 4 6 4 2" xfId="30571"/>
    <cellStyle name="Normal 4 6 4 2 2" xfId="30572"/>
    <cellStyle name="Normal 4 6 4 3" xfId="30573"/>
    <cellStyle name="Normal 4 6 5" xfId="30574"/>
    <cellStyle name="Normal 4 7" xfId="30575"/>
    <cellStyle name="Normal 4 7 2" xfId="30576"/>
    <cellStyle name="Normal 4 7 2 2" xfId="30577"/>
    <cellStyle name="Normal 4 7 3" xfId="30578"/>
    <cellStyle name="Normal 4 8" xfId="30579"/>
    <cellStyle name="Normal 4 8 2" xfId="30580"/>
    <cellStyle name="Normal 4 8 2 2" xfId="30581"/>
    <cellStyle name="Normal 4 8 3" xfId="30582"/>
    <cellStyle name="Normal 4 9" xfId="30583"/>
    <cellStyle name="Normal 4 9 2" xfId="30584"/>
    <cellStyle name="Normal 4 9 2 2" xfId="30585"/>
    <cellStyle name="Normal 4 9 3" xfId="30586"/>
    <cellStyle name="Normal 40" xfId="30587"/>
    <cellStyle name="Normal 40 2" xfId="30588"/>
    <cellStyle name="Normal 40 2 2" xfId="30589"/>
    <cellStyle name="Normal 40 2 2 2" xfId="30590"/>
    <cellStyle name="Normal 40 2 2 2 2" xfId="30591"/>
    <cellStyle name="Normal 40 2 2 3" xfId="30592"/>
    <cellStyle name="Normal 40 2 2 3 2" xfId="30593"/>
    <cellStyle name="Normal 40 2 2 3 2 2" xfId="30594"/>
    <cellStyle name="Normal 40 2 2 3 3" xfId="30595"/>
    <cellStyle name="Normal 40 2 2 4" xfId="30596"/>
    <cellStyle name="Normal 40 2 2 4 2" xfId="30597"/>
    <cellStyle name="Normal 40 2 2 4 2 2" xfId="30598"/>
    <cellStyle name="Normal 40 2 2 4 3" xfId="30599"/>
    <cellStyle name="Normal 40 2 2 5" xfId="30600"/>
    <cellStyle name="Normal 40 2 3" xfId="30601"/>
    <cellStyle name="Normal 40 2 3 2" xfId="30602"/>
    <cellStyle name="Normal 40 2 3 2 2" xfId="30603"/>
    <cellStyle name="Normal 40 2 3 3" xfId="30604"/>
    <cellStyle name="Normal 40 2 4" xfId="30605"/>
    <cellStyle name="Normal 40 2 4 2" xfId="30606"/>
    <cellStyle name="Normal 40 2 4 2 2" xfId="30607"/>
    <cellStyle name="Normal 40 2 4 3" xfId="30608"/>
    <cellStyle name="Normal 40 2 5" xfId="30609"/>
    <cellStyle name="Normal 40 2 5 2" xfId="30610"/>
    <cellStyle name="Normal 40 2 5 2 2" xfId="30611"/>
    <cellStyle name="Normal 40 2 5 3" xfId="30612"/>
    <cellStyle name="Normal 40 2 6" xfId="30613"/>
    <cellStyle name="Normal 40 3" xfId="30614"/>
    <cellStyle name="Normal 40 3 2" xfId="30615"/>
    <cellStyle name="Normal 40 3 2 2" xfId="30616"/>
    <cellStyle name="Normal 40 3 3" xfId="30617"/>
    <cellStyle name="Normal 40 3 3 2" xfId="30618"/>
    <cellStyle name="Normal 40 3 3 2 2" xfId="30619"/>
    <cellStyle name="Normal 40 3 3 3" xfId="30620"/>
    <cellStyle name="Normal 40 3 4" xfId="30621"/>
    <cellStyle name="Normal 40 3 4 2" xfId="30622"/>
    <cellStyle name="Normal 40 3 4 2 2" xfId="30623"/>
    <cellStyle name="Normal 40 3 4 3" xfId="30624"/>
    <cellStyle name="Normal 40 3 5" xfId="30625"/>
    <cellStyle name="Normal 40 4" xfId="30626"/>
    <cellStyle name="Normal 40 4 2" xfId="30627"/>
    <cellStyle name="Normal 40 4 2 2" xfId="30628"/>
    <cellStyle name="Normal 40 4 3" xfId="30629"/>
    <cellStyle name="Normal 40 5" xfId="30630"/>
    <cellStyle name="Normal 40 5 2" xfId="30631"/>
    <cellStyle name="Normal 40 5 2 2" xfId="30632"/>
    <cellStyle name="Normal 40 5 3" xfId="30633"/>
    <cellStyle name="Normal 40 6" xfId="30634"/>
    <cellStyle name="Normal 40 6 2" xfId="30635"/>
    <cellStyle name="Normal 40 6 2 2" xfId="30636"/>
    <cellStyle name="Normal 40 6 3" xfId="30637"/>
    <cellStyle name="Normal 40 7" xfId="30638"/>
    <cellStyle name="Normal 400" xfId="30639"/>
    <cellStyle name="Normal 400 2" xfId="30640"/>
    <cellStyle name="Normal 400 2 2" xfId="30641"/>
    <cellStyle name="Normal 400 2 2 2" xfId="30642"/>
    <cellStyle name="Normal 400 2 3" xfId="30643"/>
    <cellStyle name="Normal 400 2 3 2" xfId="30644"/>
    <cellStyle name="Normal 400 2 3 2 2" xfId="30645"/>
    <cellStyle name="Normal 400 2 3 3" xfId="30646"/>
    <cellStyle name="Normal 400 2 4" xfId="30647"/>
    <cellStyle name="Normal 400 2 4 2" xfId="30648"/>
    <cellStyle name="Normal 400 2 4 2 2" xfId="30649"/>
    <cellStyle name="Normal 400 2 4 3" xfId="30650"/>
    <cellStyle name="Normal 400 2 5" xfId="30651"/>
    <cellStyle name="Normal 400 3" xfId="30652"/>
    <cellStyle name="Normal 400 3 2" xfId="30653"/>
    <cellStyle name="Normal 400 3 2 2" xfId="30654"/>
    <cellStyle name="Normal 400 3 2 2 2" xfId="30655"/>
    <cellStyle name="Normal 400 3 2 3" xfId="30656"/>
    <cellStyle name="Normal 400 3 2 3 2" xfId="30657"/>
    <cellStyle name="Normal 400 3 2 3 2 2" xfId="30658"/>
    <cellStyle name="Normal 400 3 2 3 3" xfId="30659"/>
    <cellStyle name="Normal 400 3 2 4" xfId="30660"/>
    <cellStyle name="Normal 400 3 3" xfId="30661"/>
    <cellStyle name="Normal 400 3 3 2" xfId="30662"/>
    <cellStyle name="Normal 400 3 3 2 2" xfId="30663"/>
    <cellStyle name="Normal 400 3 3 3" xfId="30664"/>
    <cellStyle name="Normal 400 3 4" xfId="30665"/>
    <cellStyle name="Normal 400 3 4 2" xfId="30666"/>
    <cellStyle name="Normal 400 3 4 2 2" xfId="30667"/>
    <cellStyle name="Normal 400 3 4 3" xfId="30668"/>
    <cellStyle name="Normal 400 3 5" xfId="30669"/>
    <cellStyle name="Normal 400 3 5 2" xfId="30670"/>
    <cellStyle name="Normal 400 3 5 2 2" xfId="30671"/>
    <cellStyle name="Normal 400 3 5 3" xfId="30672"/>
    <cellStyle name="Normal 400 3 6" xfId="30673"/>
    <cellStyle name="Normal 400 4" xfId="30674"/>
    <cellStyle name="Normal 400 4 2" xfId="30675"/>
    <cellStyle name="Normal 400 4 2 2" xfId="30676"/>
    <cellStyle name="Normal 400 4 3" xfId="30677"/>
    <cellStyle name="Normal 400 5" xfId="30678"/>
    <cellStyle name="Normal 400 5 2" xfId="30679"/>
    <cellStyle name="Normal 400 5 2 2" xfId="30680"/>
    <cellStyle name="Normal 400 5 3" xfId="30681"/>
    <cellStyle name="Normal 400 6" xfId="30682"/>
    <cellStyle name="Normal 400 6 2" xfId="30683"/>
    <cellStyle name="Normal 400 6 2 2" xfId="30684"/>
    <cellStyle name="Normal 400 6 3" xfId="30685"/>
    <cellStyle name="Normal 400 7" xfId="30686"/>
    <cellStyle name="Normal 401" xfId="30687"/>
    <cellStyle name="Normal 401 2" xfId="30688"/>
    <cellStyle name="Normal 401 2 2" xfId="30689"/>
    <cellStyle name="Normal 401 2 2 2" xfId="30690"/>
    <cellStyle name="Normal 401 2 3" xfId="30691"/>
    <cellStyle name="Normal 401 2 3 2" xfId="30692"/>
    <cellStyle name="Normal 401 2 3 2 2" xfId="30693"/>
    <cellStyle name="Normal 401 2 3 3" xfId="30694"/>
    <cellStyle name="Normal 401 2 4" xfId="30695"/>
    <cellStyle name="Normal 401 2 4 2" xfId="30696"/>
    <cellStyle name="Normal 401 2 4 2 2" xfId="30697"/>
    <cellStyle name="Normal 401 2 4 3" xfId="30698"/>
    <cellStyle name="Normal 401 2 5" xfId="30699"/>
    <cellStyle name="Normal 401 3" xfId="30700"/>
    <cellStyle name="Normal 401 3 2" xfId="30701"/>
    <cellStyle name="Normal 401 3 2 2" xfId="30702"/>
    <cellStyle name="Normal 401 3 2 2 2" xfId="30703"/>
    <cellStyle name="Normal 401 3 2 3" xfId="30704"/>
    <cellStyle name="Normal 401 3 2 3 2" xfId="30705"/>
    <cellStyle name="Normal 401 3 2 3 2 2" xfId="30706"/>
    <cellStyle name="Normal 401 3 2 3 3" xfId="30707"/>
    <cellStyle name="Normal 401 3 2 4" xfId="30708"/>
    <cellStyle name="Normal 401 3 3" xfId="30709"/>
    <cellStyle name="Normal 401 3 3 2" xfId="30710"/>
    <cellStyle name="Normal 401 3 3 2 2" xfId="30711"/>
    <cellStyle name="Normal 401 3 3 3" xfId="30712"/>
    <cellStyle name="Normal 401 3 4" xfId="30713"/>
    <cellStyle name="Normal 401 3 4 2" xfId="30714"/>
    <cellStyle name="Normal 401 3 4 2 2" xfId="30715"/>
    <cellStyle name="Normal 401 3 4 3" xfId="30716"/>
    <cellStyle name="Normal 401 3 5" xfId="30717"/>
    <cellStyle name="Normal 401 3 5 2" xfId="30718"/>
    <cellStyle name="Normal 401 3 5 2 2" xfId="30719"/>
    <cellStyle name="Normal 401 3 5 3" xfId="30720"/>
    <cellStyle name="Normal 401 3 6" xfId="30721"/>
    <cellStyle name="Normal 401 4" xfId="30722"/>
    <cellStyle name="Normal 401 4 2" xfId="30723"/>
    <cellStyle name="Normal 401 4 2 2" xfId="30724"/>
    <cellStyle name="Normal 401 4 3" xfId="30725"/>
    <cellStyle name="Normal 401 5" xfId="30726"/>
    <cellStyle name="Normal 401 5 2" xfId="30727"/>
    <cellStyle name="Normal 401 5 2 2" xfId="30728"/>
    <cellStyle name="Normal 401 5 3" xfId="30729"/>
    <cellStyle name="Normal 401 6" xfId="30730"/>
    <cellStyle name="Normal 401 6 2" xfId="30731"/>
    <cellStyle name="Normal 401 6 2 2" xfId="30732"/>
    <cellStyle name="Normal 401 6 3" xfId="30733"/>
    <cellStyle name="Normal 401 7" xfId="30734"/>
    <cellStyle name="Normal 402" xfId="30735"/>
    <cellStyle name="Normal 402 2" xfId="30736"/>
    <cellStyle name="Normal 402 2 2" xfId="30737"/>
    <cellStyle name="Normal 402 2 2 2" xfId="30738"/>
    <cellStyle name="Normal 402 2 3" xfId="30739"/>
    <cellStyle name="Normal 402 2 3 2" xfId="30740"/>
    <cellStyle name="Normal 402 2 3 2 2" xfId="30741"/>
    <cellStyle name="Normal 402 2 3 3" xfId="30742"/>
    <cellStyle name="Normal 402 2 4" xfId="30743"/>
    <cellStyle name="Normal 402 2 4 2" xfId="30744"/>
    <cellStyle name="Normal 402 2 4 2 2" xfId="30745"/>
    <cellStyle name="Normal 402 2 4 3" xfId="30746"/>
    <cellStyle name="Normal 402 2 5" xfId="30747"/>
    <cellStyle name="Normal 402 3" xfId="30748"/>
    <cellStyle name="Normal 402 3 2" xfId="30749"/>
    <cellStyle name="Normal 402 3 2 2" xfId="30750"/>
    <cellStyle name="Normal 402 3 2 2 2" xfId="30751"/>
    <cellStyle name="Normal 402 3 2 3" xfId="30752"/>
    <cellStyle name="Normal 402 3 2 3 2" xfId="30753"/>
    <cellStyle name="Normal 402 3 2 3 2 2" xfId="30754"/>
    <cellStyle name="Normal 402 3 2 3 3" xfId="30755"/>
    <cellStyle name="Normal 402 3 2 4" xfId="30756"/>
    <cellStyle name="Normal 402 3 3" xfId="30757"/>
    <cellStyle name="Normal 402 3 3 2" xfId="30758"/>
    <cellStyle name="Normal 402 3 3 2 2" xfId="30759"/>
    <cellStyle name="Normal 402 3 3 3" xfId="30760"/>
    <cellStyle name="Normal 402 3 4" xfId="30761"/>
    <cellStyle name="Normal 402 3 4 2" xfId="30762"/>
    <cellStyle name="Normal 402 3 4 2 2" xfId="30763"/>
    <cellStyle name="Normal 402 3 4 3" xfId="30764"/>
    <cellStyle name="Normal 402 3 5" xfId="30765"/>
    <cellStyle name="Normal 402 3 5 2" xfId="30766"/>
    <cellStyle name="Normal 402 3 5 2 2" xfId="30767"/>
    <cellStyle name="Normal 402 3 5 3" xfId="30768"/>
    <cellStyle name="Normal 402 3 6" xfId="30769"/>
    <cellStyle name="Normal 402 4" xfId="30770"/>
    <cellStyle name="Normal 402 4 2" xfId="30771"/>
    <cellStyle name="Normal 402 4 2 2" xfId="30772"/>
    <cellStyle name="Normal 402 4 3" xfId="30773"/>
    <cellStyle name="Normal 402 5" xfId="30774"/>
    <cellStyle name="Normal 402 5 2" xfId="30775"/>
    <cellStyle name="Normal 402 5 2 2" xfId="30776"/>
    <cellStyle name="Normal 402 5 3" xfId="30777"/>
    <cellStyle name="Normal 402 6" xfId="30778"/>
    <cellStyle name="Normal 402 6 2" xfId="30779"/>
    <cellStyle name="Normal 402 6 2 2" xfId="30780"/>
    <cellStyle name="Normal 402 6 3" xfId="30781"/>
    <cellStyle name="Normal 402 7" xfId="30782"/>
    <cellStyle name="Normal 403" xfId="30783"/>
    <cellStyle name="Normal 403 2" xfId="30784"/>
    <cellStyle name="Normal 403 2 2" xfId="30785"/>
    <cellStyle name="Normal 403 2 2 2" xfId="30786"/>
    <cellStyle name="Normal 403 2 3" xfId="30787"/>
    <cellStyle name="Normal 403 2 3 2" xfId="30788"/>
    <cellStyle name="Normal 403 2 3 2 2" xfId="30789"/>
    <cellStyle name="Normal 403 2 3 3" xfId="30790"/>
    <cellStyle name="Normal 403 2 4" xfId="30791"/>
    <cellStyle name="Normal 403 2 4 2" xfId="30792"/>
    <cellStyle name="Normal 403 2 4 2 2" xfId="30793"/>
    <cellStyle name="Normal 403 2 4 3" xfId="30794"/>
    <cellStyle name="Normal 403 2 5" xfId="30795"/>
    <cellStyle name="Normal 403 3" xfId="30796"/>
    <cellStyle name="Normal 403 3 2" xfId="30797"/>
    <cellStyle name="Normal 403 3 2 2" xfId="30798"/>
    <cellStyle name="Normal 403 3 2 2 2" xfId="30799"/>
    <cellStyle name="Normal 403 3 2 3" xfId="30800"/>
    <cellStyle name="Normal 403 3 2 3 2" xfId="30801"/>
    <cellStyle name="Normal 403 3 2 3 2 2" xfId="30802"/>
    <cellStyle name="Normal 403 3 2 3 3" xfId="30803"/>
    <cellStyle name="Normal 403 3 2 4" xfId="30804"/>
    <cellStyle name="Normal 403 3 3" xfId="30805"/>
    <cellStyle name="Normal 403 3 3 2" xfId="30806"/>
    <cellStyle name="Normal 403 3 3 2 2" xfId="30807"/>
    <cellStyle name="Normal 403 3 3 3" xfId="30808"/>
    <cellStyle name="Normal 403 3 4" xfId="30809"/>
    <cellStyle name="Normal 403 3 4 2" xfId="30810"/>
    <cellStyle name="Normal 403 3 4 2 2" xfId="30811"/>
    <cellStyle name="Normal 403 3 4 3" xfId="30812"/>
    <cellStyle name="Normal 403 3 5" xfId="30813"/>
    <cellStyle name="Normal 403 3 5 2" xfId="30814"/>
    <cellStyle name="Normal 403 3 5 2 2" xfId="30815"/>
    <cellStyle name="Normal 403 3 5 3" xfId="30816"/>
    <cellStyle name="Normal 403 3 6" xfId="30817"/>
    <cellStyle name="Normal 403 4" xfId="30818"/>
    <cellStyle name="Normal 403 4 2" xfId="30819"/>
    <cellStyle name="Normal 403 4 2 2" xfId="30820"/>
    <cellStyle name="Normal 403 4 3" xfId="30821"/>
    <cellStyle name="Normal 403 5" xfId="30822"/>
    <cellStyle name="Normal 403 5 2" xfId="30823"/>
    <cellStyle name="Normal 403 5 2 2" xfId="30824"/>
    <cellStyle name="Normal 403 5 3" xfId="30825"/>
    <cellStyle name="Normal 403 6" xfId="30826"/>
    <cellStyle name="Normal 403 6 2" xfId="30827"/>
    <cellStyle name="Normal 403 6 2 2" xfId="30828"/>
    <cellStyle name="Normal 403 6 3" xfId="30829"/>
    <cellStyle name="Normal 403 7" xfId="30830"/>
    <cellStyle name="Normal 404" xfId="30831"/>
    <cellStyle name="Normal 404 2" xfId="30832"/>
    <cellStyle name="Normal 404 2 2" xfId="30833"/>
    <cellStyle name="Normal 404 2 2 2" xfId="30834"/>
    <cellStyle name="Normal 404 2 3" xfId="30835"/>
    <cellStyle name="Normal 404 2 3 2" xfId="30836"/>
    <cellStyle name="Normal 404 2 3 2 2" xfId="30837"/>
    <cellStyle name="Normal 404 2 3 3" xfId="30838"/>
    <cellStyle name="Normal 404 2 4" xfId="30839"/>
    <cellStyle name="Normal 404 2 4 2" xfId="30840"/>
    <cellStyle name="Normal 404 2 4 2 2" xfId="30841"/>
    <cellStyle name="Normal 404 2 4 3" xfId="30842"/>
    <cellStyle name="Normal 404 2 5" xfId="30843"/>
    <cellStyle name="Normal 404 3" xfId="30844"/>
    <cellStyle name="Normal 404 3 2" xfId="30845"/>
    <cellStyle name="Normal 404 3 2 2" xfId="30846"/>
    <cellStyle name="Normal 404 3 2 2 2" xfId="30847"/>
    <cellStyle name="Normal 404 3 2 3" xfId="30848"/>
    <cellStyle name="Normal 404 3 2 3 2" xfId="30849"/>
    <cellStyle name="Normal 404 3 2 3 2 2" xfId="30850"/>
    <cellStyle name="Normal 404 3 2 3 3" xfId="30851"/>
    <cellStyle name="Normal 404 3 2 4" xfId="30852"/>
    <cellStyle name="Normal 404 3 3" xfId="30853"/>
    <cellStyle name="Normal 404 3 3 2" xfId="30854"/>
    <cellStyle name="Normal 404 3 3 2 2" xfId="30855"/>
    <cellStyle name="Normal 404 3 3 3" xfId="30856"/>
    <cellStyle name="Normal 404 3 4" xfId="30857"/>
    <cellStyle name="Normal 404 3 4 2" xfId="30858"/>
    <cellStyle name="Normal 404 3 4 2 2" xfId="30859"/>
    <cellStyle name="Normal 404 3 4 3" xfId="30860"/>
    <cellStyle name="Normal 404 3 5" xfId="30861"/>
    <cellStyle name="Normal 404 3 5 2" xfId="30862"/>
    <cellStyle name="Normal 404 3 5 2 2" xfId="30863"/>
    <cellStyle name="Normal 404 3 5 3" xfId="30864"/>
    <cellStyle name="Normal 404 3 6" xfId="30865"/>
    <cellStyle name="Normal 404 4" xfId="30866"/>
    <cellStyle name="Normal 404 4 2" xfId="30867"/>
    <cellStyle name="Normal 404 4 2 2" xfId="30868"/>
    <cellStyle name="Normal 404 4 3" xfId="30869"/>
    <cellStyle name="Normal 404 5" xfId="30870"/>
    <cellStyle name="Normal 404 5 2" xfId="30871"/>
    <cellStyle name="Normal 404 5 2 2" xfId="30872"/>
    <cellStyle name="Normal 404 5 3" xfId="30873"/>
    <cellStyle name="Normal 404 6" xfId="30874"/>
    <cellStyle name="Normal 404 6 2" xfId="30875"/>
    <cellStyle name="Normal 404 6 2 2" xfId="30876"/>
    <cellStyle name="Normal 404 6 3" xfId="30877"/>
    <cellStyle name="Normal 404 7" xfId="30878"/>
    <cellStyle name="Normal 405" xfId="30879"/>
    <cellStyle name="Normal 405 2" xfId="30880"/>
    <cellStyle name="Normal 405 2 2" xfId="30881"/>
    <cellStyle name="Normal 405 2 2 2" xfId="30882"/>
    <cellStyle name="Normal 405 2 3" xfId="30883"/>
    <cellStyle name="Normal 405 2 3 2" xfId="30884"/>
    <cellStyle name="Normal 405 2 3 2 2" xfId="30885"/>
    <cellStyle name="Normal 405 2 3 3" xfId="30886"/>
    <cellStyle name="Normal 405 2 4" xfId="30887"/>
    <cellStyle name="Normal 405 2 4 2" xfId="30888"/>
    <cellStyle name="Normal 405 2 4 2 2" xfId="30889"/>
    <cellStyle name="Normal 405 2 4 3" xfId="30890"/>
    <cellStyle name="Normal 405 2 5" xfId="30891"/>
    <cellStyle name="Normal 405 3" xfId="30892"/>
    <cellStyle name="Normal 405 3 2" xfId="30893"/>
    <cellStyle name="Normal 405 3 2 2" xfId="30894"/>
    <cellStyle name="Normal 405 3 2 2 2" xfId="30895"/>
    <cellStyle name="Normal 405 3 2 3" xfId="30896"/>
    <cellStyle name="Normal 405 3 2 3 2" xfId="30897"/>
    <cellStyle name="Normal 405 3 2 3 2 2" xfId="30898"/>
    <cellStyle name="Normal 405 3 2 3 3" xfId="30899"/>
    <cellStyle name="Normal 405 3 2 4" xfId="30900"/>
    <cellStyle name="Normal 405 3 3" xfId="30901"/>
    <cellStyle name="Normal 405 3 3 2" xfId="30902"/>
    <cellStyle name="Normal 405 3 3 2 2" xfId="30903"/>
    <cellStyle name="Normal 405 3 3 3" xfId="30904"/>
    <cellStyle name="Normal 405 3 4" xfId="30905"/>
    <cellStyle name="Normal 405 3 4 2" xfId="30906"/>
    <cellStyle name="Normal 405 3 4 2 2" xfId="30907"/>
    <cellStyle name="Normal 405 3 4 3" xfId="30908"/>
    <cellStyle name="Normal 405 3 5" xfId="30909"/>
    <cellStyle name="Normal 405 3 5 2" xfId="30910"/>
    <cellStyle name="Normal 405 3 5 2 2" xfId="30911"/>
    <cellStyle name="Normal 405 3 5 3" xfId="30912"/>
    <cellStyle name="Normal 405 3 6" xfId="30913"/>
    <cellStyle name="Normal 405 4" xfId="30914"/>
    <cellStyle name="Normal 405 4 2" xfId="30915"/>
    <cellStyle name="Normal 405 4 2 2" xfId="30916"/>
    <cellStyle name="Normal 405 4 3" xfId="30917"/>
    <cellStyle name="Normal 405 5" xfId="30918"/>
    <cellStyle name="Normal 405 5 2" xfId="30919"/>
    <cellStyle name="Normal 405 5 2 2" xfId="30920"/>
    <cellStyle name="Normal 405 5 3" xfId="30921"/>
    <cellStyle name="Normal 405 6" xfId="30922"/>
    <cellStyle name="Normal 405 6 2" xfId="30923"/>
    <cellStyle name="Normal 405 6 2 2" xfId="30924"/>
    <cellStyle name="Normal 405 6 3" xfId="30925"/>
    <cellStyle name="Normal 405 7" xfId="30926"/>
    <cellStyle name="Normal 406" xfId="30927"/>
    <cellStyle name="Normal 406 2" xfId="30928"/>
    <cellStyle name="Normal 406 2 2" xfId="30929"/>
    <cellStyle name="Normal 406 2 2 2" xfId="30930"/>
    <cellStyle name="Normal 406 2 3" xfId="30931"/>
    <cellStyle name="Normal 406 2 3 2" xfId="30932"/>
    <cellStyle name="Normal 406 2 3 2 2" xfId="30933"/>
    <cellStyle name="Normal 406 2 3 3" xfId="30934"/>
    <cellStyle name="Normal 406 2 4" xfId="30935"/>
    <cellStyle name="Normal 406 2 4 2" xfId="30936"/>
    <cellStyle name="Normal 406 2 4 2 2" xfId="30937"/>
    <cellStyle name="Normal 406 2 4 3" xfId="30938"/>
    <cellStyle name="Normal 406 2 5" xfId="30939"/>
    <cellStyle name="Normal 406 3" xfId="30940"/>
    <cellStyle name="Normal 406 3 2" xfId="30941"/>
    <cellStyle name="Normal 406 3 2 2" xfId="30942"/>
    <cellStyle name="Normal 406 3 2 2 2" xfId="30943"/>
    <cellStyle name="Normal 406 3 2 3" xfId="30944"/>
    <cellStyle name="Normal 406 3 2 3 2" xfId="30945"/>
    <cellStyle name="Normal 406 3 2 3 2 2" xfId="30946"/>
    <cellStyle name="Normal 406 3 2 3 3" xfId="30947"/>
    <cellStyle name="Normal 406 3 2 4" xfId="30948"/>
    <cellStyle name="Normal 406 3 3" xfId="30949"/>
    <cellStyle name="Normal 406 3 3 2" xfId="30950"/>
    <cellStyle name="Normal 406 3 3 2 2" xfId="30951"/>
    <cellStyle name="Normal 406 3 3 3" xfId="30952"/>
    <cellStyle name="Normal 406 3 4" xfId="30953"/>
    <cellStyle name="Normal 406 3 4 2" xfId="30954"/>
    <cellStyle name="Normal 406 3 4 2 2" xfId="30955"/>
    <cellStyle name="Normal 406 3 4 3" xfId="30956"/>
    <cellStyle name="Normal 406 3 5" xfId="30957"/>
    <cellStyle name="Normal 406 3 5 2" xfId="30958"/>
    <cellStyle name="Normal 406 3 5 2 2" xfId="30959"/>
    <cellStyle name="Normal 406 3 5 3" xfId="30960"/>
    <cellStyle name="Normal 406 3 6" xfId="30961"/>
    <cellStyle name="Normal 406 4" xfId="30962"/>
    <cellStyle name="Normal 406 4 2" xfId="30963"/>
    <cellStyle name="Normal 406 4 2 2" xfId="30964"/>
    <cellStyle name="Normal 406 4 3" xfId="30965"/>
    <cellStyle name="Normal 406 5" xfId="30966"/>
    <cellStyle name="Normal 406 5 2" xfId="30967"/>
    <cellStyle name="Normal 406 5 2 2" xfId="30968"/>
    <cellStyle name="Normal 406 5 3" xfId="30969"/>
    <cellStyle name="Normal 406 6" xfId="30970"/>
    <cellStyle name="Normal 406 6 2" xfId="30971"/>
    <cellStyle name="Normal 406 6 2 2" xfId="30972"/>
    <cellStyle name="Normal 406 6 3" xfId="30973"/>
    <cellStyle name="Normal 406 7" xfId="30974"/>
    <cellStyle name="Normal 407" xfId="30975"/>
    <cellStyle name="Normal 407 2" xfId="30976"/>
    <cellStyle name="Normal 407 2 2" xfId="30977"/>
    <cellStyle name="Normal 407 2 2 2" xfId="30978"/>
    <cellStyle name="Normal 407 2 3" xfId="30979"/>
    <cellStyle name="Normal 407 2 3 2" xfId="30980"/>
    <cellStyle name="Normal 407 2 3 2 2" xfId="30981"/>
    <cellStyle name="Normal 407 2 3 3" xfId="30982"/>
    <cellStyle name="Normal 407 2 4" xfId="30983"/>
    <cellStyle name="Normal 407 2 4 2" xfId="30984"/>
    <cellStyle name="Normal 407 2 4 2 2" xfId="30985"/>
    <cellStyle name="Normal 407 2 4 3" xfId="30986"/>
    <cellStyle name="Normal 407 2 5" xfId="30987"/>
    <cellStyle name="Normal 407 3" xfId="30988"/>
    <cellStyle name="Normal 407 3 2" xfId="30989"/>
    <cellStyle name="Normal 407 3 2 2" xfId="30990"/>
    <cellStyle name="Normal 407 3 2 2 2" xfId="30991"/>
    <cellStyle name="Normal 407 3 2 3" xfId="30992"/>
    <cellStyle name="Normal 407 3 2 3 2" xfId="30993"/>
    <cellStyle name="Normal 407 3 2 3 2 2" xfId="30994"/>
    <cellStyle name="Normal 407 3 2 3 3" xfId="30995"/>
    <cellStyle name="Normal 407 3 2 4" xfId="30996"/>
    <cellStyle name="Normal 407 3 3" xfId="30997"/>
    <cellStyle name="Normal 407 3 3 2" xfId="30998"/>
    <cellStyle name="Normal 407 3 3 2 2" xfId="30999"/>
    <cellStyle name="Normal 407 3 3 3" xfId="31000"/>
    <cellStyle name="Normal 407 3 4" xfId="31001"/>
    <cellStyle name="Normal 407 3 4 2" xfId="31002"/>
    <cellStyle name="Normal 407 3 4 2 2" xfId="31003"/>
    <cellStyle name="Normal 407 3 4 3" xfId="31004"/>
    <cellStyle name="Normal 407 3 5" xfId="31005"/>
    <cellStyle name="Normal 407 3 5 2" xfId="31006"/>
    <cellStyle name="Normal 407 3 5 2 2" xfId="31007"/>
    <cellStyle name="Normal 407 3 5 3" xfId="31008"/>
    <cellStyle name="Normal 407 3 6" xfId="31009"/>
    <cellStyle name="Normal 407 4" xfId="31010"/>
    <cellStyle name="Normal 407 4 2" xfId="31011"/>
    <cellStyle name="Normal 407 4 2 2" xfId="31012"/>
    <cellStyle name="Normal 407 4 3" xfId="31013"/>
    <cellStyle name="Normal 407 5" xfId="31014"/>
    <cellStyle name="Normal 407 5 2" xfId="31015"/>
    <cellStyle name="Normal 407 5 2 2" xfId="31016"/>
    <cellStyle name="Normal 407 5 3" xfId="31017"/>
    <cellStyle name="Normal 407 6" xfId="31018"/>
    <cellStyle name="Normal 407 6 2" xfId="31019"/>
    <cellStyle name="Normal 407 6 2 2" xfId="31020"/>
    <cellStyle name="Normal 407 6 3" xfId="31021"/>
    <cellStyle name="Normal 407 7" xfId="31022"/>
    <cellStyle name="Normal 408" xfId="31023"/>
    <cellStyle name="Normal 408 2" xfId="31024"/>
    <cellStyle name="Normal 408 2 2" xfId="31025"/>
    <cellStyle name="Normal 408 2 2 2" xfId="31026"/>
    <cellStyle name="Normal 408 2 3" xfId="31027"/>
    <cellStyle name="Normal 408 2 3 2" xfId="31028"/>
    <cellStyle name="Normal 408 2 3 2 2" xfId="31029"/>
    <cellStyle name="Normal 408 2 3 3" xfId="31030"/>
    <cellStyle name="Normal 408 2 4" xfId="31031"/>
    <cellStyle name="Normal 408 2 4 2" xfId="31032"/>
    <cellStyle name="Normal 408 2 4 2 2" xfId="31033"/>
    <cellStyle name="Normal 408 2 4 3" xfId="31034"/>
    <cellStyle name="Normal 408 2 5" xfId="31035"/>
    <cellStyle name="Normal 408 3" xfId="31036"/>
    <cellStyle name="Normal 408 3 2" xfId="31037"/>
    <cellStyle name="Normal 408 3 2 2" xfId="31038"/>
    <cellStyle name="Normal 408 3 2 2 2" xfId="31039"/>
    <cellStyle name="Normal 408 3 2 3" xfId="31040"/>
    <cellStyle name="Normal 408 3 2 3 2" xfId="31041"/>
    <cellStyle name="Normal 408 3 2 3 2 2" xfId="31042"/>
    <cellStyle name="Normal 408 3 2 3 3" xfId="31043"/>
    <cellStyle name="Normal 408 3 2 4" xfId="31044"/>
    <cellStyle name="Normal 408 3 3" xfId="31045"/>
    <cellStyle name="Normal 408 3 3 2" xfId="31046"/>
    <cellStyle name="Normal 408 3 3 2 2" xfId="31047"/>
    <cellStyle name="Normal 408 3 3 3" xfId="31048"/>
    <cellStyle name="Normal 408 3 4" xfId="31049"/>
    <cellStyle name="Normal 408 3 4 2" xfId="31050"/>
    <cellStyle name="Normal 408 3 4 2 2" xfId="31051"/>
    <cellStyle name="Normal 408 3 4 3" xfId="31052"/>
    <cellStyle name="Normal 408 3 5" xfId="31053"/>
    <cellStyle name="Normal 408 3 5 2" xfId="31054"/>
    <cellStyle name="Normal 408 3 5 2 2" xfId="31055"/>
    <cellStyle name="Normal 408 3 5 3" xfId="31056"/>
    <cellStyle name="Normal 408 3 6" xfId="31057"/>
    <cellStyle name="Normal 408 4" xfId="31058"/>
    <cellStyle name="Normal 408 4 2" xfId="31059"/>
    <cellStyle name="Normal 408 4 2 2" xfId="31060"/>
    <cellStyle name="Normal 408 4 3" xfId="31061"/>
    <cellStyle name="Normal 408 5" xfId="31062"/>
    <cellStyle name="Normal 408 5 2" xfId="31063"/>
    <cellStyle name="Normal 408 5 2 2" xfId="31064"/>
    <cellStyle name="Normal 408 5 3" xfId="31065"/>
    <cellStyle name="Normal 408 6" xfId="31066"/>
    <cellStyle name="Normal 408 6 2" xfId="31067"/>
    <cellStyle name="Normal 408 6 2 2" xfId="31068"/>
    <cellStyle name="Normal 408 6 3" xfId="31069"/>
    <cellStyle name="Normal 408 7" xfId="31070"/>
    <cellStyle name="Normal 409" xfId="31071"/>
    <cellStyle name="Normal 409 2" xfId="31072"/>
    <cellStyle name="Normal 409 2 2" xfId="31073"/>
    <cellStyle name="Normal 409 2 2 2" xfId="31074"/>
    <cellStyle name="Normal 409 2 3" xfId="31075"/>
    <cellStyle name="Normal 409 2 3 2" xfId="31076"/>
    <cellStyle name="Normal 409 2 3 2 2" xfId="31077"/>
    <cellStyle name="Normal 409 2 3 3" xfId="31078"/>
    <cellStyle name="Normal 409 2 4" xfId="31079"/>
    <cellStyle name="Normal 409 2 4 2" xfId="31080"/>
    <cellStyle name="Normal 409 2 4 2 2" xfId="31081"/>
    <cellStyle name="Normal 409 2 4 3" xfId="31082"/>
    <cellStyle name="Normal 409 2 5" xfId="31083"/>
    <cellStyle name="Normal 409 3" xfId="31084"/>
    <cellStyle name="Normal 409 3 2" xfId="31085"/>
    <cellStyle name="Normal 409 3 2 2" xfId="31086"/>
    <cellStyle name="Normal 409 3 2 2 2" xfId="31087"/>
    <cellStyle name="Normal 409 3 2 3" xfId="31088"/>
    <cellStyle name="Normal 409 3 2 3 2" xfId="31089"/>
    <cellStyle name="Normal 409 3 2 3 2 2" xfId="31090"/>
    <cellStyle name="Normal 409 3 2 3 3" xfId="31091"/>
    <cellStyle name="Normal 409 3 2 4" xfId="31092"/>
    <cellStyle name="Normal 409 3 3" xfId="31093"/>
    <cellStyle name="Normal 409 3 3 2" xfId="31094"/>
    <cellStyle name="Normal 409 3 3 2 2" xfId="31095"/>
    <cellStyle name="Normal 409 3 3 3" xfId="31096"/>
    <cellStyle name="Normal 409 3 4" xfId="31097"/>
    <cellStyle name="Normal 409 3 4 2" xfId="31098"/>
    <cellStyle name="Normal 409 3 4 2 2" xfId="31099"/>
    <cellStyle name="Normal 409 3 4 3" xfId="31100"/>
    <cellStyle name="Normal 409 3 5" xfId="31101"/>
    <cellStyle name="Normal 409 3 5 2" xfId="31102"/>
    <cellStyle name="Normal 409 3 5 2 2" xfId="31103"/>
    <cellStyle name="Normal 409 3 5 3" xfId="31104"/>
    <cellStyle name="Normal 409 3 6" xfId="31105"/>
    <cellStyle name="Normal 409 4" xfId="31106"/>
    <cellStyle name="Normal 409 4 2" xfId="31107"/>
    <cellStyle name="Normal 409 4 2 2" xfId="31108"/>
    <cellStyle name="Normal 409 4 3" xfId="31109"/>
    <cellStyle name="Normal 409 5" xfId="31110"/>
    <cellStyle name="Normal 409 5 2" xfId="31111"/>
    <cellStyle name="Normal 409 5 2 2" xfId="31112"/>
    <cellStyle name="Normal 409 5 3" xfId="31113"/>
    <cellStyle name="Normal 409 6" xfId="31114"/>
    <cellStyle name="Normal 409 6 2" xfId="31115"/>
    <cellStyle name="Normal 409 6 2 2" xfId="31116"/>
    <cellStyle name="Normal 409 6 3" xfId="31117"/>
    <cellStyle name="Normal 409 7" xfId="31118"/>
    <cellStyle name="Normal 41" xfId="31119"/>
    <cellStyle name="Normal 41 2" xfId="31120"/>
    <cellStyle name="Normal 41 2 2" xfId="31121"/>
    <cellStyle name="Normal 41 2 2 2" xfId="31122"/>
    <cellStyle name="Normal 41 2 2 2 2" xfId="31123"/>
    <cellStyle name="Normal 41 2 2 3" xfId="31124"/>
    <cellStyle name="Normal 41 2 2 3 2" xfId="31125"/>
    <cellStyle name="Normal 41 2 2 3 2 2" xfId="31126"/>
    <cellStyle name="Normal 41 2 2 3 3" xfId="31127"/>
    <cellStyle name="Normal 41 2 2 4" xfId="31128"/>
    <cellStyle name="Normal 41 2 2 4 2" xfId="31129"/>
    <cellStyle name="Normal 41 2 2 4 2 2" xfId="31130"/>
    <cellStyle name="Normal 41 2 2 4 3" xfId="31131"/>
    <cellStyle name="Normal 41 2 2 5" xfId="31132"/>
    <cellStyle name="Normal 41 2 3" xfId="31133"/>
    <cellStyle name="Normal 41 2 3 2" xfId="31134"/>
    <cellStyle name="Normal 41 2 3 2 2" xfId="31135"/>
    <cellStyle name="Normal 41 2 3 3" xfId="31136"/>
    <cellStyle name="Normal 41 2 4" xfId="31137"/>
    <cellStyle name="Normal 41 2 4 2" xfId="31138"/>
    <cellStyle name="Normal 41 2 4 2 2" xfId="31139"/>
    <cellStyle name="Normal 41 2 4 3" xfId="31140"/>
    <cellStyle name="Normal 41 2 5" xfId="31141"/>
    <cellStyle name="Normal 41 2 5 2" xfId="31142"/>
    <cellStyle name="Normal 41 2 5 2 2" xfId="31143"/>
    <cellStyle name="Normal 41 2 5 3" xfId="31144"/>
    <cellStyle name="Normal 41 2 6" xfId="31145"/>
    <cellStyle name="Normal 41 3" xfId="31146"/>
    <cellStyle name="Normal 41 3 2" xfId="31147"/>
    <cellStyle name="Normal 41 3 2 2" xfId="31148"/>
    <cellStyle name="Normal 41 3 3" xfId="31149"/>
    <cellStyle name="Normal 41 3 3 2" xfId="31150"/>
    <cellStyle name="Normal 41 3 3 2 2" xfId="31151"/>
    <cellStyle name="Normal 41 3 3 3" xfId="31152"/>
    <cellStyle name="Normal 41 3 4" xfId="31153"/>
    <cellStyle name="Normal 41 3 4 2" xfId="31154"/>
    <cellStyle name="Normal 41 3 4 2 2" xfId="31155"/>
    <cellStyle name="Normal 41 3 4 3" xfId="31156"/>
    <cellStyle name="Normal 41 3 5" xfId="31157"/>
    <cellStyle name="Normal 41 4" xfId="31158"/>
    <cellStyle name="Normal 41 4 2" xfId="31159"/>
    <cellStyle name="Normal 41 4 2 2" xfId="31160"/>
    <cellStyle name="Normal 41 4 3" xfId="31161"/>
    <cellStyle name="Normal 41 5" xfId="31162"/>
    <cellStyle name="Normal 41 5 2" xfId="31163"/>
    <cellStyle name="Normal 41 5 2 2" xfId="31164"/>
    <cellStyle name="Normal 41 5 3" xfId="31165"/>
    <cellStyle name="Normal 41 6" xfId="31166"/>
    <cellStyle name="Normal 41 6 2" xfId="31167"/>
    <cellStyle name="Normal 41 6 2 2" xfId="31168"/>
    <cellStyle name="Normal 41 6 3" xfId="31169"/>
    <cellStyle name="Normal 41 7" xfId="31170"/>
    <cellStyle name="Normal 410" xfId="31171"/>
    <cellStyle name="Normal 410 2" xfId="31172"/>
    <cellStyle name="Normal 410 2 2" xfId="31173"/>
    <cellStyle name="Normal 410 2 2 2" xfId="31174"/>
    <cellStyle name="Normal 410 2 3" xfId="31175"/>
    <cellStyle name="Normal 410 2 3 2" xfId="31176"/>
    <cellStyle name="Normal 410 2 3 2 2" xfId="31177"/>
    <cellStyle name="Normal 410 2 3 3" xfId="31178"/>
    <cellStyle name="Normal 410 2 4" xfId="31179"/>
    <cellStyle name="Normal 410 2 4 2" xfId="31180"/>
    <cellStyle name="Normal 410 2 4 2 2" xfId="31181"/>
    <cellStyle name="Normal 410 2 4 3" xfId="31182"/>
    <cellStyle name="Normal 410 2 5" xfId="31183"/>
    <cellStyle name="Normal 410 3" xfId="31184"/>
    <cellStyle name="Normal 410 3 2" xfId="31185"/>
    <cellStyle name="Normal 410 3 2 2" xfId="31186"/>
    <cellStyle name="Normal 410 3 2 2 2" xfId="31187"/>
    <cellStyle name="Normal 410 3 2 3" xfId="31188"/>
    <cellStyle name="Normal 410 3 2 3 2" xfId="31189"/>
    <cellStyle name="Normal 410 3 2 3 2 2" xfId="31190"/>
    <cellStyle name="Normal 410 3 2 3 3" xfId="31191"/>
    <cellStyle name="Normal 410 3 2 4" xfId="31192"/>
    <cellStyle name="Normal 410 3 3" xfId="31193"/>
    <cellStyle name="Normal 410 3 3 2" xfId="31194"/>
    <cellStyle name="Normal 410 3 3 2 2" xfId="31195"/>
    <cellStyle name="Normal 410 3 3 3" xfId="31196"/>
    <cellStyle name="Normal 410 3 4" xfId="31197"/>
    <cellStyle name="Normal 410 3 4 2" xfId="31198"/>
    <cellStyle name="Normal 410 3 4 2 2" xfId="31199"/>
    <cellStyle name="Normal 410 3 4 3" xfId="31200"/>
    <cellStyle name="Normal 410 3 5" xfId="31201"/>
    <cellStyle name="Normal 410 3 5 2" xfId="31202"/>
    <cellStyle name="Normal 410 3 5 2 2" xfId="31203"/>
    <cellStyle name="Normal 410 3 5 3" xfId="31204"/>
    <cellStyle name="Normal 410 3 6" xfId="31205"/>
    <cellStyle name="Normal 410 4" xfId="31206"/>
    <cellStyle name="Normal 410 4 2" xfId="31207"/>
    <cellStyle name="Normal 410 4 2 2" xfId="31208"/>
    <cellStyle name="Normal 410 4 3" xfId="31209"/>
    <cellStyle name="Normal 410 5" xfId="31210"/>
    <cellStyle name="Normal 410 5 2" xfId="31211"/>
    <cellStyle name="Normal 410 5 2 2" xfId="31212"/>
    <cellStyle name="Normal 410 5 3" xfId="31213"/>
    <cellStyle name="Normal 410 6" xfId="31214"/>
    <cellStyle name="Normal 410 6 2" xfId="31215"/>
    <cellStyle name="Normal 410 6 2 2" xfId="31216"/>
    <cellStyle name="Normal 410 6 3" xfId="31217"/>
    <cellStyle name="Normal 410 7" xfId="31218"/>
    <cellStyle name="Normal 411" xfId="31219"/>
    <cellStyle name="Normal 411 2" xfId="31220"/>
    <cellStyle name="Normal 411 2 2" xfId="31221"/>
    <cellStyle name="Normal 411 2 2 2" xfId="31222"/>
    <cellStyle name="Normal 411 2 3" xfId="31223"/>
    <cellStyle name="Normal 411 2 3 2" xfId="31224"/>
    <cellStyle name="Normal 411 2 3 2 2" xfId="31225"/>
    <cellStyle name="Normal 411 2 3 3" xfId="31226"/>
    <cellStyle name="Normal 411 2 4" xfId="31227"/>
    <cellStyle name="Normal 411 2 4 2" xfId="31228"/>
    <cellStyle name="Normal 411 2 4 2 2" xfId="31229"/>
    <cellStyle name="Normal 411 2 4 3" xfId="31230"/>
    <cellStyle name="Normal 411 2 5" xfId="31231"/>
    <cellStyle name="Normal 411 3" xfId="31232"/>
    <cellStyle name="Normal 411 3 2" xfId="31233"/>
    <cellStyle name="Normal 411 3 2 2" xfId="31234"/>
    <cellStyle name="Normal 411 3 2 2 2" xfId="31235"/>
    <cellStyle name="Normal 411 3 2 3" xfId="31236"/>
    <cellStyle name="Normal 411 3 2 3 2" xfId="31237"/>
    <cellStyle name="Normal 411 3 2 3 2 2" xfId="31238"/>
    <cellStyle name="Normal 411 3 2 3 3" xfId="31239"/>
    <cellStyle name="Normal 411 3 2 4" xfId="31240"/>
    <cellStyle name="Normal 411 3 3" xfId="31241"/>
    <cellStyle name="Normal 411 3 3 2" xfId="31242"/>
    <cellStyle name="Normal 411 3 3 2 2" xfId="31243"/>
    <cellStyle name="Normal 411 3 3 3" xfId="31244"/>
    <cellStyle name="Normal 411 3 4" xfId="31245"/>
    <cellStyle name="Normal 411 3 4 2" xfId="31246"/>
    <cellStyle name="Normal 411 3 4 2 2" xfId="31247"/>
    <cellStyle name="Normal 411 3 4 3" xfId="31248"/>
    <cellStyle name="Normal 411 3 5" xfId="31249"/>
    <cellStyle name="Normal 411 3 5 2" xfId="31250"/>
    <cellStyle name="Normal 411 3 5 2 2" xfId="31251"/>
    <cellStyle name="Normal 411 3 5 3" xfId="31252"/>
    <cellStyle name="Normal 411 3 6" xfId="31253"/>
    <cellStyle name="Normal 411 4" xfId="31254"/>
    <cellStyle name="Normal 411 4 2" xfId="31255"/>
    <cellStyle name="Normal 411 4 2 2" xfId="31256"/>
    <cellStyle name="Normal 411 4 3" xfId="31257"/>
    <cellStyle name="Normal 411 5" xfId="31258"/>
    <cellStyle name="Normal 411 5 2" xfId="31259"/>
    <cellStyle name="Normal 411 5 2 2" xfId="31260"/>
    <cellStyle name="Normal 411 5 3" xfId="31261"/>
    <cellStyle name="Normal 411 6" xfId="31262"/>
    <cellStyle name="Normal 411 6 2" xfId="31263"/>
    <cellStyle name="Normal 411 6 2 2" xfId="31264"/>
    <cellStyle name="Normal 411 6 3" xfId="31265"/>
    <cellStyle name="Normal 411 7" xfId="31266"/>
    <cellStyle name="Normal 412" xfId="31267"/>
    <cellStyle name="Normal 412 2" xfId="31268"/>
    <cellStyle name="Normal 412 2 2" xfId="31269"/>
    <cellStyle name="Normal 412 2 2 2" xfId="31270"/>
    <cellStyle name="Normal 412 2 3" xfId="31271"/>
    <cellStyle name="Normal 412 2 3 2" xfId="31272"/>
    <cellStyle name="Normal 412 2 3 2 2" xfId="31273"/>
    <cellStyle name="Normal 412 2 3 3" xfId="31274"/>
    <cellStyle name="Normal 412 2 4" xfId="31275"/>
    <cellStyle name="Normal 412 2 4 2" xfId="31276"/>
    <cellStyle name="Normal 412 2 4 2 2" xfId="31277"/>
    <cellStyle name="Normal 412 2 4 3" xfId="31278"/>
    <cellStyle name="Normal 412 2 5" xfId="31279"/>
    <cellStyle name="Normal 412 3" xfId="31280"/>
    <cellStyle name="Normal 412 3 2" xfId="31281"/>
    <cellStyle name="Normal 412 3 2 2" xfId="31282"/>
    <cellStyle name="Normal 412 3 2 2 2" xfId="31283"/>
    <cellStyle name="Normal 412 3 2 3" xfId="31284"/>
    <cellStyle name="Normal 412 3 2 3 2" xfId="31285"/>
    <cellStyle name="Normal 412 3 2 3 2 2" xfId="31286"/>
    <cellStyle name="Normal 412 3 2 3 3" xfId="31287"/>
    <cellStyle name="Normal 412 3 2 4" xfId="31288"/>
    <cellStyle name="Normal 412 3 3" xfId="31289"/>
    <cellStyle name="Normal 412 3 3 2" xfId="31290"/>
    <cellStyle name="Normal 412 3 3 2 2" xfId="31291"/>
    <cellStyle name="Normal 412 3 3 3" xfId="31292"/>
    <cellStyle name="Normal 412 3 4" xfId="31293"/>
    <cellStyle name="Normal 412 3 4 2" xfId="31294"/>
    <cellStyle name="Normal 412 3 4 2 2" xfId="31295"/>
    <cellStyle name="Normal 412 3 4 3" xfId="31296"/>
    <cellStyle name="Normal 412 3 5" xfId="31297"/>
    <cellStyle name="Normal 412 3 5 2" xfId="31298"/>
    <cellStyle name="Normal 412 3 5 2 2" xfId="31299"/>
    <cellStyle name="Normal 412 3 5 3" xfId="31300"/>
    <cellStyle name="Normal 412 3 6" xfId="31301"/>
    <cellStyle name="Normal 412 4" xfId="31302"/>
    <cellStyle name="Normal 412 4 2" xfId="31303"/>
    <cellStyle name="Normal 412 4 2 2" xfId="31304"/>
    <cellStyle name="Normal 412 4 3" xfId="31305"/>
    <cellStyle name="Normal 412 5" xfId="31306"/>
    <cellStyle name="Normal 412 5 2" xfId="31307"/>
    <cellStyle name="Normal 412 5 2 2" xfId="31308"/>
    <cellStyle name="Normal 412 5 3" xfId="31309"/>
    <cellStyle name="Normal 412 6" xfId="31310"/>
    <cellStyle name="Normal 412 6 2" xfId="31311"/>
    <cellStyle name="Normal 412 6 2 2" xfId="31312"/>
    <cellStyle name="Normal 412 6 3" xfId="31313"/>
    <cellStyle name="Normal 412 7" xfId="31314"/>
    <cellStyle name="Normal 413" xfId="31315"/>
    <cellStyle name="Normal 413 2" xfId="31316"/>
    <cellStyle name="Normal 413 2 2" xfId="31317"/>
    <cellStyle name="Normal 413 2 2 2" xfId="31318"/>
    <cellStyle name="Normal 413 2 3" xfId="31319"/>
    <cellStyle name="Normal 413 2 3 2" xfId="31320"/>
    <cellStyle name="Normal 413 2 3 2 2" xfId="31321"/>
    <cellStyle name="Normal 413 2 3 3" xfId="31322"/>
    <cellStyle name="Normal 413 2 4" xfId="31323"/>
    <cellStyle name="Normal 413 2 4 2" xfId="31324"/>
    <cellStyle name="Normal 413 2 4 2 2" xfId="31325"/>
    <cellStyle name="Normal 413 2 4 3" xfId="31326"/>
    <cellStyle name="Normal 413 2 5" xfId="31327"/>
    <cellStyle name="Normal 413 3" xfId="31328"/>
    <cellStyle name="Normal 413 3 2" xfId="31329"/>
    <cellStyle name="Normal 413 3 2 2" xfId="31330"/>
    <cellStyle name="Normal 413 3 2 2 2" xfId="31331"/>
    <cellStyle name="Normal 413 3 2 3" xfId="31332"/>
    <cellStyle name="Normal 413 3 2 3 2" xfId="31333"/>
    <cellStyle name="Normal 413 3 2 3 2 2" xfId="31334"/>
    <cellStyle name="Normal 413 3 2 3 3" xfId="31335"/>
    <cellStyle name="Normal 413 3 2 4" xfId="31336"/>
    <cellStyle name="Normal 413 3 3" xfId="31337"/>
    <cellStyle name="Normal 413 3 3 2" xfId="31338"/>
    <cellStyle name="Normal 413 3 3 2 2" xfId="31339"/>
    <cellStyle name="Normal 413 3 3 3" xfId="31340"/>
    <cellStyle name="Normal 413 3 4" xfId="31341"/>
    <cellStyle name="Normal 413 3 4 2" xfId="31342"/>
    <cellStyle name="Normal 413 3 4 2 2" xfId="31343"/>
    <cellStyle name="Normal 413 3 4 3" xfId="31344"/>
    <cellStyle name="Normal 413 3 5" xfId="31345"/>
    <cellStyle name="Normal 413 3 5 2" xfId="31346"/>
    <cellStyle name="Normal 413 3 5 2 2" xfId="31347"/>
    <cellStyle name="Normal 413 3 5 3" xfId="31348"/>
    <cellStyle name="Normal 413 3 6" xfId="31349"/>
    <cellStyle name="Normal 413 4" xfId="31350"/>
    <cellStyle name="Normal 413 4 2" xfId="31351"/>
    <cellStyle name="Normal 413 4 2 2" xfId="31352"/>
    <cellStyle name="Normal 413 4 3" xfId="31353"/>
    <cellStyle name="Normal 413 5" xfId="31354"/>
    <cellStyle name="Normal 413 5 2" xfId="31355"/>
    <cellStyle name="Normal 413 5 2 2" xfId="31356"/>
    <cellStyle name="Normal 413 5 3" xfId="31357"/>
    <cellStyle name="Normal 413 6" xfId="31358"/>
    <cellStyle name="Normal 413 6 2" xfId="31359"/>
    <cellStyle name="Normal 413 6 2 2" xfId="31360"/>
    <cellStyle name="Normal 413 6 3" xfId="31361"/>
    <cellStyle name="Normal 413 7" xfId="31362"/>
    <cellStyle name="Normal 414" xfId="31363"/>
    <cellStyle name="Normal 414 2" xfId="31364"/>
    <cellStyle name="Normal 414 2 2" xfId="31365"/>
    <cellStyle name="Normal 414 2 2 2" xfId="31366"/>
    <cellStyle name="Normal 414 2 3" xfId="31367"/>
    <cellStyle name="Normal 414 2 3 2" xfId="31368"/>
    <cellStyle name="Normal 414 2 3 2 2" xfId="31369"/>
    <cellStyle name="Normal 414 2 3 3" xfId="31370"/>
    <cellStyle name="Normal 414 2 4" xfId="31371"/>
    <cellStyle name="Normal 414 2 4 2" xfId="31372"/>
    <cellStyle name="Normal 414 2 4 2 2" xfId="31373"/>
    <cellStyle name="Normal 414 2 4 3" xfId="31374"/>
    <cellStyle name="Normal 414 2 5" xfId="31375"/>
    <cellStyle name="Normal 414 3" xfId="31376"/>
    <cellStyle name="Normal 414 3 2" xfId="31377"/>
    <cellStyle name="Normal 414 3 2 2" xfId="31378"/>
    <cellStyle name="Normal 414 3 2 2 2" xfId="31379"/>
    <cellStyle name="Normal 414 3 2 3" xfId="31380"/>
    <cellStyle name="Normal 414 3 2 3 2" xfId="31381"/>
    <cellStyle name="Normal 414 3 2 3 2 2" xfId="31382"/>
    <cellStyle name="Normal 414 3 2 3 3" xfId="31383"/>
    <cellStyle name="Normal 414 3 2 4" xfId="31384"/>
    <cellStyle name="Normal 414 3 3" xfId="31385"/>
    <cellStyle name="Normal 414 3 3 2" xfId="31386"/>
    <cellStyle name="Normal 414 3 3 2 2" xfId="31387"/>
    <cellStyle name="Normal 414 3 3 3" xfId="31388"/>
    <cellStyle name="Normal 414 3 4" xfId="31389"/>
    <cellStyle name="Normal 414 3 4 2" xfId="31390"/>
    <cellStyle name="Normal 414 3 4 2 2" xfId="31391"/>
    <cellStyle name="Normal 414 3 4 3" xfId="31392"/>
    <cellStyle name="Normal 414 3 5" xfId="31393"/>
    <cellStyle name="Normal 414 3 5 2" xfId="31394"/>
    <cellStyle name="Normal 414 3 5 2 2" xfId="31395"/>
    <cellStyle name="Normal 414 3 5 3" xfId="31396"/>
    <cellStyle name="Normal 414 3 6" xfId="31397"/>
    <cellStyle name="Normal 414 4" xfId="31398"/>
    <cellStyle name="Normal 414 4 2" xfId="31399"/>
    <cellStyle name="Normal 414 4 2 2" xfId="31400"/>
    <cellStyle name="Normal 414 4 3" xfId="31401"/>
    <cellStyle name="Normal 414 5" xfId="31402"/>
    <cellStyle name="Normal 414 5 2" xfId="31403"/>
    <cellStyle name="Normal 414 5 2 2" xfId="31404"/>
    <cellStyle name="Normal 414 5 3" xfId="31405"/>
    <cellStyle name="Normal 414 6" xfId="31406"/>
    <cellStyle name="Normal 414 6 2" xfId="31407"/>
    <cellStyle name="Normal 414 6 2 2" xfId="31408"/>
    <cellStyle name="Normal 414 6 3" xfId="31409"/>
    <cellStyle name="Normal 414 7" xfId="31410"/>
    <cellStyle name="Normal 415" xfId="31411"/>
    <cellStyle name="Normal 415 2" xfId="31412"/>
    <cellStyle name="Normal 415 2 2" xfId="31413"/>
    <cellStyle name="Normal 415 2 2 2" xfId="31414"/>
    <cellStyle name="Normal 415 2 3" xfId="31415"/>
    <cellStyle name="Normal 415 2 3 2" xfId="31416"/>
    <cellStyle name="Normal 415 2 3 2 2" xfId="31417"/>
    <cellStyle name="Normal 415 2 3 3" xfId="31418"/>
    <cellStyle name="Normal 415 2 4" xfId="31419"/>
    <cellStyle name="Normal 415 2 4 2" xfId="31420"/>
    <cellStyle name="Normal 415 2 4 2 2" xfId="31421"/>
    <cellStyle name="Normal 415 2 4 3" xfId="31422"/>
    <cellStyle name="Normal 415 2 5" xfId="31423"/>
    <cellStyle name="Normal 415 3" xfId="31424"/>
    <cellStyle name="Normal 415 3 2" xfId="31425"/>
    <cellStyle name="Normal 415 3 2 2" xfId="31426"/>
    <cellStyle name="Normal 415 3 2 2 2" xfId="31427"/>
    <cellStyle name="Normal 415 3 2 3" xfId="31428"/>
    <cellStyle name="Normal 415 3 2 3 2" xfId="31429"/>
    <cellStyle name="Normal 415 3 2 3 2 2" xfId="31430"/>
    <cellStyle name="Normal 415 3 2 3 3" xfId="31431"/>
    <cellStyle name="Normal 415 3 2 4" xfId="31432"/>
    <cellStyle name="Normal 415 3 3" xfId="31433"/>
    <cellStyle name="Normal 415 3 3 2" xfId="31434"/>
    <cellStyle name="Normal 415 3 3 2 2" xfId="31435"/>
    <cellStyle name="Normal 415 3 3 3" xfId="31436"/>
    <cellStyle name="Normal 415 3 4" xfId="31437"/>
    <cellStyle name="Normal 415 3 4 2" xfId="31438"/>
    <cellStyle name="Normal 415 3 4 2 2" xfId="31439"/>
    <cellStyle name="Normal 415 3 4 3" xfId="31440"/>
    <cellStyle name="Normal 415 3 5" xfId="31441"/>
    <cellStyle name="Normal 415 3 5 2" xfId="31442"/>
    <cellStyle name="Normal 415 3 5 2 2" xfId="31443"/>
    <cellStyle name="Normal 415 3 5 3" xfId="31444"/>
    <cellStyle name="Normal 415 3 6" xfId="31445"/>
    <cellStyle name="Normal 415 4" xfId="31446"/>
    <cellStyle name="Normal 415 4 2" xfId="31447"/>
    <cellStyle name="Normal 415 4 2 2" xfId="31448"/>
    <cellStyle name="Normal 415 4 3" xfId="31449"/>
    <cellStyle name="Normal 415 5" xfId="31450"/>
    <cellStyle name="Normal 415 5 2" xfId="31451"/>
    <cellStyle name="Normal 415 5 2 2" xfId="31452"/>
    <cellStyle name="Normal 415 5 3" xfId="31453"/>
    <cellStyle name="Normal 415 6" xfId="31454"/>
    <cellStyle name="Normal 415 6 2" xfId="31455"/>
    <cellStyle name="Normal 415 6 2 2" xfId="31456"/>
    <cellStyle name="Normal 415 6 3" xfId="31457"/>
    <cellStyle name="Normal 415 7" xfId="31458"/>
    <cellStyle name="Normal 416" xfId="31459"/>
    <cellStyle name="Normal 416 2" xfId="31460"/>
    <cellStyle name="Normal 416 2 2" xfId="31461"/>
    <cellStyle name="Normal 416 2 2 2" xfId="31462"/>
    <cellStyle name="Normal 416 2 3" xfId="31463"/>
    <cellStyle name="Normal 416 2 3 2" xfId="31464"/>
    <cellStyle name="Normal 416 2 3 2 2" xfId="31465"/>
    <cellStyle name="Normal 416 2 3 3" xfId="31466"/>
    <cellStyle name="Normal 416 2 4" xfId="31467"/>
    <cellStyle name="Normal 416 2 4 2" xfId="31468"/>
    <cellStyle name="Normal 416 2 4 2 2" xfId="31469"/>
    <cellStyle name="Normal 416 2 4 3" xfId="31470"/>
    <cellStyle name="Normal 416 2 5" xfId="31471"/>
    <cellStyle name="Normal 416 3" xfId="31472"/>
    <cellStyle name="Normal 416 3 2" xfId="31473"/>
    <cellStyle name="Normal 416 3 2 2" xfId="31474"/>
    <cellStyle name="Normal 416 3 2 2 2" xfId="31475"/>
    <cellStyle name="Normal 416 3 2 3" xfId="31476"/>
    <cellStyle name="Normal 416 3 2 3 2" xfId="31477"/>
    <cellStyle name="Normal 416 3 2 3 2 2" xfId="31478"/>
    <cellStyle name="Normal 416 3 2 3 3" xfId="31479"/>
    <cellStyle name="Normal 416 3 2 4" xfId="31480"/>
    <cellStyle name="Normal 416 3 3" xfId="31481"/>
    <cellStyle name="Normal 416 3 3 2" xfId="31482"/>
    <cellStyle name="Normal 416 3 3 2 2" xfId="31483"/>
    <cellStyle name="Normal 416 3 3 3" xfId="31484"/>
    <cellStyle name="Normal 416 3 4" xfId="31485"/>
    <cellStyle name="Normal 416 3 4 2" xfId="31486"/>
    <cellStyle name="Normal 416 3 4 2 2" xfId="31487"/>
    <cellStyle name="Normal 416 3 4 3" xfId="31488"/>
    <cellStyle name="Normal 416 3 5" xfId="31489"/>
    <cellStyle name="Normal 416 3 5 2" xfId="31490"/>
    <cellStyle name="Normal 416 3 5 2 2" xfId="31491"/>
    <cellStyle name="Normal 416 3 5 3" xfId="31492"/>
    <cellStyle name="Normal 416 3 6" xfId="31493"/>
    <cellStyle name="Normal 416 4" xfId="31494"/>
    <cellStyle name="Normal 416 4 2" xfId="31495"/>
    <cellStyle name="Normal 416 4 2 2" xfId="31496"/>
    <cellStyle name="Normal 416 4 3" xfId="31497"/>
    <cellStyle name="Normal 416 5" xfId="31498"/>
    <cellStyle name="Normal 416 5 2" xfId="31499"/>
    <cellStyle name="Normal 416 5 2 2" xfId="31500"/>
    <cellStyle name="Normal 416 5 3" xfId="31501"/>
    <cellStyle name="Normal 416 6" xfId="31502"/>
    <cellStyle name="Normal 416 6 2" xfId="31503"/>
    <cellStyle name="Normal 416 6 2 2" xfId="31504"/>
    <cellStyle name="Normal 416 6 3" xfId="31505"/>
    <cellStyle name="Normal 416 7" xfId="31506"/>
    <cellStyle name="Normal 417" xfId="31507"/>
    <cellStyle name="Normal 417 2" xfId="31508"/>
    <cellStyle name="Normal 417 2 2" xfId="31509"/>
    <cellStyle name="Normal 417 2 2 2" xfId="31510"/>
    <cellStyle name="Normal 417 2 3" xfId="31511"/>
    <cellStyle name="Normal 417 2 3 2" xfId="31512"/>
    <cellStyle name="Normal 417 2 3 2 2" xfId="31513"/>
    <cellStyle name="Normal 417 2 3 3" xfId="31514"/>
    <cellStyle name="Normal 417 2 4" xfId="31515"/>
    <cellStyle name="Normal 417 2 4 2" xfId="31516"/>
    <cellStyle name="Normal 417 2 4 2 2" xfId="31517"/>
    <cellStyle name="Normal 417 2 4 3" xfId="31518"/>
    <cellStyle name="Normal 417 2 5" xfId="31519"/>
    <cellStyle name="Normal 417 3" xfId="31520"/>
    <cellStyle name="Normal 417 3 2" xfId="31521"/>
    <cellStyle name="Normal 417 3 2 2" xfId="31522"/>
    <cellStyle name="Normal 417 3 2 2 2" xfId="31523"/>
    <cellStyle name="Normal 417 3 2 3" xfId="31524"/>
    <cellStyle name="Normal 417 3 2 3 2" xfId="31525"/>
    <cellStyle name="Normal 417 3 2 3 2 2" xfId="31526"/>
    <cellStyle name="Normal 417 3 2 3 3" xfId="31527"/>
    <cellStyle name="Normal 417 3 2 4" xfId="31528"/>
    <cellStyle name="Normal 417 3 3" xfId="31529"/>
    <cellStyle name="Normal 417 3 3 2" xfId="31530"/>
    <cellStyle name="Normal 417 3 3 2 2" xfId="31531"/>
    <cellStyle name="Normal 417 3 3 3" xfId="31532"/>
    <cellStyle name="Normal 417 3 4" xfId="31533"/>
    <cellStyle name="Normal 417 3 4 2" xfId="31534"/>
    <cellStyle name="Normal 417 3 4 2 2" xfId="31535"/>
    <cellStyle name="Normal 417 3 4 3" xfId="31536"/>
    <cellStyle name="Normal 417 3 5" xfId="31537"/>
    <cellStyle name="Normal 417 3 5 2" xfId="31538"/>
    <cellStyle name="Normal 417 3 5 2 2" xfId="31539"/>
    <cellStyle name="Normal 417 3 5 3" xfId="31540"/>
    <cellStyle name="Normal 417 3 6" xfId="31541"/>
    <cellStyle name="Normal 417 4" xfId="31542"/>
    <cellStyle name="Normal 417 4 2" xfId="31543"/>
    <cellStyle name="Normal 417 4 2 2" xfId="31544"/>
    <cellStyle name="Normal 417 4 3" xfId="31545"/>
    <cellStyle name="Normal 417 5" xfId="31546"/>
    <cellStyle name="Normal 417 5 2" xfId="31547"/>
    <cellStyle name="Normal 417 5 2 2" xfId="31548"/>
    <cellStyle name="Normal 417 5 3" xfId="31549"/>
    <cellStyle name="Normal 417 6" xfId="31550"/>
    <cellStyle name="Normal 417 6 2" xfId="31551"/>
    <cellStyle name="Normal 417 6 2 2" xfId="31552"/>
    <cellStyle name="Normal 417 6 3" xfId="31553"/>
    <cellStyle name="Normal 417 7" xfId="31554"/>
    <cellStyle name="Normal 418" xfId="31555"/>
    <cellStyle name="Normal 418 2" xfId="31556"/>
    <cellStyle name="Normal 418 2 2" xfId="31557"/>
    <cellStyle name="Normal 418 2 2 2" xfId="31558"/>
    <cellStyle name="Normal 418 2 3" xfId="31559"/>
    <cellStyle name="Normal 418 2 3 2" xfId="31560"/>
    <cellStyle name="Normal 418 2 3 2 2" xfId="31561"/>
    <cellStyle name="Normal 418 2 3 3" xfId="31562"/>
    <cellStyle name="Normal 418 2 4" xfId="31563"/>
    <cellStyle name="Normal 418 2 4 2" xfId="31564"/>
    <cellStyle name="Normal 418 2 4 2 2" xfId="31565"/>
    <cellStyle name="Normal 418 2 4 3" xfId="31566"/>
    <cellStyle name="Normal 418 2 5" xfId="31567"/>
    <cellStyle name="Normal 418 3" xfId="31568"/>
    <cellStyle name="Normal 418 3 2" xfId="31569"/>
    <cellStyle name="Normal 418 3 2 2" xfId="31570"/>
    <cellStyle name="Normal 418 3 2 2 2" xfId="31571"/>
    <cellStyle name="Normal 418 3 2 3" xfId="31572"/>
    <cellStyle name="Normal 418 3 2 3 2" xfId="31573"/>
    <cellStyle name="Normal 418 3 2 3 2 2" xfId="31574"/>
    <cellStyle name="Normal 418 3 2 3 3" xfId="31575"/>
    <cellStyle name="Normal 418 3 2 4" xfId="31576"/>
    <cellStyle name="Normal 418 3 3" xfId="31577"/>
    <cellStyle name="Normal 418 3 3 2" xfId="31578"/>
    <cellStyle name="Normal 418 3 3 2 2" xfId="31579"/>
    <cellStyle name="Normal 418 3 3 3" xfId="31580"/>
    <cellStyle name="Normal 418 3 4" xfId="31581"/>
    <cellStyle name="Normal 418 3 4 2" xfId="31582"/>
    <cellStyle name="Normal 418 3 4 2 2" xfId="31583"/>
    <cellStyle name="Normal 418 3 4 3" xfId="31584"/>
    <cellStyle name="Normal 418 3 5" xfId="31585"/>
    <cellStyle name="Normal 418 3 5 2" xfId="31586"/>
    <cellStyle name="Normal 418 3 5 2 2" xfId="31587"/>
    <cellStyle name="Normal 418 3 5 3" xfId="31588"/>
    <cellStyle name="Normal 418 3 6" xfId="31589"/>
    <cellStyle name="Normal 418 4" xfId="31590"/>
    <cellStyle name="Normal 418 4 2" xfId="31591"/>
    <cellStyle name="Normal 418 4 2 2" xfId="31592"/>
    <cellStyle name="Normal 418 4 3" xfId="31593"/>
    <cellStyle name="Normal 418 5" xfId="31594"/>
    <cellStyle name="Normal 418 5 2" xfId="31595"/>
    <cellStyle name="Normal 418 5 2 2" xfId="31596"/>
    <cellStyle name="Normal 418 5 3" xfId="31597"/>
    <cellStyle name="Normal 418 6" xfId="31598"/>
    <cellStyle name="Normal 418 6 2" xfId="31599"/>
    <cellStyle name="Normal 418 6 2 2" xfId="31600"/>
    <cellStyle name="Normal 418 6 3" xfId="31601"/>
    <cellStyle name="Normal 418 7" xfId="31602"/>
    <cellStyle name="Normal 419" xfId="31603"/>
    <cellStyle name="Normal 419 2" xfId="31604"/>
    <cellStyle name="Normal 419 2 2" xfId="31605"/>
    <cellStyle name="Normal 419 2 2 2" xfId="31606"/>
    <cellStyle name="Normal 419 2 3" xfId="31607"/>
    <cellStyle name="Normal 419 2 3 2" xfId="31608"/>
    <cellStyle name="Normal 419 2 3 2 2" xfId="31609"/>
    <cellStyle name="Normal 419 2 3 3" xfId="31610"/>
    <cellStyle name="Normal 419 2 4" xfId="31611"/>
    <cellStyle name="Normal 419 2 4 2" xfId="31612"/>
    <cellStyle name="Normal 419 2 4 2 2" xfId="31613"/>
    <cellStyle name="Normal 419 2 4 3" xfId="31614"/>
    <cellStyle name="Normal 419 2 5" xfId="31615"/>
    <cellStyle name="Normal 419 3" xfId="31616"/>
    <cellStyle name="Normal 419 3 2" xfId="31617"/>
    <cellStyle name="Normal 419 3 2 2" xfId="31618"/>
    <cellStyle name="Normal 419 3 2 2 2" xfId="31619"/>
    <cellStyle name="Normal 419 3 2 3" xfId="31620"/>
    <cellStyle name="Normal 419 3 2 3 2" xfId="31621"/>
    <cellStyle name="Normal 419 3 2 3 2 2" xfId="31622"/>
    <cellStyle name="Normal 419 3 2 3 3" xfId="31623"/>
    <cellStyle name="Normal 419 3 2 4" xfId="31624"/>
    <cellStyle name="Normal 419 3 3" xfId="31625"/>
    <cellStyle name="Normal 419 3 3 2" xfId="31626"/>
    <cellStyle name="Normal 419 3 3 2 2" xfId="31627"/>
    <cellStyle name="Normal 419 3 3 3" xfId="31628"/>
    <cellStyle name="Normal 419 3 4" xfId="31629"/>
    <cellStyle name="Normal 419 3 4 2" xfId="31630"/>
    <cellStyle name="Normal 419 3 4 2 2" xfId="31631"/>
    <cellStyle name="Normal 419 3 4 3" xfId="31632"/>
    <cellStyle name="Normal 419 3 5" xfId="31633"/>
    <cellStyle name="Normal 419 3 5 2" xfId="31634"/>
    <cellStyle name="Normal 419 3 5 2 2" xfId="31635"/>
    <cellStyle name="Normal 419 3 5 3" xfId="31636"/>
    <cellStyle name="Normal 419 3 6" xfId="31637"/>
    <cellStyle name="Normal 419 4" xfId="31638"/>
    <cellStyle name="Normal 419 4 2" xfId="31639"/>
    <cellStyle name="Normal 419 4 2 2" xfId="31640"/>
    <cellStyle name="Normal 419 4 3" xfId="31641"/>
    <cellStyle name="Normal 419 5" xfId="31642"/>
    <cellStyle name="Normal 419 5 2" xfId="31643"/>
    <cellStyle name="Normal 419 5 2 2" xfId="31644"/>
    <cellStyle name="Normal 419 5 3" xfId="31645"/>
    <cellStyle name="Normal 419 6" xfId="31646"/>
    <cellStyle name="Normal 419 6 2" xfId="31647"/>
    <cellStyle name="Normal 419 6 2 2" xfId="31648"/>
    <cellStyle name="Normal 419 6 3" xfId="31649"/>
    <cellStyle name="Normal 419 7" xfId="31650"/>
    <cellStyle name="Normal 42" xfId="31651"/>
    <cellStyle name="Normal 42 2" xfId="31652"/>
    <cellStyle name="Normal 42 2 2" xfId="31653"/>
    <cellStyle name="Normal 42 2 2 2" xfId="31654"/>
    <cellStyle name="Normal 42 2 2 2 2" xfId="31655"/>
    <cellStyle name="Normal 42 2 2 3" xfId="31656"/>
    <cellStyle name="Normal 42 2 2 3 2" xfId="31657"/>
    <cellStyle name="Normal 42 2 2 3 2 2" xfId="31658"/>
    <cellStyle name="Normal 42 2 2 3 3" xfId="31659"/>
    <cellStyle name="Normal 42 2 2 4" xfId="31660"/>
    <cellStyle name="Normal 42 2 2 4 2" xfId="31661"/>
    <cellStyle name="Normal 42 2 2 4 2 2" xfId="31662"/>
    <cellStyle name="Normal 42 2 2 4 3" xfId="31663"/>
    <cellStyle name="Normal 42 2 2 5" xfId="31664"/>
    <cellStyle name="Normal 42 2 3" xfId="31665"/>
    <cellStyle name="Normal 42 2 3 2" xfId="31666"/>
    <cellStyle name="Normal 42 2 3 2 2" xfId="31667"/>
    <cellStyle name="Normal 42 2 3 3" xfId="31668"/>
    <cellStyle name="Normal 42 2 4" xfId="31669"/>
    <cellStyle name="Normal 42 2 4 2" xfId="31670"/>
    <cellStyle name="Normal 42 2 4 2 2" xfId="31671"/>
    <cellStyle name="Normal 42 2 4 3" xfId="31672"/>
    <cellStyle name="Normal 42 2 5" xfId="31673"/>
    <cellStyle name="Normal 42 2 5 2" xfId="31674"/>
    <cellStyle name="Normal 42 2 5 2 2" xfId="31675"/>
    <cellStyle name="Normal 42 2 5 3" xfId="31676"/>
    <cellStyle name="Normal 42 2 6" xfId="31677"/>
    <cellStyle name="Normal 42 3" xfId="31678"/>
    <cellStyle name="Normal 42 3 2" xfId="31679"/>
    <cellStyle name="Normal 42 3 2 2" xfId="31680"/>
    <cellStyle name="Normal 42 3 3" xfId="31681"/>
    <cellStyle name="Normal 42 3 3 2" xfId="31682"/>
    <cellStyle name="Normal 42 3 3 2 2" xfId="31683"/>
    <cellStyle name="Normal 42 3 3 3" xfId="31684"/>
    <cellStyle name="Normal 42 3 4" xfId="31685"/>
    <cellStyle name="Normal 42 3 4 2" xfId="31686"/>
    <cellStyle name="Normal 42 3 4 2 2" xfId="31687"/>
    <cellStyle name="Normal 42 3 4 3" xfId="31688"/>
    <cellStyle name="Normal 42 3 5" xfId="31689"/>
    <cellStyle name="Normal 42 4" xfId="31690"/>
    <cellStyle name="Normal 42 4 2" xfId="31691"/>
    <cellStyle name="Normal 42 4 2 2" xfId="31692"/>
    <cellStyle name="Normal 42 4 3" xfId="31693"/>
    <cellStyle name="Normal 42 5" xfId="31694"/>
    <cellStyle name="Normal 42 5 2" xfId="31695"/>
    <cellStyle name="Normal 42 5 2 2" xfId="31696"/>
    <cellStyle name="Normal 42 5 3" xfId="31697"/>
    <cellStyle name="Normal 42 6" xfId="31698"/>
    <cellStyle name="Normal 42 6 2" xfId="31699"/>
    <cellStyle name="Normal 42 6 2 2" xfId="31700"/>
    <cellStyle name="Normal 42 6 3" xfId="31701"/>
    <cellStyle name="Normal 42 7" xfId="31702"/>
    <cellStyle name="Normal 420" xfId="31703"/>
    <cellStyle name="Normal 420 2" xfId="31704"/>
    <cellStyle name="Normal 420 2 2" xfId="31705"/>
    <cellStyle name="Normal 420 2 2 2" xfId="31706"/>
    <cellStyle name="Normal 420 2 3" xfId="31707"/>
    <cellStyle name="Normal 420 2 3 2" xfId="31708"/>
    <cellStyle name="Normal 420 2 3 2 2" xfId="31709"/>
    <cellStyle name="Normal 420 2 3 3" xfId="31710"/>
    <cellStyle name="Normal 420 2 4" xfId="31711"/>
    <cellStyle name="Normal 420 2 4 2" xfId="31712"/>
    <cellStyle name="Normal 420 2 4 2 2" xfId="31713"/>
    <cellStyle name="Normal 420 2 4 3" xfId="31714"/>
    <cellStyle name="Normal 420 2 5" xfId="31715"/>
    <cellStyle name="Normal 420 3" xfId="31716"/>
    <cellStyle name="Normal 420 3 2" xfId="31717"/>
    <cellStyle name="Normal 420 3 2 2" xfId="31718"/>
    <cellStyle name="Normal 420 3 2 2 2" xfId="31719"/>
    <cellStyle name="Normal 420 3 2 3" xfId="31720"/>
    <cellStyle name="Normal 420 3 2 3 2" xfId="31721"/>
    <cellStyle name="Normal 420 3 2 3 2 2" xfId="31722"/>
    <cellStyle name="Normal 420 3 2 3 3" xfId="31723"/>
    <cellStyle name="Normal 420 3 2 4" xfId="31724"/>
    <cellStyle name="Normal 420 3 3" xfId="31725"/>
    <cellStyle name="Normal 420 3 3 2" xfId="31726"/>
    <cellStyle name="Normal 420 3 3 2 2" xfId="31727"/>
    <cellStyle name="Normal 420 3 3 3" xfId="31728"/>
    <cellStyle name="Normal 420 3 4" xfId="31729"/>
    <cellStyle name="Normal 420 3 4 2" xfId="31730"/>
    <cellStyle name="Normal 420 3 4 2 2" xfId="31731"/>
    <cellStyle name="Normal 420 3 4 3" xfId="31732"/>
    <cellStyle name="Normal 420 3 5" xfId="31733"/>
    <cellStyle name="Normal 420 3 5 2" xfId="31734"/>
    <cellStyle name="Normal 420 3 5 2 2" xfId="31735"/>
    <cellStyle name="Normal 420 3 5 3" xfId="31736"/>
    <cellStyle name="Normal 420 3 6" xfId="31737"/>
    <cellStyle name="Normal 420 4" xfId="31738"/>
    <cellStyle name="Normal 420 4 2" xfId="31739"/>
    <cellStyle name="Normal 420 4 2 2" xfId="31740"/>
    <cellStyle name="Normal 420 4 3" xfId="31741"/>
    <cellStyle name="Normal 420 5" xfId="31742"/>
    <cellStyle name="Normal 420 5 2" xfId="31743"/>
    <cellStyle name="Normal 420 5 2 2" xfId="31744"/>
    <cellStyle name="Normal 420 5 3" xfId="31745"/>
    <cellStyle name="Normal 420 6" xfId="31746"/>
    <cellStyle name="Normal 420 6 2" xfId="31747"/>
    <cellStyle name="Normal 420 6 2 2" xfId="31748"/>
    <cellStyle name="Normal 420 6 3" xfId="31749"/>
    <cellStyle name="Normal 420 7" xfId="31750"/>
    <cellStyle name="Normal 421" xfId="31751"/>
    <cellStyle name="Normal 421 2" xfId="31752"/>
    <cellStyle name="Normal 421 2 2" xfId="31753"/>
    <cellStyle name="Normal 421 2 2 2" xfId="31754"/>
    <cellStyle name="Normal 421 2 2 2 2" xfId="31755"/>
    <cellStyle name="Normal 421 2 2 3" xfId="31756"/>
    <cellStyle name="Normal 421 2 2 3 2" xfId="31757"/>
    <cellStyle name="Normal 421 2 2 3 2 2" xfId="31758"/>
    <cellStyle name="Normal 421 2 2 3 3" xfId="31759"/>
    <cellStyle name="Normal 421 2 2 4" xfId="31760"/>
    <cellStyle name="Normal 421 2 2 4 2" xfId="31761"/>
    <cellStyle name="Normal 421 2 2 4 2 2" xfId="31762"/>
    <cellStyle name="Normal 421 2 2 4 3" xfId="31763"/>
    <cellStyle name="Normal 421 2 2 5" xfId="31764"/>
    <cellStyle name="Normal 421 2 3" xfId="31765"/>
    <cellStyle name="Normal 421 2 3 2" xfId="31766"/>
    <cellStyle name="Normal 421 2 3 2 2" xfId="31767"/>
    <cellStyle name="Normal 421 2 3 2 2 2" xfId="31768"/>
    <cellStyle name="Normal 421 2 3 2 3" xfId="31769"/>
    <cellStyle name="Normal 421 2 3 2 3 2" xfId="31770"/>
    <cellStyle name="Normal 421 2 3 2 3 2 2" xfId="31771"/>
    <cellStyle name="Normal 421 2 3 2 3 3" xfId="31772"/>
    <cellStyle name="Normal 421 2 3 2 4" xfId="31773"/>
    <cellStyle name="Normal 421 2 3 3" xfId="31774"/>
    <cellStyle name="Normal 421 2 3 3 2" xfId="31775"/>
    <cellStyle name="Normal 421 2 3 3 2 2" xfId="31776"/>
    <cellStyle name="Normal 421 2 3 3 3" xfId="31777"/>
    <cellStyle name="Normal 421 2 3 4" xfId="31778"/>
    <cellStyle name="Normal 421 2 3 4 2" xfId="31779"/>
    <cellStyle name="Normal 421 2 3 4 2 2" xfId="31780"/>
    <cellStyle name="Normal 421 2 3 4 3" xfId="31781"/>
    <cellStyle name="Normal 421 2 3 5" xfId="31782"/>
    <cellStyle name="Normal 421 2 3 5 2" xfId="31783"/>
    <cellStyle name="Normal 421 2 3 5 2 2" xfId="31784"/>
    <cellStyle name="Normal 421 2 3 5 3" xfId="31785"/>
    <cellStyle name="Normal 421 2 3 6" xfId="31786"/>
    <cellStyle name="Normal 421 2 4" xfId="31787"/>
    <cellStyle name="Normal 421 2 4 2" xfId="31788"/>
    <cellStyle name="Normal 421 2 4 2 2" xfId="31789"/>
    <cellStyle name="Normal 421 2 4 3" xfId="31790"/>
    <cellStyle name="Normal 421 2 5" xfId="31791"/>
    <cellStyle name="Normal 421 2 5 2" xfId="31792"/>
    <cellStyle name="Normal 421 2 5 2 2" xfId="31793"/>
    <cellStyle name="Normal 421 2 5 3" xfId="31794"/>
    <cellStyle name="Normal 421 2 6" xfId="31795"/>
    <cellStyle name="Normal 421 2 6 2" xfId="31796"/>
    <cellStyle name="Normal 421 2 6 2 2" xfId="31797"/>
    <cellStyle name="Normal 421 2 6 3" xfId="31798"/>
    <cellStyle name="Normal 421 2 7" xfId="31799"/>
    <cellStyle name="Normal 421 3" xfId="31800"/>
    <cellStyle name="Normal 421 3 2" xfId="31801"/>
    <cellStyle name="Normal 421 3 2 2" xfId="31802"/>
    <cellStyle name="Normal 421 3 3" xfId="31803"/>
    <cellStyle name="Normal 421 3 3 2" xfId="31804"/>
    <cellStyle name="Normal 421 3 3 2 2" xfId="31805"/>
    <cellStyle name="Normal 421 3 3 3" xfId="31806"/>
    <cellStyle name="Normal 421 3 4" xfId="31807"/>
    <cellStyle name="Normal 421 3 4 2" xfId="31808"/>
    <cellStyle name="Normal 421 3 4 2 2" xfId="31809"/>
    <cellStyle name="Normal 421 3 4 3" xfId="31810"/>
    <cellStyle name="Normal 421 3 5" xfId="31811"/>
    <cellStyle name="Normal 421 4" xfId="31812"/>
    <cellStyle name="Normal 421 4 2" xfId="31813"/>
    <cellStyle name="Normal 421 4 2 2" xfId="31814"/>
    <cellStyle name="Normal 421 4 2 2 2" xfId="31815"/>
    <cellStyle name="Normal 421 4 2 3" xfId="31816"/>
    <cellStyle name="Normal 421 4 2 3 2" xfId="31817"/>
    <cellStyle name="Normal 421 4 2 3 2 2" xfId="31818"/>
    <cellStyle name="Normal 421 4 2 3 3" xfId="31819"/>
    <cellStyle name="Normal 421 4 2 4" xfId="31820"/>
    <cellStyle name="Normal 421 4 3" xfId="31821"/>
    <cellStyle name="Normal 421 4 3 2" xfId="31822"/>
    <cellStyle name="Normal 421 4 3 2 2" xfId="31823"/>
    <cellStyle name="Normal 421 4 3 3" xfId="31824"/>
    <cellStyle name="Normal 421 4 4" xfId="31825"/>
    <cellStyle name="Normal 421 4 4 2" xfId="31826"/>
    <cellStyle name="Normal 421 4 4 2 2" xfId="31827"/>
    <cellStyle name="Normal 421 4 4 3" xfId="31828"/>
    <cellStyle name="Normal 421 4 5" xfId="31829"/>
    <cellStyle name="Normal 421 4 5 2" xfId="31830"/>
    <cellStyle name="Normal 421 4 5 2 2" xfId="31831"/>
    <cellStyle name="Normal 421 4 5 3" xfId="31832"/>
    <cellStyle name="Normal 421 4 6" xfId="31833"/>
    <cellStyle name="Normal 421 5" xfId="31834"/>
    <cellStyle name="Normal 421 5 2" xfId="31835"/>
    <cellStyle name="Normal 421 5 2 2" xfId="31836"/>
    <cellStyle name="Normal 421 5 3" xfId="31837"/>
    <cellStyle name="Normal 421 6" xfId="31838"/>
    <cellStyle name="Normal 421 6 2" xfId="31839"/>
    <cellStyle name="Normal 421 6 2 2" xfId="31840"/>
    <cellStyle name="Normal 421 6 3" xfId="31841"/>
    <cellStyle name="Normal 421 7" xfId="31842"/>
    <cellStyle name="Normal 421 7 2" xfId="31843"/>
    <cellStyle name="Normal 421 7 2 2" xfId="31844"/>
    <cellStyle name="Normal 421 7 3" xfId="31845"/>
    <cellStyle name="Normal 421 8" xfId="31846"/>
    <cellStyle name="Normal 421 8 2" xfId="31847"/>
    <cellStyle name="Normal 421 8 2 2" xfId="31848"/>
    <cellStyle name="Normal 421 8 3" xfId="31849"/>
    <cellStyle name="Normal 421 8 3 2" xfId="31850"/>
    <cellStyle name="Normal 421 8 4" xfId="31851"/>
    <cellStyle name="Normal 421 9" xfId="31852"/>
    <cellStyle name="Normal 422" xfId="31853"/>
    <cellStyle name="Normal 422 2" xfId="31854"/>
    <cellStyle name="Normal 422 2 2" xfId="31855"/>
    <cellStyle name="Normal 422 2 2 2" xfId="31856"/>
    <cellStyle name="Normal 422 2 2 2 2" xfId="31857"/>
    <cellStyle name="Normal 422 2 2 3" xfId="31858"/>
    <cellStyle name="Normal 422 2 2 3 2" xfId="31859"/>
    <cellStyle name="Normal 422 2 2 3 2 2" xfId="31860"/>
    <cellStyle name="Normal 422 2 2 3 3" xfId="31861"/>
    <cellStyle name="Normal 422 2 2 4" xfId="31862"/>
    <cellStyle name="Normal 422 2 2 4 2" xfId="31863"/>
    <cellStyle name="Normal 422 2 2 4 2 2" xfId="31864"/>
    <cellStyle name="Normal 422 2 2 4 3" xfId="31865"/>
    <cellStyle name="Normal 422 2 2 5" xfId="31866"/>
    <cellStyle name="Normal 422 2 3" xfId="31867"/>
    <cellStyle name="Normal 422 2 3 2" xfId="31868"/>
    <cellStyle name="Normal 422 2 3 2 2" xfId="31869"/>
    <cellStyle name="Normal 422 2 3 2 2 2" xfId="31870"/>
    <cellStyle name="Normal 422 2 3 2 3" xfId="31871"/>
    <cellStyle name="Normal 422 2 3 2 3 2" xfId="31872"/>
    <cellStyle name="Normal 422 2 3 2 3 2 2" xfId="31873"/>
    <cellStyle name="Normal 422 2 3 2 3 3" xfId="31874"/>
    <cellStyle name="Normal 422 2 3 2 4" xfId="31875"/>
    <cellStyle name="Normal 422 2 3 3" xfId="31876"/>
    <cellStyle name="Normal 422 2 3 3 2" xfId="31877"/>
    <cellStyle name="Normal 422 2 3 3 2 2" xfId="31878"/>
    <cellStyle name="Normal 422 2 3 3 3" xfId="31879"/>
    <cellStyle name="Normal 422 2 3 4" xfId="31880"/>
    <cellStyle name="Normal 422 2 3 4 2" xfId="31881"/>
    <cellStyle name="Normal 422 2 3 4 2 2" xfId="31882"/>
    <cellStyle name="Normal 422 2 3 4 3" xfId="31883"/>
    <cellStyle name="Normal 422 2 3 5" xfId="31884"/>
    <cellStyle name="Normal 422 2 3 5 2" xfId="31885"/>
    <cellStyle name="Normal 422 2 3 5 2 2" xfId="31886"/>
    <cellStyle name="Normal 422 2 3 5 3" xfId="31887"/>
    <cellStyle name="Normal 422 2 3 6" xfId="31888"/>
    <cellStyle name="Normal 422 2 4" xfId="31889"/>
    <cellStyle name="Normal 422 2 4 2" xfId="31890"/>
    <cellStyle name="Normal 422 2 4 2 2" xfId="31891"/>
    <cellStyle name="Normal 422 2 4 3" xfId="31892"/>
    <cellStyle name="Normal 422 2 5" xfId="31893"/>
    <cellStyle name="Normal 422 2 5 2" xfId="31894"/>
    <cellStyle name="Normal 422 2 5 2 2" xfId="31895"/>
    <cellStyle name="Normal 422 2 5 3" xfId="31896"/>
    <cellStyle name="Normal 422 2 6" xfId="31897"/>
    <cellStyle name="Normal 422 2 6 2" xfId="31898"/>
    <cellStyle name="Normal 422 2 6 2 2" xfId="31899"/>
    <cellStyle name="Normal 422 2 6 3" xfId="31900"/>
    <cellStyle name="Normal 422 2 7" xfId="31901"/>
    <cellStyle name="Normal 422 3" xfId="31902"/>
    <cellStyle name="Normal 422 3 2" xfId="31903"/>
    <cellStyle name="Normal 422 3 2 2" xfId="31904"/>
    <cellStyle name="Normal 422 3 3" xfId="31905"/>
    <cellStyle name="Normal 422 3 3 2" xfId="31906"/>
    <cellStyle name="Normal 422 3 3 2 2" xfId="31907"/>
    <cellStyle name="Normal 422 3 3 3" xfId="31908"/>
    <cellStyle name="Normal 422 3 4" xfId="31909"/>
    <cellStyle name="Normal 422 3 4 2" xfId="31910"/>
    <cellStyle name="Normal 422 3 4 2 2" xfId="31911"/>
    <cellStyle name="Normal 422 3 4 3" xfId="31912"/>
    <cellStyle name="Normal 422 3 5" xfId="31913"/>
    <cellStyle name="Normal 422 4" xfId="31914"/>
    <cellStyle name="Normal 422 4 2" xfId="31915"/>
    <cellStyle name="Normal 422 4 2 2" xfId="31916"/>
    <cellStyle name="Normal 422 4 2 2 2" xfId="31917"/>
    <cellStyle name="Normal 422 4 2 3" xfId="31918"/>
    <cellStyle name="Normal 422 4 2 3 2" xfId="31919"/>
    <cellStyle name="Normal 422 4 2 3 2 2" xfId="31920"/>
    <cellStyle name="Normal 422 4 2 3 3" xfId="31921"/>
    <cellStyle name="Normal 422 4 2 4" xfId="31922"/>
    <cellStyle name="Normal 422 4 3" xfId="31923"/>
    <cellStyle name="Normal 422 4 3 2" xfId="31924"/>
    <cellStyle name="Normal 422 4 3 2 2" xfId="31925"/>
    <cellStyle name="Normal 422 4 3 3" xfId="31926"/>
    <cellStyle name="Normal 422 4 4" xfId="31927"/>
    <cellStyle name="Normal 422 4 4 2" xfId="31928"/>
    <cellStyle name="Normal 422 4 4 2 2" xfId="31929"/>
    <cellStyle name="Normal 422 4 4 3" xfId="31930"/>
    <cellStyle name="Normal 422 4 5" xfId="31931"/>
    <cellStyle name="Normal 422 4 5 2" xfId="31932"/>
    <cellStyle name="Normal 422 4 5 2 2" xfId="31933"/>
    <cellStyle name="Normal 422 4 5 3" xfId="31934"/>
    <cellStyle name="Normal 422 4 6" xfId="31935"/>
    <cellStyle name="Normal 422 5" xfId="31936"/>
    <cellStyle name="Normal 422 5 2" xfId="31937"/>
    <cellStyle name="Normal 422 5 2 2" xfId="31938"/>
    <cellStyle name="Normal 422 5 3" xfId="31939"/>
    <cellStyle name="Normal 422 6" xfId="31940"/>
    <cellStyle name="Normal 422 6 2" xfId="31941"/>
    <cellStyle name="Normal 422 6 2 2" xfId="31942"/>
    <cellStyle name="Normal 422 6 3" xfId="31943"/>
    <cellStyle name="Normal 422 7" xfId="31944"/>
    <cellStyle name="Normal 422 7 2" xfId="31945"/>
    <cellStyle name="Normal 422 7 2 2" xfId="31946"/>
    <cellStyle name="Normal 422 7 3" xfId="31947"/>
    <cellStyle name="Normal 422 8" xfId="31948"/>
    <cellStyle name="Normal 422 8 2" xfId="31949"/>
    <cellStyle name="Normal 422 8 2 2" xfId="31950"/>
    <cellStyle name="Normal 422 8 3" xfId="31951"/>
    <cellStyle name="Normal 422 8 3 2" xfId="31952"/>
    <cellStyle name="Normal 422 8 4" xfId="31953"/>
    <cellStyle name="Normal 422 9" xfId="31954"/>
    <cellStyle name="Normal 423" xfId="31955"/>
    <cellStyle name="Normal 423 2" xfId="31956"/>
    <cellStyle name="Normal 423 2 2" xfId="31957"/>
    <cellStyle name="Normal 423 2 2 2" xfId="31958"/>
    <cellStyle name="Normal 423 2 2 2 2" xfId="31959"/>
    <cellStyle name="Normal 423 2 2 3" xfId="31960"/>
    <cellStyle name="Normal 423 2 2 3 2" xfId="31961"/>
    <cellStyle name="Normal 423 2 2 3 2 2" xfId="31962"/>
    <cellStyle name="Normal 423 2 2 3 3" xfId="31963"/>
    <cellStyle name="Normal 423 2 2 4" xfId="31964"/>
    <cellStyle name="Normal 423 2 2 4 2" xfId="31965"/>
    <cellStyle name="Normal 423 2 2 4 2 2" xfId="31966"/>
    <cellStyle name="Normal 423 2 2 4 3" xfId="31967"/>
    <cellStyle name="Normal 423 2 2 5" xfId="31968"/>
    <cellStyle name="Normal 423 2 3" xfId="31969"/>
    <cellStyle name="Normal 423 2 3 2" xfId="31970"/>
    <cellStyle name="Normal 423 2 3 2 2" xfId="31971"/>
    <cellStyle name="Normal 423 2 3 2 2 2" xfId="31972"/>
    <cellStyle name="Normal 423 2 3 2 3" xfId="31973"/>
    <cellStyle name="Normal 423 2 3 2 3 2" xfId="31974"/>
    <cellStyle name="Normal 423 2 3 2 3 2 2" xfId="31975"/>
    <cellStyle name="Normal 423 2 3 2 3 3" xfId="31976"/>
    <cellStyle name="Normal 423 2 3 2 4" xfId="31977"/>
    <cellStyle name="Normal 423 2 3 3" xfId="31978"/>
    <cellStyle name="Normal 423 2 3 3 2" xfId="31979"/>
    <cellStyle name="Normal 423 2 3 3 2 2" xfId="31980"/>
    <cellStyle name="Normal 423 2 3 3 3" xfId="31981"/>
    <cellStyle name="Normal 423 2 3 4" xfId="31982"/>
    <cellStyle name="Normal 423 2 3 4 2" xfId="31983"/>
    <cellStyle name="Normal 423 2 3 4 2 2" xfId="31984"/>
    <cellStyle name="Normal 423 2 3 4 3" xfId="31985"/>
    <cellStyle name="Normal 423 2 3 5" xfId="31986"/>
    <cellStyle name="Normal 423 2 3 5 2" xfId="31987"/>
    <cellStyle name="Normal 423 2 3 5 2 2" xfId="31988"/>
    <cellStyle name="Normal 423 2 3 5 3" xfId="31989"/>
    <cellStyle name="Normal 423 2 3 6" xfId="31990"/>
    <cellStyle name="Normal 423 2 4" xfId="31991"/>
    <cellStyle name="Normal 423 2 4 2" xfId="31992"/>
    <cellStyle name="Normal 423 2 4 2 2" xfId="31993"/>
    <cellStyle name="Normal 423 2 4 3" xfId="31994"/>
    <cellStyle name="Normal 423 2 5" xfId="31995"/>
    <cellStyle name="Normal 423 2 5 2" xfId="31996"/>
    <cellStyle name="Normal 423 2 5 2 2" xfId="31997"/>
    <cellStyle name="Normal 423 2 5 3" xfId="31998"/>
    <cellStyle name="Normal 423 2 6" xfId="31999"/>
    <cellStyle name="Normal 423 2 6 2" xfId="32000"/>
    <cellStyle name="Normal 423 2 6 2 2" xfId="32001"/>
    <cellStyle name="Normal 423 2 6 3" xfId="32002"/>
    <cellStyle name="Normal 423 2 7" xfId="32003"/>
    <cellStyle name="Normal 423 3" xfId="32004"/>
    <cellStyle name="Normal 423 3 2" xfId="32005"/>
    <cellStyle name="Normal 423 3 2 2" xfId="32006"/>
    <cellStyle name="Normal 423 3 3" xfId="32007"/>
    <cellStyle name="Normal 423 3 3 2" xfId="32008"/>
    <cellStyle name="Normal 423 3 3 2 2" xfId="32009"/>
    <cellStyle name="Normal 423 3 3 3" xfId="32010"/>
    <cellStyle name="Normal 423 3 4" xfId="32011"/>
    <cellStyle name="Normal 423 3 4 2" xfId="32012"/>
    <cellStyle name="Normal 423 3 4 2 2" xfId="32013"/>
    <cellStyle name="Normal 423 3 4 3" xfId="32014"/>
    <cellStyle name="Normal 423 3 5" xfId="32015"/>
    <cellStyle name="Normal 423 4" xfId="32016"/>
    <cellStyle name="Normal 423 4 2" xfId="32017"/>
    <cellStyle name="Normal 423 4 2 2" xfId="32018"/>
    <cellStyle name="Normal 423 4 2 2 2" xfId="32019"/>
    <cellStyle name="Normal 423 4 2 3" xfId="32020"/>
    <cellStyle name="Normal 423 4 2 3 2" xfId="32021"/>
    <cellStyle name="Normal 423 4 2 3 2 2" xfId="32022"/>
    <cellStyle name="Normal 423 4 2 3 3" xfId="32023"/>
    <cellStyle name="Normal 423 4 2 4" xfId="32024"/>
    <cellStyle name="Normal 423 4 3" xfId="32025"/>
    <cellStyle name="Normal 423 4 3 2" xfId="32026"/>
    <cellStyle name="Normal 423 4 3 2 2" xfId="32027"/>
    <cellStyle name="Normal 423 4 3 3" xfId="32028"/>
    <cellStyle name="Normal 423 4 4" xfId="32029"/>
    <cellStyle name="Normal 423 4 4 2" xfId="32030"/>
    <cellStyle name="Normal 423 4 4 2 2" xfId="32031"/>
    <cellStyle name="Normal 423 4 4 3" xfId="32032"/>
    <cellStyle name="Normal 423 4 5" xfId="32033"/>
    <cellStyle name="Normal 423 4 5 2" xfId="32034"/>
    <cellStyle name="Normal 423 4 5 2 2" xfId="32035"/>
    <cellStyle name="Normal 423 4 5 3" xfId="32036"/>
    <cellStyle name="Normal 423 4 6" xfId="32037"/>
    <cellStyle name="Normal 423 5" xfId="32038"/>
    <cellStyle name="Normal 423 5 2" xfId="32039"/>
    <cellStyle name="Normal 423 5 2 2" xfId="32040"/>
    <cellStyle name="Normal 423 5 3" xfId="32041"/>
    <cellStyle name="Normal 423 6" xfId="32042"/>
    <cellStyle name="Normal 423 6 2" xfId="32043"/>
    <cellStyle name="Normal 423 6 2 2" xfId="32044"/>
    <cellStyle name="Normal 423 6 3" xfId="32045"/>
    <cellStyle name="Normal 423 7" xfId="32046"/>
    <cellStyle name="Normal 423 7 2" xfId="32047"/>
    <cellStyle name="Normal 423 7 2 2" xfId="32048"/>
    <cellStyle name="Normal 423 7 3" xfId="32049"/>
    <cellStyle name="Normal 423 8" xfId="32050"/>
    <cellStyle name="Normal 423 8 2" xfId="32051"/>
    <cellStyle name="Normal 423 8 2 2" xfId="32052"/>
    <cellStyle name="Normal 423 8 3" xfId="32053"/>
    <cellStyle name="Normal 423 8 3 2" xfId="32054"/>
    <cellStyle name="Normal 423 8 4" xfId="32055"/>
    <cellStyle name="Normal 423 9" xfId="32056"/>
    <cellStyle name="Normal 424" xfId="32057"/>
    <cellStyle name="Normal 424 2" xfId="32058"/>
    <cellStyle name="Normal 424 2 2" xfId="32059"/>
    <cellStyle name="Normal 424 2 2 2" xfId="32060"/>
    <cellStyle name="Normal 424 2 2 2 2" xfId="32061"/>
    <cellStyle name="Normal 424 2 2 3" xfId="32062"/>
    <cellStyle name="Normal 424 2 2 3 2" xfId="32063"/>
    <cellStyle name="Normal 424 2 2 3 2 2" xfId="32064"/>
    <cellStyle name="Normal 424 2 2 3 3" xfId="32065"/>
    <cellStyle name="Normal 424 2 2 4" xfId="32066"/>
    <cellStyle name="Normal 424 2 2 4 2" xfId="32067"/>
    <cellStyle name="Normal 424 2 2 4 2 2" xfId="32068"/>
    <cellStyle name="Normal 424 2 2 4 3" xfId="32069"/>
    <cellStyle name="Normal 424 2 2 5" xfId="32070"/>
    <cellStyle name="Normal 424 2 3" xfId="32071"/>
    <cellStyle name="Normal 424 2 3 2" xfId="32072"/>
    <cellStyle name="Normal 424 2 3 2 2" xfId="32073"/>
    <cellStyle name="Normal 424 2 3 2 2 2" xfId="32074"/>
    <cellStyle name="Normal 424 2 3 2 3" xfId="32075"/>
    <cellStyle name="Normal 424 2 3 2 3 2" xfId="32076"/>
    <cellStyle name="Normal 424 2 3 2 3 2 2" xfId="32077"/>
    <cellStyle name="Normal 424 2 3 2 3 3" xfId="32078"/>
    <cellStyle name="Normal 424 2 3 2 4" xfId="32079"/>
    <cellStyle name="Normal 424 2 3 3" xfId="32080"/>
    <cellStyle name="Normal 424 2 3 3 2" xfId="32081"/>
    <cellStyle name="Normal 424 2 3 3 2 2" xfId="32082"/>
    <cellStyle name="Normal 424 2 3 3 3" xfId="32083"/>
    <cellStyle name="Normal 424 2 3 4" xfId="32084"/>
    <cellStyle name="Normal 424 2 3 4 2" xfId="32085"/>
    <cellStyle name="Normal 424 2 3 4 2 2" xfId="32086"/>
    <cellStyle name="Normal 424 2 3 4 3" xfId="32087"/>
    <cellStyle name="Normal 424 2 3 5" xfId="32088"/>
    <cellStyle name="Normal 424 2 3 5 2" xfId="32089"/>
    <cellStyle name="Normal 424 2 3 5 2 2" xfId="32090"/>
    <cellStyle name="Normal 424 2 3 5 3" xfId="32091"/>
    <cellStyle name="Normal 424 2 3 6" xfId="32092"/>
    <cellStyle name="Normal 424 2 4" xfId="32093"/>
    <cellStyle name="Normal 424 2 4 2" xfId="32094"/>
    <cellStyle name="Normal 424 2 4 2 2" xfId="32095"/>
    <cellStyle name="Normal 424 2 4 3" xfId="32096"/>
    <cellStyle name="Normal 424 2 5" xfId="32097"/>
    <cellStyle name="Normal 424 2 5 2" xfId="32098"/>
    <cellStyle name="Normal 424 2 5 2 2" xfId="32099"/>
    <cellStyle name="Normal 424 2 5 3" xfId="32100"/>
    <cellStyle name="Normal 424 2 6" xfId="32101"/>
    <cellStyle name="Normal 424 2 6 2" xfId="32102"/>
    <cellStyle name="Normal 424 2 6 2 2" xfId="32103"/>
    <cellStyle name="Normal 424 2 6 3" xfId="32104"/>
    <cellStyle name="Normal 424 2 7" xfId="32105"/>
    <cellStyle name="Normal 424 3" xfId="32106"/>
    <cellStyle name="Normal 424 3 2" xfId="32107"/>
    <cellStyle name="Normal 424 3 2 2" xfId="32108"/>
    <cellStyle name="Normal 424 3 3" xfId="32109"/>
    <cellStyle name="Normal 424 3 3 2" xfId="32110"/>
    <cellStyle name="Normal 424 3 3 2 2" xfId="32111"/>
    <cellStyle name="Normal 424 3 3 3" xfId="32112"/>
    <cellStyle name="Normal 424 3 4" xfId="32113"/>
    <cellStyle name="Normal 424 3 4 2" xfId="32114"/>
    <cellStyle name="Normal 424 3 4 2 2" xfId="32115"/>
    <cellStyle name="Normal 424 3 4 3" xfId="32116"/>
    <cellStyle name="Normal 424 3 5" xfId="32117"/>
    <cellStyle name="Normal 424 4" xfId="32118"/>
    <cellStyle name="Normal 424 4 2" xfId="32119"/>
    <cellStyle name="Normal 424 4 2 2" xfId="32120"/>
    <cellStyle name="Normal 424 4 2 2 2" xfId="32121"/>
    <cellStyle name="Normal 424 4 2 3" xfId="32122"/>
    <cellStyle name="Normal 424 4 2 3 2" xfId="32123"/>
    <cellStyle name="Normal 424 4 2 3 2 2" xfId="32124"/>
    <cellStyle name="Normal 424 4 2 3 3" xfId="32125"/>
    <cellStyle name="Normal 424 4 2 4" xfId="32126"/>
    <cellStyle name="Normal 424 4 3" xfId="32127"/>
    <cellStyle name="Normal 424 4 3 2" xfId="32128"/>
    <cellStyle name="Normal 424 4 3 2 2" xfId="32129"/>
    <cellStyle name="Normal 424 4 3 3" xfId="32130"/>
    <cellStyle name="Normal 424 4 4" xfId="32131"/>
    <cellStyle name="Normal 424 4 4 2" xfId="32132"/>
    <cellStyle name="Normal 424 4 4 2 2" xfId="32133"/>
    <cellStyle name="Normal 424 4 4 3" xfId="32134"/>
    <cellStyle name="Normal 424 4 5" xfId="32135"/>
    <cellStyle name="Normal 424 4 5 2" xfId="32136"/>
    <cellStyle name="Normal 424 4 5 2 2" xfId="32137"/>
    <cellStyle name="Normal 424 4 5 3" xfId="32138"/>
    <cellStyle name="Normal 424 4 6" xfId="32139"/>
    <cellStyle name="Normal 424 5" xfId="32140"/>
    <cellStyle name="Normal 424 5 2" xfId="32141"/>
    <cellStyle name="Normal 424 5 2 2" xfId="32142"/>
    <cellStyle name="Normal 424 5 3" xfId="32143"/>
    <cellStyle name="Normal 424 6" xfId="32144"/>
    <cellStyle name="Normal 424 6 2" xfId="32145"/>
    <cellStyle name="Normal 424 6 2 2" xfId="32146"/>
    <cellStyle name="Normal 424 6 3" xfId="32147"/>
    <cellStyle name="Normal 424 7" xfId="32148"/>
    <cellStyle name="Normal 424 7 2" xfId="32149"/>
    <cellStyle name="Normal 424 7 2 2" xfId="32150"/>
    <cellStyle name="Normal 424 7 3" xfId="32151"/>
    <cellStyle name="Normal 424 8" xfId="32152"/>
    <cellStyle name="Normal 424 8 2" xfId="32153"/>
    <cellStyle name="Normal 424 8 2 2" xfId="32154"/>
    <cellStyle name="Normal 424 8 3" xfId="32155"/>
    <cellStyle name="Normal 424 8 3 2" xfId="32156"/>
    <cellStyle name="Normal 424 8 4" xfId="32157"/>
    <cellStyle name="Normal 424 9" xfId="32158"/>
    <cellStyle name="Normal 425" xfId="32159"/>
    <cellStyle name="Normal 425 10" xfId="32160"/>
    <cellStyle name="Normal 425 2" xfId="32161"/>
    <cellStyle name="Normal 425 2 2" xfId="32162"/>
    <cellStyle name="Normal 425 2 2 2" xfId="32163"/>
    <cellStyle name="Normal 425 2 2 2 2" xfId="32164"/>
    <cellStyle name="Normal 425 2 2 3" xfId="32165"/>
    <cellStyle name="Normal 425 2 2 3 2" xfId="32166"/>
    <cellStyle name="Normal 425 2 2 3 2 2" xfId="32167"/>
    <cellStyle name="Normal 425 2 2 3 3" xfId="32168"/>
    <cellStyle name="Normal 425 2 2 4" xfId="32169"/>
    <cellStyle name="Normal 425 2 3" xfId="32170"/>
    <cellStyle name="Normal 425 2 3 2" xfId="32171"/>
    <cellStyle name="Normal 425 2 3 2 2" xfId="32172"/>
    <cellStyle name="Normal 425 2 3 3" xfId="32173"/>
    <cellStyle name="Normal 425 2 4" xfId="32174"/>
    <cellStyle name="Normal 425 2 4 2" xfId="32175"/>
    <cellStyle name="Normal 425 2 4 2 2" xfId="32176"/>
    <cellStyle name="Normal 425 2 4 3" xfId="32177"/>
    <cellStyle name="Normal 425 2 5" xfId="32178"/>
    <cellStyle name="Normal 425 2 5 2" xfId="32179"/>
    <cellStyle name="Normal 425 2 5 2 2" xfId="32180"/>
    <cellStyle name="Normal 425 2 5 3" xfId="32181"/>
    <cellStyle name="Normal 425 2 6" xfId="32182"/>
    <cellStyle name="Normal 425 3" xfId="32183"/>
    <cellStyle name="Normal 425 3 2" xfId="32184"/>
    <cellStyle name="Normal 425 3 2 2" xfId="32185"/>
    <cellStyle name="Normal 425 3 3" xfId="32186"/>
    <cellStyle name="Normal 425 3 3 2" xfId="32187"/>
    <cellStyle name="Normal 425 3 3 2 2" xfId="32188"/>
    <cellStyle name="Normal 425 3 3 3" xfId="32189"/>
    <cellStyle name="Normal 425 3 4" xfId="32190"/>
    <cellStyle name="Normal 425 3 4 2" xfId="32191"/>
    <cellStyle name="Normal 425 3 4 2 2" xfId="32192"/>
    <cellStyle name="Normal 425 3 4 3" xfId="32193"/>
    <cellStyle name="Normal 425 3 5" xfId="32194"/>
    <cellStyle name="Normal 425 4" xfId="32195"/>
    <cellStyle name="Normal 425 4 2" xfId="32196"/>
    <cellStyle name="Normal 425 4 2 2" xfId="32197"/>
    <cellStyle name="Normal 425 4 2 2 2" xfId="32198"/>
    <cellStyle name="Normal 425 4 2 3" xfId="32199"/>
    <cellStyle name="Normal 425 4 2 3 2" xfId="32200"/>
    <cellStyle name="Normal 425 4 2 3 2 2" xfId="32201"/>
    <cellStyle name="Normal 425 4 2 3 3" xfId="32202"/>
    <cellStyle name="Normal 425 4 2 4" xfId="32203"/>
    <cellStyle name="Normal 425 4 3" xfId="32204"/>
    <cellStyle name="Normal 425 4 3 2" xfId="32205"/>
    <cellStyle name="Normal 425 4 3 2 2" xfId="32206"/>
    <cellStyle name="Normal 425 4 3 3" xfId="32207"/>
    <cellStyle name="Normal 425 4 4" xfId="32208"/>
    <cellStyle name="Normal 425 4 4 2" xfId="32209"/>
    <cellStyle name="Normal 425 4 4 2 2" xfId="32210"/>
    <cellStyle name="Normal 425 4 4 3" xfId="32211"/>
    <cellStyle name="Normal 425 4 5" xfId="32212"/>
    <cellStyle name="Normal 425 4 5 2" xfId="32213"/>
    <cellStyle name="Normal 425 4 5 2 2" xfId="32214"/>
    <cellStyle name="Normal 425 4 5 3" xfId="32215"/>
    <cellStyle name="Normal 425 4 6" xfId="32216"/>
    <cellStyle name="Normal 425 5" xfId="32217"/>
    <cellStyle name="Normal 425 5 2" xfId="32218"/>
    <cellStyle name="Normal 425 5 2 2" xfId="32219"/>
    <cellStyle name="Normal 425 5 3" xfId="32220"/>
    <cellStyle name="Normal 425 6" xfId="32221"/>
    <cellStyle name="Normal 425 6 2" xfId="32222"/>
    <cellStyle name="Normal 425 6 2 2" xfId="32223"/>
    <cellStyle name="Normal 425 6 3" xfId="32224"/>
    <cellStyle name="Normal 425 7" xfId="32225"/>
    <cellStyle name="Normal 425 7 2" xfId="32226"/>
    <cellStyle name="Normal 425 7 2 2" xfId="32227"/>
    <cellStyle name="Normal 425 7 3" xfId="32228"/>
    <cellStyle name="Normal 425 8" xfId="32229"/>
    <cellStyle name="Normal 425 8 2" xfId="32230"/>
    <cellStyle name="Normal 425 8 2 2" xfId="32231"/>
    <cellStyle name="Normal 425 8 3" xfId="32232"/>
    <cellStyle name="Normal 425 8 3 2" xfId="32233"/>
    <cellStyle name="Normal 425 8 4" xfId="32234"/>
    <cellStyle name="Normal 425 9" xfId="32235"/>
    <cellStyle name="Normal 426" xfId="32236"/>
    <cellStyle name="Normal 426 10" xfId="32237"/>
    <cellStyle name="Normal 426 2" xfId="32238"/>
    <cellStyle name="Normal 426 2 2" xfId="32239"/>
    <cellStyle name="Normal 426 2 2 2" xfId="32240"/>
    <cellStyle name="Normal 426 2 2 2 2" xfId="32241"/>
    <cellStyle name="Normal 426 2 2 3" xfId="32242"/>
    <cellStyle name="Normal 426 2 2 3 2" xfId="32243"/>
    <cellStyle name="Normal 426 2 2 3 2 2" xfId="32244"/>
    <cellStyle name="Normal 426 2 2 3 3" xfId="32245"/>
    <cellStyle name="Normal 426 2 2 4" xfId="32246"/>
    <cellStyle name="Normal 426 2 3" xfId="32247"/>
    <cellStyle name="Normal 426 2 3 2" xfId="32248"/>
    <cellStyle name="Normal 426 2 3 2 2" xfId="32249"/>
    <cellStyle name="Normal 426 2 3 3" xfId="32250"/>
    <cellStyle name="Normal 426 2 4" xfId="32251"/>
    <cellStyle name="Normal 426 2 4 2" xfId="32252"/>
    <cellStyle name="Normal 426 2 4 2 2" xfId="32253"/>
    <cellStyle name="Normal 426 2 4 3" xfId="32254"/>
    <cellStyle name="Normal 426 2 5" xfId="32255"/>
    <cellStyle name="Normal 426 2 5 2" xfId="32256"/>
    <cellStyle name="Normal 426 2 5 2 2" xfId="32257"/>
    <cellStyle name="Normal 426 2 5 3" xfId="32258"/>
    <cellStyle name="Normal 426 2 6" xfId="32259"/>
    <cellStyle name="Normal 426 3" xfId="32260"/>
    <cellStyle name="Normal 426 3 2" xfId="32261"/>
    <cellStyle name="Normal 426 3 2 2" xfId="32262"/>
    <cellStyle name="Normal 426 3 3" xfId="32263"/>
    <cellStyle name="Normal 426 3 3 2" xfId="32264"/>
    <cellStyle name="Normal 426 3 3 2 2" xfId="32265"/>
    <cellStyle name="Normal 426 3 3 3" xfId="32266"/>
    <cellStyle name="Normal 426 3 4" xfId="32267"/>
    <cellStyle name="Normal 426 3 4 2" xfId="32268"/>
    <cellStyle name="Normal 426 3 4 2 2" xfId="32269"/>
    <cellStyle name="Normal 426 3 4 3" xfId="32270"/>
    <cellStyle name="Normal 426 3 5" xfId="32271"/>
    <cellStyle name="Normal 426 4" xfId="32272"/>
    <cellStyle name="Normal 426 4 2" xfId="32273"/>
    <cellStyle name="Normal 426 4 2 2" xfId="32274"/>
    <cellStyle name="Normal 426 4 2 2 2" xfId="32275"/>
    <cellStyle name="Normal 426 4 2 3" xfId="32276"/>
    <cellStyle name="Normal 426 4 2 3 2" xfId="32277"/>
    <cellStyle name="Normal 426 4 2 3 2 2" xfId="32278"/>
    <cellStyle name="Normal 426 4 2 3 3" xfId="32279"/>
    <cellStyle name="Normal 426 4 2 4" xfId="32280"/>
    <cellStyle name="Normal 426 4 3" xfId="32281"/>
    <cellStyle name="Normal 426 4 3 2" xfId="32282"/>
    <cellStyle name="Normal 426 4 3 2 2" xfId="32283"/>
    <cellStyle name="Normal 426 4 3 3" xfId="32284"/>
    <cellStyle name="Normal 426 4 4" xfId="32285"/>
    <cellStyle name="Normal 426 4 4 2" xfId="32286"/>
    <cellStyle name="Normal 426 4 4 2 2" xfId="32287"/>
    <cellStyle name="Normal 426 4 4 3" xfId="32288"/>
    <cellStyle name="Normal 426 4 5" xfId="32289"/>
    <cellStyle name="Normal 426 4 5 2" xfId="32290"/>
    <cellStyle name="Normal 426 4 5 2 2" xfId="32291"/>
    <cellStyle name="Normal 426 4 5 3" xfId="32292"/>
    <cellStyle name="Normal 426 4 6" xfId="32293"/>
    <cellStyle name="Normal 426 5" xfId="32294"/>
    <cellStyle name="Normal 426 5 2" xfId="32295"/>
    <cellStyle name="Normal 426 5 2 2" xfId="32296"/>
    <cellStyle name="Normal 426 5 3" xfId="32297"/>
    <cellStyle name="Normal 426 6" xfId="32298"/>
    <cellStyle name="Normal 426 6 2" xfId="32299"/>
    <cellStyle name="Normal 426 6 2 2" xfId="32300"/>
    <cellStyle name="Normal 426 6 3" xfId="32301"/>
    <cellStyle name="Normal 426 7" xfId="32302"/>
    <cellStyle name="Normal 426 7 2" xfId="32303"/>
    <cellStyle name="Normal 426 7 2 2" xfId="32304"/>
    <cellStyle name="Normal 426 7 3" xfId="32305"/>
    <cellStyle name="Normal 426 8" xfId="32306"/>
    <cellStyle name="Normal 426 8 2" xfId="32307"/>
    <cellStyle name="Normal 426 8 2 2" xfId="32308"/>
    <cellStyle name="Normal 426 8 3" xfId="32309"/>
    <cellStyle name="Normal 426 8 3 2" xfId="32310"/>
    <cellStyle name="Normal 426 8 4" xfId="32311"/>
    <cellStyle name="Normal 426 9" xfId="32312"/>
    <cellStyle name="Normal 427" xfId="32313"/>
    <cellStyle name="Normal 427 10" xfId="32314"/>
    <cellStyle name="Normal 427 2" xfId="32315"/>
    <cellStyle name="Normal 427 2 2" xfId="32316"/>
    <cellStyle name="Normal 427 2 2 2" xfId="32317"/>
    <cellStyle name="Normal 427 2 2 2 2" xfId="32318"/>
    <cellStyle name="Normal 427 2 2 3" xfId="32319"/>
    <cellStyle name="Normal 427 2 2 3 2" xfId="32320"/>
    <cellStyle name="Normal 427 2 2 3 2 2" xfId="32321"/>
    <cellStyle name="Normal 427 2 2 3 3" xfId="32322"/>
    <cellStyle name="Normal 427 2 2 4" xfId="32323"/>
    <cellStyle name="Normal 427 2 3" xfId="32324"/>
    <cellStyle name="Normal 427 2 3 2" xfId="32325"/>
    <cellStyle name="Normal 427 2 3 2 2" xfId="32326"/>
    <cellStyle name="Normal 427 2 3 3" xfId="32327"/>
    <cellStyle name="Normal 427 2 4" xfId="32328"/>
    <cellStyle name="Normal 427 2 4 2" xfId="32329"/>
    <cellStyle name="Normal 427 2 4 2 2" xfId="32330"/>
    <cellStyle name="Normal 427 2 4 3" xfId="32331"/>
    <cellStyle name="Normal 427 2 5" xfId="32332"/>
    <cellStyle name="Normal 427 2 5 2" xfId="32333"/>
    <cellStyle name="Normal 427 2 5 2 2" xfId="32334"/>
    <cellStyle name="Normal 427 2 5 3" xfId="32335"/>
    <cellStyle name="Normal 427 2 6" xfId="32336"/>
    <cellStyle name="Normal 427 3" xfId="32337"/>
    <cellStyle name="Normal 427 3 2" xfId="32338"/>
    <cellStyle name="Normal 427 3 2 2" xfId="32339"/>
    <cellStyle name="Normal 427 3 3" xfId="32340"/>
    <cellStyle name="Normal 427 3 3 2" xfId="32341"/>
    <cellStyle name="Normal 427 3 3 2 2" xfId="32342"/>
    <cellStyle name="Normal 427 3 3 3" xfId="32343"/>
    <cellStyle name="Normal 427 3 4" xfId="32344"/>
    <cellStyle name="Normal 427 3 4 2" xfId="32345"/>
    <cellStyle name="Normal 427 3 4 2 2" xfId="32346"/>
    <cellStyle name="Normal 427 3 4 3" xfId="32347"/>
    <cellStyle name="Normal 427 3 5" xfId="32348"/>
    <cellStyle name="Normal 427 4" xfId="32349"/>
    <cellStyle name="Normal 427 4 2" xfId="32350"/>
    <cellStyle name="Normal 427 4 2 2" xfId="32351"/>
    <cellStyle name="Normal 427 4 2 2 2" xfId="32352"/>
    <cellStyle name="Normal 427 4 2 3" xfId="32353"/>
    <cellStyle name="Normal 427 4 2 3 2" xfId="32354"/>
    <cellStyle name="Normal 427 4 2 3 2 2" xfId="32355"/>
    <cellStyle name="Normal 427 4 2 3 3" xfId="32356"/>
    <cellStyle name="Normal 427 4 2 4" xfId="32357"/>
    <cellStyle name="Normal 427 4 3" xfId="32358"/>
    <cellStyle name="Normal 427 4 3 2" xfId="32359"/>
    <cellStyle name="Normal 427 4 3 2 2" xfId="32360"/>
    <cellStyle name="Normal 427 4 3 3" xfId="32361"/>
    <cellStyle name="Normal 427 4 4" xfId="32362"/>
    <cellStyle name="Normal 427 4 4 2" xfId="32363"/>
    <cellStyle name="Normal 427 4 4 2 2" xfId="32364"/>
    <cellStyle name="Normal 427 4 4 3" xfId="32365"/>
    <cellStyle name="Normal 427 4 5" xfId="32366"/>
    <cellStyle name="Normal 427 4 5 2" xfId="32367"/>
    <cellStyle name="Normal 427 4 5 2 2" xfId="32368"/>
    <cellStyle name="Normal 427 4 5 3" xfId="32369"/>
    <cellStyle name="Normal 427 4 6" xfId="32370"/>
    <cellStyle name="Normal 427 5" xfId="32371"/>
    <cellStyle name="Normal 427 5 2" xfId="32372"/>
    <cellStyle name="Normal 427 5 2 2" xfId="32373"/>
    <cellStyle name="Normal 427 5 3" xfId="32374"/>
    <cellStyle name="Normal 427 6" xfId="32375"/>
    <cellStyle name="Normal 427 6 2" xfId="32376"/>
    <cellStyle name="Normal 427 6 2 2" xfId="32377"/>
    <cellStyle name="Normal 427 6 3" xfId="32378"/>
    <cellStyle name="Normal 427 7" xfId="32379"/>
    <cellStyle name="Normal 427 7 2" xfId="32380"/>
    <cellStyle name="Normal 427 7 2 2" xfId="32381"/>
    <cellStyle name="Normal 427 7 3" xfId="32382"/>
    <cellStyle name="Normal 427 8" xfId="32383"/>
    <cellStyle name="Normal 427 8 2" xfId="32384"/>
    <cellStyle name="Normal 427 8 2 2" xfId="32385"/>
    <cellStyle name="Normal 427 8 3" xfId="32386"/>
    <cellStyle name="Normal 427 8 3 2" xfId="32387"/>
    <cellStyle name="Normal 427 8 4" xfId="32388"/>
    <cellStyle name="Normal 427 9" xfId="32389"/>
    <cellStyle name="Normal 428" xfId="32390"/>
    <cellStyle name="Normal 428 10" xfId="32391"/>
    <cellStyle name="Normal 428 2" xfId="32392"/>
    <cellStyle name="Normal 428 2 2" xfId="32393"/>
    <cellStyle name="Normal 428 2 2 2" xfId="32394"/>
    <cellStyle name="Normal 428 2 2 2 2" xfId="32395"/>
    <cellStyle name="Normal 428 2 2 3" xfId="32396"/>
    <cellStyle name="Normal 428 2 2 3 2" xfId="32397"/>
    <cellStyle name="Normal 428 2 2 3 2 2" xfId="32398"/>
    <cellStyle name="Normal 428 2 2 3 3" xfId="32399"/>
    <cellStyle name="Normal 428 2 2 4" xfId="32400"/>
    <cellStyle name="Normal 428 2 3" xfId="32401"/>
    <cellStyle name="Normal 428 2 3 2" xfId="32402"/>
    <cellStyle name="Normal 428 2 3 2 2" xfId="32403"/>
    <cellStyle name="Normal 428 2 3 3" xfId="32404"/>
    <cellStyle name="Normal 428 2 4" xfId="32405"/>
    <cellStyle name="Normal 428 2 4 2" xfId="32406"/>
    <cellStyle name="Normal 428 2 4 2 2" xfId="32407"/>
    <cellStyle name="Normal 428 2 4 3" xfId="32408"/>
    <cellStyle name="Normal 428 2 5" xfId="32409"/>
    <cellStyle name="Normal 428 2 5 2" xfId="32410"/>
    <cellStyle name="Normal 428 2 5 2 2" xfId="32411"/>
    <cellStyle name="Normal 428 2 5 3" xfId="32412"/>
    <cellStyle name="Normal 428 2 6" xfId="32413"/>
    <cellStyle name="Normal 428 3" xfId="32414"/>
    <cellStyle name="Normal 428 3 2" xfId="32415"/>
    <cellStyle name="Normal 428 3 2 2" xfId="32416"/>
    <cellStyle name="Normal 428 3 3" xfId="32417"/>
    <cellStyle name="Normal 428 3 3 2" xfId="32418"/>
    <cellStyle name="Normal 428 3 3 2 2" xfId="32419"/>
    <cellStyle name="Normal 428 3 3 3" xfId="32420"/>
    <cellStyle name="Normal 428 3 4" xfId="32421"/>
    <cellStyle name="Normal 428 3 4 2" xfId="32422"/>
    <cellStyle name="Normal 428 3 4 2 2" xfId="32423"/>
    <cellStyle name="Normal 428 3 4 3" xfId="32424"/>
    <cellStyle name="Normal 428 3 5" xfId="32425"/>
    <cellStyle name="Normal 428 4" xfId="32426"/>
    <cellStyle name="Normal 428 4 2" xfId="32427"/>
    <cellStyle name="Normal 428 4 2 2" xfId="32428"/>
    <cellStyle name="Normal 428 4 2 2 2" xfId="32429"/>
    <cellStyle name="Normal 428 4 2 3" xfId="32430"/>
    <cellStyle name="Normal 428 4 2 3 2" xfId="32431"/>
    <cellStyle name="Normal 428 4 2 3 2 2" xfId="32432"/>
    <cellStyle name="Normal 428 4 2 3 3" xfId="32433"/>
    <cellStyle name="Normal 428 4 2 4" xfId="32434"/>
    <cellStyle name="Normal 428 4 3" xfId="32435"/>
    <cellStyle name="Normal 428 4 3 2" xfId="32436"/>
    <cellStyle name="Normal 428 4 3 2 2" xfId="32437"/>
    <cellStyle name="Normal 428 4 3 3" xfId="32438"/>
    <cellStyle name="Normal 428 4 4" xfId="32439"/>
    <cellStyle name="Normal 428 4 4 2" xfId="32440"/>
    <cellStyle name="Normal 428 4 4 2 2" xfId="32441"/>
    <cellStyle name="Normal 428 4 4 3" xfId="32442"/>
    <cellStyle name="Normal 428 4 5" xfId="32443"/>
    <cellStyle name="Normal 428 4 5 2" xfId="32444"/>
    <cellStyle name="Normal 428 4 5 2 2" xfId="32445"/>
    <cellStyle name="Normal 428 4 5 3" xfId="32446"/>
    <cellStyle name="Normal 428 4 6" xfId="32447"/>
    <cellStyle name="Normal 428 5" xfId="32448"/>
    <cellStyle name="Normal 428 5 2" xfId="32449"/>
    <cellStyle name="Normal 428 5 2 2" xfId="32450"/>
    <cellStyle name="Normal 428 5 3" xfId="32451"/>
    <cellStyle name="Normal 428 6" xfId="32452"/>
    <cellStyle name="Normal 428 6 2" xfId="32453"/>
    <cellStyle name="Normal 428 6 2 2" xfId="32454"/>
    <cellStyle name="Normal 428 6 3" xfId="32455"/>
    <cellStyle name="Normal 428 7" xfId="32456"/>
    <cellStyle name="Normal 428 7 2" xfId="32457"/>
    <cellStyle name="Normal 428 7 2 2" xfId="32458"/>
    <cellStyle name="Normal 428 7 3" xfId="32459"/>
    <cellStyle name="Normal 428 8" xfId="32460"/>
    <cellStyle name="Normal 428 8 2" xfId="32461"/>
    <cellStyle name="Normal 428 8 2 2" xfId="32462"/>
    <cellStyle name="Normal 428 8 3" xfId="32463"/>
    <cellStyle name="Normal 428 8 3 2" xfId="32464"/>
    <cellStyle name="Normal 428 8 4" xfId="32465"/>
    <cellStyle name="Normal 428 9" xfId="32466"/>
    <cellStyle name="Normal 429" xfId="32467"/>
    <cellStyle name="Normal 429 10" xfId="32468"/>
    <cellStyle name="Normal 429 2" xfId="32469"/>
    <cellStyle name="Normal 429 2 2" xfId="32470"/>
    <cellStyle name="Normal 429 2 2 2" xfId="32471"/>
    <cellStyle name="Normal 429 2 2 2 2" xfId="32472"/>
    <cellStyle name="Normal 429 2 2 3" xfId="32473"/>
    <cellStyle name="Normal 429 2 2 3 2" xfId="32474"/>
    <cellStyle name="Normal 429 2 2 3 2 2" xfId="32475"/>
    <cellStyle name="Normal 429 2 2 3 3" xfId="32476"/>
    <cellStyle name="Normal 429 2 2 4" xfId="32477"/>
    <cellStyle name="Normal 429 2 3" xfId="32478"/>
    <cellStyle name="Normal 429 2 3 2" xfId="32479"/>
    <cellStyle name="Normal 429 2 3 2 2" xfId="32480"/>
    <cellStyle name="Normal 429 2 3 3" xfId="32481"/>
    <cellStyle name="Normal 429 2 4" xfId="32482"/>
    <cellStyle name="Normal 429 2 4 2" xfId="32483"/>
    <cellStyle name="Normal 429 2 4 2 2" xfId="32484"/>
    <cellStyle name="Normal 429 2 4 3" xfId="32485"/>
    <cellStyle name="Normal 429 2 5" xfId="32486"/>
    <cellStyle name="Normal 429 2 5 2" xfId="32487"/>
    <cellStyle name="Normal 429 2 5 2 2" xfId="32488"/>
    <cellStyle name="Normal 429 2 5 3" xfId="32489"/>
    <cellStyle name="Normal 429 2 6" xfId="32490"/>
    <cellStyle name="Normal 429 3" xfId="32491"/>
    <cellStyle name="Normal 429 3 2" xfId="32492"/>
    <cellStyle name="Normal 429 3 2 2" xfId="32493"/>
    <cellStyle name="Normal 429 3 3" xfId="32494"/>
    <cellStyle name="Normal 429 3 3 2" xfId="32495"/>
    <cellStyle name="Normal 429 3 3 2 2" xfId="32496"/>
    <cellStyle name="Normal 429 3 3 3" xfId="32497"/>
    <cellStyle name="Normal 429 3 4" xfId="32498"/>
    <cellStyle name="Normal 429 3 4 2" xfId="32499"/>
    <cellStyle name="Normal 429 3 4 2 2" xfId="32500"/>
    <cellStyle name="Normal 429 3 4 3" xfId="32501"/>
    <cellStyle name="Normal 429 3 5" xfId="32502"/>
    <cellStyle name="Normal 429 4" xfId="32503"/>
    <cellStyle name="Normal 429 4 2" xfId="32504"/>
    <cellStyle name="Normal 429 4 2 2" xfId="32505"/>
    <cellStyle name="Normal 429 4 2 2 2" xfId="32506"/>
    <cellStyle name="Normal 429 4 2 3" xfId="32507"/>
    <cellStyle name="Normal 429 4 2 3 2" xfId="32508"/>
    <cellStyle name="Normal 429 4 2 3 2 2" xfId="32509"/>
    <cellStyle name="Normal 429 4 2 3 3" xfId="32510"/>
    <cellStyle name="Normal 429 4 2 4" xfId="32511"/>
    <cellStyle name="Normal 429 4 3" xfId="32512"/>
    <cellStyle name="Normal 429 4 3 2" xfId="32513"/>
    <cellStyle name="Normal 429 4 3 2 2" xfId="32514"/>
    <cellStyle name="Normal 429 4 3 3" xfId="32515"/>
    <cellStyle name="Normal 429 4 4" xfId="32516"/>
    <cellStyle name="Normal 429 4 4 2" xfId="32517"/>
    <cellStyle name="Normal 429 4 4 2 2" xfId="32518"/>
    <cellStyle name="Normal 429 4 4 3" xfId="32519"/>
    <cellStyle name="Normal 429 4 5" xfId="32520"/>
    <cellStyle name="Normal 429 4 5 2" xfId="32521"/>
    <cellStyle name="Normal 429 4 5 2 2" xfId="32522"/>
    <cellStyle name="Normal 429 4 5 3" xfId="32523"/>
    <cellStyle name="Normal 429 4 6" xfId="32524"/>
    <cellStyle name="Normal 429 5" xfId="32525"/>
    <cellStyle name="Normal 429 5 2" xfId="32526"/>
    <cellStyle name="Normal 429 5 2 2" xfId="32527"/>
    <cellStyle name="Normal 429 5 3" xfId="32528"/>
    <cellStyle name="Normal 429 6" xfId="32529"/>
    <cellStyle name="Normal 429 6 2" xfId="32530"/>
    <cellStyle name="Normal 429 6 2 2" xfId="32531"/>
    <cellStyle name="Normal 429 6 3" xfId="32532"/>
    <cellStyle name="Normal 429 7" xfId="32533"/>
    <cellStyle name="Normal 429 7 2" xfId="32534"/>
    <cellStyle name="Normal 429 7 2 2" xfId="32535"/>
    <cellStyle name="Normal 429 7 3" xfId="32536"/>
    <cellStyle name="Normal 429 8" xfId="32537"/>
    <cellStyle name="Normal 429 8 2" xfId="32538"/>
    <cellStyle name="Normal 429 8 2 2" xfId="32539"/>
    <cellStyle name="Normal 429 8 3" xfId="32540"/>
    <cellStyle name="Normal 429 8 3 2" xfId="32541"/>
    <cellStyle name="Normal 429 8 4" xfId="32542"/>
    <cellStyle name="Normal 429 9" xfId="32543"/>
    <cellStyle name="Normal 43" xfId="32544"/>
    <cellStyle name="Normal 43 2" xfId="32545"/>
    <cellStyle name="Normal 43 2 2" xfId="32546"/>
    <cellStyle name="Normal 43 2 2 2" xfId="32547"/>
    <cellStyle name="Normal 43 2 2 2 2" xfId="32548"/>
    <cellStyle name="Normal 43 2 2 3" xfId="32549"/>
    <cellStyle name="Normal 43 2 2 3 2" xfId="32550"/>
    <cellStyle name="Normal 43 2 2 3 2 2" xfId="32551"/>
    <cellStyle name="Normal 43 2 2 3 3" xfId="32552"/>
    <cellStyle name="Normal 43 2 2 4" xfId="32553"/>
    <cellStyle name="Normal 43 2 2 4 2" xfId="32554"/>
    <cellStyle name="Normal 43 2 2 4 2 2" xfId="32555"/>
    <cellStyle name="Normal 43 2 2 4 3" xfId="32556"/>
    <cellStyle name="Normal 43 2 2 5" xfId="32557"/>
    <cellStyle name="Normal 43 2 3" xfId="32558"/>
    <cellStyle name="Normal 43 2 3 2" xfId="32559"/>
    <cellStyle name="Normal 43 2 3 2 2" xfId="32560"/>
    <cellStyle name="Normal 43 2 3 3" xfId="32561"/>
    <cellStyle name="Normal 43 2 4" xfId="32562"/>
    <cellStyle name="Normal 43 2 4 2" xfId="32563"/>
    <cellStyle name="Normal 43 2 4 2 2" xfId="32564"/>
    <cellStyle name="Normal 43 2 4 3" xfId="32565"/>
    <cellStyle name="Normal 43 2 5" xfId="32566"/>
    <cellStyle name="Normal 43 2 5 2" xfId="32567"/>
    <cellStyle name="Normal 43 2 5 2 2" xfId="32568"/>
    <cellStyle name="Normal 43 2 5 3" xfId="32569"/>
    <cellStyle name="Normal 43 2 6" xfId="32570"/>
    <cellStyle name="Normal 43 3" xfId="32571"/>
    <cellStyle name="Normal 43 3 2" xfId="32572"/>
    <cellStyle name="Normal 43 3 2 2" xfId="32573"/>
    <cellStyle name="Normal 43 3 3" xfId="32574"/>
    <cellStyle name="Normal 43 3 3 2" xfId="32575"/>
    <cellStyle name="Normal 43 3 3 2 2" xfId="32576"/>
    <cellStyle name="Normal 43 3 3 3" xfId="32577"/>
    <cellStyle name="Normal 43 3 4" xfId="32578"/>
    <cellStyle name="Normal 43 3 4 2" xfId="32579"/>
    <cellStyle name="Normal 43 3 4 2 2" xfId="32580"/>
    <cellStyle name="Normal 43 3 4 3" xfId="32581"/>
    <cellStyle name="Normal 43 3 5" xfId="32582"/>
    <cellStyle name="Normal 43 4" xfId="32583"/>
    <cellStyle name="Normal 43 4 2" xfId="32584"/>
    <cellStyle name="Normal 43 4 2 2" xfId="32585"/>
    <cellStyle name="Normal 43 4 3" xfId="32586"/>
    <cellStyle name="Normal 43 5" xfId="32587"/>
    <cellStyle name="Normal 43 5 2" xfId="32588"/>
    <cellStyle name="Normal 43 5 2 2" xfId="32589"/>
    <cellStyle name="Normal 43 5 3" xfId="32590"/>
    <cellStyle name="Normal 43 6" xfId="32591"/>
    <cellStyle name="Normal 43 6 2" xfId="32592"/>
    <cellStyle name="Normal 43 6 2 2" xfId="32593"/>
    <cellStyle name="Normal 43 6 3" xfId="32594"/>
    <cellStyle name="Normal 43 7" xfId="32595"/>
    <cellStyle name="Normal 430" xfId="32596"/>
    <cellStyle name="Normal 430 10" xfId="32597"/>
    <cellStyle name="Normal 430 2" xfId="32598"/>
    <cellStyle name="Normal 430 2 2" xfId="32599"/>
    <cellStyle name="Normal 430 2 2 2" xfId="32600"/>
    <cellStyle name="Normal 430 2 2 2 2" xfId="32601"/>
    <cellStyle name="Normal 430 2 2 3" xfId="32602"/>
    <cellStyle name="Normal 430 2 2 3 2" xfId="32603"/>
    <cellStyle name="Normal 430 2 2 3 2 2" xfId="32604"/>
    <cellStyle name="Normal 430 2 2 3 3" xfId="32605"/>
    <cellStyle name="Normal 430 2 2 4" xfId="32606"/>
    <cellStyle name="Normal 430 2 3" xfId="32607"/>
    <cellStyle name="Normal 430 2 3 2" xfId="32608"/>
    <cellStyle name="Normal 430 2 3 2 2" xfId="32609"/>
    <cellStyle name="Normal 430 2 3 3" xfId="32610"/>
    <cellStyle name="Normal 430 2 4" xfId="32611"/>
    <cellStyle name="Normal 430 2 4 2" xfId="32612"/>
    <cellStyle name="Normal 430 2 4 2 2" xfId="32613"/>
    <cellStyle name="Normal 430 2 4 3" xfId="32614"/>
    <cellStyle name="Normal 430 2 5" xfId="32615"/>
    <cellStyle name="Normal 430 2 5 2" xfId="32616"/>
    <cellStyle name="Normal 430 2 5 2 2" xfId="32617"/>
    <cellStyle name="Normal 430 2 5 3" xfId="32618"/>
    <cellStyle name="Normal 430 2 6" xfId="32619"/>
    <cellStyle name="Normal 430 3" xfId="32620"/>
    <cellStyle name="Normal 430 3 2" xfId="32621"/>
    <cellStyle name="Normal 430 3 2 2" xfId="32622"/>
    <cellStyle name="Normal 430 3 3" xfId="32623"/>
    <cellStyle name="Normal 430 3 3 2" xfId="32624"/>
    <cellStyle name="Normal 430 3 3 2 2" xfId="32625"/>
    <cellStyle name="Normal 430 3 3 3" xfId="32626"/>
    <cellStyle name="Normal 430 3 4" xfId="32627"/>
    <cellStyle name="Normal 430 3 4 2" xfId="32628"/>
    <cellStyle name="Normal 430 3 4 2 2" xfId="32629"/>
    <cellStyle name="Normal 430 3 4 3" xfId="32630"/>
    <cellStyle name="Normal 430 3 5" xfId="32631"/>
    <cellStyle name="Normal 430 4" xfId="32632"/>
    <cellStyle name="Normal 430 4 2" xfId="32633"/>
    <cellStyle name="Normal 430 4 2 2" xfId="32634"/>
    <cellStyle name="Normal 430 4 2 2 2" xfId="32635"/>
    <cellStyle name="Normal 430 4 2 3" xfId="32636"/>
    <cellStyle name="Normal 430 4 2 3 2" xfId="32637"/>
    <cellStyle name="Normal 430 4 2 3 2 2" xfId="32638"/>
    <cellStyle name="Normal 430 4 2 3 3" xfId="32639"/>
    <cellStyle name="Normal 430 4 2 4" xfId="32640"/>
    <cellStyle name="Normal 430 4 3" xfId="32641"/>
    <cellStyle name="Normal 430 4 3 2" xfId="32642"/>
    <cellStyle name="Normal 430 4 3 2 2" xfId="32643"/>
    <cellStyle name="Normal 430 4 3 3" xfId="32644"/>
    <cellStyle name="Normal 430 4 4" xfId="32645"/>
    <cellStyle name="Normal 430 4 4 2" xfId="32646"/>
    <cellStyle name="Normal 430 4 4 2 2" xfId="32647"/>
    <cellStyle name="Normal 430 4 4 3" xfId="32648"/>
    <cellStyle name="Normal 430 4 5" xfId="32649"/>
    <cellStyle name="Normal 430 4 5 2" xfId="32650"/>
    <cellStyle name="Normal 430 4 5 2 2" xfId="32651"/>
    <cellStyle name="Normal 430 4 5 3" xfId="32652"/>
    <cellStyle name="Normal 430 4 6" xfId="32653"/>
    <cellStyle name="Normal 430 5" xfId="32654"/>
    <cellStyle name="Normal 430 5 2" xfId="32655"/>
    <cellStyle name="Normal 430 5 2 2" xfId="32656"/>
    <cellStyle name="Normal 430 5 3" xfId="32657"/>
    <cellStyle name="Normal 430 6" xfId="32658"/>
    <cellStyle name="Normal 430 6 2" xfId="32659"/>
    <cellStyle name="Normal 430 6 2 2" xfId="32660"/>
    <cellStyle name="Normal 430 6 3" xfId="32661"/>
    <cellStyle name="Normal 430 7" xfId="32662"/>
    <cellStyle name="Normal 430 7 2" xfId="32663"/>
    <cellStyle name="Normal 430 7 2 2" xfId="32664"/>
    <cellStyle name="Normal 430 7 3" xfId="32665"/>
    <cellStyle name="Normal 430 8" xfId="32666"/>
    <cellStyle name="Normal 430 8 2" xfId="32667"/>
    <cellStyle name="Normal 430 8 2 2" xfId="32668"/>
    <cellStyle name="Normal 430 8 3" xfId="32669"/>
    <cellStyle name="Normal 430 8 3 2" xfId="32670"/>
    <cellStyle name="Normal 430 8 4" xfId="32671"/>
    <cellStyle name="Normal 430 9" xfId="32672"/>
    <cellStyle name="Normal 431" xfId="32673"/>
    <cellStyle name="Normal 431 10" xfId="32674"/>
    <cellStyle name="Normal 431 2" xfId="32675"/>
    <cellStyle name="Normal 431 2 2" xfId="32676"/>
    <cellStyle name="Normal 431 2 2 2" xfId="32677"/>
    <cellStyle name="Normal 431 2 2 2 2" xfId="32678"/>
    <cellStyle name="Normal 431 2 2 3" xfId="32679"/>
    <cellStyle name="Normal 431 2 2 3 2" xfId="32680"/>
    <cellStyle name="Normal 431 2 2 3 2 2" xfId="32681"/>
    <cellStyle name="Normal 431 2 2 3 3" xfId="32682"/>
    <cellStyle name="Normal 431 2 2 4" xfId="32683"/>
    <cellStyle name="Normal 431 2 3" xfId="32684"/>
    <cellStyle name="Normal 431 2 3 2" xfId="32685"/>
    <cellStyle name="Normal 431 2 3 2 2" xfId="32686"/>
    <cellStyle name="Normal 431 2 3 3" xfId="32687"/>
    <cellStyle name="Normal 431 2 4" xfId="32688"/>
    <cellStyle name="Normal 431 2 4 2" xfId="32689"/>
    <cellStyle name="Normal 431 2 4 2 2" xfId="32690"/>
    <cellStyle name="Normal 431 2 4 3" xfId="32691"/>
    <cellStyle name="Normal 431 2 5" xfId="32692"/>
    <cellStyle name="Normal 431 2 5 2" xfId="32693"/>
    <cellStyle name="Normal 431 2 5 2 2" xfId="32694"/>
    <cellStyle name="Normal 431 2 5 3" xfId="32695"/>
    <cellStyle name="Normal 431 2 6" xfId="32696"/>
    <cellStyle name="Normal 431 3" xfId="32697"/>
    <cellStyle name="Normal 431 3 2" xfId="32698"/>
    <cellStyle name="Normal 431 3 2 2" xfId="32699"/>
    <cellStyle name="Normal 431 3 3" xfId="32700"/>
    <cellStyle name="Normal 431 3 3 2" xfId="32701"/>
    <cellStyle name="Normal 431 3 3 2 2" xfId="32702"/>
    <cellStyle name="Normal 431 3 3 3" xfId="32703"/>
    <cellStyle name="Normal 431 3 4" xfId="32704"/>
    <cellStyle name="Normal 431 3 4 2" xfId="32705"/>
    <cellStyle name="Normal 431 3 4 2 2" xfId="32706"/>
    <cellStyle name="Normal 431 3 4 3" xfId="32707"/>
    <cellStyle name="Normal 431 3 5" xfId="32708"/>
    <cellStyle name="Normal 431 4" xfId="32709"/>
    <cellStyle name="Normal 431 4 2" xfId="32710"/>
    <cellStyle name="Normal 431 4 2 2" xfId="32711"/>
    <cellStyle name="Normal 431 4 2 2 2" xfId="32712"/>
    <cellStyle name="Normal 431 4 2 3" xfId="32713"/>
    <cellStyle name="Normal 431 4 2 3 2" xfId="32714"/>
    <cellStyle name="Normal 431 4 2 3 2 2" xfId="32715"/>
    <cellStyle name="Normal 431 4 2 3 3" xfId="32716"/>
    <cellStyle name="Normal 431 4 2 4" xfId="32717"/>
    <cellStyle name="Normal 431 4 3" xfId="32718"/>
    <cellStyle name="Normal 431 4 3 2" xfId="32719"/>
    <cellStyle name="Normal 431 4 3 2 2" xfId="32720"/>
    <cellStyle name="Normal 431 4 3 3" xfId="32721"/>
    <cellStyle name="Normal 431 4 4" xfId="32722"/>
    <cellStyle name="Normal 431 4 4 2" xfId="32723"/>
    <cellStyle name="Normal 431 4 4 2 2" xfId="32724"/>
    <cellStyle name="Normal 431 4 4 3" xfId="32725"/>
    <cellStyle name="Normal 431 4 5" xfId="32726"/>
    <cellStyle name="Normal 431 4 5 2" xfId="32727"/>
    <cellStyle name="Normal 431 4 5 2 2" xfId="32728"/>
    <cellStyle name="Normal 431 4 5 3" xfId="32729"/>
    <cellStyle name="Normal 431 4 6" xfId="32730"/>
    <cellStyle name="Normal 431 5" xfId="32731"/>
    <cellStyle name="Normal 431 5 2" xfId="32732"/>
    <cellStyle name="Normal 431 5 2 2" xfId="32733"/>
    <cellStyle name="Normal 431 5 3" xfId="32734"/>
    <cellStyle name="Normal 431 6" xfId="32735"/>
    <cellStyle name="Normal 431 6 2" xfId="32736"/>
    <cellStyle name="Normal 431 6 2 2" xfId="32737"/>
    <cellStyle name="Normal 431 6 3" xfId="32738"/>
    <cellStyle name="Normal 431 7" xfId="32739"/>
    <cellStyle name="Normal 431 7 2" xfId="32740"/>
    <cellStyle name="Normal 431 7 2 2" xfId="32741"/>
    <cellStyle name="Normal 431 7 3" xfId="32742"/>
    <cellStyle name="Normal 431 8" xfId="32743"/>
    <cellStyle name="Normal 431 8 2" xfId="32744"/>
    <cellStyle name="Normal 431 8 2 2" xfId="32745"/>
    <cellStyle name="Normal 431 8 3" xfId="32746"/>
    <cellStyle name="Normal 431 8 3 2" xfId="32747"/>
    <cellStyle name="Normal 431 8 4" xfId="32748"/>
    <cellStyle name="Normal 431 9" xfId="32749"/>
    <cellStyle name="Normal 432" xfId="32750"/>
    <cellStyle name="Normal 432 10" xfId="32751"/>
    <cellStyle name="Normal 432 2" xfId="32752"/>
    <cellStyle name="Normal 432 2 2" xfId="32753"/>
    <cellStyle name="Normal 432 2 2 2" xfId="32754"/>
    <cellStyle name="Normal 432 2 2 2 2" xfId="32755"/>
    <cellStyle name="Normal 432 2 2 3" xfId="32756"/>
    <cellStyle name="Normal 432 2 2 3 2" xfId="32757"/>
    <cellStyle name="Normal 432 2 2 3 2 2" xfId="32758"/>
    <cellStyle name="Normal 432 2 2 3 3" xfId="32759"/>
    <cellStyle name="Normal 432 2 2 4" xfId="32760"/>
    <cellStyle name="Normal 432 2 3" xfId="32761"/>
    <cellStyle name="Normal 432 2 3 2" xfId="32762"/>
    <cellStyle name="Normal 432 2 3 2 2" xfId="32763"/>
    <cellStyle name="Normal 432 2 3 3" xfId="32764"/>
    <cellStyle name="Normal 432 2 4" xfId="32765"/>
    <cellStyle name="Normal 432 2 4 2" xfId="32766"/>
    <cellStyle name="Normal 432 2 4 2 2" xfId="32767"/>
    <cellStyle name="Normal 432 2 4 3" xfId="32768"/>
    <cellStyle name="Normal 432 2 5" xfId="32769"/>
    <cellStyle name="Normal 432 2 5 2" xfId="32770"/>
    <cellStyle name="Normal 432 2 5 2 2" xfId="32771"/>
    <cellStyle name="Normal 432 2 5 3" xfId="32772"/>
    <cellStyle name="Normal 432 2 6" xfId="32773"/>
    <cellStyle name="Normal 432 3" xfId="32774"/>
    <cellStyle name="Normal 432 3 2" xfId="32775"/>
    <cellStyle name="Normal 432 3 2 2" xfId="32776"/>
    <cellStyle name="Normal 432 3 3" xfId="32777"/>
    <cellStyle name="Normal 432 3 3 2" xfId="32778"/>
    <cellStyle name="Normal 432 3 3 2 2" xfId="32779"/>
    <cellStyle name="Normal 432 3 3 3" xfId="32780"/>
    <cellStyle name="Normal 432 3 4" xfId="32781"/>
    <cellStyle name="Normal 432 3 4 2" xfId="32782"/>
    <cellStyle name="Normal 432 3 4 2 2" xfId="32783"/>
    <cellStyle name="Normal 432 3 4 3" xfId="32784"/>
    <cellStyle name="Normal 432 3 5" xfId="32785"/>
    <cellStyle name="Normal 432 4" xfId="32786"/>
    <cellStyle name="Normal 432 4 2" xfId="32787"/>
    <cellStyle name="Normal 432 4 2 2" xfId="32788"/>
    <cellStyle name="Normal 432 4 2 2 2" xfId="32789"/>
    <cellStyle name="Normal 432 4 2 3" xfId="32790"/>
    <cellStyle name="Normal 432 4 2 3 2" xfId="32791"/>
    <cellStyle name="Normal 432 4 2 3 2 2" xfId="32792"/>
    <cellStyle name="Normal 432 4 2 3 3" xfId="32793"/>
    <cellStyle name="Normal 432 4 2 4" xfId="32794"/>
    <cellStyle name="Normal 432 4 3" xfId="32795"/>
    <cellStyle name="Normal 432 4 3 2" xfId="32796"/>
    <cellStyle name="Normal 432 4 3 2 2" xfId="32797"/>
    <cellStyle name="Normal 432 4 3 3" xfId="32798"/>
    <cellStyle name="Normal 432 4 4" xfId="32799"/>
    <cellStyle name="Normal 432 4 4 2" xfId="32800"/>
    <cellStyle name="Normal 432 4 4 2 2" xfId="32801"/>
    <cellStyle name="Normal 432 4 4 3" xfId="32802"/>
    <cellStyle name="Normal 432 4 5" xfId="32803"/>
    <cellStyle name="Normal 432 4 5 2" xfId="32804"/>
    <cellStyle name="Normal 432 4 5 2 2" xfId="32805"/>
    <cellStyle name="Normal 432 4 5 3" xfId="32806"/>
    <cellStyle name="Normal 432 4 6" xfId="32807"/>
    <cellStyle name="Normal 432 5" xfId="32808"/>
    <cellStyle name="Normal 432 5 2" xfId="32809"/>
    <cellStyle name="Normal 432 5 2 2" xfId="32810"/>
    <cellStyle name="Normal 432 5 3" xfId="32811"/>
    <cellStyle name="Normal 432 6" xfId="32812"/>
    <cellStyle name="Normal 432 6 2" xfId="32813"/>
    <cellStyle name="Normal 432 6 2 2" xfId="32814"/>
    <cellStyle name="Normal 432 6 3" xfId="32815"/>
    <cellStyle name="Normal 432 7" xfId="32816"/>
    <cellStyle name="Normal 432 7 2" xfId="32817"/>
    <cellStyle name="Normal 432 7 2 2" xfId="32818"/>
    <cellStyle name="Normal 432 7 3" xfId="32819"/>
    <cellStyle name="Normal 432 8" xfId="32820"/>
    <cellStyle name="Normal 432 8 2" xfId="32821"/>
    <cellStyle name="Normal 432 8 2 2" xfId="32822"/>
    <cellStyle name="Normal 432 8 3" xfId="32823"/>
    <cellStyle name="Normal 432 8 3 2" xfId="32824"/>
    <cellStyle name="Normal 432 8 4" xfId="32825"/>
    <cellStyle name="Normal 432 9" xfId="32826"/>
    <cellStyle name="Normal 433" xfId="32827"/>
    <cellStyle name="Normal 433 10" xfId="32828"/>
    <cellStyle name="Normal 433 2" xfId="32829"/>
    <cellStyle name="Normal 433 2 2" xfId="32830"/>
    <cellStyle name="Normal 433 2 2 2" xfId="32831"/>
    <cellStyle name="Normal 433 2 2 2 2" xfId="32832"/>
    <cellStyle name="Normal 433 2 2 3" xfId="32833"/>
    <cellStyle name="Normal 433 2 2 3 2" xfId="32834"/>
    <cellStyle name="Normal 433 2 2 3 2 2" xfId="32835"/>
    <cellStyle name="Normal 433 2 2 3 3" xfId="32836"/>
    <cellStyle name="Normal 433 2 2 4" xfId="32837"/>
    <cellStyle name="Normal 433 2 3" xfId="32838"/>
    <cellStyle name="Normal 433 2 3 2" xfId="32839"/>
    <cellStyle name="Normal 433 2 3 2 2" xfId="32840"/>
    <cellStyle name="Normal 433 2 3 3" xfId="32841"/>
    <cellStyle name="Normal 433 2 4" xfId="32842"/>
    <cellStyle name="Normal 433 2 4 2" xfId="32843"/>
    <cellStyle name="Normal 433 2 4 2 2" xfId="32844"/>
    <cellStyle name="Normal 433 2 4 3" xfId="32845"/>
    <cellStyle name="Normal 433 2 5" xfId="32846"/>
    <cellStyle name="Normal 433 2 5 2" xfId="32847"/>
    <cellStyle name="Normal 433 2 5 2 2" xfId="32848"/>
    <cellStyle name="Normal 433 2 5 3" xfId="32849"/>
    <cellStyle name="Normal 433 2 6" xfId="32850"/>
    <cellStyle name="Normal 433 3" xfId="32851"/>
    <cellStyle name="Normal 433 3 2" xfId="32852"/>
    <cellStyle name="Normal 433 3 2 2" xfId="32853"/>
    <cellStyle name="Normal 433 3 3" xfId="32854"/>
    <cellStyle name="Normal 433 3 3 2" xfId="32855"/>
    <cellStyle name="Normal 433 3 3 2 2" xfId="32856"/>
    <cellStyle name="Normal 433 3 3 3" xfId="32857"/>
    <cellStyle name="Normal 433 3 4" xfId="32858"/>
    <cellStyle name="Normal 433 3 4 2" xfId="32859"/>
    <cellStyle name="Normal 433 3 4 2 2" xfId="32860"/>
    <cellStyle name="Normal 433 3 4 3" xfId="32861"/>
    <cellStyle name="Normal 433 3 5" xfId="32862"/>
    <cellStyle name="Normal 433 4" xfId="32863"/>
    <cellStyle name="Normal 433 4 2" xfId="32864"/>
    <cellStyle name="Normal 433 4 2 2" xfId="32865"/>
    <cellStyle name="Normal 433 4 2 2 2" xfId="32866"/>
    <cellStyle name="Normal 433 4 2 3" xfId="32867"/>
    <cellStyle name="Normal 433 4 2 3 2" xfId="32868"/>
    <cellStyle name="Normal 433 4 2 3 2 2" xfId="32869"/>
    <cellStyle name="Normal 433 4 2 3 3" xfId="32870"/>
    <cellStyle name="Normal 433 4 2 4" xfId="32871"/>
    <cellStyle name="Normal 433 4 3" xfId="32872"/>
    <cellStyle name="Normal 433 4 3 2" xfId="32873"/>
    <cellStyle name="Normal 433 4 3 2 2" xfId="32874"/>
    <cellStyle name="Normal 433 4 3 3" xfId="32875"/>
    <cellStyle name="Normal 433 4 4" xfId="32876"/>
    <cellStyle name="Normal 433 4 4 2" xfId="32877"/>
    <cellStyle name="Normal 433 4 4 2 2" xfId="32878"/>
    <cellStyle name="Normal 433 4 4 3" xfId="32879"/>
    <cellStyle name="Normal 433 4 5" xfId="32880"/>
    <cellStyle name="Normal 433 4 5 2" xfId="32881"/>
    <cellStyle name="Normal 433 4 5 2 2" xfId="32882"/>
    <cellStyle name="Normal 433 4 5 3" xfId="32883"/>
    <cellStyle name="Normal 433 4 6" xfId="32884"/>
    <cellStyle name="Normal 433 5" xfId="32885"/>
    <cellStyle name="Normal 433 5 2" xfId="32886"/>
    <cellStyle name="Normal 433 5 2 2" xfId="32887"/>
    <cellStyle name="Normal 433 5 3" xfId="32888"/>
    <cellStyle name="Normal 433 6" xfId="32889"/>
    <cellStyle name="Normal 433 6 2" xfId="32890"/>
    <cellStyle name="Normal 433 6 2 2" xfId="32891"/>
    <cellStyle name="Normal 433 6 3" xfId="32892"/>
    <cellStyle name="Normal 433 7" xfId="32893"/>
    <cellStyle name="Normal 433 7 2" xfId="32894"/>
    <cellStyle name="Normal 433 7 2 2" xfId="32895"/>
    <cellStyle name="Normal 433 7 3" xfId="32896"/>
    <cellStyle name="Normal 433 8" xfId="32897"/>
    <cellStyle name="Normal 433 8 2" xfId="32898"/>
    <cellStyle name="Normal 433 8 2 2" xfId="32899"/>
    <cellStyle name="Normal 433 8 3" xfId="32900"/>
    <cellStyle name="Normal 433 8 3 2" xfId="32901"/>
    <cellStyle name="Normal 433 8 4" xfId="32902"/>
    <cellStyle name="Normal 433 9" xfId="32903"/>
    <cellStyle name="Normal 434" xfId="32904"/>
    <cellStyle name="Normal 434 10" xfId="32905"/>
    <cellStyle name="Normal 434 2" xfId="32906"/>
    <cellStyle name="Normal 434 2 2" xfId="32907"/>
    <cellStyle name="Normal 434 2 2 2" xfId="32908"/>
    <cellStyle name="Normal 434 2 2 2 2" xfId="32909"/>
    <cellStyle name="Normal 434 2 2 3" xfId="32910"/>
    <cellStyle name="Normal 434 2 2 3 2" xfId="32911"/>
    <cellStyle name="Normal 434 2 2 3 2 2" xfId="32912"/>
    <cellStyle name="Normal 434 2 2 3 3" xfId="32913"/>
    <cellStyle name="Normal 434 2 2 4" xfId="32914"/>
    <cellStyle name="Normal 434 2 3" xfId="32915"/>
    <cellStyle name="Normal 434 2 3 2" xfId="32916"/>
    <cellStyle name="Normal 434 2 3 2 2" xfId="32917"/>
    <cellStyle name="Normal 434 2 3 3" xfId="32918"/>
    <cellStyle name="Normal 434 2 4" xfId="32919"/>
    <cellStyle name="Normal 434 2 4 2" xfId="32920"/>
    <cellStyle name="Normal 434 2 4 2 2" xfId="32921"/>
    <cellStyle name="Normal 434 2 4 3" xfId="32922"/>
    <cellStyle name="Normal 434 2 5" xfId="32923"/>
    <cellStyle name="Normal 434 2 5 2" xfId="32924"/>
    <cellStyle name="Normal 434 2 5 2 2" xfId="32925"/>
    <cellStyle name="Normal 434 2 5 3" xfId="32926"/>
    <cellStyle name="Normal 434 2 6" xfId="32927"/>
    <cellStyle name="Normal 434 3" xfId="32928"/>
    <cellStyle name="Normal 434 3 2" xfId="32929"/>
    <cellStyle name="Normal 434 3 2 2" xfId="32930"/>
    <cellStyle name="Normal 434 3 3" xfId="32931"/>
    <cellStyle name="Normal 434 3 3 2" xfId="32932"/>
    <cellStyle name="Normal 434 3 3 2 2" xfId="32933"/>
    <cellStyle name="Normal 434 3 3 3" xfId="32934"/>
    <cellStyle name="Normal 434 3 4" xfId="32935"/>
    <cellStyle name="Normal 434 3 4 2" xfId="32936"/>
    <cellStyle name="Normal 434 3 4 2 2" xfId="32937"/>
    <cellStyle name="Normal 434 3 4 3" xfId="32938"/>
    <cellStyle name="Normal 434 3 5" xfId="32939"/>
    <cellStyle name="Normal 434 4" xfId="32940"/>
    <cellStyle name="Normal 434 4 2" xfId="32941"/>
    <cellStyle name="Normal 434 4 2 2" xfId="32942"/>
    <cellStyle name="Normal 434 4 2 2 2" xfId="32943"/>
    <cellStyle name="Normal 434 4 2 3" xfId="32944"/>
    <cellStyle name="Normal 434 4 2 3 2" xfId="32945"/>
    <cellStyle name="Normal 434 4 2 3 2 2" xfId="32946"/>
    <cellStyle name="Normal 434 4 2 3 3" xfId="32947"/>
    <cellStyle name="Normal 434 4 2 4" xfId="32948"/>
    <cellStyle name="Normal 434 4 3" xfId="32949"/>
    <cellStyle name="Normal 434 4 3 2" xfId="32950"/>
    <cellStyle name="Normal 434 4 3 2 2" xfId="32951"/>
    <cellStyle name="Normal 434 4 3 3" xfId="32952"/>
    <cellStyle name="Normal 434 4 4" xfId="32953"/>
    <cellStyle name="Normal 434 4 4 2" xfId="32954"/>
    <cellStyle name="Normal 434 4 4 2 2" xfId="32955"/>
    <cellStyle name="Normal 434 4 4 3" xfId="32956"/>
    <cellStyle name="Normal 434 4 5" xfId="32957"/>
    <cellStyle name="Normal 434 4 5 2" xfId="32958"/>
    <cellStyle name="Normal 434 4 5 2 2" xfId="32959"/>
    <cellStyle name="Normal 434 4 5 3" xfId="32960"/>
    <cellStyle name="Normal 434 4 6" xfId="32961"/>
    <cellStyle name="Normal 434 5" xfId="32962"/>
    <cellStyle name="Normal 434 5 2" xfId="32963"/>
    <cellStyle name="Normal 434 5 2 2" xfId="32964"/>
    <cellStyle name="Normal 434 5 3" xfId="32965"/>
    <cellStyle name="Normal 434 6" xfId="32966"/>
    <cellStyle name="Normal 434 6 2" xfId="32967"/>
    <cellStyle name="Normal 434 6 2 2" xfId="32968"/>
    <cellStyle name="Normal 434 6 3" xfId="32969"/>
    <cellStyle name="Normal 434 7" xfId="32970"/>
    <cellStyle name="Normal 434 7 2" xfId="32971"/>
    <cellStyle name="Normal 434 7 2 2" xfId="32972"/>
    <cellStyle name="Normal 434 7 3" xfId="32973"/>
    <cellStyle name="Normal 434 8" xfId="32974"/>
    <cellStyle name="Normal 434 8 2" xfId="32975"/>
    <cellStyle name="Normal 434 8 2 2" xfId="32976"/>
    <cellStyle name="Normal 434 8 3" xfId="32977"/>
    <cellStyle name="Normal 434 8 3 2" xfId="32978"/>
    <cellStyle name="Normal 434 8 4" xfId="32979"/>
    <cellStyle name="Normal 434 9" xfId="32980"/>
    <cellStyle name="Normal 435" xfId="32981"/>
    <cellStyle name="Normal 435 10" xfId="32982"/>
    <cellStyle name="Normal 435 2" xfId="32983"/>
    <cellStyle name="Normal 435 2 2" xfId="32984"/>
    <cellStyle name="Normal 435 2 2 2" xfId="32985"/>
    <cellStyle name="Normal 435 2 2 2 2" xfId="32986"/>
    <cellStyle name="Normal 435 2 2 3" xfId="32987"/>
    <cellStyle name="Normal 435 2 2 3 2" xfId="32988"/>
    <cellStyle name="Normal 435 2 2 3 2 2" xfId="32989"/>
    <cellStyle name="Normal 435 2 2 3 3" xfId="32990"/>
    <cellStyle name="Normal 435 2 2 4" xfId="32991"/>
    <cellStyle name="Normal 435 2 3" xfId="32992"/>
    <cellStyle name="Normal 435 2 3 2" xfId="32993"/>
    <cellStyle name="Normal 435 2 3 2 2" xfId="32994"/>
    <cellStyle name="Normal 435 2 3 3" xfId="32995"/>
    <cellStyle name="Normal 435 2 4" xfId="32996"/>
    <cellStyle name="Normal 435 2 4 2" xfId="32997"/>
    <cellStyle name="Normal 435 2 4 2 2" xfId="32998"/>
    <cellStyle name="Normal 435 2 4 3" xfId="32999"/>
    <cellStyle name="Normal 435 2 5" xfId="33000"/>
    <cellStyle name="Normal 435 2 5 2" xfId="33001"/>
    <cellStyle name="Normal 435 2 5 2 2" xfId="33002"/>
    <cellStyle name="Normal 435 2 5 3" xfId="33003"/>
    <cellStyle name="Normal 435 2 6" xfId="33004"/>
    <cellStyle name="Normal 435 3" xfId="33005"/>
    <cellStyle name="Normal 435 3 2" xfId="33006"/>
    <cellStyle name="Normal 435 3 2 2" xfId="33007"/>
    <cellStyle name="Normal 435 3 3" xfId="33008"/>
    <cellStyle name="Normal 435 3 3 2" xfId="33009"/>
    <cellStyle name="Normal 435 3 3 2 2" xfId="33010"/>
    <cellStyle name="Normal 435 3 3 3" xfId="33011"/>
    <cellStyle name="Normal 435 3 4" xfId="33012"/>
    <cellStyle name="Normal 435 3 4 2" xfId="33013"/>
    <cellStyle name="Normal 435 3 4 2 2" xfId="33014"/>
    <cellStyle name="Normal 435 3 4 3" xfId="33015"/>
    <cellStyle name="Normal 435 3 5" xfId="33016"/>
    <cellStyle name="Normal 435 4" xfId="33017"/>
    <cellStyle name="Normal 435 4 2" xfId="33018"/>
    <cellStyle name="Normal 435 4 2 2" xfId="33019"/>
    <cellStyle name="Normal 435 4 2 2 2" xfId="33020"/>
    <cellStyle name="Normal 435 4 2 3" xfId="33021"/>
    <cellStyle name="Normal 435 4 2 3 2" xfId="33022"/>
    <cellStyle name="Normal 435 4 2 3 2 2" xfId="33023"/>
    <cellStyle name="Normal 435 4 2 3 3" xfId="33024"/>
    <cellStyle name="Normal 435 4 2 4" xfId="33025"/>
    <cellStyle name="Normal 435 4 3" xfId="33026"/>
    <cellStyle name="Normal 435 4 3 2" xfId="33027"/>
    <cellStyle name="Normal 435 4 3 2 2" xfId="33028"/>
    <cellStyle name="Normal 435 4 3 3" xfId="33029"/>
    <cellStyle name="Normal 435 4 4" xfId="33030"/>
    <cellStyle name="Normal 435 4 4 2" xfId="33031"/>
    <cellStyle name="Normal 435 4 4 2 2" xfId="33032"/>
    <cellStyle name="Normal 435 4 4 3" xfId="33033"/>
    <cellStyle name="Normal 435 4 5" xfId="33034"/>
    <cellStyle name="Normal 435 4 5 2" xfId="33035"/>
    <cellStyle name="Normal 435 4 5 2 2" xfId="33036"/>
    <cellStyle name="Normal 435 4 5 3" xfId="33037"/>
    <cellStyle name="Normal 435 4 6" xfId="33038"/>
    <cellStyle name="Normal 435 5" xfId="33039"/>
    <cellStyle name="Normal 435 5 2" xfId="33040"/>
    <cellStyle name="Normal 435 5 2 2" xfId="33041"/>
    <cellStyle name="Normal 435 5 3" xfId="33042"/>
    <cellStyle name="Normal 435 6" xfId="33043"/>
    <cellStyle name="Normal 435 6 2" xfId="33044"/>
    <cellStyle name="Normal 435 6 2 2" xfId="33045"/>
    <cellStyle name="Normal 435 6 3" xfId="33046"/>
    <cellStyle name="Normal 435 7" xfId="33047"/>
    <cellStyle name="Normal 435 7 2" xfId="33048"/>
    <cellStyle name="Normal 435 7 2 2" xfId="33049"/>
    <cellStyle name="Normal 435 7 3" xfId="33050"/>
    <cellStyle name="Normal 435 8" xfId="33051"/>
    <cellStyle name="Normal 435 8 2" xfId="33052"/>
    <cellStyle name="Normal 435 8 2 2" xfId="33053"/>
    <cellStyle name="Normal 435 8 3" xfId="33054"/>
    <cellStyle name="Normal 435 8 3 2" xfId="33055"/>
    <cellStyle name="Normal 435 8 4" xfId="33056"/>
    <cellStyle name="Normal 435 9" xfId="33057"/>
    <cellStyle name="Normal 436" xfId="33058"/>
    <cellStyle name="Normal 436 10" xfId="33059"/>
    <cellStyle name="Normal 436 2" xfId="33060"/>
    <cellStyle name="Normal 436 2 2" xfId="33061"/>
    <cellStyle name="Normal 436 2 2 2" xfId="33062"/>
    <cellStyle name="Normal 436 2 2 2 2" xfId="33063"/>
    <cellStyle name="Normal 436 2 2 3" xfId="33064"/>
    <cellStyle name="Normal 436 2 2 3 2" xfId="33065"/>
    <cellStyle name="Normal 436 2 2 3 2 2" xfId="33066"/>
    <cellStyle name="Normal 436 2 2 3 3" xfId="33067"/>
    <cellStyle name="Normal 436 2 2 4" xfId="33068"/>
    <cellStyle name="Normal 436 2 3" xfId="33069"/>
    <cellStyle name="Normal 436 2 3 2" xfId="33070"/>
    <cellStyle name="Normal 436 2 3 2 2" xfId="33071"/>
    <cellStyle name="Normal 436 2 3 3" xfId="33072"/>
    <cellStyle name="Normal 436 2 4" xfId="33073"/>
    <cellStyle name="Normal 436 2 4 2" xfId="33074"/>
    <cellStyle name="Normal 436 2 4 2 2" xfId="33075"/>
    <cellStyle name="Normal 436 2 4 3" xfId="33076"/>
    <cellStyle name="Normal 436 2 5" xfId="33077"/>
    <cellStyle name="Normal 436 2 5 2" xfId="33078"/>
    <cellStyle name="Normal 436 2 5 2 2" xfId="33079"/>
    <cellStyle name="Normal 436 2 5 3" xfId="33080"/>
    <cellStyle name="Normal 436 2 6" xfId="33081"/>
    <cellStyle name="Normal 436 3" xfId="33082"/>
    <cellStyle name="Normal 436 3 2" xfId="33083"/>
    <cellStyle name="Normal 436 3 2 2" xfId="33084"/>
    <cellStyle name="Normal 436 3 3" xfId="33085"/>
    <cellStyle name="Normal 436 3 3 2" xfId="33086"/>
    <cellStyle name="Normal 436 3 3 2 2" xfId="33087"/>
    <cellStyle name="Normal 436 3 3 3" xfId="33088"/>
    <cellStyle name="Normal 436 3 4" xfId="33089"/>
    <cellStyle name="Normal 436 3 4 2" xfId="33090"/>
    <cellStyle name="Normal 436 3 4 2 2" xfId="33091"/>
    <cellStyle name="Normal 436 3 4 3" xfId="33092"/>
    <cellStyle name="Normal 436 3 5" xfId="33093"/>
    <cellStyle name="Normal 436 4" xfId="33094"/>
    <cellStyle name="Normal 436 4 2" xfId="33095"/>
    <cellStyle name="Normal 436 4 2 2" xfId="33096"/>
    <cellStyle name="Normal 436 4 2 2 2" xfId="33097"/>
    <cellStyle name="Normal 436 4 2 3" xfId="33098"/>
    <cellStyle name="Normal 436 4 2 3 2" xfId="33099"/>
    <cellStyle name="Normal 436 4 2 3 2 2" xfId="33100"/>
    <cellStyle name="Normal 436 4 2 3 3" xfId="33101"/>
    <cellStyle name="Normal 436 4 2 4" xfId="33102"/>
    <cellStyle name="Normal 436 4 3" xfId="33103"/>
    <cellStyle name="Normal 436 4 3 2" xfId="33104"/>
    <cellStyle name="Normal 436 4 3 2 2" xfId="33105"/>
    <cellStyle name="Normal 436 4 3 3" xfId="33106"/>
    <cellStyle name="Normal 436 4 4" xfId="33107"/>
    <cellStyle name="Normal 436 4 4 2" xfId="33108"/>
    <cellStyle name="Normal 436 4 4 2 2" xfId="33109"/>
    <cellStyle name="Normal 436 4 4 3" xfId="33110"/>
    <cellStyle name="Normal 436 4 5" xfId="33111"/>
    <cellStyle name="Normal 436 4 5 2" xfId="33112"/>
    <cellStyle name="Normal 436 4 5 2 2" xfId="33113"/>
    <cellStyle name="Normal 436 4 5 3" xfId="33114"/>
    <cellStyle name="Normal 436 4 6" xfId="33115"/>
    <cellStyle name="Normal 436 5" xfId="33116"/>
    <cellStyle name="Normal 436 5 2" xfId="33117"/>
    <cellStyle name="Normal 436 5 2 2" xfId="33118"/>
    <cellStyle name="Normal 436 5 3" xfId="33119"/>
    <cellStyle name="Normal 436 6" xfId="33120"/>
    <cellStyle name="Normal 436 6 2" xfId="33121"/>
    <cellStyle name="Normal 436 6 2 2" xfId="33122"/>
    <cellStyle name="Normal 436 6 3" xfId="33123"/>
    <cellStyle name="Normal 436 7" xfId="33124"/>
    <cellStyle name="Normal 436 7 2" xfId="33125"/>
    <cellStyle name="Normal 436 7 2 2" xfId="33126"/>
    <cellStyle name="Normal 436 7 3" xfId="33127"/>
    <cellStyle name="Normal 436 8" xfId="33128"/>
    <cellStyle name="Normal 436 8 2" xfId="33129"/>
    <cellStyle name="Normal 436 8 2 2" xfId="33130"/>
    <cellStyle name="Normal 436 8 3" xfId="33131"/>
    <cellStyle name="Normal 436 8 3 2" xfId="33132"/>
    <cellStyle name="Normal 436 8 4" xfId="33133"/>
    <cellStyle name="Normal 436 9" xfId="33134"/>
    <cellStyle name="Normal 437" xfId="33135"/>
    <cellStyle name="Normal 437 10" xfId="33136"/>
    <cellStyle name="Normal 437 2" xfId="33137"/>
    <cellStyle name="Normal 437 2 2" xfId="33138"/>
    <cellStyle name="Normal 437 2 2 2" xfId="33139"/>
    <cellStyle name="Normal 437 2 2 2 2" xfId="33140"/>
    <cellStyle name="Normal 437 2 2 3" xfId="33141"/>
    <cellStyle name="Normal 437 2 2 3 2" xfId="33142"/>
    <cellStyle name="Normal 437 2 2 3 2 2" xfId="33143"/>
    <cellStyle name="Normal 437 2 2 3 3" xfId="33144"/>
    <cellStyle name="Normal 437 2 2 4" xfId="33145"/>
    <cellStyle name="Normal 437 2 3" xfId="33146"/>
    <cellStyle name="Normal 437 2 3 2" xfId="33147"/>
    <cellStyle name="Normal 437 2 3 2 2" xfId="33148"/>
    <cellStyle name="Normal 437 2 3 3" xfId="33149"/>
    <cellStyle name="Normal 437 2 4" xfId="33150"/>
    <cellStyle name="Normal 437 2 4 2" xfId="33151"/>
    <cellStyle name="Normal 437 2 4 2 2" xfId="33152"/>
    <cellStyle name="Normal 437 2 4 3" xfId="33153"/>
    <cellStyle name="Normal 437 2 5" xfId="33154"/>
    <cellStyle name="Normal 437 2 5 2" xfId="33155"/>
    <cellStyle name="Normal 437 2 5 2 2" xfId="33156"/>
    <cellStyle name="Normal 437 2 5 3" xfId="33157"/>
    <cellStyle name="Normal 437 2 6" xfId="33158"/>
    <cellStyle name="Normal 437 3" xfId="33159"/>
    <cellStyle name="Normal 437 3 2" xfId="33160"/>
    <cellStyle name="Normal 437 3 2 2" xfId="33161"/>
    <cellStyle name="Normal 437 3 3" xfId="33162"/>
    <cellStyle name="Normal 437 3 3 2" xfId="33163"/>
    <cellStyle name="Normal 437 3 3 2 2" xfId="33164"/>
    <cellStyle name="Normal 437 3 3 3" xfId="33165"/>
    <cellStyle name="Normal 437 3 4" xfId="33166"/>
    <cellStyle name="Normal 437 3 4 2" xfId="33167"/>
    <cellStyle name="Normal 437 3 4 2 2" xfId="33168"/>
    <cellStyle name="Normal 437 3 4 3" xfId="33169"/>
    <cellStyle name="Normal 437 3 5" xfId="33170"/>
    <cellStyle name="Normal 437 4" xfId="33171"/>
    <cellStyle name="Normal 437 4 2" xfId="33172"/>
    <cellStyle name="Normal 437 4 2 2" xfId="33173"/>
    <cellStyle name="Normal 437 4 2 2 2" xfId="33174"/>
    <cellStyle name="Normal 437 4 2 3" xfId="33175"/>
    <cellStyle name="Normal 437 4 2 3 2" xfId="33176"/>
    <cellStyle name="Normal 437 4 2 3 2 2" xfId="33177"/>
    <cellStyle name="Normal 437 4 2 3 3" xfId="33178"/>
    <cellStyle name="Normal 437 4 2 4" xfId="33179"/>
    <cellStyle name="Normal 437 4 3" xfId="33180"/>
    <cellStyle name="Normal 437 4 3 2" xfId="33181"/>
    <cellStyle name="Normal 437 4 3 2 2" xfId="33182"/>
    <cellStyle name="Normal 437 4 3 3" xfId="33183"/>
    <cellStyle name="Normal 437 4 4" xfId="33184"/>
    <cellStyle name="Normal 437 4 4 2" xfId="33185"/>
    <cellStyle name="Normal 437 4 4 2 2" xfId="33186"/>
    <cellStyle name="Normal 437 4 4 3" xfId="33187"/>
    <cellStyle name="Normal 437 4 5" xfId="33188"/>
    <cellStyle name="Normal 437 4 5 2" xfId="33189"/>
    <cellStyle name="Normal 437 4 5 2 2" xfId="33190"/>
    <cellStyle name="Normal 437 4 5 3" xfId="33191"/>
    <cellStyle name="Normal 437 4 6" xfId="33192"/>
    <cellStyle name="Normal 437 5" xfId="33193"/>
    <cellStyle name="Normal 437 5 2" xfId="33194"/>
    <cellStyle name="Normal 437 5 2 2" xfId="33195"/>
    <cellStyle name="Normal 437 5 3" xfId="33196"/>
    <cellStyle name="Normal 437 6" xfId="33197"/>
    <cellStyle name="Normal 437 6 2" xfId="33198"/>
    <cellStyle name="Normal 437 6 2 2" xfId="33199"/>
    <cellStyle name="Normal 437 6 3" xfId="33200"/>
    <cellStyle name="Normal 437 7" xfId="33201"/>
    <cellStyle name="Normal 437 7 2" xfId="33202"/>
    <cellStyle name="Normal 437 7 2 2" xfId="33203"/>
    <cellStyle name="Normal 437 7 3" xfId="33204"/>
    <cellStyle name="Normal 437 8" xfId="33205"/>
    <cellStyle name="Normal 437 8 2" xfId="33206"/>
    <cellStyle name="Normal 437 8 2 2" xfId="33207"/>
    <cellStyle name="Normal 437 8 3" xfId="33208"/>
    <cellStyle name="Normal 437 8 3 2" xfId="33209"/>
    <cellStyle name="Normal 437 8 4" xfId="33210"/>
    <cellStyle name="Normal 437 9" xfId="33211"/>
    <cellStyle name="Normal 438" xfId="33212"/>
    <cellStyle name="Normal 438 10" xfId="33213"/>
    <cellStyle name="Normal 438 2" xfId="33214"/>
    <cellStyle name="Normal 438 2 2" xfId="33215"/>
    <cellStyle name="Normal 438 2 2 2" xfId="33216"/>
    <cellStyle name="Normal 438 2 2 2 2" xfId="33217"/>
    <cellStyle name="Normal 438 2 2 3" xfId="33218"/>
    <cellStyle name="Normal 438 2 2 3 2" xfId="33219"/>
    <cellStyle name="Normal 438 2 2 3 2 2" xfId="33220"/>
    <cellStyle name="Normal 438 2 2 3 3" xfId="33221"/>
    <cellStyle name="Normal 438 2 2 4" xfId="33222"/>
    <cellStyle name="Normal 438 2 3" xfId="33223"/>
    <cellStyle name="Normal 438 2 3 2" xfId="33224"/>
    <cellStyle name="Normal 438 2 3 2 2" xfId="33225"/>
    <cellStyle name="Normal 438 2 3 3" xfId="33226"/>
    <cellStyle name="Normal 438 2 4" xfId="33227"/>
    <cellStyle name="Normal 438 2 4 2" xfId="33228"/>
    <cellStyle name="Normal 438 2 4 2 2" xfId="33229"/>
    <cellStyle name="Normal 438 2 4 3" xfId="33230"/>
    <cellStyle name="Normal 438 2 5" xfId="33231"/>
    <cellStyle name="Normal 438 2 5 2" xfId="33232"/>
    <cellStyle name="Normal 438 2 5 2 2" xfId="33233"/>
    <cellStyle name="Normal 438 2 5 3" xfId="33234"/>
    <cellStyle name="Normal 438 2 6" xfId="33235"/>
    <cellStyle name="Normal 438 3" xfId="33236"/>
    <cellStyle name="Normal 438 3 2" xfId="33237"/>
    <cellStyle name="Normal 438 3 2 2" xfId="33238"/>
    <cellStyle name="Normal 438 3 3" xfId="33239"/>
    <cellStyle name="Normal 438 3 3 2" xfId="33240"/>
    <cellStyle name="Normal 438 3 3 2 2" xfId="33241"/>
    <cellStyle name="Normal 438 3 3 3" xfId="33242"/>
    <cellStyle name="Normal 438 3 4" xfId="33243"/>
    <cellStyle name="Normal 438 3 4 2" xfId="33244"/>
    <cellStyle name="Normal 438 3 4 2 2" xfId="33245"/>
    <cellStyle name="Normal 438 3 4 3" xfId="33246"/>
    <cellStyle name="Normal 438 3 5" xfId="33247"/>
    <cellStyle name="Normal 438 4" xfId="33248"/>
    <cellStyle name="Normal 438 4 2" xfId="33249"/>
    <cellStyle name="Normal 438 4 2 2" xfId="33250"/>
    <cellStyle name="Normal 438 4 2 2 2" xfId="33251"/>
    <cellStyle name="Normal 438 4 2 3" xfId="33252"/>
    <cellStyle name="Normal 438 4 2 3 2" xfId="33253"/>
    <cellStyle name="Normal 438 4 2 3 2 2" xfId="33254"/>
    <cellStyle name="Normal 438 4 2 3 3" xfId="33255"/>
    <cellStyle name="Normal 438 4 2 4" xfId="33256"/>
    <cellStyle name="Normal 438 4 3" xfId="33257"/>
    <cellStyle name="Normal 438 4 3 2" xfId="33258"/>
    <cellStyle name="Normal 438 4 3 2 2" xfId="33259"/>
    <cellStyle name="Normal 438 4 3 3" xfId="33260"/>
    <cellStyle name="Normal 438 4 4" xfId="33261"/>
    <cellStyle name="Normal 438 4 4 2" xfId="33262"/>
    <cellStyle name="Normal 438 4 4 2 2" xfId="33263"/>
    <cellStyle name="Normal 438 4 4 3" xfId="33264"/>
    <cellStyle name="Normal 438 4 5" xfId="33265"/>
    <cellStyle name="Normal 438 4 5 2" xfId="33266"/>
    <cellStyle name="Normal 438 4 5 2 2" xfId="33267"/>
    <cellStyle name="Normal 438 4 5 3" xfId="33268"/>
    <cellStyle name="Normal 438 4 6" xfId="33269"/>
    <cellStyle name="Normal 438 5" xfId="33270"/>
    <cellStyle name="Normal 438 5 2" xfId="33271"/>
    <cellStyle name="Normal 438 5 2 2" xfId="33272"/>
    <cellStyle name="Normal 438 5 3" xfId="33273"/>
    <cellStyle name="Normal 438 6" xfId="33274"/>
    <cellStyle name="Normal 438 6 2" xfId="33275"/>
    <cellStyle name="Normal 438 6 2 2" xfId="33276"/>
    <cellStyle name="Normal 438 6 3" xfId="33277"/>
    <cellStyle name="Normal 438 7" xfId="33278"/>
    <cellStyle name="Normal 438 7 2" xfId="33279"/>
    <cellStyle name="Normal 438 7 2 2" xfId="33280"/>
    <cellStyle name="Normal 438 7 3" xfId="33281"/>
    <cellStyle name="Normal 438 8" xfId="33282"/>
    <cellStyle name="Normal 438 8 2" xfId="33283"/>
    <cellStyle name="Normal 438 8 2 2" xfId="33284"/>
    <cellStyle name="Normal 438 8 3" xfId="33285"/>
    <cellStyle name="Normal 438 8 3 2" xfId="33286"/>
    <cellStyle name="Normal 438 8 4" xfId="33287"/>
    <cellStyle name="Normal 438 9" xfId="33288"/>
    <cellStyle name="Normal 439" xfId="33289"/>
    <cellStyle name="Normal 439 10" xfId="33290"/>
    <cellStyle name="Normal 439 2" xfId="33291"/>
    <cellStyle name="Normal 439 2 2" xfId="33292"/>
    <cellStyle name="Normal 439 2 2 2" xfId="33293"/>
    <cellStyle name="Normal 439 2 2 2 2" xfId="33294"/>
    <cellStyle name="Normal 439 2 2 3" xfId="33295"/>
    <cellStyle name="Normal 439 2 2 3 2" xfId="33296"/>
    <cellStyle name="Normal 439 2 2 3 2 2" xfId="33297"/>
    <cellStyle name="Normal 439 2 2 3 3" xfId="33298"/>
    <cellStyle name="Normal 439 2 2 4" xfId="33299"/>
    <cellStyle name="Normal 439 2 3" xfId="33300"/>
    <cellStyle name="Normal 439 2 3 2" xfId="33301"/>
    <cellStyle name="Normal 439 2 3 2 2" xfId="33302"/>
    <cellStyle name="Normal 439 2 3 3" xfId="33303"/>
    <cellStyle name="Normal 439 2 4" xfId="33304"/>
    <cellStyle name="Normal 439 2 4 2" xfId="33305"/>
    <cellStyle name="Normal 439 2 4 2 2" xfId="33306"/>
    <cellStyle name="Normal 439 2 4 3" xfId="33307"/>
    <cellStyle name="Normal 439 2 5" xfId="33308"/>
    <cellStyle name="Normal 439 2 5 2" xfId="33309"/>
    <cellStyle name="Normal 439 2 5 2 2" xfId="33310"/>
    <cellStyle name="Normal 439 2 5 3" xfId="33311"/>
    <cellStyle name="Normal 439 2 6" xfId="33312"/>
    <cellStyle name="Normal 439 3" xfId="33313"/>
    <cellStyle name="Normal 439 3 2" xfId="33314"/>
    <cellStyle name="Normal 439 3 2 2" xfId="33315"/>
    <cellStyle name="Normal 439 3 3" xfId="33316"/>
    <cellStyle name="Normal 439 3 3 2" xfId="33317"/>
    <cellStyle name="Normal 439 3 3 2 2" xfId="33318"/>
    <cellStyle name="Normal 439 3 3 3" xfId="33319"/>
    <cellStyle name="Normal 439 3 4" xfId="33320"/>
    <cellStyle name="Normal 439 3 4 2" xfId="33321"/>
    <cellStyle name="Normal 439 3 4 2 2" xfId="33322"/>
    <cellStyle name="Normal 439 3 4 3" xfId="33323"/>
    <cellStyle name="Normal 439 3 5" xfId="33324"/>
    <cellStyle name="Normal 439 4" xfId="33325"/>
    <cellStyle name="Normal 439 4 2" xfId="33326"/>
    <cellStyle name="Normal 439 4 2 2" xfId="33327"/>
    <cellStyle name="Normal 439 4 2 2 2" xfId="33328"/>
    <cellStyle name="Normal 439 4 2 3" xfId="33329"/>
    <cellStyle name="Normal 439 4 2 3 2" xfId="33330"/>
    <cellStyle name="Normal 439 4 2 3 2 2" xfId="33331"/>
    <cellStyle name="Normal 439 4 2 3 3" xfId="33332"/>
    <cellStyle name="Normal 439 4 2 4" xfId="33333"/>
    <cellStyle name="Normal 439 4 3" xfId="33334"/>
    <cellStyle name="Normal 439 4 3 2" xfId="33335"/>
    <cellStyle name="Normal 439 4 3 2 2" xfId="33336"/>
    <cellStyle name="Normal 439 4 3 3" xfId="33337"/>
    <cellStyle name="Normal 439 4 4" xfId="33338"/>
    <cellStyle name="Normal 439 4 4 2" xfId="33339"/>
    <cellStyle name="Normal 439 4 4 2 2" xfId="33340"/>
    <cellStyle name="Normal 439 4 4 3" xfId="33341"/>
    <cellStyle name="Normal 439 4 5" xfId="33342"/>
    <cellStyle name="Normal 439 4 5 2" xfId="33343"/>
    <cellStyle name="Normal 439 4 5 2 2" xfId="33344"/>
    <cellStyle name="Normal 439 4 5 3" xfId="33345"/>
    <cellStyle name="Normal 439 4 6" xfId="33346"/>
    <cellStyle name="Normal 439 5" xfId="33347"/>
    <cellStyle name="Normal 439 5 2" xfId="33348"/>
    <cellStyle name="Normal 439 5 2 2" xfId="33349"/>
    <cellStyle name="Normal 439 5 3" xfId="33350"/>
    <cellStyle name="Normal 439 6" xfId="33351"/>
    <cellStyle name="Normal 439 6 2" xfId="33352"/>
    <cellStyle name="Normal 439 6 2 2" xfId="33353"/>
    <cellStyle name="Normal 439 6 3" xfId="33354"/>
    <cellStyle name="Normal 439 7" xfId="33355"/>
    <cellStyle name="Normal 439 7 2" xfId="33356"/>
    <cellStyle name="Normal 439 7 2 2" xfId="33357"/>
    <cellStyle name="Normal 439 7 3" xfId="33358"/>
    <cellStyle name="Normal 439 8" xfId="33359"/>
    <cellStyle name="Normal 439 8 2" xfId="33360"/>
    <cellStyle name="Normal 439 8 2 2" xfId="33361"/>
    <cellStyle name="Normal 439 8 3" xfId="33362"/>
    <cellStyle name="Normal 439 8 3 2" xfId="33363"/>
    <cellStyle name="Normal 439 8 4" xfId="33364"/>
    <cellStyle name="Normal 439 9" xfId="33365"/>
    <cellStyle name="Normal 44" xfId="33366"/>
    <cellStyle name="Normal 44 2" xfId="33367"/>
    <cellStyle name="Normal 44 2 2" xfId="33368"/>
    <cellStyle name="Normal 44 2 2 2" xfId="33369"/>
    <cellStyle name="Normal 44 2 2 2 2" xfId="33370"/>
    <cellStyle name="Normal 44 2 2 3" xfId="33371"/>
    <cellStyle name="Normal 44 2 2 3 2" xfId="33372"/>
    <cellStyle name="Normal 44 2 2 3 2 2" xfId="33373"/>
    <cellStyle name="Normal 44 2 2 3 3" xfId="33374"/>
    <cellStyle name="Normal 44 2 2 4" xfId="33375"/>
    <cellStyle name="Normal 44 2 2 4 2" xfId="33376"/>
    <cellStyle name="Normal 44 2 2 4 2 2" xfId="33377"/>
    <cellStyle name="Normal 44 2 2 4 3" xfId="33378"/>
    <cellStyle name="Normal 44 2 2 5" xfId="33379"/>
    <cellStyle name="Normal 44 2 3" xfId="33380"/>
    <cellStyle name="Normal 44 2 3 2" xfId="33381"/>
    <cellStyle name="Normal 44 2 3 2 2" xfId="33382"/>
    <cellStyle name="Normal 44 2 3 3" xfId="33383"/>
    <cellStyle name="Normal 44 2 4" xfId="33384"/>
    <cellStyle name="Normal 44 2 4 2" xfId="33385"/>
    <cellStyle name="Normal 44 2 4 2 2" xfId="33386"/>
    <cellStyle name="Normal 44 2 4 3" xfId="33387"/>
    <cellStyle name="Normal 44 2 5" xfId="33388"/>
    <cellStyle name="Normal 44 2 5 2" xfId="33389"/>
    <cellStyle name="Normal 44 2 5 2 2" xfId="33390"/>
    <cellStyle name="Normal 44 2 5 3" xfId="33391"/>
    <cellStyle name="Normal 44 2 6" xfId="33392"/>
    <cellStyle name="Normal 44 3" xfId="33393"/>
    <cellStyle name="Normal 44 3 2" xfId="33394"/>
    <cellStyle name="Normal 44 3 2 2" xfId="33395"/>
    <cellStyle name="Normal 44 3 3" xfId="33396"/>
    <cellStyle name="Normal 44 3 3 2" xfId="33397"/>
    <cellStyle name="Normal 44 3 3 2 2" xfId="33398"/>
    <cellStyle name="Normal 44 3 3 3" xfId="33399"/>
    <cellStyle name="Normal 44 3 4" xfId="33400"/>
    <cellStyle name="Normal 44 3 4 2" xfId="33401"/>
    <cellStyle name="Normal 44 3 4 2 2" xfId="33402"/>
    <cellStyle name="Normal 44 3 4 3" xfId="33403"/>
    <cellStyle name="Normal 44 3 5" xfId="33404"/>
    <cellStyle name="Normal 44 4" xfId="33405"/>
    <cellStyle name="Normal 44 4 2" xfId="33406"/>
    <cellStyle name="Normal 44 4 2 2" xfId="33407"/>
    <cellStyle name="Normal 44 4 3" xfId="33408"/>
    <cellStyle name="Normal 44 5" xfId="33409"/>
    <cellStyle name="Normal 44 5 2" xfId="33410"/>
    <cellStyle name="Normal 44 5 2 2" xfId="33411"/>
    <cellStyle name="Normal 44 5 3" xfId="33412"/>
    <cellStyle name="Normal 44 6" xfId="33413"/>
    <cellStyle name="Normal 44 6 2" xfId="33414"/>
    <cellStyle name="Normal 44 6 2 2" xfId="33415"/>
    <cellStyle name="Normal 44 6 3" xfId="33416"/>
    <cellStyle name="Normal 44 7" xfId="33417"/>
    <cellStyle name="Normal 440" xfId="33418"/>
    <cellStyle name="Normal 440 10" xfId="33419"/>
    <cellStyle name="Normal 440 2" xfId="33420"/>
    <cellStyle name="Normal 440 2 2" xfId="33421"/>
    <cellStyle name="Normal 440 2 2 2" xfId="33422"/>
    <cellStyle name="Normal 440 2 2 2 2" xfId="33423"/>
    <cellStyle name="Normal 440 2 2 3" xfId="33424"/>
    <cellStyle name="Normal 440 2 2 3 2" xfId="33425"/>
    <cellStyle name="Normal 440 2 2 3 2 2" xfId="33426"/>
    <cellStyle name="Normal 440 2 2 3 3" xfId="33427"/>
    <cellStyle name="Normal 440 2 2 4" xfId="33428"/>
    <cellStyle name="Normal 440 2 3" xfId="33429"/>
    <cellStyle name="Normal 440 2 3 2" xfId="33430"/>
    <cellStyle name="Normal 440 2 3 2 2" xfId="33431"/>
    <cellStyle name="Normal 440 2 3 3" xfId="33432"/>
    <cellStyle name="Normal 440 2 4" xfId="33433"/>
    <cellStyle name="Normal 440 2 4 2" xfId="33434"/>
    <cellStyle name="Normal 440 2 4 2 2" xfId="33435"/>
    <cellStyle name="Normal 440 2 4 3" xfId="33436"/>
    <cellStyle name="Normal 440 2 5" xfId="33437"/>
    <cellStyle name="Normal 440 2 5 2" xfId="33438"/>
    <cellStyle name="Normal 440 2 5 2 2" xfId="33439"/>
    <cellStyle name="Normal 440 2 5 3" xfId="33440"/>
    <cellStyle name="Normal 440 2 6" xfId="33441"/>
    <cellStyle name="Normal 440 3" xfId="33442"/>
    <cellStyle name="Normal 440 3 2" xfId="33443"/>
    <cellStyle name="Normal 440 3 2 2" xfId="33444"/>
    <cellStyle name="Normal 440 3 3" xfId="33445"/>
    <cellStyle name="Normal 440 3 3 2" xfId="33446"/>
    <cellStyle name="Normal 440 3 3 2 2" xfId="33447"/>
    <cellStyle name="Normal 440 3 3 3" xfId="33448"/>
    <cellStyle name="Normal 440 3 4" xfId="33449"/>
    <cellStyle name="Normal 440 3 4 2" xfId="33450"/>
    <cellStyle name="Normal 440 3 4 2 2" xfId="33451"/>
    <cellStyle name="Normal 440 3 4 3" xfId="33452"/>
    <cellStyle name="Normal 440 3 5" xfId="33453"/>
    <cellStyle name="Normal 440 4" xfId="33454"/>
    <cellStyle name="Normal 440 4 2" xfId="33455"/>
    <cellStyle name="Normal 440 4 2 2" xfId="33456"/>
    <cellStyle name="Normal 440 4 2 2 2" xfId="33457"/>
    <cellStyle name="Normal 440 4 2 3" xfId="33458"/>
    <cellStyle name="Normal 440 4 2 3 2" xfId="33459"/>
    <cellStyle name="Normal 440 4 2 3 2 2" xfId="33460"/>
    <cellStyle name="Normal 440 4 2 3 3" xfId="33461"/>
    <cellStyle name="Normal 440 4 2 4" xfId="33462"/>
    <cellStyle name="Normal 440 4 3" xfId="33463"/>
    <cellStyle name="Normal 440 4 3 2" xfId="33464"/>
    <cellStyle name="Normal 440 4 3 2 2" xfId="33465"/>
    <cellStyle name="Normal 440 4 3 3" xfId="33466"/>
    <cellStyle name="Normal 440 4 4" xfId="33467"/>
    <cellStyle name="Normal 440 4 4 2" xfId="33468"/>
    <cellStyle name="Normal 440 4 4 2 2" xfId="33469"/>
    <cellStyle name="Normal 440 4 4 3" xfId="33470"/>
    <cellStyle name="Normal 440 4 5" xfId="33471"/>
    <cellStyle name="Normal 440 4 5 2" xfId="33472"/>
    <cellStyle name="Normal 440 4 5 2 2" xfId="33473"/>
    <cellStyle name="Normal 440 4 5 3" xfId="33474"/>
    <cellStyle name="Normal 440 4 6" xfId="33475"/>
    <cellStyle name="Normal 440 5" xfId="33476"/>
    <cellStyle name="Normal 440 5 2" xfId="33477"/>
    <cellStyle name="Normal 440 5 2 2" xfId="33478"/>
    <cellStyle name="Normal 440 5 3" xfId="33479"/>
    <cellStyle name="Normal 440 6" xfId="33480"/>
    <cellStyle name="Normal 440 6 2" xfId="33481"/>
    <cellStyle name="Normal 440 6 2 2" xfId="33482"/>
    <cellStyle name="Normal 440 6 3" xfId="33483"/>
    <cellStyle name="Normal 440 7" xfId="33484"/>
    <cellStyle name="Normal 440 7 2" xfId="33485"/>
    <cellStyle name="Normal 440 7 2 2" xfId="33486"/>
    <cellStyle name="Normal 440 7 3" xfId="33487"/>
    <cellStyle name="Normal 440 8" xfId="33488"/>
    <cellStyle name="Normal 440 8 2" xfId="33489"/>
    <cellStyle name="Normal 440 8 2 2" xfId="33490"/>
    <cellStyle name="Normal 440 8 3" xfId="33491"/>
    <cellStyle name="Normal 440 8 3 2" xfId="33492"/>
    <cellStyle name="Normal 440 8 4" xfId="33493"/>
    <cellStyle name="Normal 440 9" xfId="33494"/>
    <cellStyle name="Normal 441" xfId="33495"/>
    <cellStyle name="Normal 441 2" xfId="33496"/>
    <cellStyle name="Normal 441 2 2" xfId="33497"/>
    <cellStyle name="Normal 441 2 2 2" xfId="33498"/>
    <cellStyle name="Normal 441 2 3" xfId="33499"/>
    <cellStyle name="Normal 441 2 3 2" xfId="33500"/>
    <cellStyle name="Normal 441 2 3 2 2" xfId="33501"/>
    <cellStyle name="Normal 441 2 3 3" xfId="33502"/>
    <cellStyle name="Normal 441 2 4" xfId="33503"/>
    <cellStyle name="Normal 441 2 4 2" xfId="33504"/>
    <cellStyle name="Normal 441 2 4 2 2" xfId="33505"/>
    <cellStyle name="Normal 441 2 4 3" xfId="33506"/>
    <cellStyle name="Normal 441 2 5" xfId="33507"/>
    <cellStyle name="Normal 441 3" xfId="33508"/>
    <cellStyle name="Normal 441 3 2" xfId="33509"/>
    <cellStyle name="Normal 441 3 2 2" xfId="33510"/>
    <cellStyle name="Normal 441 3 2 2 2" xfId="33511"/>
    <cellStyle name="Normal 441 3 2 3" xfId="33512"/>
    <cellStyle name="Normal 441 3 2 3 2" xfId="33513"/>
    <cellStyle name="Normal 441 3 2 3 2 2" xfId="33514"/>
    <cellStyle name="Normal 441 3 2 3 3" xfId="33515"/>
    <cellStyle name="Normal 441 3 2 4" xfId="33516"/>
    <cellStyle name="Normal 441 3 3" xfId="33517"/>
    <cellStyle name="Normal 441 3 3 2" xfId="33518"/>
    <cellStyle name="Normal 441 3 3 2 2" xfId="33519"/>
    <cellStyle name="Normal 441 3 3 3" xfId="33520"/>
    <cellStyle name="Normal 441 3 4" xfId="33521"/>
    <cellStyle name="Normal 441 3 4 2" xfId="33522"/>
    <cellStyle name="Normal 441 3 4 2 2" xfId="33523"/>
    <cellStyle name="Normal 441 3 4 3" xfId="33524"/>
    <cellStyle name="Normal 441 3 5" xfId="33525"/>
    <cellStyle name="Normal 441 3 5 2" xfId="33526"/>
    <cellStyle name="Normal 441 3 5 2 2" xfId="33527"/>
    <cellStyle name="Normal 441 3 5 3" xfId="33528"/>
    <cellStyle name="Normal 441 3 6" xfId="33529"/>
    <cellStyle name="Normal 441 4" xfId="33530"/>
    <cellStyle name="Normal 441 4 2" xfId="33531"/>
    <cellStyle name="Normal 441 4 2 2" xfId="33532"/>
    <cellStyle name="Normal 441 4 3" xfId="33533"/>
    <cellStyle name="Normal 441 5" xfId="33534"/>
    <cellStyle name="Normal 441 5 2" xfId="33535"/>
    <cellStyle name="Normal 441 5 2 2" xfId="33536"/>
    <cellStyle name="Normal 441 5 3" xfId="33537"/>
    <cellStyle name="Normal 441 6" xfId="33538"/>
    <cellStyle name="Normal 441 6 2" xfId="33539"/>
    <cellStyle name="Normal 441 6 2 2" xfId="33540"/>
    <cellStyle name="Normal 441 6 3" xfId="33541"/>
    <cellStyle name="Normal 441 7" xfId="33542"/>
    <cellStyle name="Normal 442" xfId="33543"/>
    <cellStyle name="Normal 442 2" xfId="33544"/>
    <cellStyle name="Normal 442 2 2" xfId="33545"/>
    <cellStyle name="Normal 442 2 2 2" xfId="33546"/>
    <cellStyle name="Normal 442 2 3" xfId="33547"/>
    <cellStyle name="Normal 442 2 3 2" xfId="33548"/>
    <cellStyle name="Normal 442 2 3 2 2" xfId="33549"/>
    <cellStyle name="Normal 442 2 3 3" xfId="33550"/>
    <cellStyle name="Normal 442 2 4" xfId="33551"/>
    <cellStyle name="Normal 442 2 4 2" xfId="33552"/>
    <cellStyle name="Normal 442 2 4 2 2" xfId="33553"/>
    <cellStyle name="Normal 442 2 4 3" xfId="33554"/>
    <cellStyle name="Normal 442 2 5" xfId="33555"/>
    <cellStyle name="Normal 442 3" xfId="33556"/>
    <cellStyle name="Normal 442 3 2" xfId="33557"/>
    <cellStyle name="Normal 442 3 2 2" xfId="33558"/>
    <cellStyle name="Normal 442 3 2 2 2" xfId="33559"/>
    <cellStyle name="Normal 442 3 2 3" xfId="33560"/>
    <cellStyle name="Normal 442 3 2 3 2" xfId="33561"/>
    <cellStyle name="Normal 442 3 2 3 2 2" xfId="33562"/>
    <cellStyle name="Normal 442 3 2 3 3" xfId="33563"/>
    <cellStyle name="Normal 442 3 2 4" xfId="33564"/>
    <cellStyle name="Normal 442 3 3" xfId="33565"/>
    <cellStyle name="Normal 442 3 3 2" xfId="33566"/>
    <cellStyle name="Normal 442 3 3 2 2" xfId="33567"/>
    <cellStyle name="Normal 442 3 3 3" xfId="33568"/>
    <cellStyle name="Normal 442 3 4" xfId="33569"/>
    <cellStyle name="Normal 442 3 4 2" xfId="33570"/>
    <cellStyle name="Normal 442 3 4 2 2" xfId="33571"/>
    <cellStyle name="Normal 442 3 4 3" xfId="33572"/>
    <cellStyle name="Normal 442 3 5" xfId="33573"/>
    <cellStyle name="Normal 442 3 5 2" xfId="33574"/>
    <cellStyle name="Normal 442 3 5 2 2" xfId="33575"/>
    <cellStyle name="Normal 442 3 5 3" xfId="33576"/>
    <cellStyle name="Normal 442 3 6" xfId="33577"/>
    <cellStyle name="Normal 442 4" xfId="33578"/>
    <cellStyle name="Normal 442 4 2" xfId="33579"/>
    <cellStyle name="Normal 442 4 2 2" xfId="33580"/>
    <cellStyle name="Normal 442 4 3" xfId="33581"/>
    <cellStyle name="Normal 442 5" xfId="33582"/>
    <cellStyle name="Normal 442 5 2" xfId="33583"/>
    <cellStyle name="Normal 442 5 2 2" xfId="33584"/>
    <cellStyle name="Normal 442 5 3" xfId="33585"/>
    <cellStyle name="Normal 442 6" xfId="33586"/>
    <cellStyle name="Normal 442 6 2" xfId="33587"/>
    <cellStyle name="Normal 442 6 2 2" xfId="33588"/>
    <cellStyle name="Normal 442 6 3" xfId="33589"/>
    <cellStyle name="Normal 442 7" xfId="33590"/>
    <cellStyle name="Normal 443" xfId="33591"/>
    <cellStyle name="Normal 443 2" xfId="33592"/>
    <cellStyle name="Normal 443 2 2" xfId="33593"/>
    <cellStyle name="Normal 443 2 2 2" xfId="33594"/>
    <cellStyle name="Normal 443 2 3" xfId="33595"/>
    <cellStyle name="Normal 443 2 3 2" xfId="33596"/>
    <cellStyle name="Normal 443 2 3 2 2" xfId="33597"/>
    <cellStyle name="Normal 443 2 3 3" xfId="33598"/>
    <cellStyle name="Normal 443 2 4" xfId="33599"/>
    <cellStyle name="Normal 443 2 4 2" xfId="33600"/>
    <cellStyle name="Normal 443 2 4 2 2" xfId="33601"/>
    <cellStyle name="Normal 443 2 4 3" xfId="33602"/>
    <cellStyle name="Normal 443 2 5" xfId="33603"/>
    <cellStyle name="Normal 443 3" xfId="33604"/>
    <cellStyle name="Normal 443 3 2" xfId="33605"/>
    <cellStyle name="Normal 443 3 2 2" xfId="33606"/>
    <cellStyle name="Normal 443 3 2 2 2" xfId="33607"/>
    <cellStyle name="Normal 443 3 2 3" xfId="33608"/>
    <cellStyle name="Normal 443 3 2 3 2" xfId="33609"/>
    <cellStyle name="Normal 443 3 2 3 2 2" xfId="33610"/>
    <cellStyle name="Normal 443 3 2 3 3" xfId="33611"/>
    <cellStyle name="Normal 443 3 2 4" xfId="33612"/>
    <cellStyle name="Normal 443 3 3" xfId="33613"/>
    <cellStyle name="Normal 443 3 3 2" xfId="33614"/>
    <cellStyle name="Normal 443 3 3 2 2" xfId="33615"/>
    <cellStyle name="Normal 443 3 3 3" xfId="33616"/>
    <cellStyle name="Normal 443 3 4" xfId="33617"/>
    <cellStyle name="Normal 443 3 4 2" xfId="33618"/>
    <cellStyle name="Normal 443 3 4 2 2" xfId="33619"/>
    <cellStyle name="Normal 443 3 4 3" xfId="33620"/>
    <cellStyle name="Normal 443 3 5" xfId="33621"/>
    <cellStyle name="Normal 443 3 5 2" xfId="33622"/>
    <cellStyle name="Normal 443 3 5 2 2" xfId="33623"/>
    <cellStyle name="Normal 443 3 5 3" xfId="33624"/>
    <cellStyle name="Normal 443 3 6" xfId="33625"/>
    <cellStyle name="Normal 443 4" xfId="33626"/>
    <cellStyle name="Normal 443 4 2" xfId="33627"/>
    <cellStyle name="Normal 443 4 2 2" xfId="33628"/>
    <cellStyle name="Normal 443 4 3" xfId="33629"/>
    <cellStyle name="Normal 443 5" xfId="33630"/>
    <cellStyle name="Normal 443 5 2" xfId="33631"/>
    <cellStyle name="Normal 443 5 2 2" xfId="33632"/>
    <cellStyle name="Normal 443 5 3" xfId="33633"/>
    <cellStyle name="Normal 443 6" xfId="33634"/>
    <cellStyle name="Normal 443 6 2" xfId="33635"/>
    <cellStyle name="Normal 443 6 2 2" xfId="33636"/>
    <cellStyle name="Normal 443 6 3" xfId="33637"/>
    <cellStyle name="Normal 443 7" xfId="33638"/>
    <cellStyle name="Normal 444" xfId="33639"/>
    <cellStyle name="Normal 444 2" xfId="33640"/>
    <cellStyle name="Normal 444 2 2" xfId="33641"/>
    <cellStyle name="Normal 444 2 2 2" xfId="33642"/>
    <cellStyle name="Normal 444 2 3" xfId="33643"/>
    <cellStyle name="Normal 444 2 3 2" xfId="33644"/>
    <cellStyle name="Normal 444 2 3 2 2" xfId="33645"/>
    <cellStyle name="Normal 444 2 3 3" xfId="33646"/>
    <cellStyle name="Normal 444 2 4" xfId="33647"/>
    <cellStyle name="Normal 444 2 4 2" xfId="33648"/>
    <cellStyle name="Normal 444 2 4 2 2" xfId="33649"/>
    <cellStyle name="Normal 444 2 4 3" xfId="33650"/>
    <cellStyle name="Normal 444 2 5" xfId="33651"/>
    <cellStyle name="Normal 444 3" xfId="33652"/>
    <cellStyle name="Normal 444 3 2" xfId="33653"/>
    <cellStyle name="Normal 444 3 2 2" xfId="33654"/>
    <cellStyle name="Normal 444 3 2 2 2" xfId="33655"/>
    <cellStyle name="Normal 444 3 2 3" xfId="33656"/>
    <cellStyle name="Normal 444 3 2 3 2" xfId="33657"/>
    <cellStyle name="Normal 444 3 2 3 2 2" xfId="33658"/>
    <cellStyle name="Normal 444 3 2 3 3" xfId="33659"/>
    <cellStyle name="Normal 444 3 2 4" xfId="33660"/>
    <cellStyle name="Normal 444 3 3" xfId="33661"/>
    <cellStyle name="Normal 444 3 3 2" xfId="33662"/>
    <cellStyle name="Normal 444 3 3 2 2" xfId="33663"/>
    <cellStyle name="Normal 444 3 3 3" xfId="33664"/>
    <cellStyle name="Normal 444 3 4" xfId="33665"/>
    <cellStyle name="Normal 444 3 4 2" xfId="33666"/>
    <cellStyle name="Normal 444 3 4 2 2" xfId="33667"/>
    <cellStyle name="Normal 444 3 4 3" xfId="33668"/>
    <cellStyle name="Normal 444 3 5" xfId="33669"/>
    <cellStyle name="Normal 444 3 5 2" xfId="33670"/>
    <cellStyle name="Normal 444 3 5 2 2" xfId="33671"/>
    <cellStyle name="Normal 444 3 5 3" xfId="33672"/>
    <cellStyle name="Normal 444 3 6" xfId="33673"/>
    <cellStyle name="Normal 444 4" xfId="33674"/>
    <cellStyle name="Normal 444 4 2" xfId="33675"/>
    <cellStyle name="Normal 444 4 2 2" xfId="33676"/>
    <cellStyle name="Normal 444 4 3" xfId="33677"/>
    <cellStyle name="Normal 444 5" xfId="33678"/>
    <cellStyle name="Normal 444 5 2" xfId="33679"/>
    <cellStyle name="Normal 444 5 2 2" xfId="33680"/>
    <cellStyle name="Normal 444 5 3" xfId="33681"/>
    <cellStyle name="Normal 444 6" xfId="33682"/>
    <cellStyle name="Normal 444 6 2" xfId="33683"/>
    <cellStyle name="Normal 444 6 2 2" xfId="33684"/>
    <cellStyle name="Normal 444 6 3" xfId="33685"/>
    <cellStyle name="Normal 444 7" xfId="33686"/>
    <cellStyle name="Normal 445" xfId="33687"/>
    <cellStyle name="Normal 445 2" xfId="33688"/>
    <cellStyle name="Normal 445 2 2" xfId="33689"/>
    <cellStyle name="Normal 445 2 2 2" xfId="33690"/>
    <cellStyle name="Normal 445 2 3" xfId="33691"/>
    <cellStyle name="Normal 445 2 3 2" xfId="33692"/>
    <cellStyle name="Normal 445 2 3 2 2" xfId="33693"/>
    <cellStyle name="Normal 445 2 3 3" xfId="33694"/>
    <cellStyle name="Normal 445 2 4" xfId="33695"/>
    <cellStyle name="Normal 445 2 4 2" xfId="33696"/>
    <cellStyle name="Normal 445 2 4 2 2" xfId="33697"/>
    <cellStyle name="Normal 445 2 4 3" xfId="33698"/>
    <cellStyle name="Normal 445 2 5" xfId="33699"/>
    <cellStyle name="Normal 445 3" xfId="33700"/>
    <cellStyle name="Normal 445 3 2" xfId="33701"/>
    <cellStyle name="Normal 445 3 2 2" xfId="33702"/>
    <cellStyle name="Normal 445 3 2 2 2" xfId="33703"/>
    <cellStyle name="Normal 445 3 2 3" xfId="33704"/>
    <cellStyle name="Normal 445 3 2 3 2" xfId="33705"/>
    <cellStyle name="Normal 445 3 2 3 2 2" xfId="33706"/>
    <cellStyle name="Normal 445 3 2 3 3" xfId="33707"/>
    <cellStyle name="Normal 445 3 2 4" xfId="33708"/>
    <cellStyle name="Normal 445 3 3" xfId="33709"/>
    <cellStyle name="Normal 445 3 3 2" xfId="33710"/>
    <cellStyle name="Normal 445 3 3 2 2" xfId="33711"/>
    <cellStyle name="Normal 445 3 3 3" xfId="33712"/>
    <cellStyle name="Normal 445 3 4" xfId="33713"/>
    <cellStyle name="Normal 445 3 4 2" xfId="33714"/>
    <cellStyle name="Normal 445 3 4 2 2" xfId="33715"/>
    <cellStyle name="Normal 445 3 4 3" xfId="33716"/>
    <cellStyle name="Normal 445 3 5" xfId="33717"/>
    <cellStyle name="Normal 445 3 5 2" xfId="33718"/>
    <cellStyle name="Normal 445 3 5 2 2" xfId="33719"/>
    <cellStyle name="Normal 445 3 5 3" xfId="33720"/>
    <cellStyle name="Normal 445 3 6" xfId="33721"/>
    <cellStyle name="Normal 445 4" xfId="33722"/>
    <cellStyle name="Normal 445 4 2" xfId="33723"/>
    <cellStyle name="Normal 445 4 2 2" xfId="33724"/>
    <cellStyle name="Normal 445 4 3" xfId="33725"/>
    <cellStyle name="Normal 445 5" xfId="33726"/>
    <cellStyle name="Normal 445 5 2" xfId="33727"/>
    <cellStyle name="Normal 445 5 2 2" xfId="33728"/>
    <cellStyle name="Normal 445 5 3" xfId="33729"/>
    <cellStyle name="Normal 445 6" xfId="33730"/>
    <cellStyle name="Normal 445 6 2" xfId="33731"/>
    <cellStyle name="Normal 445 6 2 2" xfId="33732"/>
    <cellStyle name="Normal 445 6 3" xfId="33733"/>
    <cellStyle name="Normal 445 7" xfId="33734"/>
    <cellStyle name="Normal 446" xfId="33735"/>
    <cellStyle name="Normal 446 2" xfId="33736"/>
    <cellStyle name="Normal 446 2 2" xfId="33737"/>
    <cellStyle name="Normal 446 2 2 2" xfId="33738"/>
    <cellStyle name="Normal 446 2 3" xfId="33739"/>
    <cellStyle name="Normal 446 2 3 2" xfId="33740"/>
    <cellStyle name="Normal 446 2 3 2 2" xfId="33741"/>
    <cellStyle name="Normal 446 2 3 3" xfId="33742"/>
    <cellStyle name="Normal 446 2 4" xfId="33743"/>
    <cellStyle name="Normal 446 2 4 2" xfId="33744"/>
    <cellStyle name="Normal 446 2 4 2 2" xfId="33745"/>
    <cellStyle name="Normal 446 2 4 3" xfId="33746"/>
    <cellStyle name="Normal 446 2 5" xfId="33747"/>
    <cellStyle name="Normal 446 3" xfId="33748"/>
    <cellStyle name="Normal 446 3 2" xfId="33749"/>
    <cellStyle name="Normal 446 3 2 2" xfId="33750"/>
    <cellStyle name="Normal 446 3 2 2 2" xfId="33751"/>
    <cellStyle name="Normal 446 3 2 3" xfId="33752"/>
    <cellStyle name="Normal 446 3 2 3 2" xfId="33753"/>
    <cellStyle name="Normal 446 3 2 3 2 2" xfId="33754"/>
    <cellStyle name="Normal 446 3 2 3 3" xfId="33755"/>
    <cellStyle name="Normal 446 3 2 4" xfId="33756"/>
    <cellStyle name="Normal 446 3 3" xfId="33757"/>
    <cellStyle name="Normal 446 3 3 2" xfId="33758"/>
    <cellStyle name="Normal 446 3 3 2 2" xfId="33759"/>
    <cellStyle name="Normal 446 3 3 3" xfId="33760"/>
    <cellStyle name="Normal 446 3 4" xfId="33761"/>
    <cellStyle name="Normal 446 3 4 2" xfId="33762"/>
    <cellStyle name="Normal 446 3 4 2 2" xfId="33763"/>
    <cellStyle name="Normal 446 3 4 3" xfId="33764"/>
    <cellStyle name="Normal 446 3 5" xfId="33765"/>
    <cellStyle name="Normal 446 3 5 2" xfId="33766"/>
    <cellStyle name="Normal 446 3 5 2 2" xfId="33767"/>
    <cellStyle name="Normal 446 3 5 3" xfId="33768"/>
    <cellStyle name="Normal 446 3 6" xfId="33769"/>
    <cellStyle name="Normal 446 4" xfId="33770"/>
    <cellStyle name="Normal 446 4 2" xfId="33771"/>
    <cellStyle name="Normal 446 4 2 2" xfId="33772"/>
    <cellStyle name="Normal 446 4 3" xfId="33773"/>
    <cellStyle name="Normal 446 5" xfId="33774"/>
    <cellStyle name="Normal 446 5 2" xfId="33775"/>
    <cellStyle name="Normal 446 5 2 2" xfId="33776"/>
    <cellStyle name="Normal 446 5 3" xfId="33777"/>
    <cellStyle name="Normal 446 6" xfId="33778"/>
    <cellStyle name="Normal 446 6 2" xfId="33779"/>
    <cellStyle name="Normal 446 6 2 2" xfId="33780"/>
    <cellStyle name="Normal 446 6 3" xfId="33781"/>
    <cellStyle name="Normal 446 7" xfId="33782"/>
    <cellStyle name="Normal 447" xfId="33783"/>
    <cellStyle name="Normal 447 2" xfId="33784"/>
    <cellStyle name="Normal 447 2 2" xfId="33785"/>
    <cellStyle name="Normal 447 2 2 2" xfId="33786"/>
    <cellStyle name="Normal 447 2 3" xfId="33787"/>
    <cellStyle name="Normal 447 2 3 2" xfId="33788"/>
    <cellStyle name="Normal 447 2 3 2 2" xfId="33789"/>
    <cellStyle name="Normal 447 2 3 3" xfId="33790"/>
    <cellStyle name="Normal 447 2 4" xfId="33791"/>
    <cellStyle name="Normal 447 2 4 2" xfId="33792"/>
    <cellStyle name="Normal 447 2 4 2 2" xfId="33793"/>
    <cellStyle name="Normal 447 2 4 3" xfId="33794"/>
    <cellStyle name="Normal 447 2 5" xfId="33795"/>
    <cellStyle name="Normal 447 3" xfId="33796"/>
    <cellStyle name="Normal 447 3 2" xfId="33797"/>
    <cellStyle name="Normal 447 3 2 2" xfId="33798"/>
    <cellStyle name="Normal 447 3 2 2 2" xfId="33799"/>
    <cellStyle name="Normal 447 3 2 3" xfId="33800"/>
    <cellStyle name="Normal 447 3 2 3 2" xfId="33801"/>
    <cellStyle name="Normal 447 3 2 3 2 2" xfId="33802"/>
    <cellStyle name="Normal 447 3 2 3 3" xfId="33803"/>
    <cellStyle name="Normal 447 3 2 4" xfId="33804"/>
    <cellStyle name="Normal 447 3 3" xfId="33805"/>
    <cellStyle name="Normal 447 3 3 2" xfId="33806"/>
    <cellStyle name="Normal 447 3 3 2 2" xfId="33807"/>
    <cellStyle name="Normal 447 3 3 3" xfId="33808"/>
    <cellStyle name="Normal 447 3 4" xfId="33809"/>
    <cellStyle name="Normal 447 3 4 2" xfId="33810"/>
    <cellStyle name="Normal 447 3 4 2 2" xfId="33811"/>
    <cellStyle name="Normal 447 3 4 3" xfId="33812"/>
    <cellStyle name="Normal 447 3 5" xfId="33813"/>
    <cellStyle name="Normal 447 3 5 2" xfId="33814"/>
    <cellStyle name="Normal 447 3 5 2 2" xfId="33815"/>
    <cellStyle name="Normal 447 3 5 3" xfId="33816"/>
    <cellStyle name="Normal 447 3 6" xfId="33817"/>
    <cellStyle name="Normal 447 4" xfId="33818"/>
    <cellStyle name="Normal 447 4 2" xfId="33819"/>
    <cellStyle name="Normal 447 4 2 2" xfId="33820"/>
    <cellStyle name="Normal 447 4 3" xfId="33821"/>
    <cellStyle name="Normal 447 5" xfId="33822"/>
    <cellStyle name="Normal 447 5 2" xfId="33823"/>
    <cellStyle name="Normal 447 5 2 2" xfId="33824"/>
    <cellStyle name="Normal 447 5 3" xfId="33825"/>
    <cellStyle name="Normal 447 6" xfId="33826"/>
    <cellStyle name="Normal 447 6 2" xfId="33827"/>
    <cellStyle name="Normal 447 6 2 2" xfId="33828"/>
    <cellStyle name="Normal 447 6 3" xfId="33829"/>
    <cellStyle name="Normal 447 7" xfId="33830"/>
    <cellStyle name="Normal 448" xfId="33831"/>
    <cellStyle name="Normal 448 2" xfId="33832"/>
    <cellStyle name="Normal 448 2 2" xfId="33833"/>
    <cellStyle name="Normal 448 2 2 2" xfId="33834"/>
    <cellStyle name="Normal 448 2 3" xfId="33835"/>
    <cellStyle name="Normal 448 2 3 2" xfId="33836"/>
    <cellStyle name="Normal 448 2 3 2 2" xfId="33837"/>
    <cellStyle name="Normal 448 2 3 3" xfId="33838"/>
    <cellStyle name="Normal 448 2 4" xfId="33839"/>
    <cellStyle name="Normal 448 2 4 2" xfId="33840"/>
    <cellStyle name="Normal 448 2 4 2 2" xfId="33841"/>
    <cellStyle name="Normal 448 2 4 3" xfId="33842"/>
    <cellStyle name="Normal 448 2 5" xfId="33843"/>
    <cellStyle name="Normal 448 3" xfId="33844"/>
    <cellStyle name="Normal 448 3 2" xfId="33845"/>
    <cellStyle name="Normal 448 3 2 2" xfId="33846"/>
    <cellStyle name="Normal 448 3 2 2 2" xfId="33847"/>
    <cellStyle name="Normal 448 3 2 3" xfId="33848"/>
    <cellStyle name="Normal 448 3 2 3 2" xfId="33849"/>
    <cellStyle name="Normal 448 3 2 3 2 2" xfId="33850"/>
    <cellStyle name="Normal 448 3 2 3 3" xfId="33851"/>
    <cellStyle name="Normal 448 3 2 4" xfId="33852"/>
    <cellStyle name="Normal 448 3 3" xfId="33853"/>
    <cellStyle name="Normal 448 3 3 2" xfId="33854"/>
    <cellStyle name="Normal 448 3 3 2 2" xfId="33855"/>
    <cellStyle name="Normal 448 3 3 3" xfId="33856"/>
    <cellStyle name="Normal 448 3 4" xfId="33857"/>
    <cellStyle name="Normal 448 3 4 2" xfId="33858"/>
    <cellStyle name="Normal 448 3 4 2 2" xfId="33859"/>
    <cellStyle name="Normal 448 3 4 3" xfId="33860"/>
    <cellStyle name="Normal 448 3 5" xfId="33861"/>
    <cellStyle name="Normal 448 3 5 2" xfId="33862"/>
    <cellStyle name="Normal 448 3 5 2 2" xfId="33863"/>
    <cellStyle name="Normal 448 3 5 3" xfId="33864"/>
    <cellStyle name="Normal 448 3 6" xfId="33865"/>
    <cellStyle name="Normal 448 4" xfId="33866"/>
    <cellStyle name="Normal 448 4 2" xfId="33867"/>
    <cellStyle name="Normal 448 4 2 2" xfId="33868"/>
    <cellStyle name="Normal 448 4 3" xfId="33869"/>
    <cellStyle name="Normal 448 5" xfId="33870"/>
    <cellStyle name="Normal 448 5 2" xfId="33871"/>
    <cellStyle name="Normal 448 5 2 2" xfId="33872"/>
    <cellStyle name="Normal 448 5 3" xfId="33873"/>
    <cellStyle name="Normal 448 6" xfId="33874"/>
    <cellStyle name="Normal 448 6 2" xfId="33875"/>
    <cellStyle name="Normal 448 6 2 2" xfId="33876"/>
    <cellStyle name="Normal 448 6 3" xfId="33877"/>
    <cellStyle name="Normal 448 7" xfId="33878"/>
    <cellStyle name="Normal 449" xfId="33879"/>
    <cellStyle name="Normal 449 2" xfId="33880"/>
    <cellStyle name="Normal 449 2 2" xfId="33881"/>
    <cellStyle name="Normal 449 2 2 2" xfId="33882"/>
    <cellStyle name="Normal 449 2 3" xfId="33883"/>
    <cellStyle name="Normal 449 2 3 2" xfId="33884"/>
    <cellStyle name="Normal 449 2 3 2 2" xfId="33885"/>
    <cellStyle name="Normal 449 2 3 3" xfId="33886"/>
    <cellStyle name="Normal 449 2 4" xfId="33887"/>
    <cellStyle name="Normal 449 2 4 2" xfId="33888"/>
    <cellStyle name="Normal 449 2 4 2 2" xfId="33889"/>
    <cellStyle name="Normal 449 2 4 3" xfId="33890"/>
    <cellStyle name="Normal 449 2 5" xfId="33891"/>
    <cellStyle name="Normal 449 3" xfId="33892"/>
    <cellStyle name="Normal 449 3 2" xfId="33893"/>
    <cellStyle name="Normal 449 3 2 2" xfId="33894"/>
    <cellStyle name="Normal 449 3 2 2 2" xfId="33895"/>
    <cellStyle name="Normal 449 3 2 3" xfId="33896"/>
    <cellStyle name="Normal 449 3 2 3 2" xfId="33897"/>
    <cellStyle name="Normal 449 3 2 3 2 2" xfId="33898"/>
    <cellStyle name="Normal 449 3 2 3 3" xfId="33899"/>
    <cellStyle name="Normal 449 3 2 4" xfId="33900"/>
    <cellStyle name="Normal 449 3 3" xfId="33901"/>
    <cellStyle name="Normal 449 3 3 2" xfId="33902"/>
    <cellStyle name="Normal 449 3 3 2 2" xfId="33903"/>
    <cellStyle name="Normal 449 3 3 3" xfId="33904"/>
    <cellStyle name="Normal 449 3 4" xfId="33905"/>
    <cellStyle name="Normal 449 3 4 2" xfId="33906"/>
    <cellStyle name="Normal 449 3 4 2 2" xfId="33907"/>
    <cellStyle name="Normal 449 3 4 3" xfId="33908"/>
    <cellStyle name="Normal 449 3 5" xfId="33909"/>
    <cellStyle name="Normal 449 3 5 2" xfId="33910"/>
    <cellStyle name="Normal 449 3 5 2 2" xfId="33911"/>
    <cellStyle name="Normal 449 3 5 3" xfId="33912"/>
    <cellStyle name="Normal 449 3 6" xfId="33913"/>
    <cellStyle name="Normal 449 4" xfId="33914"/>
    <cellStyle name="Normal 449 4 2" xfId="33915"/>
    <cellStyle name="Normal 449 4 2 2" xfId="33916"/>
    <cellStyle name="Normal 449 4 3" xfId="33917"/>
    <cellStyle name="Normal 449 5" xfId="33918"/>
    <cellStyle name="Normal 449 5 2" xfId="33919"/>
    <cellStyle name="Normal 449 5 2 2" xfId="33920"/>
    <cellStyle name="Normal 449 5 3" xfId="33921"/>
    <cellStyle name="Normal 449 6" xfId="33922"/>
    <cellStyle name="Normal 449 6 2" xfId="33923"/>
    <cellStyle name="Normal 449 6 2 2" xfId="33924"/>
    <cellStyle name="Normal 449 6 3" xfId="33925"/>
    <cellStyle name="Normal 449 7" xfId="33926"/>
    <cellStyle name="Normal 45" xfId="33927"/>
    <cellStyle name="Normal 45 2" xfId="33928"/>
    <cellStyle name="Normal 45 2 2" xfId="33929"/>
    <cellStyle name="Normal 45 2 2 2" xfId="33930"/>
    <cellStyle name="Normal 45 2 2 2 2" xfId="33931"/>
    <cellStyle name="Normal 45 2 2 3" xfId="33932"/>
    <cellStyle name="Normal 45 2 2 3 2" xfId="33933"/>
    <cellStyle name="Normal 45 2 2 3 2 2" xfId="33934"/>
    <cellStyle name="Normal 45 2 2 3 3" xfId="33935"/>
    <cellStyle name="Normal 45 2 2 4" xfId="33936"/>
    <cellStyle name="Normal 45 2 2 4 2" xfId="33937"/>
    <cellStyle name="Normal 45 2 2 4 2 2" xfId="33938"/>
    <cellStyle name="Normal 45 2 2 4 3" xfId="33939"/>
    <cellStyle name="Normal 45 2 2 5" xfId="33940"/>
    <cellStyle name="Normal 45 2 3" xfId="33941"/>
    <cellStyle name="Normal 45 2 3 2" xfId="33942"/>
    <cellStyle name="Normal 45 2 3 2 2" xfId="33943"/>
    <cellStyle name="Normal 45 2 3 3" xfId="33944"/>
    <cellStyle name="Normal 45 2 4" xfId="33945"/>
    <cellStyle name="Normal 45 2 4 2" xfId="33946"/>
    <cellStyle name="Normal 45 2 4 2 2" xfId="33947"/>
    <cellStyle name="Normal 45 2 4 3" xfId="33948"/>
    <cellStyle name="Normal 45 2 5" xfId="33949"/>
    <cellStyle name="Normal 45 2 5 2" xfId="33950"/>
    <cellStyle name="Normal 45 2 5 2 2" xfId="33951"/>
    <cellStyle name="Normal 45 2 5 3" xfId="33952"/>
    <cellStyle name="Normal 45 2 6" xfId="33953"/>
    <cellStyle name="Normal 45 3" xfId="33954"/>
    <cellStyle name="Normal 45 3 2" xfId="33955"/>
    <cellStyle name="Normal 45 3 2 2" xfId="33956"/>
    <cellStyle name="Normal 45 3 3" xfId="33957"/>
    <cellStyle name="Normal 45 3 3 2" xfId="33958"/>
    <cellStyle name="Normal 45 3 3 2 2" xfId="33959"/>
    <cellStyle name="Normal 45 3 3 3" xfId="33960"/>
    <cellStyle name="Normal 45 3 4" xfId="33961"/>
    <cellStyle name="Normal 45 3 4 2" xfId="33962"/>
    <cellStyle name="Normal 45 3 4 2 2" xfId="33963"/>
    <cellStyle name="Normal 45 3 4 3" xfId="33964"/>
    <cellStyle name="Normal 45 3 5" xfId="33965"/>
    <cellStyle name="Normal 45 4" xfId="33966"/>
    <cellStyle name="Normal 45 4 2" xfId="33967"/>
    <cellStyle name="Normal 45 4 2 2" xfId="33968"/>
    <cellStyle name="Normal 45 4 3" xfId="33969"/>
    <cellStyle name="Normal 45 5" xfId="33970"/>
    <cellStyle name="Normal 45 5 2" xfId="33971"/>
    <cellStyle name="Normal 45 5 2 2" xfId="33972"/>
    <cellStyle name="Normal 45 5 3" xfId="33973"/>
    <cellStyle name="Normal 45 6" xfId="33974"/>
    <cellStyle name="Normal 45 6 2" xfId="33975"/>
    <cellStyle name="Normal 45 6 2 2" xfId="33976"/>
    <cellStyle name="Normal 45 6 3" xfId="33977"/>
    <cellStyle name="Normal 45 7" xfId="33978"/>
    <cellStyle name="Normal 450" xfId="33979"/>
    <cellStyle name="Normal 450 2" xfId="33980"/>
    <cellStyle name="Normal 450 2 2" xfId="33981"/>
    <cellStyle name="Normal 450 2 2 2" xfId="33982"/>
    <cellStyle name="Normal 450 2 3" xfId="33983"/>
    <cellStyle name="Normal 450 2 3 2" xfId="33984"/>
    <cellStyle name="Normal 450 2 3 2 2" xfId="33985"/>
    <cellStyle name="Normal 450 2 3 3" xfId="33986"/>
    <cellStyle name="Normal 450 2 4" xfId="33987"/>
    <cellStyle name="Normal 450 2 4 2" xfId="33988"/>
    <cellStyle name="Normal 450 2 4 2 2" xfId="33989"/>
    <cellStyle name="Normal 450 2 4 3" xfId="33990"/>
    <cellStyle name="Normal 450 2 5" xfId="33991"/>
    <cellStyle name="Normal 450 3" xfId="33992"/>
    <cellStyle name="Normal 450 3 2" xfId="33993"/>
    <cellStyle name="Normal 450 3 2 2" xfId="33994"/>
    <cellStyle name="Normal 450 3 2 2 2" xfId="33995"/>
    <cellStyle name="Normal 450 3 2 3" xfId="33996"/>
    <cellStyle name="Normal 450 3 2 3 2" xfId="33997"/>
    <cellStyle name="Normal 450 3 2 3 2 2" xfId="33998"/>
    <cellStyle name="Normal 450 3 2 3 3" xfId="33999"/>
    <cellStyle name="Normal 450 3 2 4" xfId="34000"/>
    <cellStyle name="Normal 450 3 3" xfId="34001"/>
    <cellStyle name="Normal 450 3 3 2" xfId="34002"/>
    <cellStyle name="Normal 450 3 3 2 2" xfId="34003"/>
    <cellStyle name="Normal 450 3 3 3" xfId="34004"/>
    <cellStyle name="Normal 450 3 4" xfId="34005"/>
    <cellStyle name="Normal 450 3 4 2" xfId="34006"/>
    <cellStyle name="Normal 450 3 4 2 2" xfId="34007"/>
    <cellStyle name="Normal 450 3 4 3" xfId="34008"/>
    <cellStyle name="Normal 450 3 5" xfId="34009"/>
    <cellStyle name="Normal 450 3 5 2" xfId="34010"/>
    <cellStyle name="Normal 450 3 5 2 2" xfId="34011"/>
    <cellStyle name="Normal 450 3 5 3" xfId="34012"/>
    <cellStyle name="Normal 450 3 6" xfId="34013"/>
    <cellStyle name="Normal 450 4" xfId="34014"/>
    <cellStyle name="Normal 450 4 2" xfId="34015"/>
    <cellStyle name="Normal 450 4 2 2" xfId="34016"/>
    <cellStyle name="Normal 450 4 3" xfId="34017"/>
    <cellStyle name="Normal 450 5" xfId="34018"/>
    <cellStyle name="Normal 450 5 2" xfId="34019"/>
    <cellStyle name="Normal 450 5 2 2" xfId="34020"/>
    <cellStyle name="Normal 450 5 3" xfId="34021"/>
    <cellStyle name="Normal 450 6" xfId="34022"/>
    <cellStyle name="Normal 450 6 2" xfId="34023"/>
    <cellStyle name="Normal 450 6 2 2" xfId="34024"/>
    <cellStyle name="Normal 450 6 3" xfId="34025"/>
    <cellStyle name="Normal 450 7" xfId="34026"/>
    <cellStyle name="Normal 451" xfId="34027"/>
    <cellStyle name="Normal 451 2" xfId="34028"/>
    <cellStyle name="Normal 451 2 2" xfId="34029"/>
    <cellStyle name="Normal 451 2 2 2" xfId="34030"/>
    <cellStyle name="Normal 451 2 3" xfId="34031"/>
    <cellStyle name="Normal 451 2 3 2" xfId="34032"/>
    <cellStyle name="Normal 451 2 3 2 2" xfId="34033"/>
    <cellStyle name="Normal 451 2 3 3" xfId="34034"/>
    <cellStyle name="Normal 451 2 4" xfId="34035"/>
    <cellStyle name="Normal 451 3" xfId="34036"/>
    <cellStyle name="Normal 451 3 2" xfId="34037"/>
    <cellStyle name="Normal 451 3 2 2" xfId="34038"/>
    <cellStyle name="Normal 451 3 3" xfId="34039"/>
    <cellStyle name="Normal 451 4" xfId="34040"/>
    <cellStyle name="Normal 451 4 2" xfId="34041"/>
    <cellStyle name="Normal 451 4 2 2" xfId="34042"/>
    <cellStyle name="Normal 451 4 3" xfId="34043"/>
    <cellStyle name="Normal 451 5" xfId="34044"/>
    <cellStyle name="Normal 451 5 2" xfId="34045"/>
    <cellStyle name="Normal 451 5 2 2" xfId="34046"/>
    <cellStyle name="Normal 451 5 3" xfId="34047"/>
    <cellStyle name="Normal 451 6" xfId="34048"/>
    <cellStyle name="Normal 452" xfId="34049"/>
    <cellStyle name="Normal 452 2" xfId="34050"/>
    <cellStyle name="Normal 452 2 2" xfId="34051"/>
    <cellStyle name="Normal 452 2 2 2" xfId="34052"/>
    <cellStyle name="Normal 452 2 3" xfId="34053"/>
    <cellStyle name="Normal 452 2 3 2" xfId="34054"/>
    <cellStyle name="Normal 452 2 3 2 2" xfId="34055"/>
    <cellStyle name="Normal 452 2 3 3" xfId="34056"/>
    <cellStyle name="Normal 452 2 4" xfId="34057"/>
    <cellStyle name="Normal 452 3" xfId="34058"/>
    <cellStyle name="Normal 452 3 2" xfId="34059"/>
    <cellStyle name="Normal 452 3 2 2" xfId="34060"/>
    <cellStyle name="Normal 452 3 3" xfId="34061"/>
    <cellStyle name="Normal 452 4" xfId="34062"/>
    <cellStyle name="Normal 452 4 2" xfId="34063"/>
    <cellStyle name="Normal 452 4 2 2" xfId="34064"/>
    <cellStyle name="Normal 452 4 3" xfId="34065"/>
    <cellStyle name="Normal 452 5" xfId="34066"/>
    <cellStyle name="Normal 452 5 2" xfId="34067"/>
    <cellStyle name="Normal 452 5 2 2" xfId="34068"/>
    <cellStyle name="Normal 452 5 3" xfId="34069"/>
    <cellStyle name="Normal 452 6" xfId="34070"/>
    <cellStyle name="Normal 453" xfId="34071"/>
    <cellStyle name="Normal 453 2" xfId="34072"/>
    <cellStyle name="Normal 453 2 2" xfId="34073"/>
    <cellStyle name="Normal 453 2 2 2" xfId="34074"/>
    <cellStyle name="Normal 453 2 3" xfId="34075"/>
    <cellStyle name="Normal 453 2 3 2" xfId="34076"/>
    <cellStyle name="Normal 453 2 3 2 2" xfId="34077"/>
    <cellStyle name="Normal 453 2 3 3" xfId="34078"/>
    <cellStyle name="Normal 453 2 4" xfId="34079"/>
    <cellStyle name="Normal 453 3" xfId="34080"/>
    <cellStyle name="Normal 453 3 2" xfId="34081"/>
    <cellStyle name="Normal 453 3 2 2" xfId="34082"/>
    <cellStyle name="Normal 453 3 3" xfId="34083"/>
    <cellStyle name="Normal 453 4" xfId="34084"/>
    <cellStyle name="Normal 453 4 2" xfId="34085"/>
    <cellStyle name="Normal 453 4 2 2" xfId="34086"/>
    <cellStyle name="Normal 453 4 3" xfId="34087"/>
    <cellStyle name="Normal 453 5" xfId="34088"/>
    <cellStyle name="Normal 453 5 2" xfId="34089"/>
    <cellStyle name="Normal 453 5 2 2" xfId="34090"/>
    <cellStyle name="Normal 453 5 3" xfId="34091"/>
    <cellStyle name="Normal 453 6" xfId="34092"/>
    <cellStyle name="Normal 454" xfId="34093"/>
    <cellStyle name="Normal 454 2" xfId="34094"/>
    <cellStyle name="Normal 454 2 2" xfId="34095"/>
    <cellStyle name="Normal 454 2 2 2" xfId="34096"/>
    <cellStyle name="Normal 454 2 3" xfId="34097"/>
    <cellStyle name="Normal 454 2 3 2" xfId="34098"/>
    <cellStyle name="Normal 454 2 3 2 2" xfId="34099"/>
    <cellStyle name="Normal 454 2 3 3" xfId="34100"/>
    <cellStyle name="Normal 454 2 4" xfId="34101"/>
    <cellStyle name="Normal 454 3" xfId="34102"/>
    <cellStyle name="Normal 454 3 2" xfId="34103"/>
    <cellStyle name="Normal 454 3 2 2" xfId="34104"/>
    <cellStyle name="Normal 454 3 3" xfId="34105"/>
    <cellStyle name="Normal 454 4" xfId="34106"/>
    <cellStyle name="Normal 454 4 2" xfId="34107"/>
    <cellStyle name="Normal 454 4 2 2" xfId="34108"/>
    <cellStyle name="Normal 454 4 3" xfId="34109"/>
    <cellStyle name="Normal 454 5" xfId="34110"/>
    <cellStyle name="Normal 454 5 2" xfId="34111"/>
    <cellStyle name="Normal 454 5 2 2" xfId="34112"/>
    <cellStyle name="Normal 454 5 3" xfId="34113"/>
    <cellStyle name="Normal 454 6" xfId="34114"/>
    <cellStyle name="Normal 455" xfId="34115"/>
    <cellStyle name="Normal 455 2" xfId="34116"/>
    <cellStyle name="Normal 455 2 2" xfId="34117"/>
    <cellStyle name="Normal 455 2 2 2" xfId="34118"/>
    <cellStyle name="Normal 455 2 3" xfId="34119"/>
    <cellStyle name="Normal 455 2 3 2" xfId="34120"/>
    <cellStyle name="Normal 455 2 3 2 2" xfId="34121"/>
    <cellStyle name="Normal 455 2 3 3" xfId="34122"/>
    <cellStyle name="Normal 455 2 4" xfId="34123"/>
    <cellStyle name="Normal 455 3" xfId="34124"/>
    <cellStyle name="Normal 455 3 2" xfId="34125"/>
    <cellStyle name="Normal 455 3 2 2" xfId="34126"/>
    <cellStyle name="Normal 455 3 3" xfId="34127"/>
    <cellStyle name="Normal 455 4" xfId="34128"/>
    <cellStyle name="Normal 455 4 2" xfId="34129"/>
    <cellStyle name="Normal 455 4 2 2" xfId="34130"/>
    <cellStyle name="Normal 455 4 3" xfId="34131"/>
    <cellStyle name="Normal 455 5" xfId="34132"/>
    <cellStyle name="Normal 455 5 2" xfId="34133"/>
    <cellStyle name="Normal 455 5 2 2" xfId="34134"/>
    <cellStyle name="Normal 455 5 3" xfId="34135"/>
    <cellStyle name="Normal 455 6" xfId="34136"/>
    <cellStyle name="Normal 456" xfId="34137"/>
    <cellStyle name="Normal 456 2" xfId="34138"/>
    <cellStyle name="Normal 456 2 2" xfId="34139"/>
    <cellStyle name="Normal 456 2 2 2" xfId="34140"/>
    <cellStyle name="Normal 456 2 3" xfId="34141"/>
    <cellStyle name="Normal 456 2 3 2" xfId="34142"/>
    <cellStyle name="Normal 456 2 3 2 2" xfId="34143"/>
    <cellStyle name="Normal 456 2 3 3" xfId="34144"/>
    <cellStyle name="Normal 456 2 4" xfId="34145"/>
    <cellStyle name="Normal 456 3" xfId="34146"/>
    <cellStyle name="Normal 456 3 2" xfId="34147"/>
    <cellStyle name="Normal 456 3 2 2" xfId="34148"/>
    <cellStyle name="Normal 456 3 3" xfId="34149"/>
    <cellStyle name="Normal 456 4" xfId="34150"/>
    <cellStyle name="Normal 456 4 2" xfId="34151"/>
    <cellStyle name="Normal 456 4 2 2" xfId="34152"/>
    <cellStyle name="Normal 456 4 3" xfId="34153"/>
    <cellStyle name="Normal 456 5" xfId="34154"/>
    <cellStyle name="Normal 456 5 2" xfId="34155"/>
    <cellStyle name="Normal 456 5 2 2" xfId="34156"/>
    <cellStyle name="Normal 456 5 3" xfId="34157"/>
    <cellStyle name="Normal 456 6" xfId="34158"/>
    <cellStyle name="Normal 457" xfId="34159"/>
    <cellStyle name="Normal 457 2" xfId="34160"/>
    <cellStyle name="Normal 457 2 2" xfId="34161"/>
    <cellStyle name="Normal 457 2 2 2" xfId="34162"/>
    <cellStyle name="Normal 457 2 3" xfId="34163"/>
    <cellStyle name="Normal 457 2 3 2" xfId="34164"/>
    <cellStyle name="Normal 457 2 3 2 2" xfId="34165"/>
    <cellStyle name="Normal 457 2 3 3" xfId="34166"/>
    <cellStyle name="Normal 457 2 4" xfId="34167"/>
    <cellStyle name="Normal 457 3" xfId="34168"/>
    <cellStyle name="Normal 457 3 2" xfId="34169"/>
    <cellStyle name="Normal 457 3 2 2" xfId="34170"/>
    <cellStyle name="Normal 457 3 3" xfId="34171"/>
    <cellStyle name="Normal 457 4" xfId="34172"/>
    <cellStyle name="Normal 457 4 2" xfId="34173"/>
    <cellStyle name="Normal 457 4 2 2" xfId="34174"/>
    <cellStyle name="Normal 457 4 3" xfId="34175"/>
    <cellStyle name="Normal 457 5" xfId="34176"/>
    <cellStyle name="Normal 457 5 2" xfId="34177"/>
    <cellStyle name="Normal 457 5 2 2" xfId="34178"/>
    <cellStyle name="Normal 457 5 3" xfId="34179"/>
    <cellStyle name="Normal 457 6" xfId="34180"/>
    <cellStyle name="Normal 458" xfId="34181"/>
    <cellStyle name="Normal 458 2" xfId="34182"/>
    <cellStyle name="Normal 458 2 2" xfId="34183"/>
    <cellStyle name="Normal 458 2 2 2" xfId="34184"/>
    <cellStyle name="Normal 458 2 3" xfId="34185"/>
    <cellStyle name="Normal 458 2 3 2" xfId="34186"/>
    <cellStyle name="Normal 458 2 3 2 2" xfId="34187"/>
    <cellStyle name="Normal 458 2 3 3" xfId="34188"/>
    <cellStyle name="Normal 458 2 4" xfId="34189"/>
    <cellStyle name="Normal 458 3" xfId="34190"/>
    <cellStyle name="Normal 458 3 2" xfId="34191"/>
    <cellStyle name="Normal 458 3 2 2" xfId="34192"/>
    <cellStyle name="Normal 458 3 3" xfId="34193"/>
    <cellStyle name="Normal 458 4" xfId="34194"/>
    <cellStyle name="Normal 458 4 2" xfId="34195"/>
    <cellStyle name="Normal 458 4 2 2" xfId="34196"/>
    <cellStyle name="Normal 458 4 3" xfId="34197"/>
    <cellStyle name="Normal 458 5" xfId="34198"/>
    <cellStyle name="Normal 458 5 2" xfId="34199"/>
    <cellStyle name="Normal 458 5 2 2" xfId="34200"/>
    <cellStyle name="Normal 458 5 3" xfId="34201"/>
    <cellStyle name="Normal 458 6" xfId="34202"/>
    <cellStyle name="Normal 459" xfId="34203"/>
    <cellStyle name="Normal 459 2" xfId="34204"/>
    <cellStyle name="Normal 459 2 2" xfId="34205"/>
    <cellStyle name="Normal 459 2 2 2" xfId="34206"/>
    <cellStyle name="Normal 459 2 3" xfId="34207"/>
    <cellStyle name="Normal 459 2 3 2" xfId="34208"/>
    <cellStyle name="Normal 459 2 3 2 2" xfId="34209"/>
    <cellStyle name="Normal 459 2 3 3" xfId="34210"/>
    <cellStyle name="Normal 459 2 4" xfId="34211"/>
    <cellStyle name="Normal 459 3" xfId="34212"/>
    <cellStyle name="Normal 459 3 2" xfId="34213"/>
    <cellStyle name="Normal 459 3 2 2" xfId="34214"/>
    <cellStyle name="Normal 459 3 3" xfId="34215"/>
    <cellStyle name="Normal 459 4" xfId="34216"/>
    <cellStyle name="Normal 459 4 2" xfId="34217"/>
    <cellStyle name="Normal 459 4 2 2" xfId="34218"/>
    <cellStyle name="Normal 459 4 3" xfId="34219"/>
    <cellStyle name="Normal 459 5" xfId="34220"/>
    <cellStyle name="Normal 459 5 2" xfId="34221"/>
    <cellStyle name="Normal 459 5 2 2" xfId="34222"/>
    <cellStyle name="Normal 459 5 3" xfId="34223"/>
    <cellStyle name="Normal 459 6" xfId="34224"/>
    <cellStyle name="Normal 46" xfId="34225"/>
    <cellStyle name="Normal 46 2" xfId="34226"/>
    <cellStyle name="Normal 46 2 2" xfId="34227"/>
    <cellStyle name="Normal 46 2 2 2" xfId="34228"/>
    <cellStyle name="Normal 46 2 2 2 2" xfId="34229"/>
    <cellStyle name="Normal 46 2 2 3" xfId="34230"/>
    <cellStyle name="Normal 46 2 2 3 2" xfId="34231"/>
    <cellStyle name="Normal 46 2 2 3 2 2" xfId="34232"/>
    <cellStyle name="Normal 46 2 2 3 3" xfId="34233"/>
    <cellStyle name="Normal 46 2 2 4" xfId="34234"/>
    <cellStyle name="Normal 46 2 2 4 2" xfId="34235"/>
    <cellStyle name="Normal 46 2 2 4 2 2" xfId="34236"/>
    <cellStyle name="Normal 46 2 2 4 3" xfId="34237"/>
    <cellStyle name="Normal 46 2 2 5" xfId="34238"/>
    <cellStyle name="Normal 46 2 3" xfId="34239"/>
    <cellStyle name="Normal 46 2 3 2" xfId="34240"/>
    <cellStyle name="Normal 46 2 3 2 2" xfId="34241"/>
    <cellStyle name="Normal 46 2 3 3" xfId="34242"/>
    <cellStyle name="Normal 46 2 4" xfId="34243"/>
    <cellStyle name="Normal 46 2 4 2" xfId="34244"/>
    <cellStyle name="Normal 46 2 4 2 2" xfId="34245"/>
    <cellStyle name="Normal 46 2 4 3" xfId="34246"/>
    <cellStyle name="Normal 46 2 5" xfId="34247"/>
    <cellStyle name="Normal 46 2 5 2" xfId="34248"/>
    <cellStyle name="Normal 46 2 5 2 2" xfId="34249"/>
    <cellStyle name="Normal 46 2 5 3" xfId="34250"/>
    <cellStyle name="Normal 46 2 6" xfId="34251"/>
    <cellStyle name="Normal 46 3" xfId="34252"/>
    <cellStyle name="Normal 46 3 2" xfId="34253"/>
    <cellStyle name="Normal 46 3 2 2" xfId="34254"/>
    <cellStyle name="Normal 46 3 3" xfId="34255"/>
    <cellStyle name="Normal 46 3 3 2" xfId="34256"/>
    <cellStyle name="Normal 46 3 3 2 2" xfId="34257"/>
    <cellStyle name="Normal 46 3 3 3" xfId="34258"/>
    <cellStyle name="Normal 46 3 4" xfId="34259"/>
    <cellStyle name="Normal 46 3 4 2" xfId="34260"/>
    <cellStyle name="Normal 46 3 4 2 2" xfId="34261"/>
    <cellStyle name="Normal 46 3 4 3" xfId="34262"/>
    <cellStyle name="Normal 46 3 5" xfId="34263"/>
    <cellStyle name="Normal 46 4" xfId="34264"/>
    <cellStyle name="Normal 46 4 2" xfId="34265"/>
    <cellStyle name="Normal 46 4 2 2" xfId="34266"/>
    <cellStyle name="Normal 46 4 3" xfId="34267"/>
    <cellStyle name="Normal 46 5" xfId="34268"/>
    <cellStyle name="Normal 46 5 2" xfId="34269"/>
    <cellStyle name="Normal 46 5 2 2" xfId="34270"/>
    <cellStyle name="Normal 46 5 3" xfId="34271"/>
    <cellStyle name="Normal 46 6" xfId="34272"/>
    <cellStyle name="Normal 46 6 2" xfId="34273"/>
    <cellStyle name="Normal 46 6 2 2" xfId="34274"/>
    <cellStyle name="Normal 46 6 3" xfId="34275"/>
    <cellStyle name="Normal 46 7" xfId="34276"/>
    <cellStyle name="Normal 460" xfId="34277"/>
    <cellStyle name="Normal 460 2" xfId="34278"/>
    <cellStyle name="Normal 460 2 2" xfId="34279"/>
    <cellStyle name="Normal 460 2 2 2" xfId="34280"/>
    <cellStyle name="Normal 460 2 3" xfId="34281"/>
    <cellStyle name="Normal 460 2 3 2" xfId="34282"/>
    <cellStyle name="Normal 460 2 3 2 2" xfId="34283"/>
    <cellStyle name="Normal 460 2 3 3" xfId="34284"/>
    <cellStyle name="Normal 460 2 4" xfId="34285"/>
    <cellStyle name="Normal 460 3" xfId="34286"/>
    <cellStyle name="Normal 460 3 2" xfId="34287"/>
    <cellStyle name="Normal 460 3 2 2" xfId="34288"/>
    <cellStyle name="Normal 460 3 3" xfId="34289"/>
    <cellStyle name="Normal 460 4" xfId="34290"/>
    <cellStyle name="Normal 460 4 2" xfId="34291"/>
    <cellStyle name="Normal 460 4 2 2" xfId="34292"/>
    <cellStyle name="Normal 460 4 3" xfId="34293"/>
    <cellStyle name="Normal 460 5" xfId="34294"/>
    <cellStyle name="Normal 460 5 2" xfId="34295"/>
    <cellStyle name="Normal 460 5 2 2" xfId="34296"/>
    <cellStyle name="Normal 460 5 3" xfId="34297"/>
    <cellStyle name="Normal 460 6" xfId="34298"/>
    <cellStyle name="Normal 461" xfId="34299"/>
    <cellStyle name="Normal 461 2" xfId="34300"/>
    <cellStyle name="Normal 461 2 2" xfId="34301"/>
    <cellStyle name="Normal 461 2 2 2" xfId="34302"/>
    <cellStyle name="Normal 461 2 3" xfId="34303"/>
    <cellStyle name="Normal 461 2 3 2" xfId="34304"/>
    <cellStyle name="Normal 461 2 3 2 2" xfId="34305"/>
    <cellStyle name="Normal 461 2 3 3" xfId="34306"/>
    <cellStyle name="Normal 461 2 4" xfId="34307"/>
    <cellStyle name="Normal 461 3" xfId="34308"/>
    <cellStyle name="Normal 461 3 2" xfId="34309"/>
    <cellStyle name="Normal 461 3 2 2" xfId="34310"/>
    <cellStyle name="Normal 461 3 3" xfId="34311"/>
    <cellStyle name="Normal 461 4" xfId="34312"/>
    <cellStyle name="Normal 461 4 2" xfId="34313"/>
    <cellStyle name="Normal 461 4 2 2" xfId="34314"/>
    <cellStyle name="Normal 461 4 3" xfId="34315"/>
    <cellStyle name="Normal 461 5" xfId="34316"/>
    <cellStyle name="Normal 461 5 2" xfId="34317"/>
    <cellStyle name="Normal 461 5 2 2" xfId="34318"/>
    <cellStyle name="Normal 461 5 3" xfId="34319"/>
    <cellStyle name="Normal 461 6" xfId="34320"/>
    <cellStyle name="Normal 462" xfId="34321"/>
    <cellStyle name="Normal 462 2" xfId="34322"/>
    <cellStyle name="Normal 462 2 2" xfId="34323"/>
    <cellStyle name="Normal 462 2 2 2" xfId="34324"/>
    <cellStyle name="Normal 462 2 3" xfId="34325"/>
    <cellStyle name="Normal 462 2 3 2" xfId="34326"/>
    <cellStyle name="Normal 462 2 3 2 2" xfId="34327"/>
    <cellStyle name="Normal 462 2 3 3" xfId="34328"/>
    <cellStyle name="Normal 462 2 4" xfId="34329"/>
    <cellStyle name="Normal 462 3" xfId="34330"/>
    <cellStyle name="Normal 462 3 2" xfId="34331"/>
    <cellStyle name="Normal 462 3 2 2" xfId="34332"/>
    <cellStyle name="Normal 462 3 3" xfId="34333"/>
    <cellStyle name="Normal 462 4" xfId="34334"/>
    <cellStyle name="Normal 462 4 2" xfId="34335"/>
    <cellStyle name="Normal 462 4 2 2" xfId="34336"/>
    <cellStyle name="Normal 462 4 3" xfId="34337"/>
    <cellStyle name="Normal 462 5" xfId="34338"/>
    <cellStyle name="Normal 462 5 2" xfId="34339"/>
    <cellStyle name="Normal 462 5 2 2" xfId="34340"/>
    <cellStyle name="Normal 462 5 3" xfId="34341"/>
    <cellStyle name="Normal 462 6" xfId="34342"/>
    <cellStyle name="Normal 463" xfId="34343"/>
    <cellStyle name="Normal 463 2" xfId="34344"/>
    <cellStyle name="Normal 463 2 2" xfId="34345"/>
    <cellStyle name="Normal 463 2 2 2" xfId="34346"/>
    <cellStyle name="Normal 463 2 3" xfId="34347"/>
    <cellStyle name="Normal 463 2 3 2" xfId="34348"/>
    <cellStyle name="Normal 463 2 3 2 2" xfId="34349"/>
    <cellStyle name="Normal 463 2 3 3" xfId="34350"/>
    <cellStyle name="Normal 463 2 4" xfId="34351"/>
    <cellStyle name="Normal 463 3" xfId="34352"/>
    <cellStyle name="Normal 463 3 2" xfId="34353"/>
    <cellStyle name="Normal 463 3 2 2" xfId="34354"/>
    <cellStyle name="Normal 463 3 3" xfId="34355"/>
    <cellStyle name="Normal 463 4" xfId="34356"/>
    <cellStyle name="Normal 463 4 2" xfId="34357"/>
    <cellStyle name="Normal 463 4 2 2" xfId="34358"/>
    <cellStyle name="Normal 463 4 3" xfId="34359"/>
    <cellStyle name="Normal 463 5" xfId="34360"/>
    <cellStyle name="Normal 463 5 2" xfId="34361"/>
    <cellStyle name="Normal 463 5 2 2" xfId="34362"/>
    <cellStyle name="Normal 463 5 3" xfId="34363"/>
    <cellStyle name="Normal 463 6" xfId="34364"/>
    <cellStyle name="Normal 464" xfId="34365"/>
    <cellStyle name="Normal 464 2" xfId="34366"/>
    <cellStyle name="Normal 464 2 2" xfId="34367"/>
    <cellStyle name="Normal 464 2 2 2" xfId="34368"/>
    <cellStyle name="Normal 464 2 3" xfId="34369"/>
    <cellStyle name="Normal 464 2 3 2" xfId="34370"/>
    <cellStyle name="Normal 464 2 3 2 2" xfId="34371"/>
    <cellStyle name="Normal 464 2 3 3" xfId="34372"/>
    <cellStyle name="Normal 464 2 4" xfId="34373"/>
    <cellStyle name="Normal 464 3" xfId="34374"/>
    <cellStyle name="Normal 464 3 2" xfId="34375"/>
    <cellStyle name="Normal 464 3 2 2" xfId="34376"/>
    <cellStyle name="Normal 464 3 3" xfId="34377"/>
    <cellStyle name="Normal 464 4" xfId="34378"/>
    <cellStyle name="Normal 464 4 2" xfId="34379"/>
    <cellStyle name="Normal 464 4 2 2" xfId="34380"/>
    <cellStyle name="Normal 464 4 3" xfId="34381"/>
    <cellStyle name="Normal 464 5" xfId="34382"/>
    <cellStyle name="Normal 464 5 2" xfId="34383"/>
    <cellStyle name="Normal 464 5 2 2" xfId="34384"/>
    <cellStyle name="Normal 464 5 3" xfId="34385"/>
    <cellStyle name="Normal 464 6" xfId="34386"/>
    <cellStyle name="Normal 465" xfId="34387"/>
    <cellStyle name="Normal 465 2" xfId="34388"/>
    <cellStyle name="Normal 465 2 2" xfId="34389"/>
    <cellStyle name="Normal 465 2 2 2" xfId="34390"/>
    <cellStyle name="Normal 465 2 3" xfId="34391"/>
    <cellStyle name="Normal 465 2 3 2" xfId="34392"/>
    <cellStyle name="Normal 465 2 3 2 2" xfId="34393"/>
    <cellStyle name="Normal 465 2 3 3" xfId="34394"/>
    <cellStyle name="Normal 465 2 4" xfId="34395"/>
    <cellStyle name="Normal 465 3" xfId="34396"/>
    <cellStyle name="Normal 465 3 2" xfId="34397"/>
    <cellStyle name="Normal 465 3 2 2" xfId="34398"/>
    <cellStyle name="Normal 465 3 3" xfId="34399"/>
    <cellStyle name="Normal 465 4" xfId="34400"/>
    <cellStyle name="Normal 465 4 2" xfId="34401"/>
    <cellStyle name="Normal 465 4 2 2" xfId="34402"/>
    <cellStyle name="Normal 465 4 3" xfId="34403"/>
    <cellStyle name="Normal 465 5" xfId="34404"/>
    <cellStyle name="Normal 465 5 2" xfId="34405"/>
    <cellStyle name="Normal 465 5 2 2" xfId="34406"/>
    <cellStyle name="Normal 465 5 3" xfId="34407"/>
    <cellStyle name="Normal 465 6" xfId="34408"/>
    <cellStyle name="Normal 466" xfId="34409"/>
    <cellStyle name="Normal 466 2" xfId="34410"/>
    <cellStyle name="Normal 466 2 2" xfId="34411"/>
    <cellStyle name="Normal 466 2 2 2" xfId="34412"/>
    <cellStyle name="Normal 466 2 3" xfId="34413"/>
    <cellStyle name="Normal 466 2 3 2" xfId="34414"/>
    <cellStyle name="Normal 466 2 3 2 2" xfId="34415"/>
    <cellStyle name="Normal 466 2 3 3" xfId="34416"/>
    <cellStyle name="Normal 466 2 4" xfId="34417"/>
    <cellStyle name="Normal 466 3" xfId="34418"/>
    <cellStyle name="Normal 466 3 2" xfId="34419"/>
    <cellStyle name="Normal 466 3 2 2" xfId="34420"/>
    <cellStyle name="Normal 466 3 3" xfId="34421"/>
    <cellStyle name="Normal 466 4" xfId="34422"/>
    <cellStyle name="Normal 466 4 2" xfId="34423"/>
    <cellStyle name="Normal 466 4 2 2" xfId="34424"/>
    <cellStyle name="Normal 466 4 3" xfId="34425"/>
    <cellStyle name="Normal 466 5" xfId="34426"/>
    <cellStyle name="Normal 466 5 2" xfId="34427"/>
    <cellStyle name="Normal 466 5 2 2" xfId="34428"/>
    <cellStyle name="Normal 466 5 3" xfId="34429"/>
    <cellStyle name="Normal 466 6" xfId="34430"/>
    <cellStyle name="Normal 467" xfId="34431"/>
    <cellStyle name="Normal 467 2" xfId="34432"/>
    <cellStyle name="Normal 467 2 2" xfId="34433"/>
    <cellStyle name="Normal 467 2 2 2" xfId="34434"/>
    <cellStyle name="Normal 467 2 3" xfId="34435"/>
    <cellStyle name="Normal 467 2 3 2" xfId="34436"/>
    <cellStyle name="Normal 467 2 3 2 2" xfId="34437"/>
    <cellStyle name="Normal 467 2 3 3" xfId="34438"/>
    <cellStyle name="Normal 467 2 4" xfId="34439"/>
    <cellStyle name="Normal 467 3" xfId="34440"/>
    <cellStyle name="Normal 467 3 2" xfId="34441"/>
    <cellStyle name="Normal 467 3 2 2" xfId="34442"/>
    <cellStyle name="Normal 467 3 3" xfId="34443"/>
    <cellStyle name="Normal 467 4" xfId="34444"/>
    <cellStyle name="Normal 467 4 2" xfId="34445"/>
    <cellStyle name="Normal 467 4 2 2" xfId="34446"/>
    <cellStyle name="Normal 467 4 3" xfId="34447"/>
    <cellStyle name="Normal 467 5" xfId="34448"/>
    <cellStyle name="Normal 467 5 2" xfId="34449"/>
    <cellStyle name="Normal 467 5 2 2" xfId="34450"/>
    <cellStyle name="Normal 467 5 3" xfId="34451"/>
    <cellStyle name="Normal 467 6" xfId="34452"/>
    <cellStyle name="Normal 468" xfId="34453"/>
    <cellStyle name="Normal 468 2" xfId="34454"/>
    <cellStyle name="Normal 468 2 2" xfId="34455"/>
    <cellStyle name="Normal 468 2 2 2" xfId="34456"/>
    <cellStyle name="Normal 468 2 3" xfId="34457"/>
    <cellStyle name="Normal 468 2 3 2" xfId="34458"/>
    <cellStyle name="Normal 468 2 3 2 2" xfId="34459"/>
    <cellStyle name="Normal 468 2 3 3" xfId="34460"/>
    <cellStyle name="Normal 468 2 4" xfId="34461"/>
    <cellStyle name="Normal 468 3" xfId="34462"/>
    <cellStyle name="Normal 468 3 2" xfId="34463"/>
    <cellStyle name="Normal 468 3 2 2" xfId="34464"/>
    <cellStyle name="Normal 468 3 3" xfId="34465"/>
    <cellStyle name="Normal 468 4" xfId="34466"/>
    <cellStyle name="Normal 468 4 2" xfId="34467"/>
    <cellStyle name="Normal 468 4 2 2" xfId="34468"/>
    <cellStyle name="Normal 468 4 3" xfId="34469"/>
    <cellStyle name="Normal 468 5" xfId="34470"/>
    <cellStyle name="Normal 468 5 2" xfId="34471"/>
    <cellStyle name="Normal 468 5 2 2" xfId="34472"/>
    <cellStyle name="Normal 468 5 3" xfId="34473"/>
    <cellStyle name="Normal 468 6" xfId="34474"/>
    <cellStyle name="Normal 469" xfId="34475"/>
    <cellStyle name="Normal 469 2" xfId="34476"/>
    <cellStyle name="Normal 469 2 2" xfId="34477"/>
    <cellStyle name="Normal 469 2 2 2" xfId="34478"/>
    <cellStyle name="Normal 469 2 3" xfId="34479"/>
    <cellStyle name="Normal 469 2 3 2" xfId="34480"/>
    <cellStyle name="Normal 469 2 3 2 2" xfId="34481"/>
    <cellStyle name="Normal 469 2 3 3" xfId="34482"/>
    <cellStyle name="Normal 469 2 4" xfId="34483"/>
    <cellStyle name="Normal 469 3" xfId="34484"/>
    <cellStyle name="Normal 469 3 2" xfId="34485"/>
    <cellStyle name="Normal 469 3 2 2" xfId="34486"/>
    <cellStyle name="Normal 469 3 3" xfId="34487"/>
    <cellStyle name="Normal 469 4" xfId="34488"/>
    <cellStyle name="Normal 469 4 2" xfId="34489"/>
    <cellStyle name="Normal 469 4 2 2" xfId="34490"/>
    <cellStyle name="Normal 469 4 3" xfId="34491"/>
    <cellStyle name="Normal 469 5" xfId="34492"/>
    <cellStyle name="Normal 469 5 2" xfId="34493"/>
    <cellStyle name="Normal 469 5 2 2" xfId="34494"/>
    <cellStyle name="Normal 469 5 3" xfId="34495"/>
    <cellStyle name="Normal 469 6" xfId="34496"/>
    <cellStyle name="Normal 47" xfId="34497"/>
    <cellStyle name="Normal 47 2" xfId="34498"/>
    <cellStyle name="Normal 47 2 2" xfId="34499"/>
    <cellStyle name="Normal 47 2 2 2" xfId="34500"/>
    <cellStyle name="Normal 47 2 2 2 2" xfId="34501"/>
    <cellStyle name="Normal 47 2 2 3" xfId="34502"/>
    <cellStyle name="Normal 47 2 2 3 2" xfId="34503"/>
    <cellStyle name="Normal 47 2 2 3 2 2" xfId="34504"/>
    <cellStyle name="Normal 47 2 2 3 3" xfId="34505"/>
    <cellStyle name="Normal 47 2 2 4" xfId="34506"/>
    <cellStyle name="Normal 47 2 2 4 2" xfId="34507"/>
    <cellStyle name="Normal 47 2 2 4 2 2" xfId="34508"/>
    <cellStyle name="Normal 47 2 2 4 3" xfId="34509"/>
    <cellStyle name="Normal 47 2 2 5" xfId="34510"/>
    <cellStyle name="Normal 47 2 3" xfId="34511"/>
    <cellStyle name="Normal 47 2 3 2" xfId="34512"/>
    <cellStyle name="Normal 47 2 3 2 2" xfId="34513"/>
    <cellStyle name="Normal 47 2 3 3" xfId="34514"/>
    <cellStyle name="Normal 47 2 4" xfId="34515"/>
    <cellStyle name="Normal 47 2 4 2" xfId="34516"/>
    <cellStyle name="Normal 47 2 4 2 2" xfId="34517"/>
    <cellStyle name="Normal 47 2 4 3" xfId="34518"/>
    <cellStyle name="Normal 47 2 5" xfId="34519"/>
    <cellStyle name="Normal 47 2 5 2" xfId="34520"/>
    <cellStyle name="Normal 47 2 5 2 2" xfId="34521"/>
    <cellStyle name="Normal 47 2 5 3" xfId="34522"/>
    <cellStyle name="Normal 47 2 6" xfId="34523"/>
    <cellStyle name="Normal 47 3" xfId="34524"/>
    <cellStyle name="Normal 47 3 2" xfId="34525"/>
    <cellStyle name="Normal 47 3 2 2" xfId="34526"/>
    <cellStyle name="Normal 47 3 3" xfId="34527"/>
    <cellStyle name="Normal 47 3 3 2" xfId="34528"/>
    <cellStyle name="Normal 47 3 3 2 2" xfId="34529"/>
    <cellStyle name="Normal 47 3 3 3" xfId="34530"/>
    <cellStyle name="Normal 47 3 4" xfId="34531"/>
    <cellStyle name="Normal 47 3 4 2" xfId="34532"/>
    <cellStyle name="Normal 47 3 4 2 2" xfId="34533"/>
    <cellStyle name="Normal 47 3 4 3" xfId="34534"/>
    <cellStyle name="Normal 47 3 5" xfId="34535"/>
    <cellStyle name="Normal 47 4" xfId="34536"/>
    <cellStyle name="Normal 47 4 2" xfId="34537"/>
    <cellStyle name="Normal 47 4 2 2" xfId="34538"/>
    <cellStyle name="Normal 47 4 3" xfId="34539"/>
    <cellStyle name="Normal 47 5" xfId="34540"/>
    <cellStyle name="Normal 47 5 2" xfId="34541"/>
    <cellStyle name="Normal 47 5 2 2" xfId="34542"/>
    <cellStyle name="Normal 47 5 3" xfId="34543"/>
    <cellStyle name="Normal 47 6" xfId="34544"/>
    <cellStyle name="Normal 47 6 2" xfId="34545"/>
    <cellStyle name="Normal 47 6 2 2" xfId="34546"/>
    <cellStyle name="Normal 47 6 3" xfId="34547"/>
    <cellStyle name="Normal 47 7" xfId="34548"/>
    <cellStyle name="Normal 470" xfId="34549"/>
    <cellStyle name="Normal 470 2" xfId="34550"/>
    <cellStyle name="Normal 470 2 2" xfId="34551"/>
    <cellStyle name="Normal 470 2 2 2" xfId="34552"/>
    <cellStyle name="Normal 470 2 3" xfId="34553"/>
    <cellStyle name="Normal 470 2 3 2" xfId="34554"/>
    <cellStyle name="Normal 470 2 3 2 2" xfId="34555"/>
    <cellStyle name="Normal 470 2 3 3" xfId="34556"/>
    <cellStyle name="Normal 470 2 4" xfId="34557"/>
    <cellStyle name="Normal 470 3" xfId="34558"/>
    <cellStyle name="Normal 470 3 2" xfId="34559"/>
    <cellStyle name="Normal 470 3 2 2" xfId="34560"/>
    <cellStyle name="Normal 470 3 3" xfId="34561"/>
    <cellStyle name="Normal 470 4" xfId="34562"/>
    <cellStyle name="Normal 470 4 2" xfId="34563"/>
    <cellStyle name="Normal 470 4 2 2" xfId="34564"/>
    <cellStyle name="Normal 470 4 3" xfId="34565"/>
    <cellStyle name="Normal 470 5" xfId="34566"/>
    <cellStyle name="Normal 470 5 2" xfId="34567"/>
    <cellStyle name="Normal 470 5 2 2" xfId="34568"/>
    <cellStyle name="Normal 470 5 3" xfId="34569"/>
    <cellStyle name="Normal 470 6" xfId="34570"/>
    <cellStyle name="Normal 471" xfId="34571"/>
    <cellStyle name="Normal 471 2" xfId="34572"/>
    <cellStyle name="Normal 471 2 2" xfId="34573"/>
    <cellStyle name="Normal 471 2 2 2" xfId="34574"/>
    <cellStyle name="Normal 471 2 3" xfId="34575"/>
    <cellStyle name="Normal 471 2 3 2" xfId="34576"/>
    <cellStyle name="Normal 471 2 3 2 2" xfId="34577"/>
    <cellStyle name="Normal 471 2 3 3" xfId="34578"/>
    <cellStyle name="Normal 471 2 4" xfId="34579"/>
    <cellStyle name="Normal 471 3" xfId="34580"/>
    <cellStyle name="Normal 471 3 2" xfId="34581"/>
    <cellStyle name="Normal 471 3 2 2" xfId="34582"/>
    <cellStyle name="Normal 471 3 3" xfId="34583"/>
    <cellStyle name="Normal 471 4" xfId="34584"/>
    <cellStyle name="Normal 471 4 2" xfId="34585"/>
    <cellStyle name="Normal 471 4 2 2" xfId="34586"/>
    <cellStyle name="Normal 471 4 3" xfId="34587"/>
    <cellStyle name="Normal 471 5" xfId="34588"/>
    <cellStyle name="Normal 471 5 2" xfId="34589"/>
    <cellStyle name="Normal 471 5 2 2" xfId="34590"/>
    <cellStyle name="Normal 471 5 3" xfId="34591"/>
    <cellStyle name="Normal 471 6" xfId="34592"/>
    <cellStyle name="Normal 472" xfId="34593"/>
    <cellStyle name="Normal 472 2" xfId="34594"/>
    <cellStyle name="Normal 472 2 2" xfId="34595"/>
    <cellStyle name="Normal 472 2 2 2" xfId="34596"/>
    <cellStyle name="Normal 472 2 3" xfId="34597"/>
    <cellStyle name="Normal 472 2 3 2" xfId="34598"/>
    <cellStyle name="Normal 472 2 3 2 2" xfId="34599"/>
    <cellStyle name="Normal 472 2 3 3" xfId="34600"/>
    <cellStyle name="Normal 472 2 4" xfId="34601"/>
    <cellStyle name="Normal 472 3" xfId="34602"/>
    <cellStyle name="Normal 472 3 2" xfId="34603"/>
    <cellStyle name="Normal 472 3 2 2" xfId="34604"/>
    <cellStyle name="Normal 472 3 3" xfId="34605"/>
    <cellStyle name="Normal 472 4" xfId="34606"/>
    <cellStyle name="Normal 472 4 2" xfId="34607"/>
    <cellStyle name="Normal 472 4 2 2" xfId="34608"/>
    <cellStyle name="Normal 472 4 3" xfId="34609"/>
    <cellStyle name="Normal 472 5" xfId="34610"/>
    <cellStyle name="Normal 472 5 2" xfId="34611"/>
    <cellStyle name="Normal 472 5 2 2" xfId="34612"/>
    <cellStyle name="Normal 472 5 3" xfId="34613"/>
    <cellStyle name="Normal 472 6" xfId="34614"/>
    <cellStyle name="Normal 473" xfId="34615"/>
    <cellStyle name="Normal 473 2" xfId="34616"/>
    <cellStyle name="Normal 473 2 2" xfId="34617"/>
    <cellStyle name="Normal 473 2 2 2" xfId="34618"/>
    <cellStyle name="Normal 473 2 3" xfId="34619"/>
    <cellStyle name="Normal 473 2 3 2" xfId="34620"/>
    <cellStyle name="Normal 473 2 3 2 2" xfId="34621"/>
    <cellStyle name="Normal 473 2 3 3" xfId="34622"/>
    <cellStyle name="Normal 473 2 4" xfId="34623"/>
    <cellStyle name="Normal 473 3" xfId="34624"/>
    <cellStyle name="Normal 473 3 2" xfId="34625"/>
    <cellStyle name="Normal 473 3 2 2" xfId="34626"/>
    <cellStyle name="Normal 473 3 3" xfId="34627"/>
    <cellStyle name="Normal 473 4" xfId="34628"/>
    <cellStyle name="Normal 473 4 2" xfId="34629"/>
    <cellStyle name="Normal 473 4 2 2" xfId="34630"/>
    <cellStyle name="Normal 473 4 3" xfId="34631"/>
    <cellStyle name="Normal 473 5" xfId="34632"/>
    <cellStyle name="Normal 473 5 2" xfId="34633"/>
    <cellStyle name="Normal 473 5 2 2" xfId="34634"/>
    <cellStyle name="Normal 473 5 3" xfId="34635"/>
    <cellStyle name="Normal 473 6" xfId="34636"/>
    <cellStyle name="Normal 474" xfId="34637"/>
    <cellStyle name="Normal 474 2" xfId="34638"/>
    <cellStyle name="Normal 474 2 2" xfId="34639"/>
    <cellStyle name="Normal 474 2 2 2" xfId="34640"/>
    <cellStyle name="Normal 474 2 3" xfId="34641"/>
    <cellStyle name="Normal 474 2 3 2" xfId="34642"/>
    <cellStyle name="Normal 474 2 3 2 2" xfId="34643"/>
    <cellStyle name="Normal 474 2 3 3" xfId="34644"/>
    <cellStyle name="Normal 474 2 4" xfId="34645"/>
    <cellStyle name="Normal 474 3" xfId="34646"/>
    <cellStyle name="Normal 474 3 2" xfId="34647"/>
    <cellStyle name="Normal 474 3 2 2" xfId="34648"/>
    <cellStyle name="Normal 474 3 3" xfId="34649"/>
    <cellStyle name="Normal 474 4" xfId="34650"/>
    <cellStyle name="Normal 474 4 2" xfId="34651"/>
    <cellStyle name="Normal 474 4 2 2" xfId="34652"/>
    <cellStyle name="Normal 474 4 3" xfId="34653"/>
    <cellStyle name="Normal 474 5" xfId="34654"/>
    <cellStyle name="Normal 474 5 2" xfId="34655"/>
    <cellStyle name="Normal 474 5 2 2" xfId="34656"/>
    <cellStyle name="Normal 474 5 3" xfId="34657"/>
    <cellStyle name="Normal 474 6" xfId="34658"/>
    <cellStyle name="Normal 475" xfId="34659"/>
    <cellStyle name="Normal 475 2" xfId="34660"/>
    <cellStyle name="Normal 475 2 2" xfId="34661"/>
    <cellStyle name="Normal 475 2 2 2" xfId="34662"/>
    <cellStyle name="Normal 475 2 3" xfId="34663"/>
    <cellStyle name="Normal 475 2 3 2" xfId="34664"/>
    <cellStyle name="Normal 475 2 3 2 2" xfId="34665"/>
    <cellStyle name="Normal 475 2 3 3" xfId="34666"/>
    <cellStyle name="Normal 475 2 4" xfId="34667"/>
    <cellStyle name="Normal 475 3" xfId="34668"/>
    <cellStyle name="Normal 475 3 2" xfId="34669"/>
    <cellStyle name="Normal 475 3 2 2" xfId="34670"/>
    <cellStyle name="Normal 475 3 3" xfId="34671"/>
    <cellStyle name="Normal 475 4" xfId="34672"/>
    <cellStyle name="Normal 475 4 2" xfId="34673"/>
    <cellStyle name="Normal 475 4 2 2" xfId="34674"/>
    <cellStyle name="Normal 475 4 3" xfId="34675"/>
    <cellStyle name="Normal 475 5" xfId="34676"/>
    <cellStyle name="Normal 475 5 2" xfId="34677"/>
    <cellStyle name="Normal 475 5 2 2" xfId="34678"/>
    <cellStyle name="Normal 475 5 3" xfId="34679"/>
    <cellStyle name="Normal 475 6" xfId="34680"/>
    <cellStyle name="Normal 476" xfId="34681"/>
    <cellStyle name="Normal 476 2" xfId="34682"/>
    <cellStyle name="Normal 476 2 2" xfId="34683"/>
    <cellStyle name="Normal 476 2 2 2" xfId="34684"/>
    <cellStyle name="Normal 476 2 3" xfId="34685"/>
    <cellStyle name="Normal 476 2 3 2" xfId="34686"/>
    <cellStyle name="Normal 476 2 3 2 2" xfId="34687"/>
    <cellStyle name="Normal 476 2 3 3" xfId="34688"/>
    <cellStyle name="Normal 476 2 4" xfId="34689"/>
    <cellStyle name="Normal 476 3" xfId="34690"/>
    <cellStyle name="Normal 476 3 2" xfId="34691"/>
    <cellStyle name="Normal 476 3 2 2" xfId="34692"/>
    <cellStyle name="Normal 476 3 3" xfId="34693"/>
    <cellStyle name="Normal 476 4" xfId="34694"/>
    <cellStyle name="Normal 476 4 2" xfId="34695"/>
    <cellStyle name="Normal 476 4 2 2" xfId="34696"/>
    <cellStyle name="Normal 476 4 3" xfId="34697"/>
    <cellStyle name="Normal 476 5" xfId="34698"/>
    <cellStyle name="Normal 476 5 2" xfId="34699"/>
    <cellStyle name="Normal 476 5 2 2" xfId="34700"/>
    <cellStyle name="Normal 476 5 3" xfId="34701"/>
    <cellStyle name="Normal 476 6" xfId="34702"/>
    <cellStyle name="Normal 477" xfId="34703"/>
    <cellStyle name="Normal 477 2" xfId="34704"/>
    <cellStyle name="Normal 477 2 2" xfId="34705"/>
    <cellStyle name="Normal 477 2 2 2" xfId="34706"/>
    <cellStyle name="Normal 477 2 3" xfId="34707"/>
    <cellStyle name="Normal 477 2 3 2" xfId="34708"/>
    <cellStyle name="Normal 477 2 3 2 2" xfId="34709"/>
    <cellStyle name="Normal 477 2 3 3" xfId="34710"/>
    <cellStyle name="Normal 477 2 4" xfId="34711"/>
    <cellStyle name="Normal 477 3" xfId="34712"/>
    <cellStyle name="Normal 477 3 2" xfId="34713"/>
    <cellStyle name="Normal 477 3 2 2" xfId="34714"/>
    <cellStyle name="Normal 477 3 3" xfId="34715"/>
    <cellStyle name="Normal 477 4" xfId="34716"/>
    <cellStyle name="Normal 477 4 2" xfId="34717"/>
    <cellStyle name="Normal 477 4 2 2" xfId="34718"/>
    <cellStyle name="Normal 477 4 3" xfId="34719"/>
    <cellStyle name="Normal 477 5" xfId="34720"/>
    <cellStyle name="Normal 477 5 2" xfId="34721"/>
    <cellStyle name="Normal 477 5 2 2" xfId="34722"/>
    <cellStyle name="Normal 477 5 3" xfId="34723"/>
    <cellStyle name="Normal 477 6" xfId="34724"/>
    <cellStyle name="Normal 478" xfId="34725"/>
    <cellStyle name="Normal 478 2" xfId="34726"/>
    <cellStyle name="Normal 478 2 2" xfId="34727"/>
    <cellStyle name="Normal 478 2 2 2" xfId="34728"/>
    <cellStyle name="Normal 478 2 3" xfId="34729"/>
    <cellStyle name="Normal 478 2 3 2" xfId="34730"/>
    <cellStyle name="Normal 478 2 3 2 2" xfId="34731"/>
    <cellStyle name="Normal 478 2 3 3" xfId="34732"/>
    <cellStyle name="Normal 478 2 4" xfId="34733"/>
    <cellStyle name="Normal 478 3" xfId="34734"/>
    <cellStyle name="Normal 478 3 2" xfId="34735"/>
    <cellStyle name="Normal 478 3 2 2" xfId="34736"/>
    <cellStyle name="Normal 478 3 3" xfId="34737"/>
    <cellStyle name="Normal 478 4" xfId="34738"/>
    <cellStyle name="Normal 478 4 2" xfId="34739"/>
    <cellStyle name="Normal 478 4 2 2" xfId="34740"/>
    <cellStyle name="Normal 478 4 3" xfId="34741"/>
    <cellStyle name="Normal 478 5" xfId="34742"/>
    <cellStyle name="Normal 478 5 2" xfId="34743"/>
    <cellStyle name="Normal 478 5 2 2" xfId="34744"/>
    <cellStyle name="Normal 478 5 3" xfId="34745"/>
    <cellStyle name="Normal 478 6" xfId="34746"/>
    <cellStyle name="Normal 479" xfId="34747"/>
    <cellStyle name="Normal 479 2" xfId="34748"/>
    <cellStyle name="Normal 479 2 2" xfId="34749"/>
    <cellStyle name="Normal 479 2 2 2" xfId="34750"/>
    <cellStyle name="Normal 479 2 3" xfId="34751"/>
    <cellStyle name="Normal 479 2 3 2" xfId="34752"/>
    <cellStyle name="Normal 479 2 3 2 2" xfId="34753"/>
    <cellStyle name="Normal 479 2 3 3" xfId="34754"/>
    <cellStyle name="Normal 479 2 4" xfId="34755"/>
    <cellStyle name="Normal 479 3" xfId="34756"/>
    <cellStyle name="Normal 479 3 2" xfId="34757"/>
    <cellStyle name="Normal 479 3 2 2" xfId="34758"/>
    <cellStyle name="Normal 479 3 3" xfId="34759"/>
    <cellStyle name="Normal 479 4" xfId="34760"/>
    <cellStyle name="Normal 479 4 2" xfId="34761"/>
    <cellStyle name="Normal 479 4 2 2" xfId="34762"/>
    <cellStyle name="Normal 479 4 3" xfId="34763"/>
    <cellStyle name="Normal 479 5" xfId="34764"/>
    <cellStyle name="Normal 479 5 2" xfId="34765"/>
    <cellStyle name="Normal 479 5 2 2" xfId="34766"/>
    <cellStyle name="Normal 479 5 3" xfId="34767"/>
    <cellStyle name="Normal 479 6" xfId="34768"/>
    <cellStyle name="Normal 48" xfId="250"/>
    <cellStyle name="Normal 48 2" xfId="34769"/>
    <cellStyle name="Normal 48 2 2" xfId="34770"/>
    <cellStyle name="Normal 48 2 2 2" xfId="34771"/>
    <cellStyle name="Normal 48 2 2 2 2" xfId="34772"/>
    <cellStyle name="Normal 48 2 2 3" xfId="34773"/>
    <cellStyle name="Normal 48 2 2 3 2" xfId="34774"/>
    <cellStyle name="Normal 48 2 2 3 2 2" xfId="34775"/>
    <cellStyle name="Normal 48 2 2 3 3" xfId="34776"/>
    <cellStyle name="Normal 48 2 2 4" xfId="34777"/>
    <cellStyle name="Normal 48 2 2 4 2" xfId="34778"/>
    <cellStyle name="Normal 48 2 2 4 2 2" xfId="34779"/>
    <cellStyle name="Normal 48 2 2 4 3" xfId="34780"/>
    <cellStyle name="Normal 48 2 2 5" xfId="34781"/>
    <cellStyle name="Normal 48 2 3" xfId="34782"/>
    <cellStyle name="Normal 48 2 3 2" xfId="34783"/>
    <cellStyle name="Normal 48 2 3 2 2" xfId="34784"/>
    <cellStyle name="Normal 48 2 3 3" xfId="34785"/>
    <cellStyle name="Normal 48 2 4" xfId="34786"/>
    <cellStyle name="Normal 48 2 4 2" xfId="34787"/>
    <cellStyle name="Normal 48 2 4 2 2" xfId="34788"/>
    <cellStyle name="Normal 48 2 4 3" xfId="34789"/>
    <cellStyle name="Normal 48 2 5" xfId="34790"/>
    <cellStyle name="Normal 48 2 5 2" xfId="34791"/>
    <cellStyle name="Normal 48 2 5 2 2" xfId="34792"/>
    <cellStyle name="Normal 48 2 5 3" xfId="34793"/>
    <cellStyle name="Normal 48 2 6" xfId="34794"/>
    <cellStyle name="Normal 48 3" xfId="34795"/>
    <cellStyle name="Normal 48 3 2" xfId="34796"/>
    <cellStyle name="Normal 48 3 2 2" xfId="34797"/>
    <cellStyle name="Normal 48 3 3" xfId="34798"/>
    <cellStyle name="Normal 48 3 3 2" xfId="34799"/>
    <cellStyle name="Normal 48 3 3 2 2" xfId="34800"/>
    <cellStyle name="Normal 48 3 3 3" xfId="34801"/>
    <cellStyle name="Normal 48 3 4" xfId="34802"/>
    <cellStyle name="Normal 48 3 4 2" xfId="34803"/>
    <cellStyle name="Normal 48 3 4 2 2" xfId="34804"/>
    <cellStyle name="Normal 48 3 4 3" xfId="34805"/>
    <cellStyle name="Normal 48 3 5" xfId="34806"/>
    <cellStyle name="Normal 48 4" xfId="34807"/>
    <cellStyle name="Normal 48 4 2" xfId="34808"/>
    <cellStyle name="Normal 48 4 2 2" xfId="34809"/>
    <cellStyle name="Normal 48 4 3" xfId="34810"/>
    <cellStyle name="Normal 48 5" xfId="34811"/>
    <cellStyle name="Normal 48 5 2" xfId="34812"/>
    <cellStyle name="Normal 48 5 2 2" xfId="34813"/>
    <cellStyle name="Normal 48 5 3" xfId="34814"/>
    <cellStyle name="Normal 48 6" xfId="34815"/>
    <cellStyle name="Normal 48 6 2" xfId="34816"/>
    <cellStyle name="Normal 48 6 2 2" xfId="34817"/>
    <cellStyle name="Normal 48 6 3" xfId="34818"/>
    <cellStyle name="Normal 48 7" xfId="34819"/>
    <cellStyle name="Normal 480" xfId="34820"/>
    <cellStyle name="Normal 480 2" xfId="34821"/>
    <cellStyle name="Normal 480 2 2" xfId="34822"/>
    <cellStyle name="Normal 480 2 2 2" xfId="34823"/>
    <cellStyle name="Normal 480 2 3" xfId="34824"/>
    <cellStyle name="Normal 480 2 3 2" xfId="34825"/>
    <cellStyle name="Normal 480 2 3 2 2" xfId="34826"/>
    <cellStyle name="Normal 480 2 3 3" xfId="34827"/>
    <cellStyle name="Normal 480 2 4" xfId="34828"/>
    <cellStyle name="Normal 480 3" xfId="34829"/>
    <cellStyle name="Normal 480 3 2" xfId="34830"/>
    <cellStyle name="Normal 480 3 2 2" xfId="34831"/>
    <cellStyle name="Normal 480 3 3" xfId="34832"/>
    <cellStyle name="Normal 480 4" xfId="34833"/>
    <cellStyle name="Normal 480 4 2" xfId="34834"/>
    <cellStyle name="Normal 480 4 2 2" xfId="34835"/>
    <cellStyle name="Normal 480 4 3" xfId="34836"/>
    <cellStyle name="Normal 480 5" xfId="34837"/>
    <cellStyle name="Normal 480 5 2" xfId="34838"/>
    <cellStyle name="Normal 480 5 2 2" xfId="34839"/>
    <cellStyle name="Normal 480 5 3" xfId="34840"/>
    <cellStyle name="Normal 480 6" xfId="34841"/>
    <cellStyle name="Normal 481" xfId="34842"/>
    <cellStyle name="Normal 481 2" xfId="34843"/>
    <cellStyle name="Normal 481 2 2" xfId="34844"/>
    <cellStyle name="Normal 481 2 2 2" xfId="34845"/>
    <cellStyle name="Normal 481 2 3" xfId="34846"/>
    <cellStyle name="Normal 481 2 3 2" xfId="34847"/>
    <cellStyle name="Normal 481 2 3 2 2" xfId="34848"/>
    <cellStyle name="Normal 481 2 3 3" xfId="34849"/>
    <cellStyle name="Normal 481 2 4" xfId="34850"/>
    <cellStyle name="Normal 481 3" xfId="34851"/>
    <cellStyle name="Normal 481 3 2" xfId="34852"/>
    <cellStyle name="Normal 481 3 2 2" xfId="34853"/>
    <cellStyle name="Normal 481 3 3" xfId="34854"/>
    <cellStyle name="Normal 481 4" xfId="34855"/>
    <cellStyle name="Normal 481 4 2" xfId="34856"/>
    <cellStyle name="Normal 481 4 2 2" xfId="34857"/>
    <cellStyle name="Normal 481 4 3" xfId="34858"/>
    <cellStyle name="Normal 481 5" xfId="34859"/>
    <cellStyle name="Normal 481 5 2" xfId="34860"/>
    <cellStyle name="Normal 481 5 2 2" xfId="34861"/>
    <cellStyle name="Normal 481 5 3" xfId="34862"/>
    <cellStyle name="Normal 481 6" xfId="34863"/>
    <cellStyle name="Normal 482" xfId="34864"/>
    <cellStyle name="Normal 482 2" xfId="34865"/>
    <cellStyle name="Normal 482 2 2" xfId="34866"/>
    <cellStyle name="Normal 482 2 2 2" xfId="34867"/>
    <cellStyle name="Normal 482 2 3" xfId="34868"/>
    <cellStyle name="Normal 482 2 3 2" xfId="34869"/>
    <cellStyle name="Normal 482 2 3 2 2" xfId="34870"/>
    <cellStyle name="Normal 482 2 3 3" xfId="34871"/>
    <cellStyle name="Normal 482 2 4" xfId="34872"/>
    <cellStyle name="Normal 482 3" xfId="34873"/>
    <cellStyle name="Normal 482 3 2" xfId="34874"/>
    <cellStyle name="Normal 482 3 2 2" xfId="34875"/>
    <cellStyle name="Normal 482 3 3" xfId="34876"/>
    <cellStyle name="Normal 482 4" xfId="34877"/>
    <cellStyle name="Normal 482 4 2" xfId="34878"/>
    <cellStyle name="Normal 482 4 2 2" xfId="34879"/>
    <cellStyle name="Normal 482 4 3" xfId="34880"/>
    <cellStyle name="Normal 482 5" xfId="34881"/>
    <cellStyle name="Normal 482 5 2" xfId="34882"/>
    <cellStyle name="Normal 482 5 2 2" xfId="34883"/>
    <cellStyle name="Normal 482 5 3" xfId="34884"/>
    <cellStyle name="Normal 482 6" xfId="34885"/>
    <cellStyle name="Normal 483" xfId="34886"/>
    <cellStyle name="Normal 483 2" xfId="34887"/>
    <cellStyle name="Normal 483 2 2" xfId="34888"/>
    <cellStyle name="Normal 483 2 2 2" xfId="34889"/>
    <cellStyle name="Normal 483 2 3" xfId="34890"/>
    <cellStyle name="Normal 483 2 3 2" xfId="34891"/>
    <cellStyle name="Normal 483 2 3 2 2" xfId="34892"/>
    <cellStyle name="Normal 483 2 3 3" xfId="34893"/>
    <cellStyle name="Normal 483 2 4" xfId="34894"/>
    <cellStyle name="Normal 483 3" xfId="34895"/>
    <cellStyle name="Normal 483 3 2" xfId="34896"/>
    <cellStyle name="Normal 483 3 2 2" xfId="34897"/>
    <cellStyle name="Normal 483 3 3" xfId="34898"/>
    <cellStyle name="Normal 483 4" xfId="34899"/>
    <cellStyle name="Normal 483 4 2" xfId="34900"/>
    <cellStyle name="Normal 483 4 2 2" xfId="34901"/>
    <cellStyle name="Normal 483 4 3" xfId="34902"/>
    <cellStyle name="Normal 483 5" xfId="34903"/>
    <cellStyle name="Normal 483 5 2" xfId="34904"/>
    <cellStyle name="Normal 483 5 2 2" xfId="34905"/>
    <cellStyle name="Normal 483 5 3" xfId="34906"/>
    <cellStyle name="Normal 483 6" xfId="34907"/>
    <cellStyle name="Normal 484" xfId="34908"/>
    <cellStyle name="Normal 484 2" xfId="34909"/>
    <cellStyle name="Normal 484 2 2" xfId="34910"/>
    <cellStyle name="Normal 484 2 2 2" xfId="34911"/>
    <cellStyle name="Normal 484 2 3" xfId="34912"/>
    <cellStyle name="Normal 484 2 3 2" xfId="34913"/>
    <cellStyle name="Normal 484 2 3 2 2" xfId="34914"/>
    <cellStyle name="Normal 484 2 3 3" xfId="34915"/>
    <cellStyle name="Normal 484 2 4" xfId="34916"/>
    <cellStyle name="Normal 484 3" xfId="34917"/>
    <cellStyle name="Normal 484 3 2" xfId="34918"/>
    <cellStyle name="Normal 484 3 2 2" xfId="34919"/>
    <cellStyle name="Normal 484 3 3" xfId="34920"/>
    <cellStyle name="Normal 484 4" xfId="34921"/>
    <cellStyle name="Normal 484 4 2" xfId="34922"/>
    <cellStyle name="Normal 484 4 2 2" xfId="34923"/>
    <cellStyle name="Normal 484 4 3" xfId="34924"/>
    <cellStyle name="Normal 484 5" xfId="34925"/>
    <cellStyle name="Normal 484 5 2" xfId="34926"/>
    <cellStyle name="Normal 484 5 2 2" xfId="34927"/>
    <cellStyle name="Normal 484 5 3" xfId="34928"/>
    <cellStyle name="Normal 484 6" xfId="34929"/>
    <cellStyle name="Normal 485" xfId="34930"/>
    <cellStyle name="Normal 485 2" xfId="34931"/>
    <cellStyle name="Normal 485 2 2" xfId="34932"/>
    <cellStyle name="Normal 485 2 2 2" xfId="34933"/>
    <cellStyle name="Normal 485 2 3" xfId="34934"/>
    <cellStyle name="Normal 485 2 3 2" xfId="34935"/>
    <cellStyle name="Normal 485 2 3 2 2" xfId="34936"/>
    <cellStyle name="Normal 485 2 3 3" xfId="34937"/>
    <cellStyle name="Normal 485 2 4" xfId="34938"/>
    <cellStyle name="Normal 485 3" xfId="34939"/>
    <cellStyle name="Normal 485 3 2" xfId="34940"/>
    <cellStyle name="Normal 485 3 2 2" xfId="34941"/>
    <cellStyle name="Normal 485 3 3" xfId="34942"/>
    <cellStyle name="Normal 485 4" xfId="34943"/>
    <cellStyle name="Normal 485 4 2" xfId="34944"/>
    <cellStyle name="Normal 485 4 2 2" xfId="34945"/>
    <cellStyle name="Normal 485 4 3" xfId="34946"/>
    <cellStyle name="Normal 485 5" xfId="34947"/>
    <cellStyle name="Normal 485 5 2" xfId="34948"/>
    <cellStyle name="Normal 485 5 2 2" xfId="34949"/>
    <cellStyle name="Normal 485 5 3" xfId="34950"/>
    <cellStyle name="Normal 485 6" xfId="34951"/>
    <cellStyle name="Normal 486" xfId="34952"/>
    <cellStyle name="Normal 486 2" xfId="34953"/>
    <cellStyle name="Normal 486 2 2" xfId="34954"/>
    <cellStyle name="Normal 486 2 2 2" xfId="34955"/>
    <cellStyle name="Normal 486 2 3" xfId="34956"/>
    <cellStyle name="Normal 486 2 3 2" xfId="34957"/>
    <cellStyle name="Normal 486 2 3 2 2" xfId="34958"/>
    <cellStyle name="Normal 486 2 3 3" xfId="34959"/>
    <cellStyle name="Normal 486 2 4" xfId="34960"/>
    <cellStyle name="Normal 486 3" xfId="34961"/>
    <cellStyle name="Normal 486 3 2" xfId="34962"/>
    <cellStyle name="Normal 486 3 2 2" xfId="34963"/>
    <cellStyle name="Normal 486 3 3" xfId="34964"/>
    <cellStyle name="Normal 486 4" xfId="34965"/>
    <cellStyle name="Normal 486 4 2" xfId="34966"/>
    <cellStyle name="Normal 486 4 2 2" xfId="34967"/>
    <cellStyle name="Normal 486 4 3" xfId="34968"/>
    <cellStyle name="Normal 486 5" xfId="34969"/>
    <cellStyle name="Normal 486 5 2" xfId="34970"/>
    <cellStyle name="Normal 486 5 2 2" xfId="34971"/>
    <cellStyle name="Normal 486 5 3" xfId="34972"/>
    <cellStyle name="Normal 486 6" xfId="34973"/>
    <cellStyle name="Normal 487" xfId="34974"/>
    <cellStyle name="Normal 487 2" xfId="34975"/>
    <cellStyle name="Normal 487 2 2" xfId="34976"/>
    <cellStyle name="Normal 487 2 2 2" xfId="34977"/>
    <cellStyle name="Normal 487 2 3" xfId="34978"/>
    <cellStyle name="Normal 487 2 3 2" xfId="34979"/>
    <cellStyle name="Normal 487 2 3 2 2" xfId="34980"/>
    <cellStyle name="Normal 487 2 3 3" xfId="34981"/>
    <cellStyle name="Normal 487 2 4" xfId="34982"/>
    <cellStyle name="Normal 487 3" xfId="34983"/>
    <cellStyle name="Normal 487 3 2" xfId="34984"/>
    <cellStyle name="Normal 487 3 2 2" xfId="34985"/>
    <cellStyle name="Normal 487 3 3" xfId="34986"/>
    <cellStyle name="Normal 487 4" xfId="34987"/>
    <cellStyle name="Normal 487 4 2" xfId="34988"/>
    <cellStyle name="Normal 487 4 2 2" xfId="34989"/>
    <cellStyle name="Normal 487 4 3" xfId="34990"/>
    <cellStyle name="Normal 487 5" xfId="34991"/>
    <cellStyle name="Normal 487 5 2" xfId="34992"/>
    <cellStyle name="Normal 487 5 2 2" xfId="34993"/>
    <cellStyle name="Normal 487 5 3" xfId="34994"/>
    <cellStyle name="Normal 487 6" xfId="34995"/>
    <cellStyle name="Normal 488" xfId="34996"/>
    <cellStyle name="Normal 488 2" xfId="34997"/>
    <cellStyle name="Normal 488 2 2" xfId="34998"/>
    <cellStyle name="Normal 488 2 2 2" xfId="34999"/>
    <cellStyle name="Normal 488 2 3" xfId="35000"/>
    <cellStyle name="Normal 488 2 3 2" xfId="35001"/>
    <cellStyle name="Normal 488 2 3 2 2" xfId="35002"/>
    <cellStyle name="Normal 488 2 3 3" xfId="35003"/>
    <cellStyle name="Normal 488 2 4" xfId="35004"/>
    <cellStyle name="Normal 488 3" xfId="35005"/>
    <cellStyle name="Normal 488 3 2" xfId="35006"/>
    <cellStyle name="Normal 488 3 2 2" xfId="35007"/>
    <cellStyle name="Normal 488 3 3" xfId="35008"/>
    <cellStyle name="Normal 488 4" xfId="35009"/>
    <cellStyle name="Normal 488 4 2" xfId="35010"/>
    <cellStyle name="Normal 488 4 2 2" xfId="35011"/>
    <cellStyle name="Normal 488 4 3" xfId="35012"/>
    <cellStyle name="Normal 488 5" xfId="35013"/>
    <cellStyle name="Normal 488 5 2" xfId="35014"/>
    <cellStyle name="Normal 488 5 2 2" xfId="35015"/>
    <cellStyle name="Normal 488 5 3" xfId="35016"/>
    <cellStyle name="Normal 488 6" xfId="35017"/>
    <cellStyle name="Normal 489" xfId="35018"/>
    <cellStyle name="Normal 489 2" xfId="35019"/>
    <cellStyle name="Normal 489 2 2" xfId="35020"/>
    <cellStyle name="Normal 489 2 2 2" xfId="35021"/>
    <cellStyle name="Normal 489 2 3" xfId="35022"/>
    <cellStyle name="Normal 489 2 3 2" xfId="35023"/>
    <cellStyle name="Normal 489 2 3 2 2" xfId="35024"/>
    <cellStyle name="Normal 489 2 3 3" xfId="35025"/>
    <cellStyle name="Normal 489 2 4" xfId="35026"/>
    <cellStyle name="Normal 489 3" xfId="35027"/>
    <cellStyle name="Normal 489 3 2" xfId="35028"/>
    <cellStyle name="Normal 489 3 2 2" xfId="35029"/>
    <cellStyle name="Normal 489 3 3" xfId="35030"/>
    <cellStyle name="Normal 489 4" xfId="35031"/>
    <cellStyle name="Normal 489 4 2" xfId="35032"/>
    <cellStyle name="Normal 489 4 2 2" xfId="35033"/>
    <cellStyle name="Normal 489 4 3" xfId="35034"/>
    <cellStyle name="Normal 489 5" xfId="35035"/>
    <cellStyle name="Normal 489 5 2" xfId="35036"/>
    <cellStyle name="Normal 489 5 2 2" xfId="35037"/>
    <cellStyle name="Normal 489 5 3" xfId="35038"/>
    <cellStyle name="Normal 489 6" xfId="35039"/>
    <cellStyle name="Normal 49" xfId="251"/>
    <cellStyle name="Normal 49 2" xfId="35040"/>
    <cellStyle name="Normal 49 2 2" xfId="35041"/>
    <cellStyle name="Normal 49 2 2 2" xfId="35042"/>
    <cellStyle name="Normal 49 2 2 2 2" xfId="35043"/>
    <cellStyle name="Normal 49 2 2 3" xfId="35044"/>
    <cellStyle name="Normal 49 2 2 3 2" xfId="35045"/>
    <cellStyle name="Normal 49 2 2 3 2 2" xfId="35046"/>
    <cellStyle name="Normal 49 2 2 3 3" xfId="35047"/>
    <cellStyle name="Normal 49 2 2 4" xfId="35048"/>
    <cellStyle name="Normal 49 2 2 4 2" xfId="35049"/>
    <cellStyle name="Normal 49 2 2 4 2 2" xfId="35050"/>
    <cellStyle name="Normal 49 2 2 4 3" xfId="35051"/>
    <cellStyle name="Normal 49 2 2 5" xfId="35052"/>
    <cellStyle name="Normal 49 2 3" xfId="35053"/>
    <cellStyle name="Normal 49 2 3 2" xfId="35054"/>
    <cellStyle name="Normal 49 2 3 2 2" xfId="35055"/>
    <cellStyle name="Normal 49 2 3 3" xfId="35056"/>
    <cellStyle name="Normal 49 2 4" xfId="35057"/>
    <cellStyle name="Normal 49 2 4 2" xfId="35058"/>
    <cellStyle name="Normal 49 2 4 2 2" xfId="35059"/>
    <cellStyle name="Normal 49 2 4 3" xfId="35060"/>
    <cellStyle name="Normal 49 2 5" xfId="35061"/>
    <cellStyle name="Normal 49 2 5 2" xfId="35062"/>
    <cellStyle name="Normal 49 2 5 2 2" xfId="35063"/>
    <cellStyle name="Normal 49 2 5 3" xfId="35064"/>
    <cellStyle name="Normal 49 2 6" xfId="35065"/>
    <cellStyle name="Normal 49 3" xfId="35066"/>
    <cellStyle name="Normal 49 3 2" xfId="35067"/>
    <cellStyle name="Normal 49 3 2 2" xfId="35068"/>
    <cellStyle name="Normal 49 3 3" xfId="35069"/>
    <cellStyle name="Normal 49 3 3 2" xfId="35070"/>
    <cellStyle name="Normal 49 3 3 2 2" xfId="35071"/>
    <cellStyle name="Normal 49 3 3 3" xfId="35072"/>
    <cellStyle name="Normal 49 3 4" xfId="35073"/>
    <cellStyle name="Normal 49 3 4 2" xfId="35074"/>
    <cellStyle name="Normal 49 3 4 2 2" xfId="35075"/>
    <cellStyle name="Normal 49 3 4 3" xfId="35076"/>
    <cellStyle name="Normal 49 3 5" xfId="35077"/>
    <cellStyle name="Normal 49 4" xfId="35078"/>
    <cellStyle name="Normal 49 4 2" xfId="35079"/>
    <cellStyle name="Normal 49 4 2 2" xfId="35080"/>
    <cellStyle name="Normal 49 4 3" xfId="35081"/>
    <cellStyle name="Normal 49 5" xfId="35082"/>
    <cellStyle name="Normal 49 5 2" xfId="35083"/>
    <cellStyle name="Normal 49 5 2 2" xfId="35084"/>
    <cellStyle name="Normal 49 5 3" xfId="35085"/>
    <cellStyle name="Normal 49 6" xfId="35086"/>
    <cellStyle name="Normal 49 6 2" xfId="35087"/>
    <cellStyle name="Normal 49 6 2 2" xfId="35088"/>
    <cellStyle name="Normal 49 6 3" xfId="35089"/>
    <cellStyle name="Normal 49 7" xfId="35090"/>
    <cellStyle name="Normal 490" xfId="35091"/>
    <cellStyle name="Normal 490 2" xfId="35092"/>
    <cellStyle name="Normal 490 2 2" xfId="35093"/>
    <cellStyle name="Normal 490 2 2 2" xfId="35094"/>
    <cellStyle name="Normal 490 2 3" xfId="35095"/>
    <cellStyle name="Normal 490 2 3 2" xfId="35096"/>
    <cellStyle name="Normal 490 2 3 2 2" xfId="35097"/>
    <cellStyle name="Normal 490 2 3 3" xfId="35098"/>
    <cellStyle name="Normal 490 2 4" xfId="35099"/>
    <cellStyle name="Normal 490 3" xfId="35100"/>
    <cellStyle name="Normal 490 3 2" xfId="35101"/>
    <cellStyle name="Normal 490 3 2 2" xfId="35102"/>
    <cellStyle name="Normal 490 3 3" xfId="35103"/>
    <cellStyle name="Normal 490 4" xfId="35104"/>
    <cellStyle name="Normal 490 4 2" xfId="35105"/>
    <cellStyle name="Normal 490 4 2 2" xfId="35106"/>
    <cellStyle name="Normal 490 4 3" xfId="35107"/>
    <cellStyle name="Normal 490 5" xfId="35108"/>
    <cellStyle name="Normal 490 5 2" xfId="35109"/>
    <cellStyle name="Normal 490 5 2 2" xfId="35110"/>
    <cellStyle name="Normal 490 5 3" xfId="35111"/>
    <cellStyle name="Normal 490 6" xfId="35112"/>
    <cellStyle name="Normal 491" xfId="35113"/>
    <cellStyle name="Normal 491 2" xfId="35114"/>
    <cellStyle name="Normal 491 2 2" xfId="35115"/>
    <cellStyle name="Normal 491 2 2 2" xfId="35116"/>
    <cellStyle name="Normal 491 2 3" xfId="35117"/>
    <cellStyle name="Normal 491 2 3 2" xfId="35118"/>
    <cellStyle name="Normal 491 2 3 2 2" xfId="35119"/>
    <cellStyle name="Normal 491 2 3 3" xfId="35120"/>
    <cellStyle name="Normal 491 2 4" xfId="35121"/>
    <cellStyle name="Normal 491 3" xfId="35122"/>
    <cellStyle name="Normal 491 3 2" xfId="35123"/>
    <cellStyle name="Normal 491 3 2 2" xfId="35124"/>
    <cellStyle name="Normal 491 3 3" xfId="35125"/>
    <cellStyle name="Normal 491 4" xfId="35126"/>
    <cellStyle name="Normal 491 4 2" xfId="35127"/>
    <cellStyle name="Normal 491 4 2 2" xfId="35128"/>
    <cellStyle name="Normal 491 4 3" xfId="35129"/>
    <cellStyle name="Normal 491 5" xfId="35130"/>
    <cellStyle name="Normal 491 5 2" xfId="35131"/>
    <cellStyle name="Normal 491 5 2 2" xfId="35132"/>
    <cellStyle name="Normal 491 5 3" xfId="35133"/>
    <cellStyle name="Normal 491 6" xfId="35134"/>
    <cellStyle name="Normal 492" xfId="35135"/>
    <cellStyle name="Normal 492 2" xfId="35136"/>
    <cellStyle name="Normal 492 2 2" xfId="35137"/>
    <cellStyle name="Normal 492 2 2 2" xfId="35138"/>
    <cellStyle name="Normal 492 2 3" xfId="35139"/>
    <cellStyle name="Normal 492 2 3 2" xfId="35140"/>
    <cellStyle name="Normal 492 2 3 2 2" xfId="35141"/>
    <cellStyle name="Normal 492 2 3 3" xfId="35142"/>
    <cellStyle name="Normal 492 2 4" xfId="35143"/>
    <cellStyle name="Normal 492 3" xfId="35144"/>
    <cellStyle name="Normal 492 3 2" xfId="35145"/>
    <cellStyle name="Normal 492 3 2 2" xfId="35146"/>
    <cellStyle name="Normal 492 3 3" xfId="35147"/>
    <cellStyle name="Normal 492 4" xfId="35148"/>
    <cellStyle name="Normal 492 4 2" xfId="35149"/>
    <cellStyle name="Normal 492 4 2 2" xfId="35150"/>
    <cellStyle name="Normal 492 4 3" xfId="35151"/>
    <cellStyle name="Normal 492 5" xfId="35152"/>
    <cellStyle name="Normal 492 5 2" xfId="35153"/>
    <cellStyle name="Normal 492 5 2 2" xfId="35154"/>
    <cellStyle name="Normal 492 5 3" xfId="35155"/>
    <cellStyle name="Normal 492 6" xfId="35156"/>
    <cellStyle name="Normal 493" xfId="35157"/>
    <cellStyle name="Normal 493 2" xfId="35158"/>
    <cellStyle name="Normal 493 2 2" xfId="35159"/>
    <cellStyle name="Normal 493 2 2 2" xfId="35160"/>
    <cellStyle name="Normal 493 2 3" xfId="35161"/>
    <cellStyle name="Normal 493 2 3 2" xfId="35162"/>
    <cellStyle name="Normal 493 2 3 2 2" xfId="35163"/>
    <cellStyle name="Normal 493 2 3 3" xfId="35164"/>
    <cellStyle name="Normal 493 2 4" xfId="35165"/>
    <cellStyle name="Normal 493 3" xfId="35166"/>
    <cellStyle name="Normal 493 3 2" xfId="35167"/>
    <cellStyle name="Normal 493 3 2 2" xfId="35168"/>
    <cellStyle name="Normal 493 3 3" xfId="35169"/>
    <cellStyle name="Normal 493 4" xfId="35170"/>
    <cellStyle name="Normal 493 4 2" xfId="35171"/>
    <cellStyle name="Normal 493 4 2 2" xfId="35172"/>
    <cellStyle name="Normal 493 4 3" xfId="35173"/>
    <cellStyle name="Normal 493 5" xfId="35174"/>
    <cellStyle name="Normal 493 5 2" xfId="35175"/>
    <cellStyle name="Normal 493 5 2 2" xfId="35176"/>
    <cellStyle name="Normal 493 5 3" xfId="35177"/>
    <cellStyle name="Normal 493 6" xfId="35178"/>
    <cellStyle name="Normal 494" xfId="35179"/>
    <cellStyle name="Normal 494 2" xfId="35180"/>
    <cellStyle name="Normal 494 2 2" xfId="35181"/>
    <cellStyle name="Normal 494 2 2 2" xfId="35182"/>
    <cellStyle name="Normal 494 2 3" xfId="35183"/>
    <cellStyle name="Normal 494 2 3 2" xfId="35184"/>
    <cellStyle name="Normal 494 2 3 2 2" xfId="35185"/>
    <cellStyle name="Normal 494 2 3 3" xfId="35186"/>
    <cellStyle name="Normal 494 2 4" xfId="35187"/>
    <cellStyle name="Normal 494 3" xfId="35188"/>
    <cellStyle name="Normal 494 3 2" xfId="35189"/>
    <cellStyle name="Normal 494 3 2 2" xfId="35190"/>
    <cellStyle name="Normal 494 3 3" xfId="35191"/>
    <cellStyle name="Normal 494 4" xfId="35192"/>
    <cellStyle name="Normal 494 4 2" xfId="35193"/>
    <cellStyle name="Normal 494 4 2 2" xfId="35194"/>
    <cellStyle name="Normal 494 4 3" xfId="35195"/>
    <cellStyle name="Normal 494 5" xfId="35196"/>
    <cellStyle name="Normal 494 5 2" xfId="35197"/>
    <cellStyle name="Normal 494 5 2 2" xfId="35198"/>
    <cellStyle name="Normal 494 5 3" xfId="35199"/>
    <cellStyle name="Normal 494 6" xfId="35200"/>
    <cellStyle name="Normal 495" xfId="35201"/>
    <cellStyle name="Normal 495 2" xfId="35202"/>
    <cellStyle name="Normal 495 2 2" xfId="35203"/>
    <cellStyle name="Normal 495 2 2 2" xfId="35204"/>
    <cellStyle name="Normal 495 2 3" xfId="35205"/>
    <cellStyle name="Normal 495 2 3 2" xfId="35206"/>
    <cellStyle name="Normal 495 2 3 2 2" xfId="35207"/>
    <cellStyle name="Normal 495 2 3 3" xfId="35208"/>
    <cellStyle name="Normal 495 2 4" xfId="35209"/>
    <cellStyle name="Normal 495 3" xfId="35210"/>
    <cellStyle name="Normal 495 3 2" xfId="35211"/>
    <cellStyle name="Normal 495 3 2 2" xfId="35212"/>
    <cellStyle name="Normal 495 3 3" xfId="35213"/>
    <cellStyle name="Normal 495 4" xfId="35214"/>
    <cellStyle name="Normal 495 4 2" xfId="35215"/>
    <cellStyle name="Normal 495 4 2 2" xfId="35216"/>
    <cellStyle name="Normal 495 4 3" xfId="35217"/>
    <cellStyle name="Normal 495 5" xfId="35218"/>
    <cellStyle name="Normal 495 5 2" xfId="35219"/>
    <cellStyle name="Normal 495 5 2 2" xfId="35220"/>
    <cellStyle name="Normal 495 5 3" xfId="35221"/>
    <cellStyle name="Normal 495 6" xfId="35222"/>
    <cellStyle name="Normal 496" xfId="35223"/>
    <cellStyle name="Normal 496 2" xfId="35224"/>
    <cellStyle name="Normal 496 2 2" xfId="35225"/>
    <cellStyle name="Normal 496 2 2 2" xfId="35226"/>
    <cellStyle name="Normal 496 2 3" xfId="35227"/>
    <cellStyle name="Normal 496 2 3 2" xfId="35228"/>
    <cellStyle name="Normal 496 2 3 2 2" xfId="35229"/>
    <cellStyle name="Normal 496 2 3 3" xfId="35230"/>
    <cellStyle name="Normal 496 2 4" xfId="35231"/>
    <cellStyle name="Normal 496 3" xfId="35232"/>
    <cellStyle name="Normal 496 3 2" xfId="35233"/>
    <cellStyle name="Normal 496 3 2 2" xfId="35234"/>
    <cellStyle name="Normal 496 3 3" xfId="35235"/>
    <cellStyle name="Normal 496 4" xfId="35236"/>
    <cellStyle name="Normal 496 4 2" xfId="35237"/>
    <cellStyle name="Normal 496 4 2 2" xfId="35238"/>
    <cellStyle name="Normal 496 4 3" xfId="35239"/>
    <cellStyle name="Normal 496 5" xfId="35240"/>
    <cellStyle name="Normal 496 5 2" xfId="35241"/>
    <cellStyle name="Normal 496 5 2 2" xfId="35242"/>
    <cellStyle name="Normal 496 5 3" xfId="35243"/>
    <cellStyle name="Normal 496 6" xfId="35244"/>
    <cellStyle name="Normal 497" xfId="35245"/>
    <cellStyle name="Normal 497 2" xfId="35246"/>
    <cellStyle name="Normal 497 2 2" xfId="35247"/>
    <cellStyle name="Normal 497 2 2 2" xfId="35248"/>
    <cellStyle name="Normal 497 2 3" xfId="35249"/>
    <cellStyle name="Normal 497 2 3 2" xfId="35250"/>
    <cellStyle name="Normal 497 2 3 2 2" xfId="35251"/>
    <cellStyle name="Normal 497 2 3 3" xfId="35252"/>
    <cellStyle name="Normal 497 2 4" xfId="35253"/>
    <cellStyle name="Normal 497 3" xfId="35254"/>
    <cellStyle name="Normal 497 3 2" xfId="35255"/>
    <cellStyle name="Normal 497 3 2 2" xfId="35256"/>
    <cellStyle name="Normal 497 3 3" xfId="35257"/>
    <cellStyle name="Normal 497 4" xfId="35258"/>
    <cellStyle name="Normal 497 4 2" xfId="35259"/>
    <cellStyle name="Normal 497 4 2 2" xfId="35260"/>
    <cellStyle name="Normal 497 4 3" xfId="35261"/>
    <cellStyle name="Normal 497 5" xfId="35262"/>
    <cellStyle name="Normal 497 5 2" xfId="35263"/>
    <cellStyle name="Normal 497 5 2 2" xfId="35264"/>
    <cellStyle name="Normal 497 5 3" xfId="35265"/>
    <cellStyle name="Normal 497 6" xfId="35266"/>
    <cellStyle name="Normal 498" xfId="35267"/>
    <cellStyle name="Normal 498 2" xfId="35268"/>
    <cellStyle name="Normal 498 2 2" xfId="35269"/>
    <cellStyle name="Normal 498 2 2 2" xfId="35270"/>
    <cellStyle name="Normal 498 2 3" xfId="35271"/>
    <cellStyle name="Normal 498 2 3 2" xfId="35272"/>
    <cellStyle name="Normal 498 2 3 2 2" xfId="35273"/>
    <cellStyle name="Normal 498 2 3 3" xfId="35274"/>
    <cellStyle name="Normal 498 2 4" xfId="35275"/>
    <cellStyle name="Normal 498 3" xfId="35276"/>
    <cellStyle name="Normal 498 3 2" xfId="35277"/>
    <cellStyle name="Normal 498 3 2 2" xfId="35278"/>
    <cellStyle name="Normal 498 3 3" xfId="35279"/>
    <cellStyle name="Normal 498 4" xfId="35280"/>
    <cellStyle name="Normal 498 4 2" xfId="35281"/>
    <cellStyle name="Normal 498 4 2 2" xfId="35282"/>
    <cellStyle name="Normal 498 4 3" xfId="35283"/>
    <cellStyle name="Normal 498 5" xfId="35284"/>
    <cellStyle name="Normal 498 5 2" xfId="35285"/>
    <cellStyle name="Normal 498 5 2 2" xfId="35286"/>
    <cellStyle name="Normal 498 5 3" xfId="35287"/>
    <cellStyle name="Normal 498 6" xfId="35288"/>
    <cellStyle name="Normal 499" xfId="35289"/>
    <cellStyle name="Normal 499 2" xfId="35290"/>
    <cellStyle name="Normal 499 2 2" xfId="35291"/>
    <cellStyle name="Normal 499 2 2 2" xfId="35292"/>
    <cellStyle name="Normal 499 2 3" xfId="35293"/>
    <cellStyle name="Normal 499 2 3 2" xfId="35294"/>
    <cellStyle name="Normal 499 2 3 2 2" xfId="35295"/>
    <cellStyle name="Normal 499 2 3 3" xfId="35296"/>
    <cellStyle name="Normal 499 2 4" xfId="35297"/>
    <cellStyle name="Normal 499 3" xfId="35298"/>
    <cellStyle name="Normal 499 3 2" xfId="35299"/>
    <cellStyle name="Normal 499 3 2 2" xfId="35300"/>
    <cellStyle name="Normal 499 3 3" xfId="35301"/>
    <cellStyle name="Normal 499 4" xfId="35302"/>
    <cellStyle name="Normal 499 4 2" xfId="35303"/>
    <cellStyle name="Normal 499 4 2 2" xfId="35304"/>
    <cellStyle name="Normal 499 4 3" xfId="35305"/>
    <cellStyle name="Normal 499 5" xfId="35306"/>
    <cellStyle name="Normal 499 5 2" xfId="35307"/>
    <cellStyle name="Normal 499 5 2 2" xfId="35308"/>
    <cellStyle name="Normal 499 5 3" xfId="35309"/>
    <cellStyle name="Normal 499 6" xfId="35310"/>
    <cellStyle name="Normal 5" xfId="93"/>
    <cellStyle name="Normal 5 10" xfId="35311"/>
    <cellStyle name="Normal 5 2" xfId="107"/>
    <cellStyle name="Normal 5 2 2" xfId="35313"/>
    <cellStyle name="Normal 5 2 2 2" xfId="35314"/>
    <cellStyle name="Normal 5 2 2 2 2" xfId="35315"/>
    <cellStyle name="Normal 5 2 2 3" xfId="35316"/>
    <cellStyle name="Normal 5 2 2 3 2" xfId="35317"/>
    <cellStyle name="Normal 5 2 2 3 2 2" xfId="35318"/>
    <cellStyle name="Normal 5 2 2 3 3" xfId="35319"/>
    <cellStyle name="Normal 5 2 2 4" xfId="35320"/>
    <cellStyle name="Normal 5 2 2 4 2" xfId="35321"/>
    <cellStyle name="Normal 5 2 2 4 2 2" xfId="35322"/>
    <cellStyle name="Normal 5 2 2 4 3" xfId="35323"/>
    <cellStyle name="Normal 5 2 2 5" xfId="35324"/>
    <cellStyle name="Normal 5 2 3" xfId="35325"/>
    <cellStyle name="Normal 5 2 3 2" xfId="35326"/>
    <cellStyle name="Normal 5 2 3 2 2" xfId="35327"/>
    <cellStyle name="Normal 5 2 3 2 2 2" xfId="35328"/>
    <cellStyle name="Normal 5 2 3 2 3" xfId="35329"/>
    <cellStyle name="Normal 5 2 3 2 3 2" xfId="35330"/>
    <cellStyle name="Normal 5 2 3 2 3 2 2" xfId="35331"/>
    <cellStyle name="Normal 5 2 3 2 3 3" xfId="35332"/>
    <cellStyle name="Normal 5 2 3 2 4" xfId="35333"/>
    <cellStyle name="Normal 5 2 3 3" xfId="35334"/>
    <cellStyle name="Normal 5 2 3 3 2" xfId="35335"/>
    <cellStyle name="Normal 5 2 3 3 2 2" xfId="35336"/>
    <cellStyle name="Normal 5 2 3 3 3" xfId="35337"/>
    <cellStyle name="Normal 5 2 3 4" xfId="35338"/>
    <cellStyle name="Normal 5 2 3 4 2" xfId="35339"/>
    <cellStyle name="Normal 5 2 3 4 2 2" xfId="35340"/>
    <cellStyle name="Normal 5 2 3 4 3" xfId="35341"/>
    <cellStyle name="Normal 5 2 3 5" xfId="35342"/>
    <cellStyle name="Normal 5 2 3 5 2" xfId="35343"/>
    <cellStyle name="Normal 5 2 3 5 2 2" xfId="35344"/>
    <cellStyle name="Normal 5 2 3 5 3" xfId="35345"/>
    <cellStyle name="Normal 5 2 3 6" xfId="35346"/>
    <cellStyle name="Normal 5 2 4" xfId="35347"/>
    <cellStyle name="Normal 5 2 4 2" xfId="35348"/>
    <cellStyle name="Normal 5 2 4 2 2" xfId="35349"/>
    <cellStyle name="Normal 5 2 4 3" xfId="35350"/>
    <cellStyle name="Normal 5 2 5" xfId="35351"/>
    <cellStyle name="Normal 5 2 5 2" xfId="35352"/>
    <cellStyle name="Normal 5 2 5 2 2" xfId="35353"/>
    <cellStyle name="Normal 5 2 5 3" xfId="35354"/>
    <cellStyle name="Normal 5 2 6" xfId="35355"/>
    <cellStyle name="Normal 5 2 6 2" xfId="35356"/>
    <cellStyle name="Normal 5 2 6 2 2" xfId="35357"/>
    <cellStyle name="Normal 5 2 6 3" xfId="35358"/>
    <cellStyle name="Normal 5 2 7" xfId="35359"/>
    <cellStyle name="Normal 5 2 8" xfId="35312"/>
    <cellStyle name="Normal 5 3" xfId="35360"/>
    <cellStyle name="Normal 5 3 2" xfId="35361"/>
    <cellStyle name="Normal 5 3 2 2" xfId="35362"/>
    <cellStyle name="Normal 5 3 2 2 2" xfId="35363"/>
    <cellStyle name="Normal 5 3 2 3" xfId="35364"/>
    <cellStyle name="Normal 5 3 2 3 2" xfId="35365"/>
    <cellStyle name="Normal 5 3 2 3 2 2" xfId="35366"/>
    <cellStyle name="Normal 5 3 2 3 3" xfId="35367"/>
    <cellStyle name="Normal 5 3 2 4" xfId="35368"/>
    <cellStyle name="Normal 5 3 2 4 2" xfId="35369"/>
    <cellStyle name="Normal 5 3 2 4 2 2" xfId="35370"/>
    <cellStyle name="Normal 5 3 2 4 3" xfId="35371"/>
    <cellStyle name="Normal 5 3 2 5" xfId="35372"/>
    <cellStyle name="Normal 5 3 3" xfId="35373"/>
    <cellStyle name="Normal 5 3 3 2" xfId="35374"/>
    <cellStyle name="Normal 5 3 3 2 2" xfId="35375"/>
    <cellStyle name="Normal 5 3 3 3" xfId="35376"/>
    <cellStyle name="Normal 5 3 4" xfId="35377"/>
    <cellStyle name="Normal 5 3 4 2" xfId="35378"/>
    <cellStyle name="Normal 5 3 4 2 2" xfId="35379"/>
    <cellStyle name="Normal 5 3 4 3" xfId="35380"/>
    <cellStyle name="Normal 5 3 5" xfId="35381"/>
    <cellStyle name="Normal 5 3 5 2" xfId="35382"/>
    <cellStyle name="Normal 5 3 5 2 2" xfId="35383"/>
    <cellStyle name="Normal 5 3 5 3" xfId="35384"/>
    <cellStyle name="Normal 5 3 6" xfId="35385"/>
    <cellStyle name="Normal 5 4" xfId="35386"/>
    <cellStyle name="Normal 5 4 2" xfId="35387"/>
    <cellStyle name="Normal 5 4 2 2" xfId="35388"/>
    <cellStyle name="Normal 5 4 2 2 2" xfId="35389"/>
    <cellStyle name="Normal 5 4 2 3" xfId="35390"/>
    <cellStyle name="Normal 5 4 2 3 2" xfId="35391"/>
    <cellStyle name="Normal 5 4 2 3 2 2" xfId="35392"/>
    <cellStyle name="Normal 5 4 2 3 3" xfId="35393"/>
    <cellStyle name="Normal 5 4 2 4" xfId="35394"/>
    <cellStyle name="Normal 5 4 2 4 2" xfId="35395"/>
    <cellStyle name="Normal 5 4 2 4 2 2" xfId="35396"/>
    <cellStyle name="Normal 5 4 2 4 3" xfId="35397"/>
    <cellStyle name="Normal 5 4 2 5" xfId="35398"/>
    <cellStyle name="Normal 5 4 3" xfId="35399"/>
    <cellStyle name="Normal 5 4 3 2" xfId="35400"/>
    <cellStyle name="Normal 5 4 3 2 2" xfId="35401"/>
    <cellStyle name="Normal 5 4 3 2 2 2" xfId="35402"/>
    <cellStyle name="Normal 5 4 3 2 3" xfId="35403"/>
    <cellStyle name="Normal 5 4 3 2 3 2" xfId="35404"/>
    <cellStyle name="Normal 5 4 3 2 3 2 2" xfId="35405"/>
    <cellStyle name="Normal 5 4 3 2 3 3" xfId="35406"/>
    <cellStyle name="Normal 5 4 3 2 4" xfId="35407"/>
    <cellStyle name="Normal 5 4 3 3" xfId="35408"/>
    <cellStyle name="Normal 5 4 3 3 2" xfId="35409"/>
    <cellStyle name="Normal 5 4 3 3 2 2" xfId="35410"/>
    <cellStyle name="Normal 5 4 3 3 3" xfId="35411"/>
    <cellStyle name="Normal 5 4 3 4" xfId="35412"/>
    <cellStyle name="Normal 5 4 3 4 2" xfId="35413"/>
    <cellStyle name="Normal 5 4 3 4 2 2" xfId="35414"/>
    <cellStyle name="Normal 5 4 3 4 3" xfId="35415"/>
    <cellStyle name="Normal 5 4 3 5" xfId="35416"/>
    <cellStyle name="Normal 5 4 3 5 2" xfId="35417"/>
    <cellStyle name="Normal 5 4 3 5 2 2" xfId="35418"/>
    <cellStyle name="Normal 5 4 3 5 3" xfId="35419"/>
    <cellStyle name="Normal 5 4 3 6" xfId="35420"/>
    <cellStyle name="Normal 5 4 4" xfId="35421"/>
    <cellStyle name="Normal 5 5" xfId="35422"/>
    <cellStyle name="Normal 5 5 2" xfId="35423"/>
    <cellStyle name="Normal 5 5 2 2" xfId="35424"/>
    <cellStyle name="Normal 5 5 2 2 2" xfId="35425"/>
    <cellStyle name="Normal 5 5 2 2 2 2" xfId="35426"/>
    <cellStyle name="Normal 5 5 2 2 3" xfId="35427"/>
    <cellStyle name="Normal 5 5 2 2 3 2" xfId="35428"/>
    <cellStyle name="Normal 5 5 2 2 3 2 2" xfId="35429"/>
    <cellStyle name="Normal 5 5 2 2 3 3" xfId="35430"/>
    <cellStyle name="Normal 5 5 2 2 4" xfId="35431"/>
    <cellStyle name="Normal 5 5 2 3" xfId="35432"/>
    <cellStyle name="Normal 5 5 3" xfId="35433"/>
    <cellStyle name="Normal 5 5 3 2" xfId="35434"/>
    <cellStyle name="Normal 5 5 4" xfId="35435"/>
    <cellStyle name="Normal 5 5 4 2" xfId="35436"/>
    <cellStyle name="Normal 5 5 4 2 2" xfId="35437"/>
    <cellStyle name="Normal 5 5 4 3" xfId="35438"/>
    <cellStyle name="Normal 5 5 5" xfId="35439"/>
    <cellStyle name="Normal 5 6" xfId="35440"/>
    <cellStyle name="Normal 5 6 2" xfId="35441"/>
    <cellStyle name="Normal 5 6 2 2" xfId="35442"/>
    <cellStyle name="Normal 5 6 2 2 2" xfId="35443"/>
    <cellStyle name="Normal 5 6 2 3" xfId="35444"/>
    <cellStyle name="Normal 5 6 2 3 2" xfId="35445"/>
    <cellStyle name="Normal 5 6 2 3 2 2" xfId="35446"/>
    <cellStyle name="Normal 5 6 2 3 3" xfId="35447"/>
    <cellStyle name="Normal 5 6 2 4" xfId="35448"/>
    <cellStyle name="Normal 5 6 3" xfId="35449"/>
    <cellStyle name="Normal 5 6 3 2" xfId="35450"/>
    <cellStyle name="Normal 5 6 3 2 2" xfId="35451"/>
    <cellStyle name="Normal 5 6 3 3" xfId="35452"/>
    <cellStyle name="Normal 5 6 4" xfId="35453"/>
    <cellStyle name="Normal 5 6 4 2" xfId="35454"/>
    <cellStyle name="Normal 5 6 4 2 2" xfId="35455"/>
    <cellStyle name="Normal 5 6 4 3" xfId="35456"/>
    <cellStyle name="Normal 5 6 5" xfId="35457"/>
    <cellStyle name="Normal 5 6 5 2" xfId="35458"/>
    <cellStyle name="Normal 5 6 5 2 2" xfId="35459"/>
    <cellStyle name="Normal 5 6 5 3" xfId="35460"/>
    <cellStyle name="Normal 5 6 6" xfId="35461"/>
    <cellStyle name="Normal 5 7" xfId="35462"/>
    <cellStyle name="Normal 5 7 2" xfId="35463"/>
    <cellStyle name="Normal 5 8" xfId="35464"/>
    <cellStyle name="Normal 5 9" xfId="35465"/>
    <cellStyle name="Normal 50" xfId="35466"/>
    <cellStyle name="Normal 50 2" xfId="35467"/>
    <cellStyle name="Normal 50 2 2" xfId="35468"/>
    <cellStyle name="Normal 50 2 2 2" xfId="35469"/>
    <cellStyle name="Normal 50 2 2 2 2" xfId="35470"/>
    <cellStyle name="Normal 50 2 2 3" xfId="35471"/>
    <cellStyle name="Normal 50 2 2 3 2" xfId="35472"/>
    <cellStyle name="Normal 50 2 2 3 2 2" xfId="35473"/>
    <cellStyle name="Normal 50 2 2 3 3" xfId="35474"/>
    <cellStyle name="Normal 50 2 2 4" xfId="35475"/>
    <cellStyle name="Normal 50 2 2 4 2" xfId="35476"/>
    <cellStyle name="Normal 50 2 2 4 2 2" xfId="35477"/>
    <cellStyle name="Normal 50 2 2 4 3" xfId="35478"/>
    <cellStyle name="Normal 50 2 2 5" xfId="35479"/>
    <cellStyle name="Normal 50 2 3" xfId="35480"/>
    <cellStyle name="Normal 50 2 3 2" xfId="35481"/>
    <cellStyle name="Normal 50 2 3 2 2" xfId="35482"/>
    <cellStyle name="Normal 50 2 3 3" xfId="35483"/>
    <cellStyle name="Normal 50 2 4" xfId="35484"/>
    <cellStyle name="Normal 50 2 4 2" xfId="35485"/>
    <cellStyle name="Normal 50 2 4 2 2" xfId="35486"/>
    <cellStyle name="Normal 50 2 4 3" xfId="35487"/>
    <cellStyle name="Normal 50 2 5" xfId="35488"/>
    <cellStyle name="Normal 50 2 5 2" xfId="35489"/>
    <cellStyle name="Normal 50 2 5 2 2" xfId="35490"/>
    <cellStyle name="Normal 50 2 5 3" xfId="35491"/>
    <cellStyle name="Normal 50 2 6" xfId="35492"/>
    <cellStyle name="Normal 50 3" xfId="35493"/>
    <cellStyle name="Normal 50 3 2" xfId="35494"/>
    <cellStyle name="Normal 50 3 2 2" xfId="35495"/>
    <cellStyle name="Normal 50 3 3" xfId="35496"/>
    <cellStyle name="Normal 50 3 3 2" xfId="35497"/>
    <cellStyle name="Normal 50 3 3 2 2" xfId="35498"/>
    <cellStyle name="Normal 50 3 3 3" xfId="35499"/>
    <cellStyle name="Normal 50 3 4" xfId="35500"/>
    <cellStyle name="Normal 50 3 4 2" xfId="35501"/>
    <cellStyle name="Normal 50 3 4 2 2" xfId="35502"/>
    <cellStyle name="Normal 50 3 4 3" xfId="35503"/>
    <cellStyle name="Normal 50 3 5" xfId="35504"/>
    <cellStyle name="Normal 50 4" xfId="35505"/>
    <cellStyle name="Normal 50 4 2" xfId="35506"/>
    <cellStyle name="Normal 50 4 2 2" xfId="35507"/>
    <cellStyle name="Normal 50 4 3" xfId="35508"/>
    <cellStyle name="Normal 50 5" xfId="35509"/>
    <cellStyle name="Normal 50 5 2" xfId="35510"/>
    <cellStyle name="Normal 50 5 2 2" xfId="35511"/>
    <cellStyle name="Normal 50 5 3" xfId="35512"/>
    <cellStyle name="Normal 50 6" xfId="35513"/>
    <cellStyle name="Normal 50 6 2" xfId="35514"/>
    <cellStyle name="Normal 50 6 2 2" xfId="35515"/>
    <cellStyle name="Normal 50 6 3" xfId="35516"/>
    <cellStyle name="Normal 50 7" xfId="35517"/>
    <cellStyle name="Normal 500" xfId="35518"/>
    <cellStyle name="Normal 500 2" xfId="35519"/>
    <cellStyle name="Normal 500 2 2" xfId="35520"/>
    <cellStyle name="Normal 500 2 2 2" xfId="35521"/>
    <cellStyle name="Normal 500 2 3" xfId="35522"/>
    <cellStyle name="Normal 500 2 3 2" xfId="35523"/>
    <cellStyle name="Normal 500 2 3 2 2" xfId="35524"/>
    <cellStyle name="Normal 500 2 3 3" xfId="35525"/>
    <cellStyle name="Normal 500 2 4" xfId="35526"/>
    <cellStyle name="Normal 500 3" xfId="35527"/>
    <cellStyle name="Normal 500 3 2" xfId="35528"/>
    <cellStyle name="Normal 500 3 2 2" xfId="35529"/>
    <cellStyle name="Normal 500 3 3" xfId="35530"/>
    <cellStyle name="Normal 500 4" xfId="35531"/>
    <cellStyle name="Normal 500 4 2" xfId="35532"/>
    <cellStyle name="Normal 500 4 2 2" xfId="35533"/>
    <cellStyle name="Normal 500 4 3" xfId="35534"/>
    <cellStyle name="Normal 500 5" xfId="35535"/>
    <cellStyle name="Normal 500 5 2" xfId="35536"/>
    <cellStyle name="Normal 500 5 2 2" xfId="35537"/>
    <cellStyle name="Normal 500 5 3" xfId="35538"/>
    <cellStyle name="Normal 500 6" xfId="35539"/>
    <cellStyle name="Normal 501" xfId="35540"/>
    <cellStyle name="Normal 501 2" xfId="35541"/>
    <cellStyle name="Normal 501 2 2" xfId="35542"/>
    <cellStyle name="Normal 501 2 2 2" xfId="35543"/>
    <cellStyle name="Normal 501 2 3" xfId="35544"/>
    <cellStyle name="Normal 501 2 3 2" xfId="35545"/>
    <cellStyle name="Normal 501 2 3 2 2" xfId="35546"/>
    <cellStyle name="Normal 501 2 3 3" xfId="35547"/>
    <cellStyle name="Normal 501 2 4" xfId="35548"/>
    <cellStyle name="Normal 501 3" xfId="35549"/>
    <cellStyle name="Normal 501 3 2" xfId="35550"/>
    <cellStyle name="Normal 501 3 2 2" xfId="35551"/>
    <cellStyle name="Normal 501 3 3" xfId="35552"/>
    <cellStyle name="Normal 501 4" xfId="35553"/>
    <cellStyle name="Normal 501 4 2" xfId="35554"/>
    <cellStyle name="Normal 501 4 2 2" xfId="35555"/>
    <cellStyle name="Normal 501 4 3" xfId="35556"/>
    <cellStyle name="Normal 501 5" xfId="35557"/>
    <cellStyle name="Normal 501 5 2" xfId="35558"/>
    <cellStyle name="Normal 501 5 2 2" xfId="35559"/>
    <cellStyle name="Normal 501 5 3" xfId="35560"/>
    <cellStyle name="Normal 501 6" xfId="35561"/>
    <cellStyle name="Normal 502" xfId="35562"/>
    <cellStyle name="Normal 502 2" xfId="35563"/>
    <cellStyle name="Normal 502 2 2" xfId="35564"/>
    <cellStyle name="Normal 502 2 2 2" xfId="35565"/>
    <cellStyle name="Normal 502 2 3" xfId="35566"/>
    <cellStyle name="Normal 502 2 3 2" xfId="35567"/>
    <cellStyle name="Normal 502 2 3 2 2" xfId="35568"/>
    <cellStyle name="Normal 502 2 3 3" xfId="35569"/>
    <cellStyle name="Normal 502 2 4" xfId="35570"/>
    <cellStyle name="Normal 502 3" xfId="35571"/>
    <cellStyle name="Normal 502 3 2" xfId="35572"/>
    <cellStyle name="Normal 502 3 2 2" xfId="35573"/>
    <cellStyle name="Normal 502 3 3" xfId="35574"/>
    <cellStyle name="Normal 502 4" xfId="35575"/>
    <cellStyle name="Normal 502 4 2" xfId="35576"/>
    <cellStyle name="Normal 502 4 2 2" xfId="35577"/>
    <cellStyle name="Normal 502 4 3" xfId="35578"/>
    <cellStyle name="Normal 502 5" xfId="35579"/>
    <cellStyle name="Normal 502 5 2" xfId="35580"/>
    <cellStyle name="Normal 502 5 2 2" xfId="35581"/>
    <cellStyle name="Normal 502 5 3" xfId="35582"/>
    <cellStyle name="Normal 502 6" xfId="35583"/>
    <cellStyle name="Normal 503" xfId="35584"/>
    <cellStyle name="Normal 503 2" xfId="35585"/>
    <cellStyle name="Normal 503 2 2" xfId="35586"/>
    <cellStyle name="Normal 503 2 2 2" xfId="35587"/>
    <cellStyle name="Normal 503 2 3" xfId="35588"/>
    <cellStyle name="Normal 503 2 3 2" xfId="35589"/>
    <cellStyle name="Normal 503 2 3 2 2" xfId="35590"/>
    <cellStyle name="Normal 503 2 3 3" xfId="35591"/>
    <cellStyle name="Normal 503 2 4" xfId="35592"/>
    <cellStyle name="Normal 503 3" xfId="35593"/>
    <cellStyle name="Normal 503 3 2" xfId="35594"/>
    <cellStyle name="Normal 503 3 2 2" xfId="35595"/>
    <cellStyle name="Normal 503 3 3" xfId="35596"/>
    <cellStyle name="Normal 503 4" xfId="35597"/>
    <cellStyle name="Normal 503 4 2" xfId="35598"/>
    <cellStyle name="Normal 503 4 2 2" xfId="35599"/>
    <cellStyle name="Normal 503 4 3" xfId="35600"/>
    <cellStyle name="Normal 503 5" xfId="35601"/>
    <cellStyle name="Normal 503 5 2" xfId="35602"/>
    <cellStyle name="Normal 503 5 2 2" xfId="35603"/>
    <cellStyle name="Normal 503 5 3" xfId="35604"/>
    <cellStyle name="Normal 503 6" xfId="35605"/>
    <cellStyle name="Normal 504" xfId="35606"/>
    <cellStyle name="Normal 504 2" xfId="35607"/>
    <cellStyle name="Normal 504 2 2" xfId="35608"/>
    <cellStyle name="Normal 504 2 2 2" xfId="35609"/>
    <cellStyle name="Normal 504 2 3" xfId="35610"/>
    <cellStyle name="Normal 504 2 3 2" xfId="35611"/>
    <cellStyle name="Normal 504 2 3 2 2" xfId="35612"/>
    <cellStyle name="Normal 504 2 3 3" xfId="35613"/>
    <cellStyle name="Normal 504 2 4" xfId="35614"/>
    <cellStyle name="Normal 504 3" xfId="35615"/>
    <cellStyle name="Normal 504 3 2" xfId="35616"/>
    <cellStyle name="Normal 504 3 2 2" xfId="35617"/>
    <cellStyle name="Normal 504 3 3" xfId="35618"/>
    <cellStyle name="Normal 504 4" xfId="35619"/>
    <cellStyle name="Normal 504 4 2" xfId="35620"/>
    <cellStyle name="Normal 504 4 2 2" xfId="35621"/>
    <cellStyle name="Normal 504 4 3" xfId="35622"/>
    <cellStyle name="Normal 504 5" xfId="35623"/>
    <cellStyle name="Normal 504 5 2" xfId="35624"/>
    <cellStyle name="Normal 504 5 2 2" xfId="35625"/>
    <cellStyle name="Normal 504 5 3" xfId="35626"/>
    <cellStyle name="Normal 504 6" xfId="35627"/>
    <cellStyle name="Normal 505" xfId="35628"/>
    <cellStyle name="Normal 505 2" xfId="35629"/>
    <cellStyle name="Normal 505 2 2" xfId="35630"/>
    <cellStyle name="Normal 505 2 2 2" xfId="35631"/>
    <cellStyle name="Normal 505 2 3" xfId="35632"/>
    <cellStyle name="Normal 505 2 3 2" xfId="35633"/>
    <cellStyle name="Normal 505 2 3 2 2" xfId="35634"/>
    <cellStyle name="Normal 505 2 3 3" xfId="35635"/>
    <cellStyle name="Normal 505 2 4" xfId="35636"/>
    <cellStyle name="Normal 505 3" xfId="35637"/>
    <cellStyle name="Normal 505 3 2" xfId="35638"/>
    <cellStyle name="Normal 505 3 2 2" xfId="35639"/>
    <cellStyle name="Normal 505 3 3" xfId="35640"/>
    <cellStyle name="Normal 505 4" xfId="35641"/>
    <cellStyle name="Normal 505 4 2" xfId="35642"/>
    <cellStyle name="Normal 505 4 2 2" xfId="35643"/>
    <cellStyle name="Normal 505 4 3" xfId="35644"/>
    <cellStyle name="Normal 505 5" xfId="35645"/>
    <cellStyle name="Normal 505 5 2" xfId="35646"/>
    <cellStyle name="Normal 505 5 2 2" xfId="35647"/>
    <cellStyle name="Normal 505 5 3" xfId="35648"/>
    <cellStyle name="Normal 505 6" xfId="35649"/>
    <cellStyle name="Normal 506" xfId="35650"/>
    <cellStyle name="Normal 506 2" xfId="35651"/>
    <cellStyle name="Normal 506 2 2" xfId="35652"/>
    <cellStyle name="Normal 506 2 2 2" xfId="35653"/>
    <cellStyle name="Normal 506 2 3" xfId="35654"/>
    <cellStyle name="Normal 506 2 3 2" xfId="35655"/>
    <cellStyle name="Normal 506 2 3 2 2" xfId="35656"/>
    <cellStyle name="Normal 506 2 3 3" xfId="35657"/>
    <cellStyle name="Normal 506 2 4" xfId="35658"/>
    <cellStyle name="Normal 506 3" xfId="35659"/>
    <cellStyle name="Normal 506 3 2" xfId="35660"/>
    <cellStyle name="Normal 506 3 2 2" xfId="35661"/>
    <cellStyle name="Normal 506 3 3" xfId="35662"/>
    <cellStyle name="Normal 506 4" xfId="35663"/>
    <cellStyle name="Normal 506 4 2" xfId="35664"/>
    <cellStyle name="Normal 506 4 2 2" xfId="35665"/>
    <cellStyle name="Normal 506 4 3" xfId="35666"/>
    <cellStyle name="Normal 506 5" xfId="35667"/>
    <cellStyle name="Normal 506 5 2" xfId="35668"/>
    <cellStyle name="Normal 506 5 2 2" xfId="35669"/>
    <cellStyle name="Normal 506 5 3" xfId="35670"/>
    <cellStyle name="Normal 506 6" xfId="35671"/>
    <cellStyle name="Normal 507" xfId="35672"/>
    <cellStyle name="Normal 507 2" xfId="35673"/>
    <cellStyle name="Normal 507 2 2" xfId="35674"/>
    <cellStyle name="Normal 507 2 2 2" xfId="35675"/>
    <cellStyle name="Normal 507 2 3" xfId="35676"/>
    <cellStyle name="Normal 507 2 3 2" xfId="35677"/>
    <cellStyle name="Normal 507 2 3 2 2" xfId="35678"/>
    <cellStyle name="Normal 507 2 3 3" xfId="35679"/>
    <cellStyle name="Normal 507 2 4" xfId="35680"/>
    <cellStyle name="Normal 507 3" xfId="35681"/>
    <cellStyle name="Normal 507 3 2" xfId="35682"/>
    <cellStyle name="Normal 507 3 2 2" xfId="35683"/>
    <cellStyle name="Normal 507 3 3" xfId="35684"/>
    <cellStyle name="Normal 507 4" xfId="35685"/>
    <cellStyle name="Normal 507 4 2" xfId="35686"/>
    <cellStyle name="Normal 507 4 2 2" xfId="35687"/>
    <cellStyle name="Normal 507 4 3" xfId="35688"/>
    <cellStyle name="Normal 507 5" xfId="35689"/>
    <cellStyle name="Normal 507 5 2" xfId="35690"/>
    <cellStyle name="Normal 507 5 2 2" xfId="35691"/>
    <cellStyle name="Normal 507 5 3" xfId="35692"/>
    <cellStyle name="Normal 507 6" xfId="35693"/>
    <cellStyle name="Normal 508" xfId="35694"/>
    <cellStyle name="Normal 508 2" xfId="35695"/>
    <cellStyle name="Normal 508 2 2" xfId="35696"/>
    <cellStyle name="Normal 508 2 2 2" xfId="35697"/>
    <cellStyle name="Normal 508 2 3" xfId="35698"/>
    <cellStyle name="Normal 508 2 3 2" xfId="35699"/>
    <cellStyle name="Normal 508 2 3 2 2" xfId="35700"/>
    <cellStyle name="Normal 508 2 3 3" xfId="35701"/>
    <cellStyle name="Normal 508 2 4" xfId="35702"/>
    <cellStyle name="Normal 508 3" xfId="35703"/>
    <cellStyle name="Normal 508 3 2" xfId="35704"/>
    <cellStyle name="Normal 508 3 2 2" xfId="35705"/>
    <cellStyle name="Normal 508 3 3" xfId="35706"/>
    <cellStyle name="Normal 508 4" xfId="35707"/>
    <cellStyle name="Normal 508 4 2" xfId="35708"/>
    <cellStyle name="Normal 508 4 2 2" xfId="35709"/>
    <cellStyle name="Normal 508 4 3" xfId="35710"/>
    <cellStyle name="Normal 508 5" xfId="35711"/>
    <cellStyle name="Normal 508 5 2" xfId="35712"/>
    <cellStyle name="Normal 508 5 2 2" xfId="35713"/>
    <cellStyle name="Normal 508 5 3" xfId="35714"/>
    <cellStyle name="Normal 508 6" xfId="35715"/>
    <cellStyle name="Normal 509" xfId="35716"/>
    <cellStyle name="Normal 509 2" xfId="35717"/>
    <cellStyle name="Normal 509 2 2" xfId="35718"/>
    <cellStyle name="Normal 509 2 2 2" xfId="35719"/>
    <cellStyle name="Normal 509 2 3" xfId="35720"/>
    <cellStyle name="Normal 509 2 3 2" xfId="35721"/>
    <cellStyle name="Normal 509 2 3 2 2" xfId="35722"/>
    <cellStyle name="Normal 509 2 3 3" xfId="35723"/>
    <cellStyle name="Normal 509 2 4" xfId="35724"/>
    <cellStyle name="Normal 509 3" xfId="35725"/>
    <cellStyle name="Normal 509 3 2" xfId="35726"/>
    <cellStyle name="Normal 509 3 2 2" xfId="35727"/>
    <cellStyle name="Normal 509 3 3" xfId="35728"/>
    <cellStyle name="Normal 509 4" xfId="35729"/>
    <cellStyle name="Normal 509 4 2" xfId="35730"/>
    <cellStyle name="Normal 509 4 2 2" xfId="35731"/>
    <cellStyle name="Normal 509 4 3" xfId="35732"/>
    <cellStyle name="Normal 509 5" xfId="35733"/>
    <cellStyle name="Normal 509 5 2" xfId="35734"/>
    <cellStyle name="Normal 509 5 2 2" xfId="35735"/>
    <cellStyle name="Normal 509 5 3" xfId="35736"/>
    <cellStyle name="Normal 509 6" xfId="35737"/>
    <cellStyle name="Normal 51" xfId="35738"/>
    <cellStyle name="Normal 51 2" xfId="35739"/>
    <cellStyle name="Normal 51 2 2" xfId="35740"/>
    <cellStyle name="Normal 51 2 2 2" xfId="35741"/>
    <cellStyle name="Normal 51 2 2 2 2" xfId="35742"/>
    <cellStyle name="Normal 51 2 2 3" xfId="35743"/>
    <cellStyle name="Normal 51 2 2 3 2" xfId="35744"/>
    <cellStyle name="Normal 51 2 2 3 2 2" xfId="35745"/>
    <cellStyle name="Normal 51 2 2 3 3" xfId="35746"/>
    <cellStyle name="Normal 51 2 2 4" xfId="35747"/>
    <cellStyle name="Normal 51 2 2 4 2" xfId="35748"/>
    <cellStyle name="Normal 51 2 2 4 2 2" xfId="35749"/>
    <cellStyle name="Normal 51 2 2 4 3" xfId="35750"/>
    <cellStyle name="Normal 51 2 2 5" xfId="35751"/>
    <cellStyle name="Normal 51 2 3" xfId="35752"/>
    <cellStyle name="Normal 51 2 3 2" xfId="35753"/>
    <cellStyle name="Normal 51 2 3 2 2" xfId="35754"/>
    <cellStyle name="Normal 51 2 3 3" xfId="35755"/>
    <cellStyle name="Normal 51 2 4" xfId="35756"/>
    <cellStyle name="Normal 51 2 4 2" xfId="35757"/>
    <cellStyle name="Normal 51 2 4 2 2" xfId="35758"/>
    <cellStyle name="Normal 51 2 4 3" xfId="35759"/>
    <cellStyle name="Normal 51 2 5" xfId="35760"/>
    <cellStyle name="Normal 51 2 5 2" xfId="35761"/>
    <cellStyle name="Normal 51 2 5 2 2" xfId="35762"/>
    <cellStyle name="Normal 51 2 5 3" xfId="35763"/>
    <cellStyle name="Normal 51 2 6" xfId="35764"/>
    <cellStyle name="Normal 51 3" xfId="35765"/>
    <cellStyle name="Normal 51 3 2" xfId="35766"/>
    <cellStyle name="Normal 51 3 2 2" xfId="35767"/>
    <cellStyle name="Normal 51 3 3" xfId="35768"/>
    <cellStyle name="Normal 51 3 3 2" xfId="35769"/>
    <cellStyle name="Normal 51 3 3 2 2" xfId="35770"/>
    <cellStyle name="Normal 51 3 3 3" xfId="35771"/>
    <cellStyle name="Normal 51 3 4" xfId="35772"/>
    <cellStyle name="Normal 51 3 4 2" xfId="35773"/>
    <cellStyle name="Normal 51 3 4 2 2" xfId="35774"/>
    <cellStyle name="Normal 51 3 4 3" xfId="35775"/>
    <cellStyle name="Normal 51 3 5" xfId="35776"/>
    <cellStyle name="Normal 51 4" xfId="35777"/>
    <cellStyle name="Normal 51 4 2" xfId="35778"/>
    <cellStyle name="Normal 51 4 2 2" xfId="35779"/>
    <cellStyle name="Normal 51 4 3" xfId="35780"/>
    <cellStyle name="Normal 51 5" xfId="35781"/>
    <cellStyle name="Normal 51 5 2" xfId="35782"/>
    <cellStyle name="Normal 51 5 2 2" xfId="35783"/>
    <cellStyle name="Normal 51 5 3" xfId="35784"/>
    <cellStyle name="Normal 51 6" xfId="35785"/>
    <cellStyle name="Normal 51 6 2" xfId="35786"/>
    <cellStyle name="Normal 51 6 2 2" xfId="35787"/>
    <cellStyle name="Normal 51 6 3" xfId="35788"/>
    <cellStyle name="Normal 51 7" xfId="35789"/>
    <cellStyle name="Normal 510" xfId="35790"/>
    <cellStyle name="Normal 510 2" xfId="35791"/>
    <cellStyle name="Normal 510 2 2" xfId="35792"/>
    <cellStyle name="Normal 510 2 2 2" xfId="35793"/>
    <cellStyle name="Normal 510 2 3" xfId="35794"/>
    <cellStyle name="Normal 510 2 3 2" xfId="35795"/>
    <cellStyle name="Normal 510 2 3 2 2" xfId="35796"/>
    <cellStyle name="Normal 510 2 3 3" xfId="35797"/>
    <cellStyle name="Normal 510 2 4" xfId="35798"/>
    <cellStyle name="Normal 510 3" xfId="35799"/>
    <cellStyle name="Normal 510 3 2" xfId="35800"/>
    <cellStyle name="Normal 510 3 2 2" xfId="35801"/>
    <cellStyle name="Normal 510 3 3" xfId="35802"/>
    <cellStyle name="Normal 510 4" xfId="35803"/>
    <cellStyle name="Normal 510 4 2" xfId="35804"/>
    <cellStyle name="Normal 510 4 2 2" xfId="35805"/>
    <cellStyle name="Normal 510 4 3" xfId="35806"/>
    <cellStyle name="Normal 510 5" xfId="35807"/>
    <cellStyle name="Normal 510 5 2" xfId="35808"/>
    <cellStyle name="Normal 510 5 2 2" xfId="35809"/>
    <cellStyle name="Normal 510 5 3" xfId="35810"/>
    <cellStyle name="Normal 510 6" xfId="35811"/>
    <cellStyle name="Normal 511" xfId="35812"/>
    <cellStyle name="Normal 511 2" xfId="35813"/>
    <cellStyle name="Normal 511 2 2" xfId="35814"/>
    <cellStyle name="Normal 511 2 2 2" xfId="35815"/>
    <cellStyle name="Normal 511 2 3" xfId="35816"/>
    <cellStyle name="Normal 511 2 3 2" xfId="35817"/>
    <cellStyle name="Normal 511 2 3 2 2" xfId="35818"/>
    <cellStyle name="Normal 511 2 3 3" xfId="35819"/>
    <cellStyle name="Normal 511 2 4" xfId="35820"/>
    <cellStyle name="Normal 511 3" xfId="35821"/>
    <cellStyle name="Normal 511 3 2" xfId="35822"/>
    <cellStyle name="Normal 511 3 2 2" xfId="35823"/>
    <cellStyle name="Normal 511 3 3" xfId="35824"/>
    <cellStyle name="Normal 511 4" xfId="35825"/>
    <cellStyle name="Normal 511 4 2" xfId="35826"/>
    <cellStyle name="Normal 511 4 2 2" xfId="35827"/>
    <cellStyle name="Normal 511 4 3" xfId="35828"/>
    <cellStyle name="Normal 511 5" xfId="35829"/>
    <cellStyle name="Normal 511 5 2" xfId="35830"/>
    <cellStyle name="Normal 511 5 2 2" xfId="35831"/>
    <cellStyle name="Normal 511 5 3" xfId="35832"/>
    <cellStyle name="Normal 511 6" xfId="35833"/>
    <cellStyle name="Normal 512" xfId="35834"/>
    <cellStyle name="Normal 512 2" xfId="35835"/>
    <cellStyle name="Normal 512 2 2" xfId="35836"/>
    <cellStyle name="Normal 512 2 2 2" xfId="35837"/>
    <cellStyle name="Normal 512 2 3" xfId="35838"/>
    <cellStyle name="Normal 512 2 3 2" xfId="35839"/>
    <cellStyle name="Normal 512 2 3 2 2" xfId="35840"/>
    <cellStyle name="Normal 512 2 3 3" xfId="35841"/>
    <cellStyle name="Normal 512 2 4" xfId="35842"/>
    <cellStyle name="Normal 512 3" xfId="35843"/>
    <cellStyle name="Normal 512 3 2" xfId="35844"/>
    <cellStyle name="Normal 512 3 2 2" xfId="35845"/>
    <cellStyle name="Normal 512 3 3" xfId="35846"/>
    <cellStyle name="Normal 512 4" xfId="35847"/>
    <cellStyle name="Normal 512 4 2" xfId="35848"/>
    <cellStyle name="Normal 512 4 2 2" xfId="35849"/>
    <cellStyle name="Normal 512 4 3" xfId="35850"/>
    <cellStyle name="Normal 512 5" xfId="35851"/>
    <cellStyle name="Normal 512 5 2" xfId="35852"/>
    <cellStyle name="Normal 512 5 2 2" xfId="35853"/>
    <cellStyle name="Normal 512 5 3" xfId="35854"/>
    <cellStyle name="Normal 512 6" xfId="35855"/>
    <cellStyle name="Normal 513" xfId="35856"/>
    <cellStyle name="Normal 513 2" xfId="35857"/>
    <cellStyle name="Normal 513 2 2" xfId="35858"/>
    <cellStyle name="Normal 513 2 2 2" xfId="35859"/>
    <cellStyle name="Normal 513 2 3" xfId="35860"/>
    <cellStyle name="Normal 513 2 3 2" xfId="35861"/>
    <cellStyle name="Normal 513 2 3 2 2" xfId="35862"/>
    <cellStyle name="Normal 513 2 3 3" xfId="35863"/>
    <cellStyle name="Normal 513 2 4" xfId="35864"/>
    <cellStyle name="Normal 513 3" xfId="35865"/>
    <cellStyle name="Normal 513 3 2" xfId="35866"/>
    <cellStyle name="Normal 513 3 2 2" xfId="35867"/>
    <cellStyle name="Normal 513 3 3" xfId="35868"/>
    <cellStyle name="Normal 513 4" xfId="35869"/>
    <cellStyle name="Normal 513 4 2" xfId="35870"/>
    <cellStyle name="Normal 513 4 2 2" xfId="35871"/>
    <cellStyle name="Normal 513 4 3" xfId="35872"/>
    <cellStyle name="Normal 513 5" xfId="35873"/>
    <cellStyle name="Normal 513 5 2" xfId="35874"/>
    <cellStyle name="Normal 513 5 2 2" xfId="35875"/>
    <cellStyle name="Normal 513 5 3" xfId="35876"/>
    <cellStyle name="Normal 513 6" xfId="35877"/>
    <cellStyle name="Normal 514" xfId="35878"/>
    <cellStyle name="Normal 514 2" xfId="35879"/>
    <cellStyle name="Normal 514 2 2" xfId="35880"/>
    <cellStyle name="Normal 514 2 2 2" xfId="35881"/>
    <cellStyle name="Normal 514 2 3" xfId="35882"/>
    <cellStyle name="Normal 514 2 3 2" xfId="35883"/>
    <cellStyle name="Normal 514 2 3 2 2" xfId="35884"/>
    <cellStyle name="Normal 514 2 3 3" xfId="35885"/>
    <cellStyle name="Normal 514 2 4" xfId="35886"/>
    <cellStyle name="Normal 514 3" xfId="35887"/>
    <cellStyle name="Normal 514 3 2" xfId="35888"/>
    <cellStyle name="Normal 514 3 2 2" xfId="35889"/>
    <cellStyle name="Normal 514 3 3" xfId="35890"/>
    <cellStyle name="Normal 514 4" xfId="35891"/>
    <cellStyle name="Normal 514 4 2" xfId="35892"/>
    <cellStyle name="Normal 514 4 2 2" xfId="35893"/>
    <cellStyle name="Normal 514 4 3" xfId="35894"/>
    <cellStyle name="Normal 514 5" xfId="35895"/>
    <cellStyle name="Normal 514 5 2" xfId="35896"/>
    <cellStyle name="Normal 514 5 2 2" xfId="35897"/>
    <cellStyle name="Normal 514 5 3" xfId="35898"/>
    <cellStyle name="Normal 514 6" xfId="35899"/>
    <cellStyle name="Normal 515" xfId="35900"/>
    <cellStyle name="Normal 515 2" xfId="35901"/>
    <cellStyle name="Normal 515 2 2" xfId="35902"/>
    <cellStyle name="Normal 515 2 2 2" xfId="35903"/>
    <cellStyle name="Normal 515 2 3" xfId="35904"/>
    <cellStyle name="Normal 515 2 3 2" xfId="35905"/>
    <cellStyle name="Normal 515 2 3 2 2" xfId="35906"/>
    <cellStyle name="Normal 515 2 3 3" xfId="35907"/>
    <cellStyle name="Normal 515 2 4" xfId="35908"/>
    <cellStyle name="Normal 515 3" xfId="35909"/>
    <cellStyle name="Normal 515 3 2" xfId="35910"/>
    <cellStyle name="Normal 515 3 2 2" xfId="35911"/>
    <cellStyle name="Normal 515 3 3" xfId="35912"/>
    <cellStyle name="Normal 515 4" xfId="35913"/>
    <cellStyle name="Normal 515 4 2" xfId="35914"/>
    <cellStyle name="Normal 515 4 2 2" xfId="35915"/>
    <cellStyle name="Normal 515 4 3" xfId="35916"/>
    <cellStyle name="Normal 515 5" xfId="35917"/>
    <cellStyle name="Normal 515 5 2" xfId="35918"/>
    <cellStyle name="Normal 515 5 2 2" xfId="35919"/>
    <cellStyle name="Normal 515 5 3" xfId="35920"/>
    <cellStyle name="Normal 515 6" xfId="35921"/>
    <cellStyle name="Normal 516" xfId="35922"/>
    <cellStyle name="Normal 516 2" xfId="35923"/>
    <cellStyle name="Normal 516 2 2" xfId="35924"/>
    <cellStyle name="Normal 516 2 2 2" xfId="35925"/>
    <cellStyle name="Normal 516 2 3" xfId="35926"/>
    <cellStyle name="Normal 516 2 3 2" xfId="35927"/>
    <cellStyle name="Normal 516 2 3 2 2" xfId="35928"/>
    <cellStyle name="Normal 516 2 3 3" xfId="35929"/>
    <cellStyle name="Normal 516 2 4" xfId="35930"/>
    <cellStyle name="Normal 516 3" xfId="35931"/>
    <cellStyle name="Normal 516 3 2" xfId="35932"/>
    <cellStyle name="Normal 516 3 2 2" xfId="35933"/>
    <cellStyle name="Normal 516 3 3" xfId="35934"/>
    <cellStyle name="Normal 516 4" xfId="35935"/>
    <cellStyle name="Normal 516 4 2" xfId="35936"/>
    <cellStyle name="Normal 516 4 2 2" xfId="35937"/>
    <cellStyle name="Normal 516 4 3" xfId="35938"/>
    <cellStyle name="Normal 516 5" xfId="35939"/>
    <cellStyle name="Normal 516 5 2" xfId="35940"/>
    <cellStyle name="Normal 516 5 2 2" xfId="35941"/>
    <cellStyle name="Normal 516 5 3" xfId="35942"/>
    <cellStyle name="Normal 516 6" xfId="35943"/>
    <cellStyle name="Normal 517" xfId="35944"/>
    <cellStyle name="Normal 517 2" xfId="35945"/>
    <cellStyle name="Normal 517 2 2" xfId="35946"/>
    <cellStyle name="Normal 517 2 2 2" xfId="35947"/>
    <cellStyle name="Normal 517 2 3" xfId="35948"/>
    <cellStyle name="Normal 517 2 3 2" xfId="35949"/>
    <cellStyle name="Normal 517 2 3 2 2" xfId="35950"/>
    <cellStyle name="Normal 517 2 3 3" xfId="35951"/>
    <cellStyle name="Normal 517 2 4" xfId="35952"/>
    <cellStyle name="Normal 517 3" xfId="35953"/>
    <cellStyle name="Normal 517 3 2" xfId="35954"/>
    <cellStyle name="Normal 517 3 2 2" xfId="35955"/>
    <cellStyle name="Normal 517 3 3" xfId="35956"/>
    <cellStyle name="Normal 517 4" xfId="35957"/>
    <cellStyle name="Normal 517 4 2" xfId="35958"/>
    <cellStyle name="Normal 517 4 2 2" xfId="35959"/>
    <cellStyle name="Normal 517 4 3" xfId="35960"/>
    <cellStyle name="Normal 517 5" xfId="35961"/>
    <cellStyle name="Normal 517 5 2" xfId="35962"/>
    <cellStyle name="Normal 517 5 2 2" xfId="35963"/>
    <cellStyle name="Normal 517 5 3" xfId="35964"/>
    <cellStyle name="Normal 517 6" xfId="35965"/>
    <cellStyle name="Normal 518" xfId="35966"/>
    <cellStyle name="Normal 518 2" xfId="35967"/>
    <cellStyle name="Normal 518 2 2" xfId="35968"/>
    <cellStyle name="Normal 518 2 2 2" xfId="35969"/>
    <cellStyle name="Normal 518 2 3" xfId="35970"/>
    <cellStyle name="Normal 518 2 3 2" xfId="35971"/>
    <cellStyle name="Normal 518 2 3 2 2" xfId="35972"/>
    <cellStyle name="Normal 518 2 3 3" xfId="35973"/>
    <cellStyle name="Normal 518 2 4" xfId="35974"/>
    <cellStyle name="Normal 518 3" xfId="35975"/>
    <cellStyle name="Normal 518 3 2" xfId="35976"/>
    <cellStyle name="Normal 518 3 2 2" xfId="35977"/>
    <cellStyle name="Normal 518 3 3" xfId="35978"/>
    <cellStyle name="Normal 518 4" xfId="35979"/>
    <cellStyle name="Normal 518 4 2" xfId="35980"/>
    <cellStyle name="Normal 518 4 2 2" xfId="35981"/>
    <cellStyle name="Normal 518 4 3" xfId="35982"/>
    <cellStyle name="Normal 518 5" xfId="35983"/>
    <cellStyle name="Normal 518 5 2" xfId="35984"/>
    <cellStyle name="Normal 518 5 2 2" xfId="35985"/>
    <cellStyle name="Normal 518 5 3" xfId="35986"/>
    <cellStyle name="Normal 518 6" xfId="35987"/>
    <cellStyle name="Normal 519" xfId="35988"/>
    <cellStyle name="Normal 519 2" xfId="35989"/>
    <cellStyle name="Normal 519 2 2" xfId="35990"/>
    <cellStyle name="Normal 519 2 2 2" xfId="35991"/>
    <cellStyle name="Normal 519 2 3" xfId="35992"/>
    <cellStyle name="Normal 519 2 3 2" xfId="35993"/>
    <cellStyle name="Normal 519 2 3 2 2" xfId="35994"/>
    <cellStyle name="Normal 519 2 3 3" xfId="35995"/>
    <cellStyle name="Normal 519 2 4" xfId="35996"/>
    <cellStyle name="Normal 519 3" xfId="35997"/>
    <cellStyle name="Normal 519 3 2" xfId="35998"/>
    <cellStyle name="Normal 519 3 2 2" xfId="35999"/>
    <cellStyle name="Normal 519 3 3" xfId="36000"/>
    <cellStyle name="Normal 519 4" xfId="36001"/>
    <cellStyle name="Normal 519 4 2" xfId="36002"/>
    <cellStyle name="Normal 519 4 2 2" xfId="36003"/>
    <cellStyle name="Normal 519 4 3" xfId="36004"/>
    <cellStyle name="Normal 519 5" xfId="36005"/>
    <cellStyle name="Normal 519 5 2" xfId="36006"/>
    <cellStyle name="Normal 519 5 2 2" xfId="36007"/>
    <cellStyle name="Normal 519 5 3" xfId="36008"/>
    <cellStyle name="Normal 519 6" xfId="36009"/>
    <cellStyle name="Normal 52" xfId="36010"/>
    <cellStyle name="Normal 52 2" xfId="36011"/>
    <cellStyle name="Normal 52 2 2" xfId="36012"/>
    <cellStyle name="Normal 52 2 2 2" xfId="36013"/>
    <cellStyle name="Normal 52 2 2 2 2" xfId="36014"/>
    <cellStyle name="Normal 52 2 2 3" xfId="36015"/>
    <cellStyle name="Normal 52 2 2 3 2" xfId="36016"/>
    <cellStyle name="Normal 52 2 2 3 2 2" xfId="36017"/>
    <cellStyle name="Normal 52 2 2 3 3" xfId="36018"/>
    <cellStyle name="Normal 52 2 2 4" xfId="36019"/>
    <cellStyle name="Normal 52 2 2 4 2" xfId="36020"/>
    <cellStyle name="Normal 52 2 2 4 2 2" xfId="36021"/>
    <cellStyle name="Normal 52 2 2 4 3" xfId="36022"/>
    <cellStyle name="Normal 52 2 2 5" xfId="36023"/>
    <cellStyle name="Normal 52 2 3" xfId="36024"/>
    <cellStyle name="Normal 52 2 3 2" xfId="36025"/>
    <cellStyle name="Normal 52 2 3 2 2" xfId="36026"/>
    <cellStyle name="Normal 52 2 3 3" xfId="36027"/>
    <cellStyle name="Normal 52 2 4" xfId="36028"/>
    <cellStyle name="Normal 52 2 4 2" xfId="36029"/>
    <cellStyle name="Normal 52 2 4 2 2" xfId="36030"/>
    <cellStyle name="Normal 52 2 4 3" xfId="36031"/>
    <cellStyle name="Normal 52 2 5" xfId="36032"/>
    <cellStyle name="Normal 52 2 5 2" xfId="36033"/>
    <cellStyle name="Normal 52 2 5 2 2" xfId="36034"/>
    <cellStyle name="Normal 52 2 5 3" xfId="36035"/>
    <cellStyle name="Normal 52 2 6" xfId="36036"/>
    <cellStyle name="Normal 52 3" xfId="36037"/>
    <cellStyle name="Normal 52 3 2" xfId="36038"/>
    <cellStyle name="Normal 52 3 2 2" xfId="36039"/>
    <cellStyle name="Normal 52 3 3" xfId="36040"/>
    <cellStyle name="Normal 52 3 3 2" xfId="36041"/>
    <cellStyle name="Normal 52 3 3 2 2" xfId="36042"/>
    <cellStyle name="Normal 52 3 3 3" xfId="36043"/>
    <cellStyle name="Normal 52 3 4" xfId="36044"/>
    <cellStyle name="Normal 52 3 4 2" xfId="36045"/>
    <cellStyle name="Normal 52 3 4 2 2" xfId="36046"/>
    <cellStyle name="Normal 52 3 4 3" xfId="36047"/>
    <cellStyle name="Normal 52 3 5" xfId="36048"/>
    <cellStyle name="Normal 52 4" xfId="36049"/>
    <cellStyle name="Normal 52 4 2" xfId="36050"/>
    <cellStyle name="Normal 52 4 2 2" xfId="36051"/>
    <cellStyle name="Normal 52 4 3" xfId="36052"/>
    <cellStyle name="Normal 52 5" xfId="36053"/>
    <cellStyle name="Normal 52 5 2" xfId="36054"/>
    <cellStyle name="Normal 52 5 2 2" xfId="36055"/>
    <cellStyle name="Normal 52 5 3" xfId="36056"/>
    <cellStyle name="Normal 52 6" xfId="36057"/>
    <cellStyle name="Normal 52 6 2" xfId="36058"/>
    <cellStyle name="Normal 52 6 2 2" xfId="36059"/>
    <cellStyle name="Normal 52 6 3" xfId="36060"/>
    <cellStyle name="Normal 52 7" xfId="36061"/>
    <cellStyle name="Normal 520" xfId="36062"/>
    <cellStyle name="Normal 520 2" xfId="36063"/>
    <cellStyle name="Normal 520 2 2" xfId="36064"/>
    <cellStyle name="Normal 520 2 2 2" xfId="36065"/>
    <cellStyle name="Normal 520 2 3" xfId="36066"/>
    <cellStyle name="Normal 520 2 3 2" xfId="36067"/>
    <cellStyle name="Normal 520 2 3 2 2" xfId="36068"/>
    <cellStyle name="Normal 520 2 3 3" xfId="36069"/>
    <cellStyle name="Normal 520 2 4" xfId="36070"/>
    <cellStyle name="Normal 520 3" xfId="36071"/>
    <cellStyle name="Normal 520 3 2" xfId="36072"/>
    <cellStyle name="Normal 520 3 2 2" xfId="36073"/>
    <cellStyle name="Normal 520 3 3" xfId="36074"/>
    <cellStyle name="Normal 520 4" xfId="36075"/>
    <cellStyle name="Normal 520 4 2" xfId="36076"/>
    <cellStyle name="Normal 520 4 2 2" xfId="36077"/>
    <cellStyle name="Normal 520 4 3" xfId="36078"/>
    <cellStyle name="Normal 520 5" xfId="36079"/>
    <cellStyle name="Normal 520 5 2" xfId="36080"/>
    <cellStyle name="Normal 520 5 2 2" xfId="36081"/>
    <cellStyle name="Normal 520 5 3" xfId="36082"/>
    <cellStyle name="Normal 520 6" xfId="36083"/>
    <cellStyle name="Normal 521" xfId="36084"/>
    <cellStyle name="Normal 521 2" xfId="36085"/>
    <cellStyle name="Normal 521 2 2" xfId="36086"/>
    <cellStyle name="Normal 521 2 2 2" xfId="36087"/>
    <cellStyle name="Normal 521 2 3" xfId="36088"/>
    <cellStyle name="Normal 521 2 3 2" xfId="36089"/>
    <cellStyle name="Normal 521 2 3 2 2" xfId="36090"/>
    <cellStyle name="Normal 521 2 3 3" xfId="36091"/>
    <cellStyle name="Normal 521 2 4" xfId="36092"/>
    <cellStyle name="Normal 521 3" xfId="36093"/>
    <cellStyle name="Normal 521 3 2" xfId="36094"/>
    <cellStyle name="Normal 521 3 2 2" xfId="36095"/>
    <cellStyle name="Normal 521 3 3" xfId="36096"/>
    <cellStyle name="Normal 521 4" xfId="36097"/>
    <cellStyle name="Normal 521 4 2" xfId="36098"/>
    <cellStyle name="Normal 521 4 2 2" xfId="36099"/>
    <cellStyle name="Normal 521 4 3" xfId="36100"/>
    <cellStyle name="Normal 521 5" xfId="36101"/>
    <cellStyle name="Normal 521 5 2" xfId="36102"/>
    <cellStyle name="Normal 521 5 2 2" xfId="36103"/>
    <cellStyle name="Normal 521 5 3" xfId="36104"/>
    <cellStyle name="Normal 521 6" xfId="36105"/>
    <cellStyle name="Normal 522" xfId="36106"/>
    <cellStyle name="Normal 522 2" xfId="36107"/>
    <cellStyle name="Normal 522 2 2" xfId="36108"/>
    <cellStyle name="Normal 522 2 2 2" xfId="36109"/>
    <cellStyle name="Normal 522 2 3" xfId="36110"/>
    <cellStyle name="Normal 522 2 3 2" xfId="36111"/>
    <cellStyle name="Normal 522 2 3 2 2" xfId="36112"/>
    <cellStyle name="Normal 522 2 3 3" xfId="36113"/>
    <cellStyle name="Normal 522 2 4" xfId="36114"/>
    <cellStyle name="Normal 522 3" xfId="36115"/>
    <cellStyle name="Normal 522 3 2" xfId="36116"/>
    <cellStyle name="Normal 522 3 2 2" xfId="36117"/>
    <cellStyle name="Normal 522 3 3" xfId="36118"/>
    <cellStyle name="Normal 522 4" xfId="36119"/>
    <cellStyle name="Normal 522 4 2" xfId="36120"/>
    <cellStyle name="Normal 522 4 2 2" xfId="36121"/>
    <cellStyle name="Normal 522 4 3" xfId="36122"/>
    <cellStyle name="Normal 522 5" xfId="36123"/>
    <cellStyle name="Normal 522 5 2" xfId="36124"/>
    <cellStyle name="Normal 522 5 2 2" xfId="36125"/>
    <cellStyle name="Normal 522 5 3" xfId="36126"/>
    <cellStyle name="Normal 522 6" xfId="36127"/>
    <cellStyle name="Normal 523" xfId="36128"/>
    <cellStyle name="Normal 523 2" xfId="36129"/>
    <cellStyle name="Normal 523 2 2" xfId="36130"/>
    <cellStyle name="Normal 523 2 2 2" xfId="36131"/>
    <cellStyle name="Normal 523 2 3" xfId="36132"/>
    <cellStyle name="Normal 523 2 3 2" xfId="36133"/>
    <cellStyle name="Normal 523 2 3 2 2" xfId="36134"/>
    <cellStyle name="Normal 523 2 3 3" xfId="36135"/>
    <cellStyle name="Normal 523 2 4" xfId="36136"/>
    <cellStyle name="Normal 523 3" xfId="36137"/>
    <cellStyle name="Normal 523 3 2" xfId="36138"/>
    <cellStyle name="Normal 523 3 2 2" xfId="36139"/>
    <cellStyle name="Normal 523 3 3" xfId="36140"/>
    <cellStyle name="Normal 523 4" xfId="36141"/>
    <cellStyle name="Normal 523 4 2" xfId="36142"/>
    <cellStyle name="Normal 523 4 2 2" xfId="36143"/>
    <cellStyle name="Normal 523 4 3" xfId="36144"/>
    <cellStyle name="Normal 523 5" xfId="36145"/>
    <cellStyle name="Normal 523 5 2" xfId="36146"/>
    <cellStyle name="Normal 523 5 2 2" xfId="36147"/>
    <cellStyle name="Normal 523 5 3" xfId="36148"/>
    <cellStyle name="Normal 523 6" xfId="36149"/>
    <cellStyle name="Normal 524" xfId="36150"/>
    <cellStyle name="Normal 524 2" xfId="36151"/>
    <cellStyle name="Normal 524 2 2" xfId="36152"/>
    <cellStyle name="Normal 524 2 2 2" xfId="36153"/>
    <cellStyle name="Normal 524 2 3" xfId="36154"/>
    <cellStyle name="Normal 524 2 3 2" xfId="36155"/>
    <cellStyle name="Normal 524 2 3 2 2" xfId="36156"/>
    <cellStyle name="Normal 524 2 3 3" xfId="36157"/>
    <cellStyle name="Normal 524 2 4" xfId="36158"/>
    <cellStyle name="Normal 524 3" xfId="36159"/>
    <cellStyle name="Normal 524 3 2" xfId="36160"/>
    <cellStyle name="Normal 524 3 2 2" xfId="36161"/>
    <cellStyle name="Normal 524 3 3" xfId="36162"/>
    <cellStyle name="Normal 524 4" xfId="36163"/>
    <cellStyle name="Normal 524 4 2" xfId="36164"/>
    <cellStyle name="Normal 524 4 2 2" xfId="36165"/>
    <cellStyle name="Normal 524 4 3" xfId="36166"/>
    <cellStyle name="Normal 524 5" xfId="36167"/>
    <cellStyle name="Normal 524 5 2" xfId="36168"/>
    <cellStyle name="Normal 524 5 2 2" xfId="36169"/>
    <cellStyle name="Normal 524 5 3" xfId="36170"/>
    <cellStyle name="Normal 524 6" xfId="36171"/>
    <cellStyle name="Normal 525" xfId="36172"/>
    <cellStyle name="Normal 525 2" xfId="36173"/>
    <cellStyle name="Normal 525 2 2" xfId="36174"/>
    <cellStyle name="Normal 525 2 2 2" xfId="36175"/>
    <cellStyle name="Normal 525 2 3" xfId="36176"/>
    <cellStyle name="Normal 525 2 3 2" xfId="36177"/>
    <cellStyle name="Normal 525 2 3 2 2" xfId="36178"/>
    <cellStyle name="Normal 525 2 3 3" xfId="36179"/>
    <cellStyle name="Normal 525 2 4" xfId="36180"/>
    <cellStyle name="Normal 525 3" xfId="36181"/>
    <cellStyle name="Normal 525 3 2" xfId="36182"/>
    <cellStyle name="Normal 525 3 2 2" xfId="36183"/>
    <cellStyle name="Normal 525 3 3" xfId="36184"/>
    <cellStyle name="Normal 525 4" xfId="36185"/>
    <cellStyle name="Normal 525 4 2" xfId="36186"/>
    <cellStyle name="Normal 525 4 2 2" xfId="36187"/>
    <cellStyle name="Normal 525 4 3" xfId="36188"/>
    <cellStyle name="Normal 525 5" xfId="36189"/>
    <cellStyle name="Normal 525 5 2" xfId="36190"/>
    <cellStyle name="Normal 525 5 2 2" xfId="36191"/>
    <cellStyle name="Normal 525 5 3" xfId="36192"/>
    <cellStyle name="Normal 525 6" xfId="36193"/>
    <cellStyle name="Normal 526" xfId="36194"/>
    <cellStyle name="Normal 526 2" xfId="36195"/>
    <cellStyle name="Normal 526 2 2" xfId="36196"/>
    <cellStyle name="Normal 526 2 2 2" xfId="36197"/>
    <cellStyle name="Normal 526 2 3" xfId="36198"/>
    <cellStyle name="Normal 526 2 3 2" xfId="36199"/>
    <cellStyle name="Normal 526 2 3 2 2" xfId="36200"/>
    <cellStyle name="Normal 526 2 3 3" xfId="36201"/>
    <cellStyle name="Normal 526 2 4" xfId="36202"/>
    <cellStyle name="Normal 526 3" xfId="36203"/>
    <cellStyle name="Normal 526 3 2" xfId="36204"/>
    <cellStyle name="Normal 526 3 2 2" xfId="36205"/>
    <cellStyle name="Normal 526 3 3" xfId="36206"/>
    <cellStyle name="Normal 526 4" xfId="36207"/>
    <cellStyle name="Normal 526 4 2" xfId="36208"/>
    <cellStyle name="Normal 526 4 2 2" xfId="36209"/>
    <cellStyle name="Normal 526 4 3" xfId="36210"/>
    <cellStyle name="Normal 526 5" xfId="36211"/>
    <cellStyle name="Normal 526 5 2" xfId="36212"/>
    <cellStyle name="Normal 526 5 2 2" xfId="36213"/>
    <cellStyle name="Normal 526 5 3" xfId="36214"/>
    <cellStyle name="Normal 526 6" xfId="36215"/>
    <cellStyle name="Normal 527" xfId="36216"/>
    <cellStyle name="Normal 527 2" xfId="36217"/>
    <cellStyle name="Normal 527 2 2" xfId="36218"/>
    <cellStyle name="Normal 527 2 2 2" xfId="36219"/>
    <cellStyle name="Normal 527 2 3" xfId="36220"/>
    <cellStyle name="Normal 527 2 3 2" xfId="36221"/>
    <cellStyle name="Normal 527 2 3 2 2" xfId="36222"/>
    <cellStyle name="Normal 527 2 3 3" xfId="36223"/>
    <cellStyle name="Normal 527 2 4" xfId="36224"/>
    <cellStyle name="Normal 527 3" xfId="36225"/>
    <cellStyle name="Normal 527 3 2" xfId="36226"/>
    <cellStyle name="Normal 527 3 2 2" xfId="36227"/>
    <cellStyle name="Normal 527 3 3" xfId="36228"/>
    <cellStyle name="Normal 527 4" xfId="36229"/>
    <cellStyle name="Normal 527 4 2" xfId="36230"/>
    <cellStyle name="Normal 527 4 2 2" xfId="36231"/>
    <cellStyle name="Normal 527 4 3" xfId="36232"/>
    <cellStyle name="Normal 527 5" xfId="36233"/>
    <cellStyle name="Normal 527 5 2" xfId="36234"/>
    <cellStyle name="Normal 527 5 2 2" xfId="36235"/>
    <cellStyle name="Normal 527 5 3" xfId="36236"/>
    <cellStyle name="Normal 527 6" xfId="36237"/>
    <cellStyle name="Normal 528" xfId="36238"/>
    <cellStyle name="Normal 528 2" xfId="36239"/>
    <cellStyle name="Normal 528 2 2" xfId="36240"/>
    <cellStyle name="Normal 528 2 2 2" xfId="36241"/>
    <cellStyle name="Normal 528 2 3" xfId="36242"/>
    <cellStyle name="Normal 528 2 3 2" xfId="36243"/>
    <cellStyle name="Normal 528 2 3 2 2" xfId="36244"/>
    <cellStyle name="Normal 528 2 3 3" xfId="36245"/>
    <cellStyle name="Normal 528 2 4" xfId="36246"/>
    <cellStyle name="Normal 528 3" xfId="36247"/>
    <cellStyle name="Normal 528 3 2" xfId="36248"/>
    <cellStyle name="Normal 528 3 2 2" xfId="36249"/>
    <cellStyle name="Normal 528 3 3" xfId="36250"/>
    <cellStyle name="Normal 528 4" xfId="36251"/>
    <cellStyle name="Normal 528 4 2" xfId="36252"/>
    <cellStyle name="Normal 528 4 2 2" xfId="36253"/>
    <cellStyle name="Normal 528 4 3" xfId="36254"/>
    <cellStyle name="Normal 528 5" xfId="36255"/>
    <cellStyle name="Normal 528 5 2" xfId="36256"/>
    <cellStyle name="Normal 528 5 2 2" xfId="36257"/>
    <cellStyle name="Normal 528 5 3" xfId="36258"/>
    <cellStyle name="Normal 528 6" xfId="36259"/>
    <cellStyle name="Normal 529" xfId="36260"/>
    <cellStyle name="Normal 529 2" xfId="36261"/>
    <cellStyle name="Normal 529 2 2" xfId="36262"/>
    <cellStyle name="Normal 529 2 2 2" xfId="36263"/>
    <cellStyle name="Normal 529 2 3" xfId="36264"/>
    <cellStyle name="Normal 529 2 3 2" xfId="36265"/>
    <cellStyle name="Normal 529 2 3 2 2" xfId="36266"/>
    <cellStyle name="Normal 529 2 3 3" xfId="36267"/>
    <cellStyle name="Normal 529 2 4" xfId="36268"/>
    <cellStyle name="Normal 529 3" xfId="36269"/>
    <cellStyle name="Normal 529 3 2" xfId="36270"/>
    <cellStyle name="Normal 529 3 2 2" xfId="36271"/>
    <cellStyle name="Normal 529 3 3" xfId="36272"/>
    <cellStyle name="Normal 529 4" xfId="36273"/>
    <cellStyle name="Normal 529 4 2" xfId="36274"/>
    <cellStyle name="Normal 529 4 2 2" xfId="36275"/>
    <cellStyle name="Normal 529 4 3" xfId="36276"/>
    <cellStyle name="Normal 529 5" xfId="36277"/>
    <cellStyle name="Normal 529 5 2" xfId="36278"/>
    <cellStyle name="Normal 529 5 2 2" xfId="36279"/>
    <cellStyle name="Normal 529 5 3" xfId="36280"/>
    <cellStyle name="Normal 529 6" xfId="36281"/>
    <cellStyle name="Normal 53" xfId="36282"/>
    <cellStyle name="Normal 53 2" xfId="36283"/>
    <cellStyle name="Normal 53 2 2" xfId="36284"/>
    <cellStyle name="Normal 53 2 2 2" xfId="36285"/>
    <cellStyle name="Normal 53 2 2 2 2" xfId="36286"/>
    <cellStyle name="Normal 53 2 2 3" xfId="36287"/>
    <cellStyle name="Normal 53 2 2 3 2" xfId="36288"/>
    <cellStyle name="Normal 53 2 2 3 2 2" xfId="36289"/>
    <cellStyle name="Normal 53 2 2 3 3" xfId="36290"/>
    <cellStyle name="Normal 53 2 2 4" xfId="36291"/>
    <cellStyle name="Normal 53 2 2 4 2" xfId="36292"/>
    <cellStyle name="Normal 53 2 2 4 2 2" xfId="36293"/>
    <cellStyle name="Normal 53 2 2 4 3" xfId="36294"/>
    <cellStyle name="Normal 53 2 2 5" xfId="36295"/>
    <cellStyle name="Normal 53 2 3" xfId="36296"/>
    <cellStyle name="Normal 53 2 3 2" xfId="36297"/>
    <cellStyle name="Normal 53 2 3 2 2" xfId="36298"/>
    <cellStyle name="Normal 53 2 3 3" xfId="36299"/>
    <cellStyle name="Normal 53 2 4" xfId="36300"/>
    <cellStyle name="Normal 53 2 4 2" xfId="36301"/>
    <cellStyle name="Normal 53 2 4 2 2" xfId="36302"/>
    <cellStyle name="Normal 53 2 4 3" xfId="36303"/>
    <cellStyle name="Normal 53 2 5" xfId="36304"/>
    <cellStyle name="Normal 53 2 5 2" xfId="36305"/>
    <cellStyle name="Normal 53 2 5 2 2" xfId="36306"/>
    <cellStyle name="Normal 53 2 5 3" xfId="36307"/>
    <cellStyle name="Normal 53 2 6" xfId="36308"/>
    <cellStyle name="Normal 53 3" xfId="36309"/>
    <cellStyle name="Normal 53 3 2" xfId="36310"/>
    <cellStyle name="Normal 53 3 2 2" xfId="36311"/>
    <cellStyle name="Normal 53 3 3" xfId="36312"/>
    <cellStyle name="Normal 53 3 3 2" xfId="36313"/>
    <cellStyle name="Normal 53 3 3 2 2" xfId="36314"/>
    <cellStyle name="Normal 53 3 3 3" xfId="36315"/>
    <cellStyle name="Normal 53 3 4" xfId="36316"/>
    <cellStyle name="Normal 53 3 4 2" xfId="36317"/>
    <cellStyle name="Normal 53 3 4 2 2" xfId="36318"/>
    <cellStyle name="Normal 53 3 4 3" xfId="36319"/>
    <cellStyle name="Normal 53 3 5" xfId="36320"/>
    <cellStyle name="Normal 53 4" xfId="36321"/>
    <cellStyle name="Normal 53 4 2" xfId="36322"/>
    <cellStyle name="Normal 53 4 2 2" xfId="36323"/>
    <cellStyle name="Normal 53 4 3" xfId="36324"/>
    <cellStyle name="Normal 53 5" xfId="36325"/>
    <cellStyle name="Normal 53 5 2" xfId="36326"/>
    <cellStyle name="Normal 53 5 2 2" xfId="36327"/>
    <cellStyle name="Normal 53 5 3" xfId="36328"/>
    <cellStyle name="Normal 53 6" xfId="36329"/>
    <cellStyle name="Normal 53 6 2" xfId="36330"/>
    <cellStyle name="Normal 53 6 2 2" xfId="36331"/>
    <cellStyle name="Normal 53 6 3" xfId="36332"/>
    <cellStyle name="Normal 53 7" xfId="36333"/>
    <cellStyle name="Normal 530" xfId="36334"/>
    <cellStyle name="Normal 530 2" xfId="36335"/>
    <cellStyle name="Normal 530 2 2" xfId="36336"/>
    <cellStyle name="Normal 530 2 2 2" xfId="36337"/>
    <cellStyle name="Normal 530 2 3" xfId="36338"/>
    <cellStyle name="Normal 530 2 3 2" xfId="36339"/>
    <cellStyle name="Normal 530 2 3 2 2" xfId="36340"/>
    <cellStyle name="Normal 530 2 3 3" xfId="36341"/>
    <cellStyle name="Normal 530 2 4" xfId="36342"/>
    <cellStyle name="Normal 530 3" xfId="36343"/>
    <cellStyle name="Normal 530 3 2" xfId="36344"/>
    <cellStyle name="Normal 530 3 2 2" xfId="36345"/>
    <cellStyle name="Normal 530 3 3" xfId="36346"/>
    <cellStyle name="Normal 530 4" xfId="36347"/>
    <cellStyle name="Normal 530 4 2" xfId="36348"/>
    <cellStyle name="Normal 530 4 2 2" xfId="36349"/>
    <cellStyle name="Normal 530 4 3" xfId="36350"/>
    <cellStyle name="Normal 530 5" xfId="36351"/>
    <cellStyle name="Normal 530 5 2" xfId="36352"/>
    <cellStyle name="Normal 530 5 2 2" xfId="36353"/>
    <cellStyle name="Normal 530 5 3" xfId="36354"/>
    <cellStyle name="Normal 530 6" xfId="36355"/>
    <cellStyle name="Normal 531" xfId="36356"/>
    <cellStyle name="Normal 531 2" xfId="36357"/>
    <cellStyle name="Normal 531 2 2" xfId="36358"/>
    <cellStyle name="Normal 531 2 2 2" xfId="36359"/>
    <cellStyle name="Normal 531 2 3" xfId="36360"/>
    <cellStyle name="Normal 531 2 3 2" xfId="36361"/>
    <cellStyle name="Normal 531 2 3 2 2" xfId="36362"/>
    <cellStyle name="Normal 531 2 3 3" xfId="36363"/>
    <cellStyle name="Normal 531 2 4" xfId="36364"/>
    <cellStyle name="Normal 531 3" xfId="36365"/>
    <cellStyle name="Normal 531 3 2" xfId="36366"/>
    <cellStyle name="Normal 531 3 2 2" xfId="36367"/>
    <cellStyle name="Normal 531 3 3" xfId="36368"/>
    <cellStyle name="Normal 531 4" xfId="36369"/>
    <cellStyle name="Normal 531 4 2" xfId="36370"/>
    <cellStyle name="Normal 531 4 2 2" xfId="36371"/>
    <cellStyle name="Normal 531 4 3" xfId="36372"/>
    <cellStyle name="Normal 531 5" xfId="36373"/>
    <cellStyle name="Normal 531 5 2" xfId="36374"/>
    <cellStyle name="Normal 531 5 2 2" xfId="36375"/>
    <cellStyle name="Normal 531 5 3" xfId="36376"/>
    <cellStyle name="Normal 531 6" xfId="36377"/>
    <cellStyle name="Normal 532" xfId="36378"/>
    <cellStyle name="Normal 532 2" xfId="36379"/>
    <cellStyle name="Normal 532 2 2" xfId="36380"/>
    <cellStyle name="Normal 532 2 2 2" xfId="36381"/>
    <cellStyle name="Normal 532 2 3" xfId="36382"/>
    <cellStyle name="Normal 532 2 3 2" xfId="36383"/>
    <cellStyle name="Normal 532 2 3 2 2" xfId="36384"/>
    <cellStyle name="Normal 532 2 3 3" xfId="36385"/>
    <cellStyle name="Normal 532 2 4" xfId="36386"/>
    <cellStyle name="Normal 532 3" xfId="36387"/>
    <cellStyle name="Normal 532 3 2" xfId="36388"/>
    <cellStyle name="Normal 532 3 2 2" xfId="36389"/>
    <cellStyle name="Normal 532 3 3" xfId="36390"/>
    <cellStyle name="Normal 532 4" xfId="36391"/>
    <cellStyle name="Normal 532 4 2" xfId="36392"/>
    <cellStyle name="Normal 532 4 2 2" xfId="36393"/>
    <cellStyle name="Normal 532 4 3" xfId="36394"/>
    <cellStyle name="Normal 532 5" xfId="36395"/>
    <cellStyle name="Normal 532 5 2" xfId="36396"/>
    <cellStyle name="Normal 532 5 2 2" xfId="36397"/>
    <cellStyle name="Normal 532 5 3" xfId="36398"/>
    <cellStyle name="Normal 532 6" xfId="36399"/>
    <cellStyle name="Normal 533" xfId="36400"/>
    <cellStyle name="Normal 533 2" xfId="36401"/>
    <cellStyle name="Normal 533 2 2" xfId="36402"/>
    <cellStyle name="Normal 533 2 2 2" xfId="36403"/>
    <cellStyle name="Normal 533 2 3" xfId="36404"/>
    <cellStyle name="Normal 533 2 3 2" xfId="36405"/>
    <cellStyle name="Normal 533 2 3 2 2" xfId="36406"/>
    <cellStyle name="Normal 533 2 3 3" xfId="36407"/>
    <cellStyle name="Normal 533 2 4" xfId="36408"/>
    <cellStyle name="Normal 533 3" xfId="36409"/>
    <cellStyle name="Normal 533 3 2" xfId="36410"/>
    <cellStyle name="Normal 533 3 2 2" xfId="36411"/>
    <cellStyle name="Normal 533 3 3" xfId="36412"/>
    <cellStyle name="Normal 533 4" xfId="36413"/>
    <cellStyle name="Normal 533 4 2" xfId="36414"/>
    <cellStyle name="Normal 533 4 2 2" xfId="36415"/>
    <cellStyle name="Normal 533 4 3" xfId="36416"/>
    <cellStyle name="Normal 533 5" xfId="36417"/>
    <cellStyle name="Normal 533 5 2" xfId="36418"/>
    <cellStyle name="Normal 533 5 2 2" xfId="36419"/>
    <cellStyle name="Normal 533 5 3" xfId="36420"/>
    <cellStyle name="Normal 533 6" xfId="36421"/>
    <cellStyle name="Normal 534" xfId="36422"/>
    <cellStyle name="Normal 534 2" xfId="36423"/>
    <cellStyle name="Normal 534 2 2" xfId="36424"/>
    <cellStyle name="Normal 534 2 2 2" xfId="36425"/>
    <cellStyle name="Normal 534 2 3" xfId="36426"/>
    <cellStyle name="Normal 534 2 3 2" xfId="36427"/>
    <cellStyle name="Normal 534 2 3 2 2" xfId="36428"/>
    <cellStyle name="Normal 534 2 3 3" xfId="36429"/>
    <cellStyle name="Normal 534 2 4" xfId="36430"/>
    <cellStyle name="Normal 534 3" xfId="36431"/>
    <cellStyle name="Normal 534 3 2" xfId="36432"/>
    <cellStyle name="Normal 534 3 2 2" xfId="36433"/>
    <cellStyle name="Normal 534 3 3" xfId="36434"/>
    <cellStyle name="Normal 534 4" xfId="36435"/>
    <cellStyle name="Normal 534 4 2" xfId="36436"/>
    <cellStyle name="Normal 534 4 2 2" xfId="36437"/>
    <cellStyle name="Normal 534 4 3" xfId="36438"/>
    <cellStyle name="Normal 534 5" xfId="36439"/>
    <cellStyle name="Normal 534 5 2" xfId="36440"/>
    <cellStyle name="Normal 534 5 2 2" xfId="36441"/>
    <cellStyle name="Normal 534 5 3" xfId="36442"/>
    <cellStyle name="Normal 534 6" xfId="36443"/>
    <cellStyle name="Normal 535" xfId="36444"/>
    <cellStyle name="Normal 535 2" xfId="36445"/>
    <cellStyle name="Normal 535 2 2" xfId="36446"/>
    <cellStyle name="Normal 535 2 2 2" xfId="36447"/>
    <cellStyle name="Normal 535 2 3" xfId="36448"/>
    <cellStyle name="Normal 535 2 3 2" xfId="36449"/>
    <cellStyle name="Normal 535 2 3 2 2" xfId="36450"/>
    <cellStyle name="Normal 535 2 3 3" xfId="36451"/>
    <cellStyle name="Normal 535 2 4" xfId="36452"/>
    <cellStyle name="Normal 535 3" xfId="36453"/>
    <cellStyle name="Normal 535 3 2" xfId="36454"/>
    <cellStyle name="Normal 535 3 2 2" xfId="36455"/>
    <cellStyle name="Normal 535 3 3" xfId="36456"/>
    <cellStyle name="Normal 535 4" xfId="36457"/>
    <cellStyle name="Normal 535 4 2" xfId="36458"/>
    <cellStyle name="Normal 535 4 2 2" xfId="36459"/>
    <cellStyle name="Normal 535 4 3" xfId="36460"/>
    <cellStyle name="Normal 535 5" xfId="36461"/>
    <cellStyle name="Normal 535 5 2" xfId="36462"/>
    <cellStyle name="Normal 535 5 2 2" xfId="36463"/>
    <cellStyle name="Normal 535 5 3" xfId="36464"/>
    <cellStyle name="Normal 535 6" xfId="36465"/>
    <cellStyle name="Normal 536" xfId="36466"/>
    <cellStyle name="Normal 536 2" xfId="36467"/>
    <cellStyle name="Normal 536 2 2" xfId="36468"/>
    <cellStyle name="Normal 536 2 2 2" xfId="36469"/>
    <cellStyle name="Normal 536 2 3" xfId="36470"/>
    <cellStyle name="Normal 536 2 3 2" xfId="36471"/>
    <cellStyle name="Normal 536 2 3 2 2" xfId="36472"/>
    <cellStyle name="Normal 536 2 3 3" xfId="36473"/>
    <cellStyle name="Normal 536 2 4" xfId="36474"/>
    <cellStyle name="Normal 536 3" xfId="36475"/>
    <cellStyle name="Normal 536 3 2" xfId="36476"/>
    <cellStyle name="Normal 536 3 2 2" xfId="36477"/>
    <cellStyle name="Normal 536 3 3" xfId="36478"/>
    <cellStyle name="Normal 536 4" xfId="36479"/>
    <cellStyle name="Normal 536 4 2" xfId="36480"/>
    <cellStyle name="Normal 536 4 2 2" xfId="36481"/>
    <cellStyle name="Normal 536 4 3" xfId="36482"/>
    <cellStyle name="Normal 536 5" xfId="36483"/>
    <cellStyle name="Normal 536 5 2" xfId="36484"/>
    <cellStyle name="Normal 536 5 2 2" xfId="36485"/>
    <cellStyle name="Normal 536 5 3" xfId="36486"/>
    <cellStyle name="Normal 536 6" xfId="36487"/>
    <cellStyle name="Normal 537" xfId="36488"/>
    <cellStyle name="Normal 537 2" xfId="36489"/>
    <cellStyle name="Normal 537 2 2" xfId="36490"/>
    <cellStyle name="Normal 537 2 2 2" xfId="36491"/>
    <cellStyle name="Normal 537 2 3" xfId="36492"/>
    <cellStyle name="Normal 537 2 3 2" xfId="36493"/>
    <cellStyle name="Normal 537 2 3 2 2" xfId="36494"/>
    <cellStyle name="Normal 537 2 3 3" xfId="36495"/>
    <cellStyle name="Normal 537 2 4" xfId="36496"/>
    <cellStyle name="Normal 537 3" xfId="36497"/>
    <cellStyle name="Normal 537 3 2" xfId="36498"/>
    <cellStyle name="Normal 537 3 2 2" xfId="36499"/>
    <cellStyle name="Normal 537 3 3" xfId="36500"/>
    <cellStyle name="Normal 537 4" xfId="36501"/>
    <cellStyle name="Normal 537 4 2" xfId="36502"/>
    <cellStyle name="Normal 537 4 2 2" xfId="36503"/>
    <cellStyle name="Normal 537 4 3" xfId="36504"/>
    <cellStyle name="Normal 537 5" xfId="36505"/>
    <cellStyle name="Normal 537 5 2" xfId="36506"/>
    <cellStyle name="Normal 537 5 2 2" xfId="36507"/>
    <cellStyle name="Normal 537 5 3" xfId="36508"/>
    <cellStyle name="Normal 537 6" xfId="36509"/>
    <cellStyle name="Normal 538" xfId="36510"/>
    <cellStyle name="Normal 538 2" xfId="36511"/>
    <cellStyle name="Normal 538 2 2" xfId="36512"/>
    <cellStyle name="Normal 538 2 2 2" xfId="36513"/>
    <cellStyle name="Normal 538 2 3" xfId="36514"/>
    <cellStyle name="Normal 538 2 3 2" xfId="36515"/>
    <cellStyle name="Normal 538 2 3 2 2" xfId="36516"/>
    <cellStyle name="Normal 538 2 3 3" xfId="36517"/>
    <cellStyle name="Normal 538 2 4" xfId="36518"/>
    <cellStyle name="Normal 538 3" xfId="36519"/>
    <cellStyle name="Normal 538 3 2" xfId="36520"/>
    <cellStyle name="Normal 538 3 2 2" xfId="36521"/>
    <cellStyle name="Normal 538 3 3" xfId="36522"/>
    <cellStyle name="Normal 538 4" xfId="36523"/>
    <cellStyle name="Normal 538 4 2" xfId="36524"/>
    <cellStyle name="Normal 538 4 2 2" xfId="36525"/>
    <cellStyle name="Normal 538 4 3" xfId="36526"/>
    <cellStyle name="Normal 538 5" xfId="36527"/>
    <cellStyle name="Normal 538 5 2" xfId="36528"/>
    <cellStyle name="Normal 538 5 2 2" xfId="36529"/>
    <cellStyle name="Normal 538 5 3" xfId="36530"/>
    <cellStyle name="Normal 538 6" xfId="36531"/>
    <cellStyle name="Normal 539" xfId="36532"/>
    <cellStyle name="Normal 539 2" xfId="36533"/>
    <cellStyle name="Normal 539 2 2" xfId="36534"/>
    <cellStyle name="Normal 539 2 2 2" xfId="36535"/>
    <cellStyle name="Normal 539 2 3" xfId="36536"/>
    <cellStyle name="Normal 539 2 3 2" xfId="36537"/>
    <cellStyle name="Normal 539 2 3 2 2" xfId="36538"/>
    <cellStyle name="Normal 539 2 3 3" xfId="36539"/>
    <cellStyle name="Normal 539 2 4" xfId="36540"/>
    <cellStyle name="Normal 539 3" xfId="36541"/>
    <cellStyle name="Normal 539 3 2" xfId="36542"/>
    <cellStyle name="Normal 539 3 2 2" xfId="36543"/>
    <cellStyle name="Normal 539 3 3" xfId="36544"/>
    <cellStyle name="Normal 539 4" xfId="36545"/>
    <cellStyle name="Normal 539 4 2" xfId="36546"/>
    <cellStyle name="Normal 539 4 2 2" xfId="36547"/>
    <cellStyle name="Normal 539 4 3" xfId="36548"/>
    <cellStyle name="Normal 539 5" xfId="36549"/>
    <cellStyle name="Normal 539 5 2" xfId="36550"/>
    <cellStyle name="Normal 539 5 2 2" xfId="36551"/>
    <cellStyle name="Normal 539 5 3" xfId="36552"/>
    <cellStyle name="Normal 539 6" xfId="36553"/>
    <cellStyle name="Normal 54" xfId="36554"/>
    <cellStyle name="Normal 54 2" xfId="36555"/>
    <cellStyle name="Normal 54 2 2" xfId="36556"/>
    <cellStyle name="Normal 54 2 2 2" xfId="36557"/>
    <cellStyle name="Normal 54 2 2 2 2" xfId="36558"/>
    <cellStyle name="Normal 54 2 2 3" xfId="36559"/>
    <cellStyle name="Normal 54 2 2 3 2" xfId="36560"/>
    <cellStyle name="Normal 54 2 2 3 2 2" xfId="36561"/>
    <cellStyle name="Normal 54 2 2 3 3" xfId="36562"/>
    <cellStyle name="Normal 54 2 2 4" xfId="36563"/>
    <cellStyle name="Normal 54 2 2 4 2" xfId="36564"/>
    <cellStyle name="Normal 54 2 2 4 2 2" xfId="36565"/>
    <cellStyle name="Normal 54 2 2 4 3" xfId="36566"/>
    <cellStyle name="Normal 54 2 2 5" xfId="36567"/>
    <cellStyle name="Normal 54 2 3" xfId="36568"/>
    <cellStyle name="Normal 54 2 3 2" xfId="36569"/>
    <cellStyle name="Normal 54 2 3 2 2" xfId="36570"/>
    <cellStyle name="Normal 54 2 3 3" xfId="36571"/>
    <cellStyle name="Normal 54 2 4" xfId="36572"/>
    <cellStyle name="Normal 54 2 4 2" xfId="36573"/>
    <cellStyle name="Normal 54 2 4 2 2" xfId="36574"/>
    <cellStyle name="Normal 54 2 4 3" xfId="36575"/>
    <cellStyle name="Normal 54 2 5" xfId="36576"/>
    <cellStyle name="Normal 54 2 5 2" xfId="36577"/>
    <cellStyle name="Normal 54 2 5 2 2" xfId="36578"/>
    <cellStyle name="Normal 54 2 5 3" xfId="36579"/>
    <cellStyle name="Normal 54 2 6" xfId="36580"/>
    <cellStyle name="Normal 54 3" xfId="36581"/>
    <cellStyle name="Normal 54 3 2" xfId="36582"/>
    <cellStyle name="Normal 54 3 2 2" xfId="36583"/>
    <cellStyle name="Normal 54 3 3" xfId="36584"/>
    <cellStyle name="Normal 54 3 3 2" xfId="36585"/>
    <cellStyle name="Normal 54 3 3 2 2" xfId="36586"/>
    <cellStyle name="Normal 54 3 3 3" xfId="36587"/>
    <cellStyle name="Normal 54 3 4" xfId="36588"/>
    <cellStyle name="Normal 54 3 4 2" xfId="36589"/>
    <cellStyle name="Normal 54 3 4 2 2" xfId="36590"/>
    <cellStyle name="Normal 54 3 4 3" xfId="36591"/>
    <cellStyle name="Normal 54 3 5" xfId="36592"/>
    <cellStyle name="Normal 54 4" xfId="36593"/>
    <cellStyle name="Normal 54 4 2" xfId="36594"/>
    <cellStyle name="Normal 54 4 2 2" xfId="36595"/>
    <cellStyle name="Normal 54 4 3" xfId="36596"/>
    <cellStyle name="Normal 54 5" xfId="36597"/>
    <cellStyle name="Normal 54 5 2" xfId="36598"/>
    <cellStyle name="Normal 54 5 2 2" xfId="36599"/>
    <cellStyle name="Normal 54 5 3" xfId="36600"/>
    <cellStyle name="Normal 54 6" xfId="36601"/>
    <cellStyle name="Normal 54 6 2" xfId="36602"/>
    <cellStyle name="Normal 54 6 2 2" xfId="36603"/>
    <cellStyle name="Normal 54 6 3" xfId="36604"/>
    <cellStyle name="Normal 54 7" xfId="36605"/>
    <cellStyle name="Normal 540" xfId="36606"/>
    <cellStyle name="Normal 540 2" xfId="36607"/>
    <cellStyle name="Normal 540 2 2" xfId="36608"/>
    <cellStyle name="Normal 540 2 2 2" xfId="36609"/>
    <cellStyle name="Normal 540 2 3" xfId="36610"/>
    <cellStyle name="Normal 540 2 3 2" xfId="36611"/>
    <cellStyle name="Normal 540 2 3 2 2" xfId="36612"/>
    <cellStyle name="Normal 540 2 3 3" xfId="36613"/>
    <cellStyle name="Normal 540 2 4" xfId="36614"/>
    <cellStyle name="Normal 540 3" xfId="36615"/>
    <cellStyle name="Normal 540 3 2" xfId="36616"/>
    <cellStyle name="Normal 540 3 2 2" xfId="36617"/>
    <cellStyle name="Normal 540 3 3" xfId="36618"/>
    <cellStyle name="Normal 540 4" xfId="36619"/>
    <cellStyle name="Normal 540 4 2" xfId="36620"/>
    <cellStyle name="Normal 540 4 2 2" xfId="36621"/>
    <cellStyle name="Normal 540 4 3" xfId="36622"/>
    <cellStyle name="Normal 540 5" xfId="36623"/>
    <cellStyle name="Normal 540 5 2" xfId="36624"/>
    <cellStyle name="Normal 540 5 2 2" xfId="36625"/>
    <cellStyle name="Normal 540 5 3" xfId="36626"/>
    <cellStyle name="Normal 540 6" xfId="36627"/>
    <cellStyle name="Normal 541" xfId="36628"/>
    <cellStyle name="Normal 541 2" xfId="36629"/>
    <cellStyle name="Normal 541 2 2" xfId="36630"/>
    <cellStyle name="Normal 541 2 2 2" xfId="36631"/>
    <cellStyle name="Normal 541 2 3" xfId="36632"/>
    <cellStyle name="Normal 541 2 3 2" xfId="36633"/>
    <cellStyle name="Normal 541 2 3 2 2" xfId="36634"/>
    <cellStyle name="Normal 541 2 3 3" xfId="36635"/>
    <cellStyle name="Normal 541 2 4" xfId="36636"/>
    <cellStyle name="Normal 541 3" xfId="36637"/>
    <cellStyle name="Normal 541 3 2" xfId="36638"/>
    <cellStyle name="Normal 541 3 2 2" xfId="36639"/>
    <cellStyle name="Normal 541 3 3" xfId="36640"/>
    <cellStyle name="Normal 541 4" xfId="36641"/>
    <cellStyle name="Normal 541 4 2" xfId="36642"/>
    <cellStyle name="Normal 541 4 2 2" xfId="36643"/>
    <cellStyle name="Normal 541 4 3" xfId="36644"/>
    <cellStyle name="Normal 541 5" xfId="36645"/>
    <cellStyle name="Normal 541 5 2" xfId="36646"/>
    <cellStyle name="Normal 541 5 2 2" xfId="36647"/>
    <cellStyle name="Normal 541 5 3" xfId="36648"/>
    <cellStyle name="Normal 541 6" xfId="36649"/>
    <cellStyle name="Normal 542" xfId="36650"/>
    <cellStyle name="Normal 542 2" xfId="36651"/>
    <cellStyle name="Normal 542 2 2" xfId="36652"/>
    <cellStyle name="Normal 542 2 2 2" xfId="36653"/>
    <cellStyle name="Normal 542 2 3" xfId="36654"/>
    <cellStyle name="Normal 542 2 3 2" xfId="36655"/>
    <cellStyle name="Normal 542 2 3 2 2" xfId="36656"/>
    <cellStyle name="Normal 542 2 3 3" xfId="36657"/>
    <cellStyle name="Normal 542 2 4" xfId="36658"/>
    <cellStyle name="Normal 542 3" xfId="36659"/>
    <cellStyle name="Normal 542 3 2" xfId="36660"/>
    <cellStyle name="Normal 542 3 2 2" xfId="36661"/>
    <cellStyle name="Normal 542 3 3" xfId="36662"/>
    <cellStyle name="Normal 542 4" xfId="36663"/>
    <cellStyle name="Normal 542 4 2" xfId="36664"/>
    <cellStyle name="Normal 542 4 2 2" xfId="36665"/>
    <cellStyle name="Normal 542 4 3" xfId="36666"/>
    <cellStyle name="Normal 542 5" xfId="36667"/>
    <cellStyle name="Normal 542 5 2" xfId="36668"/>
    <cellStyle name="Normal 542 5 2 2" xfId="36669"/>
    <cellStyle name="Normal 542 5 3" xfId="36670"/>
    <cellStyle name="Normal 542 6" xfId="36671"/>
    <cellStyle name="Normal 543" xfId="36672"/>
    <cellStyle name="Normal 543 2" xfId="36673"/>
    <cellStyle name="Normal 543 2 2" xfId="36674"/>
    <cellStyle name="Normal 543 2 2 2" xfId="36675"/>
    <cellStyle name="Normal 543 2 3" xfId="36676"/>
    <cellStyle name="Normal 543 2 3 2" xfId="36677"/>
    <cellStyle name="Normal 543 2 3 2 2" xfId="36678"/>
    <cellStyle name="Normal 543 2 3 3" xfId="36679"/>
    <cellStyle name="Normal 543 2 4" xfId="36680"/>
    <cellStyle name="Normal 543 3" xfId="36681"/>
    <cellStyle name="Normal 543 3 2" xfId="36682"/>
    <cellStyle name="Normal 543 3 2 2" xfId="36683"/>
    <cellStyle name="Normal 543 3 3" xfId="36684"/>
    <cellStyle name="Normal 543 4" xfId="36685"/>
    <cellStyle name="Normal 543 4 2" xfId="36686"/>
    <cellStyle name="Normal 543 4 2 2" xfId="36687"/>
    <cellStyle name="Normal 543 4 3" xfId="36688"/>
    <cellStyle name="Normal 543 5" xfId="36689"/>
    <cellStyle name="Normal 543 5 2" xfId="36690"/>
    <cellStyle name="Normal 543 5 2 2" xfId="36691"/>
    <cellStyle name="Normal 543 5 3" xfId="36692"/>
    <cellStyle name="Normal 543 6" xfId="36693"/>
    <cellStyle name="Normal 544" xfId="36694"/>
    <cellStyle name="Normal 544 2" xfId="36695"/>
    <cellStyle name="Normal 544 2 2" xfId="36696"/>
    <cellStyle name="Normal 544 2 2 2" xfId="36697"/>
    <cellStyle name="Normal 544 2 3" xfId="36698"/>
    <cellStyle name="Normal 544 2 3 2" xfId="36699"/>
    <cellStyle name="Normal 544 2 3 2 2" xfId="36700"/>
    <cellStyle name="Normal 544 2 3 3" xfId="36701"/>
    <cellStyle name="Normal 544 2 4" xfId="36702"/>
    <cellStyle name="Normal 544 3" xfId="36703"/>
    <cellStyle name="Normal 544 3 2" xfId="36704"/>
    <cellStyle name="Normal 544 3 2 2" xfId="36705"/>
    <cellStyle name="Normal 544 3 3" xfId="36706"/>
    <cellStyle name="Normal 544 4" xfId="36707"/>
    <cellStyle name="Normal 544 4 2" xfId="36708"/>
    <cellStyle name="Normal 544 4 2 2" xfId="36709"/>
    <cellStyle name="Normal 544 4 3" xfId="36710"/>
    <cellStyle name="Normal 544 5" xfId="36711"/>
    <cellStyle name="Normal 544 5 2" xfId="36712"/>
    <cellStyle name="Normal 544 5 2 2" xfId="36713"/>
    <cellStyle name="Normal 544 5 3" xfId="36714"/>
    <cellStyle name="Normal 544 6" xfId="36715"/>
    <cellStyle name="Normal 545" xfId="36716"/>
    <cellStyle name="Normal 545 2" xfId="36717"/>
    <cellStyle name="Normal 545 2 2" xfId="36718"/>
    <cellStyle name="Normal 545 2 2 2" xfId="36719"/>
    <cellStyle name="Normal 545 2 3" xfId="36720"/>
    <cellStyle name="Normal 545 2 3 2" xfId="36721"/>
    <cellStyle name="Normal 545 2 3 2 2" xfId="36722"/>
    <cellStyle name="Normal 545 2 3 3" xfId="36723"/>
    <cellStyle name="Normal 545 2 4" xfId="36724"/>
    <cellStyle name="Normal 545 3" xfId="36725"/>
    <cellStyle name="Normal 545 3 2" xfId="36726"/>
    <cellStyle name="Normal 545 3 2 2" xfId="36727"/>
    <cellStyle name="Normal 545 3 3" xfId="36728"/>
    <cellStyle name="Normal 545 4" xfId="36729"/>
    <cellStyle name="Normal 545 4 2" xfId="36730"/>
    <cellStyle name="Normal 545 4 2 2" xfId="36731"/>
    <cellStyle name="Normal 545 4 3" xfId="36732"/>
    <cellStyle name="Normal 545 5" xfId="36733"/>
    <cellStyle name="Normal 545 5 2" xfId="36734"/>
    <cellStyle name="Normal 545 5 2 2" xfId="36735"/>
    <cellStyle name="Normal 545 5 3" xfId="36736"/>
    <cellStyle name="Normal 545 6" xfId="36737"/>
    <cellStyle name="Normal 546" xfId="36738"/>
    <cellStyle name="Normal 546 2" xfId="36739"/>
    <cellStyle name="Normal 546 2 2" xfId="36740"/>
    <cellStyle name="Normal 546 2 2 2" xfId="36741"/>
    <cellStyle name="Normal 546 2 3" xfId="36742"/>
    <cellStyle name="Normal 546 2 3 2" xfId="36743"/>
    <cellStyle name="Normal 546 2 3 2 2" xfId="36744"/>
    <cellStyle name="Normal 546 2 3 3" xfId="36745"/>
    <cellStyle name="Normal 546 2 4" xfId="36746"/>
    <cellStyle name="Normal 546 3" xfId="36747"/>
    <cellStyle name="Normal 546 3 2" xfId="36748"/>
    <cellStyle name="Normal 546 3 2 2" xfId="36749"/>
    <cellStyle name="Normal 546 3 3" xfId="36750"/>
    <cellStyle name="Normal 546 4" xfId="36751"/>
    <cellStyle name="Normal 546 4 2" xfId="36752"/>
    <cellStyle name="Normal 546 4 2 2" xfId="36753"/>
    <cellStyle name="Normal 546 4 3" xfId="36754"/>
    <cellStyle name="Normal 546 5" xfId="36755"/>
    <cellStyle name="Normal 546 5 2" xfId="36756"/>
    <cellStyle name="Normal 546 5 2 2" xfId="36757"/>
    <cellStyle name="Normal 546 5 3" xfId="36758"/>
    <cellStyle name="Normal 546 6" xfId="36759"/>
    <cellStyle name="Normal 547" xfId="36760"/>
    <cellStyle name="Normal 547 2" xfId="36761"/>
    <cellStyle name="Normal 547 2 2" xfId="36762"/>
    <cellStyle name="Normal 547 2 2 2" xfId="36763"/>
    <cellStyle name="Normal 547 2 3" xfId="36764"/>
    <cellStyle name="Normal 547 2 3 2" xfId="36765"/>
    <cellStyle name="Normal 547 2 3 2 2" xfId="36766"/>
    <cellStyle name="Normal 547 2 3 3" xfId="36767"/>
    <cellStyle name="Normal 547 2 4" xfId="36768"/>
    <cellStyle name="Normal 547 3" xfId="36769"/>
    <cellStyle name="Normal 547 3 2" xfId="36770"/>
    <cellStyle name="Normal 547 3 2 2" xfId="36771"/>
    <cellStyle name="Normal 547 3 3" xfId="36772"/>
    <cellStyle name="Normal 547 4" xfId="36773"/>
    <cellStyle name="Normal 547 4 2" xfId="36774"/>
    <cellStyle name="Normal 547 4 2 2" xfId="36775"/>
    <cellStyle name="Normal 547 4 3" xfId="36776"/>
    <cellStyle name="Normal 547 5" xfId="36777"/>
    <cellStyle name="Normal 547 5 2" xfId="36778"/>
    <cellStyle name="Normal 547 5 2 2" xfId="36779"/>
    <cellStyle name="Normal 547 5 3" xfId="36780"/>
    <cellStyle name="Normal 547 6" xfId="36781"/>
    <cellStyle name="Normal 548" xfId="36782"/>
    <cellStyle name="Normal 548 2" xfId="36783"/>
    <cellStyle name="Normal 548 2 2" xfId="36784"/>
    <cellStyle name="Normal 548 2 2 2" xfId="36785"/>
    <cellStyle name="Normal 548 2 3" xfId="36786"/>
    <cellStyle name="Normal 548 2 3 2" xfId="36787"/>
    <cellStyle name="Normal 548 2 3 2 2" xfId="36788"/>
    <cellStyle name="Normal 548 2 3 3" xfId="36789"/>
    <cellStyle name="Normal 548 2 4" xfId="36790"/>
    <cellStyle name="Normal 548 3" xfId="36791"/>
    <cellStyle name="Normal 548 3 2" xfId="36792"/>
    <cellStyle name="Normal 548 3 2 2" xfId="36793"/>
    <cellStyle name="Normal 548 3 3" xfId="36794"/>
    <cellStyle name="Normal 548 4" xfId="36795"/>
    <cellStyle name="Normal 548 4 2" xfId="36796"/>
    <cellStyle name="Normal 548 4 2 2" xfId="36797"/>
    <cellStyle name="Normal 548 4 3" xfId="36798"/>
    <cellStyle name="Normal 548 5" xfId="36799"/>
    <cellStyle name="Normal 548 5 2" xfId="36800"/>
    <cellStyle name="Normal 548 5 2 2" xfId="36801"/>
    <cellStyle name="Normal 548 5 3" xfId="36802"/>
    <cellStyle name="Normal 548 6" xfId="36803"/>
    <cellStyle name="Normal 549" xfId="36804"/>
    <cellStyle name="Normal 549 2" xfId="36805"/>
    <cellStyle name="Normal 549 2 2" xfId="36806"/>
    <cellStyle name="Normal 549 2 2 2" xfId="36807"/>
    <cellStyle name="Normal 549 2 3" xfId="36808"/>
    <cellStyle name="Normal 549 2 3 2" xfId="36809"/>
    <cellStyle name="Normal 549 2 3 2 2" xfId="36810"/>
    <cellStyle name="Normal 549 2 3 3" xfId="36811"/>
    <cellStyle name="Normal 549 2 4" xfId="36812"/>
    <cellStyle name="Normal 549 3" xfId="36813"/>
    <cellStyle name="Normal 549 3 2" xfId="36814"/>
    <cellStyle name="Normal 549 3 2 2" xfId="36815"/>
    <cellStyle name="Normal 549 3 3" xfId="36816"/>
    <cellStyle name="Normal 549 4" xfId="36817"/>
    <cellStyle name="Normal 549 4 2" xfId="36818"/>
    <cellStyle name="Normal 549 4 2 2" xfId="36819"/>
    <cellStyle name="Normal 549 4 3" xfId="36820"/>
    <cellStyle name="Normal 549 5" xfId="36821"/>
    <cellStyle name="Normal 549 5 2" xfId="36822"/>
    <cellStyle name="Normal 549 5 2 2" xfId="36823"/>
    <cellStyle name="Normal 549 5 3" xfId="36824"/>
    <cellStyle name="Normal 549 6" xfId="36825"/>
    <cellStyle name="Normal 55" xfId="36826"/>
    <cellStyle name="Normal 55 2" xfId="36827"/>
    <cellStyle name="Normal 55 2 2" xfId="36828"/>
    <cellStyle name="Normal 55 2 2 2" xfId="36829"/>
    <cellStyle name="Normal 55 2 3" xfId="36830"/>
    <cellStyle name="Normal 55 2 3 2" xfId="36831"/>
    <cellStyle name="Normal 55 2 3 2 2" xfId="36832"/>
    <cellStyle name="Normal 55 2 3 3" xfId="36833"/>
    <cellStyle name="Normal 55 2 4" xfId="36834"/>
    <cellStyle name="Normal 55 2 4 2" xfId="36835"/>
    <cellStyle name="Normal 55 2 4 2 2" xfId="36836"/>
    <cellStyle name="Normal 55 2 4 3" xfId="36837"/>
    <cellStyle name="Normal 55 2 5" xfId="36838"/>
    <cellStyle name="Normal 55 3" xfId="36839"/>
    <cellStyle name="Normal 55 3 2" xfId="36840"/>
    <cellStyle name="Normal 55 3 2 2" xfId="36841"/>
    <cellStyle name="Normal 55 3 2 2 2" xfId="36842"/>
    <cellStyle name="Normal 55 3 2 3" xfId="36843"/>
    <cellStyle name="Normal 55 3 2 3 2" xfId="36844"/>
    <cellStyle name="Normal 55 3 2 3 2 2" xfId="36845"/>
    <cellStyle name="Normal 55 3 2 3 3" xfId="36846"/>
    <cellStyle name="Normal 55 3 2 4" xfId="36847"/>
    <cellStyle name="Normal 55 3 3" xfId="36848"/>
    <cellStyle name="Normal 55 3 3 2" xfId="36849"/>
    <cellStyle name="Normal 55 3 3 2 2" xfId="36850"/>
    <cellStyle name="Normal 55 3 3 3" xfId="36851"/>
    <cellStyle name="Normal 55 3 4" xfId="36852"/>
    <cellStyle name="Normal 55 3 4 2" xfId="36853"/>
    <cellStyle name="Normal 55 3 4 2 2" xfId="36854"/>
    <cellStyle name="Normal 55 3 4 3" xfId="36855"/>
    <cellStyle name="Normal 55 3 5" xfId="36856"/>
    <cellStyle name="Normal 55 3 5 2" xfId="36857"/>
    <cellStyle name="Normal 55 3 5 2 2" xfId="36858"/>
    <cellStyle name="Normal 55 3 5 3" xfId="36859"/>
    <cellStyle name="Normal 55 3 6" xfId="36860"/>
    <cellStyle name="Normal 55 4" xfId="36861"/>
    <cellStyle name="Normal 55 4 2" xfId="36862"/>
    <cellStyle name="Normal 55 4 2 2" xfId="36863"/>
    <cellStyle name="Normal 55 4 3" xfId="36864"/>
    <cellStyle name="Normal 55 5" xfId="36865"/>
    <cellStyle name="Normal 55 5 2" xfId="36866"/>
    <cellStyle name="Normal 55 5 2 2" xfId="36867"/>
    <cellStyle name="Normal 55 5 3" xfId="36868"/>
    <cellStyle name="Normal 55 6" xfId="36869"/>
    <cellStyle name="Normal 55 6 2" xfId="36870"/>
    <cellStyle name="Normal 55 6 2 2" xfId="36871"/>
    <cellStyle name="Normal 55 6 3" xfId="36872"/>
    <cellStyle name="Normal 55 7" xfId="36873"/>
    <cellStyle name="Normal 550" xfId="36874"/>
    <cellStyle name="Normal 550 2" xfId="36875"/>
    <cellStyle name="Normal 550 2 2" xfId="36876"/>
    <cellStyle name="Normal 550 2 2 2" xfId="36877"/>
    <cellStyle name="Normal 550 2 3" xfId="36878"/>
    <cellStyle name="Normal 550 2 3 2" xfId="36879"/>
    <cellStyle name="Normal 550 2 3 2 2" xfId="36880"/>
    <cellStyle name="Normal 550 2 3 3" xfId="36881"/>
    <cellStyle name="Normal 550 2 4" xfId="36882"/>
    <cellStyle name="Normal 550 3" xfId="36883"/>
    <cellStyle name="Normal 550 3 2" xfId="36884"/>
    <cellStyle name="Normal 550 3 2 2" xfId="36885"/>
    <cellStyle name="Normal 550 3 3" xfId="36886"/>
    <cellStyle name="Normal 550 4" xfId="36887"/>
    <cellStyle name="Normal 550 4 2" xfId="36888"/>
    <cellStyle name="Normal 550 4 2 2" xfId="36889"/>
    <cellStyle name="Normal 550 4 3" xfId="36890"/>
    <cellStyle name="Normal 550 5" xfId="36891"/>
    <cellStyle name="Normal 550 5 2" xfId="36892"/>
    <cellStyle name="Normal 550 5 2 2" xfId="36893"/>
    <cellStyle name="Normal 550 5 3" xfId="36894"/>
    <cellStyle name="Normal 550 6" xfId="36895"/>
    <cellStyle name="Normal 551" xfId="36896"/>
    <cellStyle name="Normal 551 2" xfId="36897"/>
    <cellStyle name="Normal 551 2 2" xfId="36898"/>
    <cellStyle name="Normal 551 2 2 2" xfId="36899"/>
    <cellStyle name="Normal 551 2 3" xfId="36900"/>
    <cellStyle name="Normal 551 2 3 2" xfId="36901"/>
    <cellStyle name="Normal 551 2 3 2 2" xfId="36902"/>
    <cellStyle name="Normal 551 2 3 3" xfId="36903"/>
    <cellStyle name="Normal 551 2 4" xfId="36904"/>
    <cellStyle name="Normal 551 3" xfId="36905"/>
    <cellStyle name="Normal 551 3 2" xfId="36906"/>
    <cellStyle name="Normal 551 3 2 2" xfId="36907"/>
    <cellStyle name="Normal 551 3 3" xfId="36908"/>
    <cellStyle name="Normal 551 4" xfId="36909"/>
    <cellStyle name="Normal 551 4 2" xfId="36910"/>
    <cellStyle name="Normal 551 4 2 2" xfId="36911"/>
    <cellStyle name="Normal 551 4 3" xfId="36912"/>
    <cellStyle name="Normal 551 5" xfId="36913"/>
    <cellStyle name="Normal 551 5 2" xfId="36914"/>
    <cellStyle name="Normal 551 5 2 2" xfId="36915"/>
    <cellStyle name="Normal 551 5 3" xfId="36916"/>
    <cellStyle name="Normal 551 6" xfId="36917"/>
    <cellStyle name="Normal 552" xfId="36918"/>
    <cellStyle name="Normal 552 2" xfId="36919"/>
    <cellStyle name="Normal 552 2 2" xfId="36920"/>
    <cellStyle name="Normal 552 2 2 2" xfId="36921"/>
    <cellStyle name="Normal 552 2 3" xfId="36922"/>
    <cellStyle name="Normal 552 2 3 2" xfId="36923"/>
    <cellStyle name="Normal 552 2 3 2 2" xfId="36924"/>
    <cellStyle name="Normal 552 2 3 3" xfId="36925"/>
    <cellStyle name="Normal 552 2 4" xfId="36926"/>
    <cellStyle name="Normal 552 3" xfId="36927"/>
    <cellStyle name="Normal 552 3 2" xfId="36928"/>
    <cellStyle name="Normal 552 3 2 2" xfId="36929"/>
    <cellStyle name="Normal 552 3 3" xfId="36930"/>
    <cellStyle name="Normal 552 4" xfId="36931"/>
    <cellStyle name="Normal 552 4 2" xfId="36932"/>
    <cellStyle name="Normal 552 4 2 2" xfId="36933"/>
    <cellStyle name="Normal 552 4 3" xfId="36934"/>
    <cellStyle name="Normal 552 5" xfId="36935"/>
    <cellStyle name="Normal 552 5 2" xfId="36936"/>
    <cellStyle name="Normal 552 5 2 2" xfId="36937"/>
    <cellStyle name="Normal 552 5 3" xfId="36938"/>
    <cellStyle name="Normal 552 6" xfId="36939"/>
    <cellStyle name="Normal 553" xfId="36940"/>
    <cellStyle name="Normal 553 2" xfId="36941"/>
    <cellStyle name="Normal 553 2 2" xfId="36942"/>
    <cellStyle name="Normal 553 2 2 2" xfId="36943"/>
    <cellStyle name="Normal 553 2 3" xfId="36944"/>
    <cellStyle name="Normal 553 2 3 2" xfId="36945"/>
    <cellStyle name="Normal 553 2 3 2 2" xfId="36946"/>
    <cellStyle name="Normal 553 2 3 3" xfId="36947"/>
    <cellStyle name="Normal 553 2 4" xfId="36948"/>
    <cellStyle name="Normal 553 3" xfId="36949"/>
    <cellStyle name="Normal 553 3 2" xfId="36950"/>
    <cellStyle name="Normal 553 3 2 2" xfId="36951"/>
    <cellStyle name="Normal 553 3 3" xfId="36952"/>
    <cellStyle name="Normal 553 4" xfId="36953"/>
    <cellStyle name="Normal 553 4 2" xfId="36954"/>
    <cellStyle name="Normal 553 4 2 2" xfId="36955"/>
    <cellStyle name="Normal 553 4 3" xfId="36956"/>
    <cellStyle name="Normal 553 5" xfId="36957"/>
    <cellStyle name="Normal 553 5 2" xfId="36958"/>
    <cellStyle name="Normal 553 5 2 2" xfId="36959"/>
    <cellStyle name="Normal 553 5 3" xfId="36960"/>
    <cellStyle name="Normal 553 6" xfId="36961"/>
    <cellStyle name="Normal 554" xfId="36962"/>
    <cellStyle name="Normal 554 2" xfId="36963"/>
    <cellStyle name="Normal 554 2 2" xfId="36964"/>
    <cellStyle name="Normal 554 2 2 2" xfId="36965"/>
    <cellStyle name="Normal 554 2 3" xfId="36966"/>
    <cellStyle name="Normal 554 2 3 2" xfId="36967"/>
    <cellStyle name="Normal 554 2 3 2 2" xfId="36968"/>
    <cellStyle name="Normal 554 2 3 3" xfId="36969"/>
    <cellStyle name="Normal 554 2 4" xfId="36970"/>
    <cellStyle name="Normal 554 3" xfId="36971"/>
    <cellStyle name="Normal 554 3 2" xfId="36972"/>
    <cellStyle name="Normal 554 3 2 2" xfId="36973"/>
    <cellStyle name="Normal 554 3 3" xfId="36974"/>
    <cellStyle name="Normal 554 4" xfId="36975"/>
    <cellStyle name="Normal 554 4 2" xfId="36976"/>
    <cellStyle name="Normal 554 4 2 2" xfId="36977"/>
    <cellStyle name="Normal 554 4 3" xfId="36978"/>
    <cellStyle name="Normal 554 5" xfId="36979"/>
    <cellStyle name="Normal 554 5 2" xfId="36980"/>
    <cellStyle name="Normal 554 5 2 2" xfId="36981"/>
    <cellStyle name="Normal 554 5 3" xfId="36982"/>
    <cellStyle name="Normal 554 6" xfId="36983"/>
    <cellStyle name="Normal 555" xfId="36984"/>
    <cellStyle name="Normal 555 2" xfId="36985"/>
    <cellStyle name="Normal 555 2 2" xfId="36986"/>
    <cellStyle name="Normal 555 2 2 2" xfId="36987"/>
    <cellStyle name="Normal 555 2 3" xfId="36988"/>
    <cellStyle name="Normal 555 2 3 2" xfId="36989"/>
    <cellStyle name="Normal 555 2 3 2 2" xfId="36990"/>
    <cellStyle name="Normal 555 2 3 3" xfId="36991"/>
    <cellStyle name="Normal 555 2 4" xfId="36992"/>
    <cellStyle name="Normal 555 3" xfId="36993"/>
    <cellStyle name="Normal 555 3 2" xfId="36994"/>
    <cellStyle name="Normal 555 3 2 2" xfId="36995"/>
    <cellStyle name="Normal 555 3 3" xfId="36996"/>
    <cellStyle name="Normal 555 4" xfId="36997"/>
    <cellStyle name="Normal 555 4 2" xfId="36998"/>
    <cellStyle name="Normal 555 4 2 2" xfId="36999"/>
    <cellStyle name="Normal 555 4 3" xfId="37000"/>
    <cellStyle name="Normal 555 5" xfId="37001"/>
    <cellStyle name="Normal 555 5 2" xfId="37002"/>
    <cellStyle name="Normal 555 5 2 2" xfId="37003"/>
    <cellStyle name="Normal 555 5 3" xfId="37004"/>
    <cellStyle name="Normal 555 6" xfId="37005"/>
    <cellStyle name="Normal 556" xfId="37006"/>
    <cellStyle name="Normal 556 2" xfId="37007"/>
    <cellStyle name="Normal 556 2 2" xfId="37008"/>
    <cellStyle name="Normal 556 2 2 2" xfId="37009"/>
    <cellStyle name="Normal 556 2 3" xfId="37010"/>
    <cellStyle name="Normal 556 2 3 2" xfId="37011"/>
    <cellStyle name="Normal 556 2 3 2 2" xfId="37012"/>
    <cellStyle name="Normal 556 2 3 3" xfId="37013"/>
    <cellStyle name="Normal 556 2 4" xfId="37014"/>
    <cellStyle name="Normal 556 3" xfId="37015"/>
    <cellStyle name="Normal 556 3 2" xfId="37016"/>
    <cellStyle name="Normal 556 3 2 2" xfId="37017"/>
    <cellStyle name="Normal 556 3 3" xfId="37018"/>
    <cellStyle name="Normal 556 4" xfId="37019"/>
    <cellStyle name="Normal 556 4 2" xfId="37020"/>
    <cellStyle name="Normal 556 4 2 2" xfId="37021"/>
    <cellStyle name="Normal 556 4 3" xfId="37022"/>
    <cellStyle name="Normal 556 5" xfId="37023"/>
    <cellStyle name="Normal 556 5 2" xfId="37024"/>
    <cellStyle name="Normal 556 5 2 2" xfId="37025"/>
    <cellStyle name="Normal 556 5 3" xfId="37026"/>
    <cellStyle name="Normal 556 6" xfId="37027"/>
    <cellStyle name="Normal 557" xfId="37028"/>
    <cellStyle name="Normal 557 2" xfId="37029"/>
    <cellStyle name="Normal 557 2 2" xfId="37030"/>
    <cellStyle name="Normal 557 2 2 2" xfId="37031"/>
    <cellStyle name="Normal 557 2 3" xfId="37032"/>
    <cellStyle name="Normal 557 2 3 2" xfId="37033"/>
    <cellStyle name="Normal 557 2 3 2 2" xfId="37034"/>
    <cellStyle name="Normal 557 2 3 3" xfId="37035"/>
    <cellStyle name="Normal 557 2 4" xfId="37036"/>
    <cellStyle name="Normal 557 3" xfId="37037"/>
    <cellStyle name="Normal 557 3 2" xfId="37038"/>
    <cellStyle name="Normal 557 3 2 2" xfId="37039"/>
    <cellStyle name="Normal 557 3 3" xfId="37040"/>
    <cellStyle name="Normal 557 4" xfId="37041"/>
    <cellStyle name="Normal 557 4 2" xfId="37042"/>
    <cellStyle name="Normal 557 4 2 2" xfId="37043"/>
    <cellStyle name="Normal 557 4 3" xfId="37044"/>
    <cellStyle name="Normal 557 5" xfId="37045"/>
    <cellStyle name="Normal 557 5 2" xfId="37046"/>
    <cellStyle name="Normal 557 5 2 2" xfId="37047"/>
    <cellStyle name="Normal 557 5 3" xfId="37048"/>
    <cellStyle name="Normal 557 6" xfId="37049"/>
    <cellStyle name="Normal 558" xfId="37050"/>
    <cellStyle name="Normal 558 2" xfId="37051"/>
    <cellStyle name="Normal 558 2 2" xfId="37052"/>
    <cellStyle name="Normal 558 2 2 2" xfId="37053"/>
    <cellStyle name="Normal 558 2 3" xfId="37054"/>
    <cellStyle name="Normal 558 2 3 2" xfId="37055"/>
    <cellStyle name="Normal 558 2 3 2 2" xfId="37056"/>
    <cellStyle name="Normal 558 2 3 3" xfId="37057"/>
    <cellStyle name="Normal 558 2 4" xfId="37058"/>
    <cellStyle name="Normal 558 3" xfId="37059"/>
    <cellStyle name="Normal 558 3 2" xfId="37060"/>
    <cellStyle name="Normal 558 3 2 2" xfId="37061"/>
    <cellStyle name="Normal 558 3 3" xfId="37062"/>
    <cellStyle name="Normal 558 4" xfId="37063"/>
    <cellStyle name="Normal 558 4 2" xfId="37064"/>
    <cellStyle name="Normal 558 4 2 2" xfId="37065"/>
    <cellStyle name="Normal 558 4 3" xfId="37066"/>
    <cellStyle name="Normal 558 5" xfId="37067"/>
    <cellStyle name="Normal 558 5 2" xfId="37068"/>
    <cellStyle name="Normal 558 5 2 2" xfId="37069"/>
    <cellStyle name="Normal 558 5 3" xfId="37070"/>
    <cellStyle name="Normal 558 6" xfId="37071"/>
    <cellStyle name="Normal 559" xfId="37072"/>
    <cellStyle name="Normal 559 2" xfId="37073"/>
    <cellStyle name="Normal 559 2 2" xfId="37074"/>
    <cellStyle name="Normal 559 2 2 2" xfId="37075"/>
    <cellStyle name="Normal 559 2 3" xfId="37076"/>
    <cellStyle name="Normal 559 2 3 2" xfId="37077"/>
    <cellStyle name="Normal 559 2 3 2 2" xfId="37078"/>
    <cellStyle name="Normal 559 2 3 3" xfId="37079"/>
    <cellStyle name="Normal 559 2 4" xfId="37080"/>
    <cellStyle name="Normal 559 3" xfId="37081"/>
    <cellStyle name="Normal 559 3 2" xfId="37082"/>
    <cellStyle name="Normal 559 3 2 2" xfId="37083"/>
    <cellStyle name="Normal 559 3 3" xfId="37084"/>
    <cellStyle name="Normal 559 4" xfId="37085"/>
    <cellStyle name="Normal 559 4 2" xfId="37086"/>
    <cellStyle name="Normal 559 4 2 2" xfId="37087"/>
    <cellStyle name="Normal 559 4 3" xfId="37088"/>
    <cellStyle name="Normal 559 5" xfId="37089"/>
    <cellStyle name="Normal 559 5 2" xfId="37090"/>
    <cellStyle name="Normal 559 5 2 2" xfId="37091"/>
    <cellStyle name="Normal 559 5 3" xfId="37092"/>
    <cellStyle name="Normal 559 6" xfId="37093"/>
    <cellStyle name="Normal 56" xfId="37094"/>
    <cellStyle name="Normal 56 2" xfId="37095"/>
    <cellStyle name="Normal 56 2 2" xfId="37096"/>
    <cellStyle name="Normal 56 2 2 2" xfId="37097"/>
    <cellStyle name="Normal 56 2 3" xfId="37098"/>
    <cellStyle name="Normal 56 2 3 2" xfId="37099"/>
    <cellStyle name="Normal 56 2 3 2 2" xfId="37100"/>
    <cellStyle name="Normal 56 2 3 3" xfId="37101"/>
    <cellStyle name="Normal 56 2 4" xfId="37102"/>
    <cellStyle name="Normal 56 2 4 2" xfId="37103"/>
    <cellStyle name="Normal 56 2 4 2 2" xfId="37104"/>
    <cellStyle name="Normal 56 2 4 3" xfId="37105"/>
    <cellStyle name="Normal 56 2 5" xfId="37106"/>
    <cellStyle name="Normal 56 3" xfId="37107"/>
    <cellStyle name="Normal 56 3 2" xfId="37108"/>
    <cellStyle name="Normal 56 3 2 2" xfId="37109"/>
    <cellStyle name="Normal 56 3 2 2 2" xfId="37110"/>
    <cellStyle name="Normal 56 3 2 3" xfId="37111"/>
    <cellStyle name="Normal 56 3 2 3 2" xfId="37112"/>
    <cellStyle name="Normal 56 3 2 3 2 2" xfId="37113"/>
    <cellStyle name="Normal 56 3 2 3 3" xfId="37114"/>
    <cellStyle name="Normal 56 3 2 4" xfId="37115"/>
    <cellStyle name="Normal 56 3 3" xfId="37116"/>
    <cellStyle name="Normal 56 3 3 2" xfId="37117"/>
    <cellStyle name="Normal 56 3 3 2 2" xfId="37118"/>
    <cellStyle name="Normal 56 3 3 3" xfId="37119"/>
    <cellStyle name="Normal 56 3 4" xfId="37120"/>
    <cellStyle name="Normal 56 3 4 2" xfId="37121"/>
    <cellStyle name="Normal 56 3 4 2 2" xfId="37122"/>
    <cellStyle name="Normal 56 3 4 3" xfId="37123"/>
    <cellStyle name="Normal 56 3 5" xfId="37124"/>
    <cellStyle name="Normal 56 3 5 2" xfId="37125"/>
    <cellStyle name="Normal 56 3 5 2 2" xfId="37126"/>
    <cellStyle name="Normal 56 3 5 3" xfId="37127"/>
    <cellStyle name="Normal 56 3 6" xfId="37128"/>
    <cellStyle name="Normal 56 4" xfId="37129"/>
    <cellStyle name="Normal 56 4 2" xfId="37130"/>
    <cellStyle name="Normal 56 4 2 2" xfId="37131"/>
    <cellStyle name="Normal 56 4 3" xfId="37132"/>
    <cellStyle name="Normal 56 5" xfId="37133"/>
    <cellStyle name="Normal 56 5 2" xfId="37134"/>
    <cellStyle name="Normal 56 5 2 2" xfId="37135"/>
    <cellStyle name="Normal 56 5 3" xfId="37136"/>
    <cellStyle name="Normal 56 6" xfId="37137"/>
    <cellStyle name="Normal 56 6 2" xfId="37138"/>
    <cellStyle name="Normal 56 6 2 2" xfId="37139"/>
    <cellStyle name="Normal 56 6 3" xfId="37140"/>
    <cellStyle name="Normal 56 7" xfId="37141"/>
    <cellStyle name="Normal 560" xfId="37142"/>
    <cellStyle name="Normal 560 2" xfId="37143"/>
    <cellStyle name="Normal 560 2 2" xfId="37144"/>
    <cellStyle name="Normal 560 2 2 2" xfId="37145"/>
    <cellStyle name="Normal 560 2 3" xfId="37146"/>
    <cellStyle name="Normal 560 2 3 2" xfId="37147"/>
    <cellStyle name="Normal 560 2 3 2 2" xfId="37148"/>
    <cellStyle name="Normal 560 2 3 3" xfId="37149"/>
    <cellStyle name="Normal 560 2 4" xfId="37150"/>
    <cellStyle name="Normal 560 3" xfId="37151"/>
    <cellStyle name="Normal 560 3 2" xfId="37152"/>
    <cellStyle name="Normal 560 3 2 2" xfId="37153"/>
    <cellStyle name="Normal 560 3 3" xfId="37154"/>
    <cellStyle name="Normal 560 4" xfId="37155"/>
    <cellStyle name="Normal 560 4 2" xfId="37156"/>
    <cellStyle name="Normal 560 4 2 2" xfId="37157"/>
    <cellStyle name="Normal 560 4 3" xfId="37158"/>
    <cellStyle name="Normal 560 5" xfId="37159"/>
    <cellStyle name="Normal 560 5 2" xfId="37160"/>
    <cellStyle name="Normal 560 5 2 2" xfId="37161"/>
    <cellStyle name="Normal 560 5 3" xfId="37162"/>
    <cellStyle name="Normal 560 6" xfId="37163"/>
    <cellStyle name="Normal 561" xfId="37164"/>
    <cellStyle name="Normal 561 2" xfId="37165"/>
    <cellStyle name="Normal 561 2 2" xfId="37166"/>
    <cellStyle name="Normal 561 2 2 2" xfId="37167"/>
    <cellStyle name="Normal 561 2 3" xfId="37168"/>
    <cellStyle name="Normal 561 2 3 2" xfId="37169"/>
    <cellStyle name="Normal 561 2 3 2 2" xfId="37170"/>
    <cellStyle name="Normal 561 2 3 3" xfId="37171"/>
    <cellStyle name="Normal 561 2 4" xfId="37172"/>
    <cellStyle name="Normal 561 3" xfId="37173"/>
    <cellStyle name="Normal 561 3 2" xfId="37174"/>
    <cellStyle name="Normal 561 3 2 2" xfId="37175"/>
    <cellStyle name="Normal 561 3 3" xfId="37176"/>
    <cellStyle name="Normal 561 4" xfId="37177"/>
    <cellStyle name="Normal 561 4 2" xfId="37178"/>
    <cellStyle name="Normal 561 4 2 2" xfId="37179"/>
    <cellStyle name="Normal 561 4 3" xfId="37180"/>
    <cellStyle name="Normal 561 5" xfId="37181"/>
    <cellStyle name="Normal 561 5 2" xfId="37182"/>
    <cellStyle name="Normal 561 5 2 2" xfId="37183"/>
    <cellStyle name="Normal 561 5 3" xfId="37184"/>
    <cellStyle name="Normal 561 6" xfId="37185"/>
    <cellStyle name="Normal 562" xfId="37186"/>
    <cellStyle name="Normal 562 2" xfId="37187"/>
    <cellStyle name="Normal 562 2 2" xfId="37188"/>
    <cellStyle name="Normal 562 2 2 2" xfId="37189"/>
    <cellStyle name="Normal 562 2 3" xfId="37190"/>
    <cellStyle name="Normal 562 2 3 2" xfId="37191"/>
    <cellStyle name="Normal 562 2 3 2 2" xfId="37192"/>
    <cellStyle name="Normal 562 2 3 3" xfId="37193"/>
    <cellStyle name="Normal 562 2 4" xfId="37194"/>
    <cellStyle name="Normal 562 3" xfId="37195"/>
    <cellStyle name="Normal 562 3 2" xfId="37196"/>
    <cellStyle name="Normal 562 3 2 2" xfId="37197"/>
    <cellStyle name="Normal 562 3 3" xfId="37198"/>
    <cellStyle name="Normal 562 4" xfId="37199"/>
    <cellStyle name="Normal 562 4 2" xfId="37200"/>
    <cellStyle name="Normal 562 4 2 2" xfId="37201"/>
    <cellStyle name="Normal 562 4 3" xfId="37202"/>
    <cellStyle name="Normal 562 5" xfId="37203"/>
    <cellStyle name="Normal 562 5 2" xfId="37204"/>
    <cellStyle name="Normal 562 5 2 2" xfId="37205"/>
    <cellStyle name="Normal 562 5 3" xfId="37206"/>
    <cellStyle name="Normal 562 6" xfId="37207"/>
    <cellStyle name="Normal 563" xfId="37208"/>
    <cellStyle name="Normal 563 2" xfId="37209"/>
    <cellStyle name="Normal 563 2 2" xfId="37210"/>
    <cellStyle name="Normal 563 2 2 2" xfId="37211"/>
    <cellStyle name="Normal 563 2 3" xfId="37212"/>
    <cellStyle name="Normal 563 2 3 2" xfId="37213"/>
    <cellStyle name="Normal 563 2 3 2 2" xfId="37214"/>
    <cellStyle name="Normal 563 2 3 3" xfId="37215"/>
    <cellStyle name="Normal 563 2 4" xfId="37216"/>
    <cellStyle name="Normal 563 3" xfId="37217"/>
    <cellStyle name="Normal 563 3 2" xfId="37218"/>
    <cellStyle name="Normal 563 3 2 2" xfId="37219"/>
    <cellStyle name="Normal 563 3 3" xfId="37220"/>
    <cellStyle name="Normal 563 4" xfId="37221"/>
    <cellStyle name="Normal 563 4 2" xfId="37222"/>
    <cellStyle name="Normal 563 4 2 2" xfId="37223"/>
    <cellStyle name="Normal 563 4 3" xfId="37224"/>
    <cellStyle name="Normal 563 5" xfId="37225"/>
    <cellStyle name="Normal 563 5 2" xfId="37226"/>
    <cellStyle name="Normal 563 5 2 2" xfId="37227"/>
    <cellStyle name="Normal 563 5 3" xfId="37228"/>
    <cellStyle name="Normal 563 6" xfId="37229"/>
    <cellStyle name="Normal 564" xfId="37230"/>
    <cellStyle name="Normal 564 2" xfId="37231"/>
    <cellStyle name="Normal 564 2 2" xfId="37232"/>
    <cellStyle name="Normal 564 2 2 2" xfId="37233"/>
    <cellStyle name="Normal 564 2 3" xfId="37234"/>
    <cellStyle name="Normal 564 2 3 2" xfId="37235"/>
    <cellStyle name="Normal 564 2 3 2 2" xfId="37236"/>
    <cellStyle name="Normal 564 2 3 3" xfId="37237"/>
    <cellStyle name="Normal 564 2 4" xfId="37238"/>
    <cellStyle name="Normal 564 3" xfId="37239"/>
    <cellStyle name="Normal 564 3 2" xfId="37240"/>
    <cellStyle name="Normal 564 3 2 2" xfId="37241"/>
    <cellStyle name="Normal 564 3 3" xfId="37242"/>
    <cellStyle name="Normal 564 4" xfId="37243"/>
    <cellStyle name="Normal 564 4 2" xfId="37244"/>
    <cellStyle name="Normal 564 4 2 2" xfId="37245"/>
    <cellStyle name="Normal 564 4 3" xfId="37246"/>
    <cellStyle name="Normal 564 5" xfId="37247"/>
    <cellStyle name="Normal 564 5 2" xfId="37248"/>
    <cellStyle name="Normal 564 5 2 2" xfId="37249"/>
    <cellStyle name="Normal 564 5 3" xfId="37250"/>
    <cellStyle name="Normal 564 6" xfId="37251"/>
    <cellStyle name="Normal 565" xfId="37252"/>
    <cellStyle name="Normal 565 2" xfId="37253"/>
    <cellStyle name="Normal 565 2 2" xfId="37254"/>
    <cellStyle name="Normal 565 2 2 2" xfId="37255"/>
    <cellStyle name="Normal 565 2 2 2 2" xfId="37256"/>
    <cellStyle name="Normal 565 2 2 3" xfId="37257"/>
    <cellStyle name="Normal 565 2 2 3 2" xfId="37258"/>
    <cellStyle name="Normal 565 2 2 3 2 2" xfId="37259"/>
    <cellStyle name="Normal 565 2 2 3 3" xfId="37260"/>
    <cellStyle name="Normal 565 2 2 4" xfId="37261"/>
    <cellStyle name="Normal 565 2 3" xfId="37262"/>
    <cellStyle name="Normal 565 2 3 2" xfId="37263"/>
    <cellStyle name="Normal 565 2 3 2 2" xfId="37264"/>
    <cellStyle name="Normal 565 2 3 3" xfId="37265"/>
    <cellStyle name="Normal 565 2 4" xfId="37266"/>
    <cellStyle name="Normal 565 2 4 2" xfId="37267"/>
    <cellStyle name="Normal 565 2 4 2 2" xfId="37268"/>
    <cellStyle name="Normal 565 2 4 3" xfId="37269"/>
    <cellStyle name="Normal 565 2 5" xfId="37270"/>
    <cellStyle name="Normal 565 2 5 2" xfId="37271"/>
    <cellStyle name="Normal 565 2 5 2 2" xfId="37272"/>
    <cellStyle name="Normal 565 2 5 3" xfId="37273"/>
    <cellStyle name="Normal 565 2 6" xfId="37274"/>
    <cellStyle name="Normal 565 3" xfId="37275"/>
    <cellStyle name="Normal 565 3 2" xfId="37276"/>
    <cellStyle name="Normal 565 3 2 2" xfId="37277"/>
    <cellStyle name="Normal 565 3 3" xfId="37278"/>
    <cellStyle name="Normal 565 3 3 2" xfId="37279"/>
    <cellStyle name="Normal 565 3 3 2 2" xfId="37280"/>
    <cellStyle name="Normal 565 3 3 3" xfId="37281"/>
    <cellStyle name="Normal 565 3 4" xfId="37282"/>
    <cellStyle name="Normal 565 3 4 2" xfId="37283"/>
    <cellStyle name="Normal 565 3 4 2 2" xfId="37284"/>
    <cellStyle name="Normal 565 3 4 3" xfId="37285"/>
    <cellStyle name="Normal 565 3 5" xfId="37286"/>
    <cellStyle name="Normal 565 4" xfId="37287"/>
    <cellStyle name="Normal 565 4 2" xfId="37288"/>
    <cellStyle name="Normal 565 4 2 2" xfId="37289"/>
    <cellStyle name="Normal 565 4 3" xfId="37290"/>
    <cellStyle name="Normal 565 4 3 2" xfId="37291"/>
    <cellStyle name="Normal 565 4 3 2 2" xfId="37292"/>
    <cellStyle name="Normal 565 4 3 3" xfId="37293"/>
    <cellStyle name="Normal 565 4 4" xfId="37294"/>
    <cellStyle name="Normal 565 4 4 2" xfId="37295"/>
    <cellStyle name="Normal 565 4 4 2 2" xfId="37296"/>
    <cellStyle name="Normal 565 4 4 3" xfId="37297"/>
    <cellStyle name="Normal 565 4 5" xfId="37298"/>
    <cellStyle name="Normal 565 5" xfId="37299"/>
    <cellStyle name="Normal 565 5 2" xfId="37300"/>
    <cellStyle name="Normal 565 6" xfId="37301"/>
    <cellStyle name="Normal 565 6 2" xfId="37302"/>
    <cellStyle name="Normal 565 6 2 2" xfId="37303"/>
    <cellStyle name="Normal 565 6 3" xfId="37304"/>
    <cellStyle name="Normal 565 7" xfId="37305"/>
    <cellStyle name="Normal 565 7 2" xfId="37306"/>
    <cellStyle name="Normal 565 7 2 2" xfId="37307"/>
    <cellStyle name="Normal 565 7 3" xfId="37308"/>
    <cellStyle name="Normal 565 8" xfId="37309"/>
    <cellStyle name="Normal 566" xfId="37310"/>
    <cellStyle name="Normal 566 2" xfId="37311"/>
    <cellStyle name="Normal 566 2 2" xfId="37312"/>
    <cellStyle name="Normal 566 3" xfId="37313"/>
    <cellStyle name="Normal 566 3 2" xfId="37314"/>
    <cellStyle name="Normal 566 3 2 2" xfId="37315"/>
    <cellStyle name="Normal 566 3 3" xfId="37316"/>
    <cellStyle name="Normal 566 4" xfId="37317"/>
    <cellStyle name="Normal 566 4 2" xfId="37318"/>
    <cellStyle name="Normal 566 4 2 2" xfId="37319"/>
    <cellStyle name="Normal 566 4 3" xfId="37320"/>
    <cellStyle name="Normal 566 5" xfId="37321"/>
    <cellStyle name="Normal 567" xfId="37322"/>
    <cellStyle name="Normal 567 2" xfId="37323"/>
    <cellStyle name="Normal 567 2 2" xfId="37324"/>
    <cellStyle name="Normal 567 2 2 2" xfId="37325"/>
    <cellStyle name="Normal 567 2 3" xfId="37326"/>
    <cellStyle name="Normal 567 2 3 2" xfId="37327"/>
    <cellStyle name="Normal 567 2 3 2 2" xfId="37328"/>
    <cellStyle name="Normal 567 2 3 3" xfId="37329"/>
    <cellStyle name="Normal 567 2 4" xfId="37330"/>
    <cellStyle name="Normal 567 3" xfId="37331"/>
    <cellStyle name="Normal 567 3 2" xfId="37332"/>
    <cellStyle name="Normal 567 3 2 2" xfId="37333"/>
    <cellStyle name="Normal 567 3 3" xfId="37334"/>
    <cellStyle name="Normal 567 4" xfId="37335"/>
    <cellStyle name="Normal 567 4 2" xfId="37336"/>
    <cellStyle name="Normal 567 4 2 2" xfId="37337"/>
    <cellStyle name="Normal 567 4 3" xfId="37338"/>
    <cellStyle name="Normal 567 5" xfId="37339"/>
    <cellStyle name="Normal 567 5 2" xfId="37340"/>
    <cellStyle name="Normal 567 5 2 2" xfId="37341"/>
    <cellStyle name="Normal 567 5 3" xfId="37342"/>
    <cellStyle name="Normal 567 6" xfId="37343"/>
    <cellStyle name="Normal 568" xfId="37344"/>
    <cellStyle name="Normal 568 2" xfId="37345"/>
    <cellStyle name="Normal 568 2 2" xfId="37346"/>
    <cellStyle name="Normal 568 2 2 2" xfId="37347"/>
    <cellStyle name="Normal 568 2 3" xfId="37348"/>
    <cellStyle name="Normal 568 2 3 2" xfId="37349"/>
    <cellStyle name="Normal 568 2 3 2 2" xfId="37350"/>
    <cellStyle name="Normal 568 2 3 3" xfId="37351"/>
    <cellStyle name="Normal 568 2 4" xfId="37352"/>
    <cellStyle name="Normal 568 3" xfId="37353"/>
    <cellStyle name="Normal 568 3 2" xfId="37354"/>
    <cellStyle name="Normal 568 3 2 2" xfId="37355"/>
    <cellStyle name="Normal 568 3 3" xfId="37356"/>
    <cellStyle name="Normal 568 4" xfId="37357"/>
    <cellStyle name="Normal 568 4 2" xfId="37358"/>
    <cellStyle name="Normal 568 4 2 2" xfId="37359"/>
    <cellStyle name="Normal 568 4 3" xfId="37360"/>
    <cellStyle name="Normal 568 5" xfId="37361"/>
    <cellStyle name="Normal 568 5 2" xfId="37362"/>
    <cellStyle name="Normal 568 5 2 2" xfId="37363"/>
    <cellStyle name="Normal 568 5 3" xfId="37364"/>
    <cellStyle name="Normal 568 6" xfId="37365"/>
    <cellStyle name="Normal 569" xfId="37366"/>
    <cellStyle name="Normal 569 2" xfId="37367"/>
    <cellStyle name="Normal 569 2 2" xfId="37368"/>
    <cellStyle name="Normal 569 2 2 2" xfId="37369"/>
    <cellStyle name="Normal 569 2 3" xfId="37370"/>
    <cellStyle name="Normal 569 2 3 2" xfId="37371"/>
    <cellStyle name="Normal 569 2 3 2 2" xfId="37372"/>
    <cellStyle name="Normal 569 2 3 3" xfId="37373"/>
    <cellStyle name="Normal 569 2 4" xfId="37374"/>
    <cellStyle name="Normal 569 3" xfId="37375"/>
    <cellStyle name="Normal 569 3 2" xfId="37376"/>
    <cellStyle name="Normal 569 3 2 2" xfId="37377"/>
    <cellStyle name="Normal 569 3 3" xfId="37378"/>
    <cellStyle name="Normal 569 4" xfId="37379"/>
    <cellStyle name="Normal 569 4 2" xfId="37380"/>
    <cellStyle name="Normal 569 4 2 2" xfId="37381"/>
    <cellStyle name="Normal 569 4 3" xfId="37382"/>
    <cellStyle name="Normal 569 5" xfId="37383"/>
    <cellStyle name="Normal 57" xfId="37384"/>
    <cellStyle name="Normal 57 2" xfId="37385"/>
    <cellStyle name="Normal 57 2 2" xfId="37386"/>
    <cellStyle name="Normal 57 2 2 2" xfId="37387"/>
    <cellStyle name="Normal 57 2 3" xfId="37388"/>
    <cellStyle name="Normal 57 2 3 2" xfId="37389"/>
    <cellStyle name="Normal 57 2 3 2 2" xfId="37390"/>
    <cellStyle name="Normal 57 2 3 3" xfId="37391"/>
    <cellStyle name="Normal 57 2 4" xfId="37392"/>
    <cellStyle name="Normal 57 2 4 2" xfId="37393"/>
    <cellStyle name="Normal 57 2 4 2 2" xfId="37394"/>
    <cellStyle name="Normal 57 2 4 3" xfId="37395"/>
    <cellStyle name="Normal 57 2 5" xfId="37396"/>
    <cellStyle name="Normal 57 3" xfId="37397"/>
    <cellStyle name="Normal 57 3 2" xfId="37398"/>
    <cellStyle name="Normal 57 3 2 2" xfId="37399"/>
    <cellStyle name="Normal 57 3 2 2 2" xfId="37400"/>
    <cellStyle name="Normal 57 3 2 3" xfId="37401"/>
    <cellStyle name="Normal 57 3 2 3 2" xfId="37402"/>
    <cellStyle name="Normal 57 3 2 3 2 2" xfId="37403"/>
    <cellStyle name="Normal 57 3 2 3 3" xfId="37404"/>
    <cellStyle name="Normal 57 3 2 4" xfId="37405"/>
    <cellStyle name="Normal 57 3 3" xfId="37406"/>
    <cellStyle name="Normal 57 3 3 2" xfId="37407"/>
    <cellStyle name="Normal 57 3 3 2 2" xfId="37408"/>
    <cellStyle name="Normal 57 3 3 3" xfId="37409"/>
    <cellStyle name="Normal 57 3 4" xfId="37410"/>
    <cellStyle name="Normal 57 3 4 2" xfId="37411"/>
    <cellStyle name="Normal 57 3 4 2 2" xfId="37412"/>
    <cellStyle name="Normal 57 3 4 3" xfId="37413"/>
    <cellStyle name="Normal 57 3 5" xfId="37414"/>
    <cellStyle name="Normal 57 3 5 2" xfId="37415"/>
    <cellStyle name="Normal 57 3 5 2 2" xfId="37416"/>
    <cellStyle name="Normal 57 3 5 3" xfId="37417"/>
    <cellStyle name="Normal 57 3 6" xfId="37418"/>
    <cellStyle name="Normal 57 4" xfId="37419"/>
    <cellStyle name="Normal 57 4 2" xfId="37420"/>
    <cellStyle name="Normal 57 4 2 2" xfId="37421"/>
    <cellStyle name="Normal 57 4 3" xfId="37422"/>
    <cellStyle name="Normal 57 5" xfId="37423"/>
    <cellStyle name="Normal 57 5 2" xfId="37424"/>
    <cellStyle name="Normal 57 5 2 2" xfId="37425"/>
    <cellStyle name="Normal 57 5 3" xfId="37426"/>
    <cellStyle name="Normal 57 6" xfId="37427"/>
    <cellStyle name="Normal 57 6 2" xfId="37428"/>
    <cellStyle name="Normal 57 6 2 2" xfId="37429"/>
    <cellStyle name="Normal 57 6 3" xfId="37430"/>
    <cellStyle name="Normal 57 7" xfId="37431"/>
    <cellStyle name="Normal 570" xfId="37432"/>
    <cellStyle name="Normal 570 2" xfId="37433"/>
    <cellStyle name="Normal 570 2 2" xfId="37434"/>
    <cellStyle name="Normal 570 2 2 2" xfId="37435"/>
    <cellStyle name="Normal 570 2 3" xfId="37436"/>
    <cellStyle name="Normal 570 2 3 2" xfId="37437"/>
    <cellStyle name="Normal 570 2 3 2 2" xfId="37438"/>
    <cellStyle name="Normal 570 2 3 3" xfId="37439"/>
    <cellStyle name="Normal 570 2 4" xfId="37440"/>
    <cellStyle name="Normal 570 3" xfId="37441"/>
    <cellStyle name="Normal 570 3 2" xfId="37442"/>
    <cellStyle name="Normal 570 3 2 2" xfId="37443"/>
    <cellStyle name="Normal 570 3 3" xfId="37444"/>
    <cellStyle name="Normal 570 4" xfId="37445"/>
    <cellStyle name="Normal 570 4 2" xfId="37446"/>
    <cellStyle name="Normal 570 4 2 2" xfId="37447"/>
    <cellStyle name="Normal 570 4 3" xfId="37448"/>
    <cellStyle name="Normal 570 5" xfId="37449"/>
    <cellStyle name="Normal 571" xfId="37450"/>
    <cellStyle name="Normal 571 2" xfId="37451"/>
    <cellStyle name="Normal 571 2 2" xfId="37452"/>
    <cellStyle name="Normal 571 2 2 2" xfId="37453"/>
    <cellStyle name="Normal 571 2 3" xfId="37454"/>
    <cellStyle name="Normal 571 2 3 2" xfId="37455"/>
    <cellStyle name="Normal 571 2 3 2 2" xfId="37456"/>
    <cellStyle name="Normal 571 2 3 3" xfId="37457"/>
    <cellStyle name="Normal 571 2 4" xfId="37458"/>
    <cellStyle name="Normal 571 3" xfId="37459"/>
    <cellStyle name="Normal 571 3 2" xfId="37460"/>
    <cellStyle name="Normal 571 3 2 2" xfId="37461"/>
    <cellStyle name="Normal 571 3 3" xfId="37462"/>
    <cellStyle name="Normal 571 4" xfId="37463"/>
    <cellStyle name="Normal 571 4 2" xfId="37464"/>
    <cellStyle name="Normal 571 4 2 2" xfId="37465"/>
    <cellStyle name="Normal 571 4 3" xfId="37466"/>
    <cellStyle name="Normal 571 5" xfId="37467"/>
    <cellStyle name="Normal 572" xfId="37468"/>
    <cellStyle name="Normal 572 2" xfId="37469"/>
    <cellStyle name="Normal 572 2 2" xfId="37470"/>
    <cellStyle name="Normal 572 2 2 2" xfId="37471"/>
    <cellStyle name="Normal 572 2 3" xfId="37472"/>
    <cellStyle name="Normal 572 2 3 2" xfId="37473"/>
    <cellStyle name="Normal 572 2 3 2 2" xfId="37474"/>
    <cellStyle name="Normal 572 2 3 3" xfId="37475"/>
    <cellStyle name="Normal 572 2 4" xfId="37476"/>
    <cellStyle name="Normal 572 3" xfId="37477"/>
    <cellStyle name="Normal 572 3 2" xfId="37478"/>
    <cellStyle name="Normal 572 3 2 2" xfId="37479"/>
    <cellStyle name="Normal 572 3 3" xfId="37480"/>
    <cellStyle name="Normal 572 4" xfId="37481"/>
    <cellStyle name="Normal 572 4 2" xfId="37482"/>
    <cellStyle name="Normal 572 4 2 2" xfId="37483"/>
    <cellStyle name="Normal 572 4 3" xfId="37484"/>
    <cellStyle name="Normal 572 5" xfId="37485"/>
    <cellStyle name="Normal 573" xfId="37486"/>
    <cellStyle name="Normal 573 2" xfId="37487"/>
    <cellStyle name="Normal 573 2 2" xfId="37488"/>
    <cellStyle name="Normal 573 2 2 2" xfId="37489"/>
    <cellStyle name="Normal 573 2 3" xfId="37490"/>
    <cellStyle name="Normal 573 2 3 2" xfId="37491"/>
    <cellStyle name="Normal 573 2 3 2 2" xfId="37492"/>
    <cellStyle name="Normal 573 2 3 3" xfId="37493"/>
    <cellStyle name="Normal 573 2 4" xfId="37494"/>
    <cellStyle name="Normal 573 3" xfId="37495"/>
    <cellStyle name="Normal 573 3 2" xfId="37496"/>
    <cellStyle name="Normal 573 3 2 2" xfId="37497"/>
    <cellStyle name="Normal 573 3 3" xfId="37498"/>
    <cellStyle name="Normal 573 4" xfId="37499"/>
    <cellStyle name="Normal 573 4 2" xfId="37500"/>
    <cellStyle name="Normal 573 4 2 2" xfId="37501"/>
    <cellStyle name="Normal 573 4 3" xfId="37502"/>
    <cellStyle name="Normal 573 5" xfId="37503"/>
    <cellStyle name="Normal 574" xfId="37504"/>
    <cellStyle name="Normal 574 2" xfId="37505"/>
    <cellStyle name="Normal 574 2 2" xfId="37506"/>
    <cellStyle name="Normal 574 3" xfId="37507"/>
    <cellStyle name="Normal 574 3 2" xfId="37508"/>
    <cellStyle name="Normal 574 3 2 2" xfId="37509"/>
    <cellStyle name="Normal 574 3 3" xfId="37510"/>
    <cellStyle name="Normal 574 4" xfId="37511"/>
    <cellStyle name="Normal 575" xfId="37512"/>
    <cellStyle name="Normal 575 2" xfId="37513"/>
    <cellStyle name="Normal 575 2 2" xfId="37514"/>
    <cellStyle name="Normal 575 3" xfId="37515"/>
    <cellStyle name="Normal 575 3 2" xfId="37516"/>
    <cellStyle name="Normal 575 3 2 2" xfId="37517"/>
    <cellStyle name="Normal 575 3 3" xfId="37518"/>
    <cellStyle name="Normal 575 4" xfId="37519"/>
    <cellStyle name="Normal 576" xfId="37520"/>
    <cellStyle name="Normal 576 2" xfId="37521"/>
    <cellStyle name="Normal 576 2 2" xfId="37522"/>
    <cellStyle name="Normal 576 2 2 2" xfId="37523"/>
    <cellStyle name="Normal 576 2 3" xfId="37524"/>
    <cellStyle name="Normal 576 2 3 2" xfId="37525"/>
    <cellStyle name="Normal 576 2 3 2 2" xfId="37526"/>
    <cellStyle name="Normal 576 2 3 3" xfId="37527"/>
    <cellStyle name="Normal 576 2 4" xfId="37528"/>
    <cellStyle name="Normal 576 3" xfId="37529"/>
    <cellStyle name="Normal 576 3 2" xfId="37530"/>
    <cellStyle name="Normal 576 3 2 2" xfId="37531"/>
    <cellStyle name="Normal 576 3 3" xfId="37532"/>
    <cellStyle name="Normal 576 4" xfId="37533"/>
    <cellStyle name="Normal 576 4 2" xfId="37534"/>
    <cellStyle name="Normal 576 4 2 2" xfId="37535"/>
    <cellStyle name="Normal 576 4 3" xfId="37536"/>
    <cellStyle name="Normal 576 5" xfId="37537"/>
    <cellStyle name="Normal 577" xfId="37538"/>
    <cellStyle name="Normal 577 2" xfId="37539"/>
    <cellStyle name="Normal 577 2 2" xfId="37540"/>
    <cellStyle name="Normal 577 2 2 2" xfId="37541"/>
    <cellStyle name="Normal 577 2 3" xfId="37542"/>
    <cellStyle name="Normal 577 2 3 2" xfId="37543"/>
    <cellStyle name="Normal 577 2 3 2 2" xfId="37544"/>
    <cellStyle name="Normal 577 2 3 3" xfId="37545"/>
    <cellStyle name="Normal 577 2 4" xfId="37546"/>
    <cellStyle name="Normal 577 3" xfId="37547"/>
    <cellStyle name="Normal 577 3 2" xfId="37548"/>
    <cellStyle name="Normal 577 3 2 2" xfId="37549"/>
    <cellStyle name="Normal 577 3 3" xfId="37550"/>
    <cellStyle name="Normal 577 4" xfId="37551"/>
    <cellStyle name="Normal 577 4 2" xfId="37552"/>
    <cellStyle name="Normal 577 4 2 2" xfId="37553"/>
    <cellStyle name="Normal 577 4 3" xfId="37554"/>
    <cellStyle name="Normal 577 5" xfId="37555"/>
    <cellStyle name="Normal 578" xfId="37556"/>
    <cellStyle name="Normal 578 2" xfId="37557"/>
    <cellStyle name="Normal 578 2 2" xfId="37558"/>
    <cellStyle name="Normal 578 2 2 2" xfId="37559"/>
    <cellStyle name="Normal 578 2 3" xfId="37560"/>
    <cellStyle name="Normal 578 2 3 2" xfId="37561"/>
    <cellStyle name="Normal 578 2 3 2 2" xfId="37562"/>
    <cellStyle name="Normal 578 2 3 3" xfId="37563"/>
    <cellStyle name="Normal 578 2 4" xfId="37564"/>
    <cellStyle name="Normal 578 3" xfId="37565"/>
    <cellStyle name="Normal 578 3 2" xfId="37566"/>
    <cellStyle name="Normal 578 3 2 2" xfId="37567"/>
    <cellStyle name="Normal 578 3 3" xfId="37568"/>
    <cellStyle name="Normal 578 4" xfId="37569"/>
    <cellStyle name="Normal 578 4 2" xfId="37570"/>
    <cellStyle name="Normal 578 4 2 2" xfId="37571"/>
    <cellStyle name="Normal 578 4 3" xfId="37572"/>
    <cellStyle name="Normal 578 5" xfId="37573"/>
    <cellStyle name="Normal 579" xfId="37574"/>
    <cellStyle name="Normal 579 2" xfId="37575"/>
    <cellStyle name="Normal 579 2 2" xfId="37576"/>
    <cellStyle name="Normal 579 2 2 2" xfId="37577"/>
    <cellStyle name="Normal 579 2 3" xfId="37578"/>
    <cellStyle name="Normal 579 2 3 2" xfId="37579"/>
    <cellStyle name="Normal 579 2 3 2 2" xfId="37580"/>
    <cellStyle name="Normal 579 2 3 3" xfId="37581"/>
    <cellStyle name="Normal 579 2 4" xfId="37582"/>
    <cellStyle name="Normal 579 3" xfId="37583"/>
    <cellStyle name="Normal 579 3 2" xfId="37584"/>
    <cellStyle name="Normal 579 3 2 2" xfId="37585"/>
    <cellStyle name="Normal 579 3 3" xfId="37586"/>
    <cellStyle name="Normal 579 4" xfId="37587"/>
    <cellStyle name="Normal 579 4 2" xfId="37588"/>
    <cellStyle name="Normal 579 4 2 2" xfId="37589"/>
    <cellStyle name="Normal 579 4 3" xfId="37590"/>
    <cellStyle name="Normal 579 5" xfId="37591"/>
    <cellStyle name="Normal 58" xfId="37592"/>
    <cellStyle name="Normal 58 2" xfId="37593"/>
    <cellStyle name="Normal 58 2 2" xfId="37594"/>
    <cellStyle name="Normal 58 2 2 2" xfId="37595"/>
    <cellStyle name="Normal 58 2 3" xfId="37596"/>
    <cellStyle name="Normal 58 2 3 2" xfId="37597"/>
    <cellStyle name="Normal 58 2 3 2 2" xfId="37598"/>
    <cellStyle name="Normal 58 2 3 3" xfId="37599"/>
    <cellStyle name="Normal 58 2 4" xfId="37600"/>
    <cellStyle name="Normal 58 2 4 2" xfId="37601"/>
    <cellStyle name="Normal 58 2 4 2 2" xfId="37602"/>
    <cellStyle name="Normal 58 2 4 3" xfId="37603"/>
    <cellStyle name="Normal 58 2 5" xfId="37604"/>
    <cellStyle name="Normal 58 3" xfId="37605"/>
    <cellStyle name="Normal 58 3 2" xfId="37606"/>
    <cellStyle name="Normal 58 3 2 2" xfId="37607"/>
    <cellStyle name="Normal 58 3 2 2 2" xfId="37608"/>
    <cellStyle name="Normal 58 3 2 3" xfId="37609"/>
    <cellStyle name="Normal 58 3 2 3 2" xfId="37610"/>
    <cellStyle name="Normal 58 3 2 3 2 2" xfId="37611"/>
    <cellStyle name="Normal 58 3 2 3 3" xfId="37612"/>
    <cellStyle name="Normal 58 3 2 4" xfId="37613"/>
    <cellStyle name="Normal 58 3 3" xfId="37614"/>
    <cellStyle name="Normal 58 3 3 2" xfId="37615"/>
    <cellStyle name="Normal 58 3 3 2 2" xfId="37616"/>
    <cellStyle name="Normal 58 3 3 3" xfId="37617"/>
    <cellStyle name="Normal 58 3 4" xfId="37618"/>
    <cellStyle name="Normal 58 3 4 2" xfId="37619"/>
    <cellStyle name="Normal 58 3 4 2 2" xfId="37620"/>
    <cellStyle name="Normal 58 3 4 3" xfId="37621"/>
    <cellStyle name="Normal 58 3 5" xfId="37622"/>
    <cellStyle name="Normal 58 3 5 2" xfId="37623"/>
    <cellStyle name="Normal 58 3 5 2 2" xfId="37624"/>
    <cellStyle name="Normal 58 3 5 3" xfId="37625"/>
    <cellStyle name="Normal 58 3 6" xfId="37626"/>
    <cellStyle name="Normal 58 4" xfId="37627"/>
    <cellStyle name="Normal 58 4 2" xfId="37628"/>
    <cellStyle name="Normal 58 4 2 2" xfId="37629"/>
    <cellStyle name="Normal 58 4 3" xfId="37630"/>
    <cellStyle name="Normal 58 5" xfId="37631"/>
    <cellStyle name="Normal 58 5 2" xfId="37632"/>
    <cellStyle name="Normal 58 5 2 2" xfId="37633"/>
    <cellStyle name="Normal 58 5 3" xfId="37634"/>
    <cellStyle name="Normal 58 6" xfId="37635"/>
    <cellStyle name="Normal 58 6 2" xfId="37636"/>
    <cellStyle name="Normal 58 6 2 2" xfId="37637"/>
    <cellStyle name="Normal 58 6 3" xfId="37638"/>
    <cellStyle name="Normal 58 7" xfId="37639"/>
    <cellStyle name="Normal 580" xfId="37640"/>
    <cellStyle name="Normal 580 2" xfId="37641"/>
    <cellStyle name="Normal 580 2 2" xfId="37642"/>
    <cellStyle name="Normal 580 3" xfId="37643"/>
    <cellStyle name="Normal 580 3 2" xfId="37644"/>
    <cellStyle name="Normal 580 3 2 2" xfId="37645"/>
    <cellStyle name="Normal 580 3 3" xfId="37646"/>
    <cellStyle name="Normal 580 4" xfId="37647"/>
    <cellStyle name="Normal 581" xfId="37648"/>
    <cellStyle name="Normal 581 2" xfId="37649"/>
    <cellStyle name="Normal 581 2 2" xfId="37650"/>
    <cellStyle name="Normal 581 3" xfId="37651"/>
    <cellStyle name="Normal 581 3 2" xfId="37652"/>
    <cellStyle name="Normal 581 3 2 2" xfId="37653"/>
    <cellStyle name="Normal 581 3 3" xfId="37654"/>
    <cellStyle name="Normal 581 4" xfId="37655"/>
    <cellStyle name="Normal 582" xfId="37656"/>
    <cellStyle name="Normal 582 2" xfId="37657"/>
    <cellStyle name="Normal 582 2 2" xfId="37658"/>
    <cellStyle name="Normal 582 3" xfId="37659"/>
    <cellStyle name="Normal 582 3 2" xfId="37660"/>
    <cellStyle name="Normal 582 3 2 2" xfId="37661"/>
    <cellStyle name="Normal 582 3 3" xfId="37662"/>
    <cellStyle name="Normal 582 4" xfId="37663"/>
    <cellStyle name="Normal 583" xfId="37664"/>
    <cellStyle name="Normal 583 2" xfId="37665"/>
    <cellStyle name="Normal 583 2 2" xfId="37666"/>
    <cellStyle name="Normal 583 3" xfId="37667"/>
    <cellStyle name="Normal 583 3 2" xfId="37668"/>
    <cellStyle name="Normal 583 3 2 2" xfId="37669"/>
    <cellStyle name="Normal 583 3 3" xfId="37670"/>
    <cellStyle name="Normal 583 4" xfId="37671"/>
    <cellStyle name="Normal 584" xfId="37672"/>
    <cellStyle name="Normal 584 2" xfId="37673"/>
    <cellStyle name="Normal 584 2 2" xfId="37674"/>
    <cellStyle name="Normal 584 2 2 2" xfId="37675"/>
    <cellStyle name="Normal 584 2 3" xfId="37676"/>
    <cellStyle name="Normal 584 3" xfId="37677"/>
    <cellStyle name="Normal 584 3 2" xfId="37678"/>
    <cellStyle name="Normal 584 3 2 2" xfId="37679"/>
    <cellStyle name="Normal 584 3 2 2 2" xfId="37680"/>
    <cellStyle name="Normal 584 3 2 3" xfId="37681"/>
    <cellStyle name="Normal 584 3 3" xfId="37682"/>
    <cellStyle name="Normal 584 3 3 2" xfId="37683"/>
    <cellStyle name="Normal 584 3 4" xfId="37684"/>
    <cellStyle name="Normal 584 4" xfId="37685"/>
    <cellStyle name="Normal 584 4 2" xfId="37686"/>
    <cellStyle name="Normal 584 4 2 2" xfId="37687"/>
    <cellStyle name="Normal 584 4 3" xfId="37688"/>
    <cellStyle name="Normal 584 5" xfId="37689"/>
    <cellStyle name="Normal 584 5 2" xfId="37690"/>
    <cellStyle name="Normal 584 6" xfId="37691"/>
    <cellStyle name="Normal 585" xfId="37692"/>
    <cellStyle name="Normal 585 2" xfId="37693"/>
    <cellStyle name="Normal 585 2 2" xfId="37694"/>
    <cellStyle name="Normal 585 2 2 2" xfId="37695"/>
    <cellStyle name="Normal 585 2 3" xfId="37696"/>
    <cellStyle name="Normal 585 3" xfId="37697"/>
    <cellStyle name="Normal 585 3 2" xfId="37698"/>
    <cellStyle name="Normal 585 4" xfId="37699"/>
    <cellStyle name="Normal 586" xfId="37700"/>
    <cellStyle name="Normal 586 2" xfId="37701"/>
    <cellStyle name="Normal 586 2 2" xfId="37702"/>
    <cellStyle name="Normal 586 2 2 2" xfId="37703"/>
    <cellStyle name="Normal 586 2 3" xfId="37704"/>
    <cellStyle name="Normal 586 3" xfId="37705"/>
    <cellStyle name="Normal 586 3 2" xfId="37706"/>
    <cellStyle name="Normal 586 4" xfId="37707"/>
    <cellStyle name="Normal 587" xfId="37708"/>
    <cellStyle name="Normal 587 2" xfId="37709"/>
    <cellStyle name="Normal 587 2 2" xfId="37710"/>
    <cellStyle name="Normal 587 2 2 2" xfId="37711"/>
    <cellStyle name="Normal 587 2 3" xfId="37712"/>
    <cellStyle name="Normal 587 3" xfId="37713"/>
    <cellStyle name="Normal 587 3 2" xfId="37714"/>
    <cellStyle name="Normal 587 4" xfId="37715"/>
    <cellStyle name="Normal 588" xfId="37716"/>
    <cellStyle name="Normal 588 2" xfId="37717"/>
    <cellStyle name="Normal 588 2 2" xfId="37718"/>
    <cellStyle name="Normal 588 3" xfId="37719"/>
    <cellStyle name="Normal 589" xfId="37720"/>
    <cellStyle name="Normal 589 2" xfId="37721"/>
    <cellStyle name="Normal 589 2 2" xfId="37722"/>
    <cellStyle name="Normal 589 3" xfId="37723"/>
    <cellStyle name="Normal 59" xfId="37724"/>
    <cellStyle name="Normal 59 2" xfId="37725"/>
    <cellStyle name="Normal 59 2 2" xfId="37726"/>
    <cellStyle name="Normal 59 2 2 2" xfId="37727"/>
    <cellStyle name="Normal 59 2 3" xfId="37728"/>
    <cellStyle name="Normal 59 2 3 2" xfId="37729"/>
    <cellStyle name="Normal 59 2 3 2 2" xfId="37730"/>
    <cellStyle name="Normal 59 2 3 3" xfId="37731"/>
    <cellStyle name="Normal 59 2 4" xfId="37732"/>
    <cellStyle name="Normal 59 2 4 2" xfId="37733"/>
    <cellStyle name="Normal 59 2 4 2 2" xfId="37734"/>
    <cellStyle name="Normal 59 2 4 3" xfId="37735"/>
    <cellStyle name="Normal 59 2 5" xfId="37736"/>
    <cellStyle name="Normal 59 3" xfId="37737"/>
    <cellStyle name="Normal 59 3 2" xfId="37738"/>
    <cellStyle name="Normal 59 3 2 2" xfId="37739"/>
    <cellStyle name="Normal 59 3 2 2 2" xfId="37740"/>
    <cellStyle name="Normal 59 3 2 3" xfId="37741"/>
    <cellStyle name="Normal 59 3 2 3 2" xfId="37742"/>
    <cellStyle name="Normal 59 3 2 3 2 2" xfId="37743"/>
    <cellStyle name="Normal 59 3 2 3 3" xfId="37744"/>
    <cellStyle name="Normal 59 3 2 4" xfId="37745"/>
    <cellStyle name="Normal 59 3 3" xfId="37746"/>
    <cellStyle name="Normal 59 3 3 2" xfId="37747"/>
    <cellStyle name="Normal 59 3 3 2 2" xfId="37748"/>
    <cellStyle name="Normal 59 3 3 3" xfId="37749"/>
    <cellStyle name="Normal 59 3 4" xfId="37750"/>
    <cellStyle name="Normal 59 3 4 2" xfId="37751"/>
    <cellStyle name="Normal 59 3 4 2 2" xfId="37752"/>
    <cellStyle name="Normal 59 3 4 3" xfId="37753"/>
    <cellStyle name="Normal 59 3 5" xfId="37754"/>
    <cellStyle name="Normal 59 3 5 2" xfId="37755"/>
    <cellStyle name="Normal 59 3 5 2 2" xfId="37756"/>
    <cellStyle name="Normal 59 3 5 3" xfId="37757"/>
    <cellStyle name="Normal 59 3 6" xfId="37758"/>
    <cellStyle name="Normal 59 4" xfId="37759"/>
    <cellStyle name="Normal 59 4 2" xfId="37760"/>
    <cellStyle name="Normal 59 4 2 2" xfId="37761"/>
    <cellStyle name="Normal 59 4 3" xfId="37762"/>
    <cellStyle name="Normal 59 5" xfId="37763"/>
    <cellStyle name="Normal 59 5 2" xfId="37764"/>
    <cellStyle name="Normal 59 5 2 2" xfId="37765"/>
    <cellStyle name="Normal 59 5 3" xfId="37766"/>
    <cellStyle name="Normal 59 6" xfId="37767"/>
    <cellStyle name="Normal 59 6 2" xfId="37768"/>
    <cellStyle name="Normal 59 6 2 2" xfId="37769"/>
    <cellStyle name="Normal 59 6 3" xfId="37770"/>
    <cellStyle name="Normal 59 7" xfId="37771"/>
    <cellStyle name="Normal 590" xfId="37772"/>
    <cellStyle name="Normal 590 2" xfId="37773"/>
    <cellStyle name="Normal 590 2 2" xfId="37774"/>
    <cellStyle name="Normal 590 3" xfId="37775"/>
    <cellStyle name="Normal 591" xfId="37776"/>
    <cellStyle name="Normal 591 2" xfId="37777"/>
    <cellStyle name="Normal 591 2 2" xfId="37778"/>
    <cellStyle name="Normal 591 3" xfId="37779"/>
    <cellStyle name="Normal 592" xfId="37780"/>
    <cellStyle name="Normal 592 2" xfId="37781"/>
    <cellStyle name="Normal 592 2 2" xfId="37782"/>
    <cellStyle name="Normal 592 3" xfId="37783"/>
    <cellStyle name="Normal 593" xfId="37784"/>
    <cellStyle name="Normal 593 2" xfId="37785"/>
    <cellStyle name="Normal 593 2 2" xfId="37786"/>
    <cellStyle name="Normal 593 3" xfId="37787"/>
    <cellStyle name="Normal 594" xfId="37788"/>
    <cellStyle name="Normal 594 2" xfId="37789"/>
    <cellStyle name="Normal 594 2 2" xfId="37790"/>
    <cellStyle name="Normal 594 3" xfId="37791"/>
    <cellStyle name="Normal 595" xfId="37792"/>
    <cellStyle name="Normal 595 2" xfId="37793"/>
    <cellStyle name="Normal 595 2 2" xfId="37794"/>
    <cellStyle name="Normal 595 3" xfId="37795"/>
    <cellStyle name="Normal 596" xfId="37796"/>
    <cellStyle name="Normal 596 2" xfId="37797"/>
    <cellStyle name="Normal 596 2 2" xfId="37798"/>
    <cellStyle name="Normal 596 3" xfId="37799"/>
    <cellStyle name="Normal 597" xfId="37800"/>
    <cellStyle name="Normal 597 2" xfId="37801"/>
    <cellStyle name="Normal 597 2 2" xfId="37802"/>
    <cellStyle name="Normal 597 3" xfId="37803"/>
    <cellStyle name="Normal 598" xfId="37804"/>
    <cellStyle name="Normal 598 2" xfId="37805"/>
    <cellStyle name="Normal 598 2 2" xfId="37806"/>
    <cellStyle name="Normal 598 3" xfId="37807"/>
    <cellStyle name="Normal 599" xfId="37808"/>
    <cellStyle name="Normal 599 2" xfId="37809"/>
    <cellStyle name="Normal 599 2 2" xfId="37810"/>
    <cellStyle name="Normal 599 3" xfId="37811"/>
    <cellStyle name="Normal 6" xfId="81"/>
    <cellStyle name="Normal 6 10" xfId="203"/>
    <cellStyle name="Normal 6 10 2" xfId="339"/>
    <cellStyle name="Normal 6 10 2 2" xfId="37814"/>
    <cellStyle name="Normal 6 10 3" xfId="462"/>
    <cellStyle name="Normal 6 10 4" xfId="605"/>
    <cellStyle name="Normal 6 10 5" xfId="37813"/>
    <cellStyle name="Normal 6 10 6" xfId="53829"/>
    <cellStyle name="Normal 6 11" xfId="249"/>
    <cellStyle name="Normal 6 11 2" xfId="37815"/>
    <cellStyle name="Normal 6 12" xfId="257"/>
    <cellStyle name="Normal 6 12 2" xfId="37816"/>
    <cellStyle name="Normal 6 13" xfId="380"/>
    <cellStyle name="Normal 6 13 2" xfId="37817"/>
    <cellStyle name="Normal 6 14" xfId="503"/>
    <cellStyle name="Normal 6 15" xfId="604"/>
    <cellStyle name="Normal 6 16" xfId="37812"/>
    <cellStyle name="Normal 6 17" xfId="53704"/>
    <cellStyle name="Normal 6 18" xfId="53766"/>
    <cellStyle name="Normal 6 2" xfId="109"/>
    <cellStyle name="Normal 6 2 10" xfId="382"/>
    <cellStyle name="Normal 6 2 11" xfId="505"/>
    <cellStyle name="Normal 6 2 12" xfId="606"/>
    <cellStyle name="Normal 6 2 13" xfId="37818"/>
    <cellStyle name="Normal 6 2 14" xfId="53706"/>
    <cellStyle name="Normal 6 2 15" xfId="53767"/>
    <cellStyle name="Normal 6 2 2" xfId="115"/>
    <cellStyle name="Normal 6 2 2 10" xfId="53712"/>
    <cellStyle name="Normal 6 2 2 11" xfId="53768"/>
    <cellStyle name="Normal 6 2 2 2" xfId="152"/>
    <cellStyle name="Normal 6 2 2 2 10" xfId="53769"/>
    <cellStyle name="Normal 6 2 2 2 2" xfId="193"/>
    <cellStyle name="Normal 6 2 2 2 2 2" xfId="329"/>
    <cellStyle name="Normal 6 2 2 2 2 3" xfId="452"/>
    <cellStyle name="Normal 6 2 2 2 2 4" xfId="609"/>
    <cellStyle name="Normal 6 2 2 2 2 5" xfId="37821"/>
    <cellStyle name="Normal 6 2 2 2 2 6" xfId="53819"/>
    <cellStyle name="Normal 6 2 2 2 3" xfId="234"/>
    <cellStyle name="Normal 6 2 2 2 3 2" xfId="370"/>
    <cellStyle name="Normal 6 2 2 2 3 3" xfId="493"/>
    <cellStyle name="Normal 6 2 2 2 3 4" xfId="610"/>
    <cellStyle name="Normal 6 2 2 2 3 5" xfId="53860"/>
    <cellStyle name="Normal 6 2 2 2 4" xfId="288"/>
    <cellStyle name="Normal 6 2 2 2 5" xfId="411"/>
    <cellStyle name="Normal 6 2 2 2 6" xfId="534"/>
    <cellStyle name="Normal 6 2 2 2 7" xfId="608"/>
    <cellStyle name="Normal 6 2 2 2 8" xfId="37820"/>
    <cellStyle name="Normal 6 2 2 2 9" xfId="53735"/>
    <cellStyle name="Normal 6 2 2 3" xfId="170"/>
    <cellStyle name="Normal 6 2 2 3 2" xfId="306"/>
    <cellStyle name="Normal 6 2 2 3 2 2" xfId="37824"/>
    <cellStyle name="Normal 6 2 2 3 2 3" xfId="37823"/>
    <cellStyle name="Normal 6 2 2 3 3" xfId="429"/>
    <cellStyle name="Normal 6 2 2 3 3 2" xfId="37825"/>
    <cellStyle name="Normal 6 2 2 3 4" xfId="611"/>
    <cellStyle name="Normal 6 2 2 3 5" xfId="37822"/>
    <cellStyle name="Normal 6 2 2 3 6" xfId="53796"/>
    <cellStyle name="Normal 6 2 2 4" xfId="211"/>
    <cellStyle name="Normal 6 2 2 4 2" xfId="347"/>
    <cellStyle name="Normal 6 2 2 4 2 2" xfId="37828"/>
    <cellStyle name="Normal 6 2 2 4 2 3" xfId="37827"/>
    <cellStyle name="Normal 6 2 2 4 3" xfId="470"/>
    <cellStyle name="Normal 6 2 2 4 3 2" xfId="37829"/>
    <cellStyle name="Normal 6 2 2 4 4" xfId="612"/>
    <cellStyle name="Normal 6 2 2 4 5" xfId="37826"/>
    <cellStyle name="Normal 6 2 2 4 6" xfId="53837"/>
    <cellStyle name="Normal 6 2 2 5" xfId="265"/>
    <cellStyle name="Normal 6 2 2 5 2" xfId="37830"/>
    <cellStyle name="Normal 6 2 2 6" xfId="388"/>
    <cellStyle name="Normal 6 2 2 7" xfId="511"/>
    <cellStyle name="Normal 6 2 2 8" xfId="607"/>
    <cellStyle name="Normal 6 2 2 9" xfId="37819"/>
    <cellStyle name="Normal 6 2 3" xfId="119"/>
    <cellStyle name="Normal 6 2 3 10" xfId="53716"/>
    <cellStyle name="Normal 6 2 3 11" xfId="53770"/>
    <cellStyle name="Normal 6 2 3 2" xfId="156"/>
    <cellStyle name="Normal 6 2 3 2 10" xfId="53771"/>
    <cellStyle name="Normal 6 2 3 2 2" xfId="197"/>
    <cellStyle name="Normal 6 2 3 2 2 2" xfId="333"/>
    <cellStyle name="Normal 6 2 3 2 2 2 2" xfId="37834"/>
    <cellStyle name="Normal 6 2 3 2 2 3" xfId="456"/>
    <cellStyle name="Normal 6 2 3 2 2 4" xfId="615"/>
    <cellStyle name="Normal 6 2 3 2 2 5" xfId="37833"/>
    <cellStyle name="Normal 6 2 3 2 2 6" xfId="53823"/>
    <cellStyle name="Normal 6 2 3 2 3" xfId="238"/>
    <cellStyle name="Normal 6 2 3 2 3 2" xfId="374"/>
    <cellStyle name="Normal 6 2 3 2 3 2 2" xfId="37837"/>
    <cellStyle name="Normal 6 2 3 2 3 2 3" xfId="37836"/>
    <cellStyle name="Normal 6 2 3 2 3 3" xfId="497"/>
    <cellStyle name="Normal 6 2 3 2 3 3 2" xfId="37838"/>
    <cellStyle name="Normal 6 2 3 2 3 4" xfId="616"/>
    <cellStyle name="Normal 6 2 3 2 3 5" xfId="37835"/>
    <cellStyle name="Normal 6 2 3 2 3 6" xfId="53864"/>
    <cellStyle name="Normal 6 2 3 2 4" xfId="292"/>
    <cellStyle name="Normal 6 2 3 2 4 2" xfId="37839"/>
    <cellStyle name="Normal 6 2 3 2 5" xfId="415"/>
    <cellStyle name="Normal 6 2 3 2 6" xfId="538"/>
    <cellStyle name="Normal 6 2 3 2 7" xfId="614"/>
    <cellStyle name="Normal 6 2 3 2 8" xfId="37832"/>
    <cellStyle name="Normal 6 2 3 2 9" xfId="53739"/>
    <cellStyle name="Normal 6 2 3 3" xfId="174"/>
    <cellStyle name="Normal 6 2 3 3 2" xfId="310"/>
    <cellStyle name="Normal 6 2 3 3 2 2" xfId="37842"/>
    <cellStyle name="Normal 6 2 3 3 2 3" xfId="37841"/>
    <cellStyle name="Normal 6 2 3 3 3" xfId="433"/>
    <cellStyle name="Normal 6 2 3 3 3 2" xfId="37843"/>
    <cellStyle name="Normal 6 2 3 3 4" xfId="617"/>
    <cellStyle name="Normal 6 2 3 3 5" xfId="37840"/>
    <cellStyle name="Normal 6 2 3 3 6" xfId="53800"/>
    <cellStyle name="Normal 6 2 3 4" xfId="215"/>
    <cellStyle name="Normal 6 2 3 4 2" xfId="351"/>
    <cellStyle name="Normal 6 2 3 4 2 2" xfId="37846"/>
    <cellStyle name="Normal 6 2 3 4 2 3" xfId="37845"/>
    <cellStyle name="Normal 6 2 3 4 3" xfId="474"/>
    <cellStyle name="Normal 6 2 3 4 3 2" xfId="37847"/>
    <cellStyle name="Normal 6 2 3 4 4" xfId="618"/>
    <cellStyle name="Normal 6 2 3 4 5" xfId="37844"/>
    <cellStyle name="Normal 6 2 3 4 6" xfId="53841"/>
    <cellStyle name="Normal 6 2 3 5" xfId="269"/>
    <cellStyle name="Normal 6 2 3 5 2" xfId="37849"/>
    <cellStyle name="Normal 6 2 3 5 2 2" xfId="37850"/>
    <cellStyle name="Normal 6 2 3 5 3" xfId="37851"/>
    <cellStyle name="Normal 6 2 3 5 4" xfId="37848"/>
    <cellStyle name="Normal 6 2 3 6" xfId="392"/>
    <cellStyle name="Normal 6 2 3 6 2" xfId="37852"/>
    <cellStyle name="Normal 6 2 3 7" xfId="515"/>
    <cellStyle name="Normal 6 2 3 8" xfId="613"/>
    <cellStyle name="Normal 6 2 3 9" xfId="37831"/>
    <cellStyle name="Normal 6 2 4" xfId="123"/>
    <cellStyle name="Normal 6 2 4 10" xfId="53720"/>
    <cellStyle name="Normal 6 2 4 11" xfId="53772"/>
    <cellStyle name="Normal 6 2 4 2" xfId="160"/>
    <cellStyle name="Normal 6 2 4 2 10" xfId="53773"/>
    <cellStyle name="Normal 6 2 4 2 2" xfId="201"/>
    <cellStyle name="Normal 6 2 4 2 2 2" xfId="337"/>
    <cellStyle name="Normal 6 2 4 2 2 3" xfId="460"/>
    <cellStyle name="Normal 6 2 4 2 2 4" xfId="621"/>
    <cellStyle name="Normal 6 2 4 2 2 5" xfId="37855"/>
    <cellStyle name="Normal 6 2 4 2 2 6" xfId="53827"/>
    <cellStyle name="Normal 6 2 4 2 3" xfId="242"/>
    <cellStyle name="Normal 6 2 4 2 3 2" xfId="378"/>
    <cellStyle name="Normal 6 2 4 2 3 3" xfId="501"/>
    <cellStyle name="Normal 6 2 4 2 3 4" xfId="622"/>
    <cellStyle name="Normal 6 2 4 2 3 5" xfId="53868"/>
    <cellStyle name="Normal 6 2 4 2 4" xfId="296"/>
    <cellStyle name="Normal 6 2 4 2 5" xfId="419"/>
    <cellStyle name="Normal 6 2 4 2 6" xfId="542"/>
    <cellStyle name="Normal 6 2 4 2 7" xfId="620"/>
    <cellStyle name="Normal 6 2 4 2 8" xfId="37854"/>
    <cellStyle name="Normal 6 2 4 2 9" xfId="53743"/>
    <cellStyle name="Normal 6 2 4 3" xfId="178"/>
    <cellStyle name="Normal 6 2 4 3 2" xfId="314"/>
    <cellStyle name="Normal 6 2 4 3 3" xfId="437"/>
    <cellStyle name="Normal 6 2 4 3 4" xfId="623"/>
    <cellStyle name="Normal 6 2 4 3 5" xfId="37856"/>
    <cellStyle name="Normal 6 2 4 3 6" xfId="53804"/>
    <cellStyle name="Normal 6 2 4 4" xfId="219"/>
    <cellStyle name="Normal 6 2 4 4 2" xfId="355"/>
    <cellStyle name="Normal 6 2 4 4 3" xfId="478"/>
    <cellStyle name="Normal 6 2 4 4 4" xfId="624"/>
    <cellStyle name="Normal 6 2 4 4 5" xfId="53845"/>
    <cellStyle name="Normal 6 2 4 5" xfId="273"/>
    <cellStyle name="Normal 6 2 4 6" xfId="396"/>
    <cellStyle name="Normal 6 2 4 7" xfId="519"/>
    <cellStyle name="Normal 6 2 4 8" xfId="619"/>
    <cellStyle name="Normal 6 2 4 9" xfId="37853"/>
    <cellStyle name="Normal 6 2 5" xfId="146"/>
    <cellStyle name="Normal 6 2 5 10" xfId="53774"/>
    <cellStyle name="Normal 6 2 5 2" xfId="187"/>
    <cellStyle name="Normal 6 2 5 2 2" xfId="323"/>
    <cellStyle name="Normal 6 2 5 2 2 2" xfId="37859"/>
    <cellStyle name="Normal 6 2 5 2 3" xfId="446"/>
    <cellStyle name="Normal 6 2 5 2 4" xfId="626"/>
    <cellStyle name="Normal 6 2 5 2 5" xfId="37858"/>
    <cellStyle name="Normal 6 2 5 2 6" xfId="53813"/>
    <cellStyle name="Normal 6 2 5 3" xfId="228"/>
    <cellStyle name="Normal 6 2 5 3 2" xfId="364"/>
    <cellStyle name="Normal 6 2 5 3 3" xfId="487"/>
    <cellStyle name="Normal 6 2 5 3 4" xfId="627"/>
    <cellStyle name="Normal 6 2 5 3 5" xfId="37860"/>
    <cellStyle name="Normal 6 2 5 3 6" xfId="53854"/>
    <cellStyle name="Normal 6 2 5 4" xfId="282"/>
    <cellStyle name="Normal 6 2 5 5" xfId="405"/>
    <cellStyle name="Normal 6 2 5 6" xfId="528"/>
    <cellStyle name="Normal 6 2 5 7" xfId="625"/>
    <cellStyle name="Normal 6 2 5 8" xfId="37857"/>
    <cellStyle name="Normal 6 2 5 9" xfId="53729"/>
    <cellStyle name="Normal 6 2 6" xfId="142"/>
    <cellStyle name="Normal 6 2 6 10" xfId="53775"/>
    <cellStyle name="Normal 6 2 6 2" xfId="183"/>
    <cellStyle name="Normal 6 2 6 2 2" xfId="319"/>
    <cellStyle name="Normal 6 2 6 2 2 2" xfId="37863"/>
    <cellStyle name="Normal 6 2 6 2 3" xfId="442"/>
    <cellStyle name="Normal 6 2 6 2 4" xfId="629"/>
    <cellStyle name="Normal 6 2 6 2 5" xfId="37862"/>
    <cellStyle name="Normal 6 2 6 2 6" xfId="53809"/>
    <cellStyle name="Normal 6 2 6 3" xfId="224"/>
    <cellStyle name="Normal 6 2 6 3 2" xfId="360"/>
    <cellStyle name="Normal 6 2 6 3 3" xfId="483"/>
    <cellStyle name="Normal 6 2 6 3 4" xfId="630"/>
    <cellStyle name="Normal 6 2 6 3 5" xfId="37864"/>
    <cellStyle name="Normal 6 2 6 3 6" xfId="53850"/>
    <cellStyle name="Normal 6 2 6 4" xfId="278"/>
    <cellStyle name="Normal 6 2 6 5" xfId="401"/>
    <cellStyle name="Normal 6 2 6 6" xfId="524"/>
    <cellStyle name="Normal 6 2 6 7" xfId="628"/>
    <cellStyle name="Normal 6 2 6 8" xfId="37861"/>
    <cellStyle name="Normal 6 2 6 9" xfId="53725"/>
    <cellStyle name="Normal 6 2 7" xfId="164"/>
    <cellStyle name="Normal 6 2 7 2" xfId="300"/>
    <cellStyle name="Normal 6 2 7 3" xfId="423"/>
    <cellStyle name="Normal 6 2 7 4" xfId="631"/>
    <cellStyle name="Normal 6 2 7 5" xfId="37865"/>
    <cellStyle name="Normal 6 2 7 6" xfId="53790"/>
    <cellStyle name="Normal 6 2 8" xfId="205"/>
    <cellStyle name="Normal 6 2 8 2" xfId="341"/>
    <cellStyle name="Normal 6 2 8 3" xfId="464"/>
    <cellStyle name="Normal 6 2 8 4" xfId="632"/>
    <cellStyle name="Normal 6 2 8 5" xfId="53831"/>
    <cellStyle name="Normal 6 2 9" xfId="259"/>
    <cellStyle name="Normal 6 3" xfId="112"/>
    <cellStyle name="Normal 6 3 10" xfId="53709"/>
    <cellStyle name="Normal 6 3 11" xfId="53776"/>
    <cellStyle name="Normal 6 3 2" xfId="149"/>
    <cellStyle name="Normal 6 3 2 10" xfId="53777"/>
    <cellStyle name="Normal 6 3 2 2" xfId="190"/>
    <cellStyle name="Normal 6 3 2 2 2" xfId="326"/>
    <cellStyle name="Normal 6 3 2 2 2 2" xfId="37869"/>
    <cellStyle name="Normal 6 3 2 2 3" xfId="449"/>
    <cellStyle name="Normal 6 3 2 2 4" xfId="635"/>
    <cellStyle name="Normal 6 3 2 2 5" xfId="37868"/>
    <cellStyle name="Normal 6 3 2 2 6" xfId="53816"/>
    <cellStyle name="Normal 6 3 2 3" xfId="231"/>
    <cellStyle name="Normal 6 3 2 3 2" xfId="367"/>
    <cellStyle name="Normal 6 3 2 3 2 2" xfId="37872"/>
    <cellStyle name="Normal 6 3 2 3 2 3" xfId="37871"/>
    <cellStyle name="Normal 6 3 2 3 3" xfId="490"/>
    <cellStyle name="Normal 6 3 2 3 3 2" xfId="37873"/>
    <cellStyle name="Normal 6 3 2 3 4" xfId="636"/>
    <cellStyle name="Normal 6 3 2 3 5" xfId="37870"/>
    <cellStyle name="Normal 6 3 2 3 6" xfId="53857"/>
    <cellStyle name="Normal 6 3 2 4" xfId="285"/>
    <cellStyle name="Normal 6 3 2 4 2" xfId="37875"/>
    <cellStyle name="Normal 6 3 2 4 2 2" xfId="37876"/>
    <cellStyle name="Normal 6 3 2 4 3" xfId="37877"/>
    <cellStyle name="Normal 6 3 2 4 4" xfId="37874"/>
    <cellStyle name="Normal 6 3 2 5" xfId="408"/>
    <cellStyle name="Normal 6 3 2 5 2" xfId="37878"/>
    <cellStyle name="Normal 6 3 2 6" xfId="531"/>
    <cellStyle name="Normal 6 3 2 7" xfId="634"/>
    <cellStyle name="Normal 6 3 2 8" xfId="37867"/>
    <cellStyle name="Normal 6 3 2 9" xfId="53732"/>
    <cellStyle name="Normal 6 3 3" xfId="167"/>
    <cellStyle name="Normal 6 3 3 2" xfId="303"/>
    <cellStyle name="Normal 6 3 3 2 2" xfId="37881"/>
    <cellStyle name="Normal 6 3 3 2 3" xfId="37880"/>
    <cellStyle name="Normal 6 3 3 3" xfId="426"/>
    <cellStyle name="Normal 6 3 3 3 2" xfId="37882"/>
    <cellStyle name="Normal 6 3 3 4" xfId="637"/>
    <cellStyle name="Normal 6 3 3 5" xfId="37879"/>
    <cellStyle name="Normal 6 3 3 6" xfId="53793"/>
    <cellStyle name="Normal 6 3 4" xfId="208"/>
    <cellStyle name="Normal 6 3 4 2" xfId="344"/>
    <cellStyle name="Normal 6 3 4 2 2" xfId="37885"/>
    <cellStyle name="Normal 6 3 4 2 3" xfId="37884"/>
    <cellStyle name="Normal 6 3 4 3" xfId="467"/>
    <cellStyle name="Normal 6 3 4 3 2" xfId="37886"/>
    <cellStyle name="Normal 6 3 4 4" xfId="638"/>
    <cellStyle name="Normal 6 3 4 5" xfId="37883"/>
    <cellStyle name="Normal 6 3 4 6" xfId="53834"/>
    <cellStyle name="Normal 6 3 5" xfId="262"/>
    <cellStyle name="Normal 6 3 5 2" xfId="37888"/>
    <cellStyle name="Normal 6 3 5 2 2" xfId="37889"/>
    <cellStyle name="Normal 6 3 5 3" xfId="37890"/>
    <cellStyle name="Normal 6 3 5 4" xfId="37887"/>
    <cellStyle name="Normal 6 3 6" xfId="385"/>
    <cellStyle name="Normal 6 3 6 2" xfId="37891"/>
    <cellStyle name="Normal 6 3 7" xfId="508"/>
    <cellStyle name="Normal 6 3 8" xfId="633"/>
    <cellStyle name="Normal 6 3 9" xfId="37866"/>
    <cellStyle name="Normal 6 4" xfId="113"/>
    <cellStyle name="Normal 6 4 10" xfId="53710"/>
    <cellStyle name="Normal 6 4 11" xfId="53778"/>
    <cellStyle name="Normal 6 4 2" xfId="150"/>
    <cellStyle name="Normal 6 4 2 10" xfId="53779"/>
    <cellStyle name="Normal 6 4 2 2" xfId="191"/>
    <cellStyle name="Normal 6 4 2 2 2" xfId="327"/>
    <cellStyle name="Normal 6 4 2 2 2 2" xfId="37895"/>
    <cellStyle name="Normal 6 4 2 2 3" xfId="450"/>
    <cellStyle name="Normal 6 4 2 2 4" xfId="641"/>
    <cellStyle name="Normal 6 4 2 2 5" xfId="37894"/>
    <cellStyle name="Normal 6 4 2 2 6" xfId="53817"/>
    <cellStyle name="Normal 6 4 2 3" xfId="232"/>
    <cellStyle name="Normal 6 4 2 3 2" xfId="368"/>
    <cellStyle name="Normal 6 4 2 3 2 2" xfId="37898"/>
    <cellStyle name="Normal 6 4 2 3 2 3" xfId="37897"/>
    <cellStyle name="Normal 6 4 2 3 3" xfId="491"/>
    <cellStyle name="Normal 6 4 2 3 3 2" xfId="37899"/>
    <cellStyle name="Normal 6 4 2 3 4" xfId="642"/>
    <cellStyle name="Normal 6 4 2 3 5" xfId="37896"/>
    <cellStyle name="Normal 6 4 2 3 6" xfId="53858"/>
    <cellStyle name="Normal 6 4 2 4" xfId="286"/>
    <cellStyle name="Normal 6 4 2 4 2" xfId="37901"/>
    <cellStyle name="Normal 6 4 2 4 2 2" xfId="37902"/>
    <cellStyle name="Normal 6 4 2 4 3" xfId="37903"/>
    <cellStyle name="Normal 6 4 2 4 4" xfId="37900"/>
    <cellStyle name="Normal 6 4 2 5" xfId="409"/>
    <cellStyle name="Normal 6 4 2 5 2" xfId="37904"/>
    <cellStyle name="Normal 6 4 2 6" xfId="532"/>
    <cellStyle name="Normal 6 4 2 7" xfId="640"/>
    <cellStyle name="Normal 6 4 2 8" xfId="37893"/>
    <cellStyle name="Normal 6 4 2 9" xfId="53733"/>
    <cellStyle name="Normal 6 4 3" xfId="168"/>
    <cellStyle name="Normal 6 4 3 2" xfId="304"/>
    <cellStyle name="Normal 6 4 3 2 2" xfId="37907"/>
    <cellStyle name="Normal 6 4 3 2 2 2" xfId="37908"/>
    <cellStyle name="Normal 6 4 3 2 3" xfId="37909"/>
    <cellStyle name="Normal 6 4 3 2 3 2" xfId="37910"/>
    <cellStyle name="Normal 6 4 3 2 3 2 2" xfId="37911"/>
    <cellStyle name="Normal 6 4 3 2 3 3" xfId="37912"/>
    <cellStyle name="Normal 6 4 3 2 4" xfId="37913"/>
    <cellStyle name="Normal 6 4 3 2 5" xfId="37906"/>
    <cellStyle name="Normal 6 4 3 3" xfId="427"/>
    <cellStyle name="Normal 6 4 3 3 2" xfId="37915"/>
    <cellStyle name="Normal 6 4 3 3 2 2" xfId="37916"/>
    <cellStyle name="Normal 6 4 3 3 3" xfId="37917"/>
    <cellStyle name="Normal 6 4 3 3 4" xfId="37914"/>
    <cellStyle name="Normal 6 4 3 4" xfId="643"/>
    <cellStyle name="Normal 6 4 3 4 2" xfId="37919"/>
    <cellStyle name="Normal 6 4 3 4 2 2" xfId="37920"/>
    <cellStyle name="Normal 6 4 3 4 3" xfId="37921"/>
    <cellStyle name="Normal 6 4 3 4 4" xfId="37918"/>
    <cellStyle name="Normal 6 4 3 5" xfId="37922"/>
    <cellStyle name="Normal 6 4 3 5 2" xfId="37923"/>
    <cellStyle name="Normal 6 4 3 5 2 2" xfId="37924"/>
    <cellStyle name="Normal 6 4 3 5 3" xfId="37925"/>
    <cellStyle name="Normal 6 4 3 6" xfId="37926"/>
    <cellStyle name="Normal 6 4 3 7" xfId="37905"/>
    <cellStyle name="Normal 6 4 3 8" xfId="53794"/>
    <cellStyle name="Normal 6 4 4" xfId="209"/>
    <cellStyle name="Normal 6 4 4 2" xfId="345"/>
    <cellStyle name="Normal 6 4 4 3" xfId="468"/>
    <cellStyle name="Normal 6 4 4 4" xfId="644"/>
    <cellStyle name="Normal 6 4 4 5" xfId="37927"/>
    <cellStyle name="Normal 6 4 4 6" xfId="53835"/>
    <cellStyle name="Normal 6 4 5" xfId="263"/>
    <cellStyle name="Normal 6 4 6" xfId="386"/>
    <cellStyle name="Normal 6 4 7" xfId="509"/>
    <cellStyle name="Normal 6 4 8" xfId="639"/>
    <cellStyle name="Normal 6 4 9" xfId="37892"/>
    <cellStyle name="Normal 6 5" xfId="117"/>
    <cellStyle name="Normal 6 5 10" xfId="53714"/>
    <cellStyle name="Normal 6 5 11" xfId="53780"/>
    <cellStyle name="Normal 6 5 2" xfId="154"/>
    <cellStyle name="Normal 6 5 2 10" xfId="53781"/>
    <cellStyle name="Normal 6 5 2 2" xfId="195"/>
    <cellStyle name="Normal 6 5 2 2 2" xfId="331"/>
    <cellStyle name="Normal 6 5 2 2 3" xfId="454"/>
    <cellStyle name="Normal 6 5 2 2 4" xfId="647"/>
    <cellStyle name="Normal 6 5 2 2 5" xfId="37930"/>
    <cellStyle name="Normal 6 5 2 2 6" xfId="53821"/>
    <cellStyle name="Normal 6 5 2 3" xfId="236"/>
    <cellStyle name="Normal 6 5 2 3 2" xfId="372"/>
    <cellStyle name="Normal 6 5 2 3 3" xfId="495"/>
    <cellStyle name="Normal 6 5 2 3 4" xfId="648"/>
    <cellStyle name="Normal 6 5 2 3 5" xfId="53862"/>
    <cellStyle name="Normal 6 5 2 4" xfId="290"/>
    <cellStyle name="Normal 6 5 2 5" xfId="413"/>
    <cellStyle name="Normal 6 5 2 6" xfId="536"/>
    <cellStyle name="Normal 6 5 2 7" xfId="646"/>
    <cellStyle name="Normal 6 5 2 8" xfId="37929"/>
    <cellStyle name="Normal 6 5 2 9" xfId="53737"/>
    <cellStyle name="Normal 6 5 3" xfId="172"/>
    <cellStyle name="Normal 6 5 3 2" xfId="308"/>
    <cellStyle name="Normal 6 5 3 2 2" xfId="37933"/>
    <cellStyle name="Normal 6 5 3 2 3" xfId="37932"/>
    <cellStyle name="Normal 6 5 3 3" xfId="431"/>
    <cellStyle name="Normal 6 5 3 3 2" xfId="37934"/>
    <cellStyle name="Normal 6 5 3 4" xfId="649"/>
    <cellStyle name="Normal 6 5 3 5" xfId="37931"/>
    <cellStyle name="Normal 6 5 3 6" xfId="53798"/>
    <cellStyle name="Normal 6 5 4" xfId="213"/>
    <cellStyle name="Normal 6 5 4 2" xfId="349"/>
    <cellStyle name="Normal 6 5 4 2 2" xfId="37937"/>
    <cellStyle name="Normal 6 5 4 2 3" xfId="37936"/>
    <cellStyle name="Normal 6 5 4 3" xfId="472"/>
    <cellStyle name="Normal 6 5 4 3 2" xfId="37938"/>
    <cellStyle name="Normal 6 5 4 4" xfId="650"/>
    <cellStyle name="Normal 6 5 4 5" xfId="37935"/>
    <cellStyle name="Normal 6 5 4 6" xfId="53839"/>
    <cellStyle name="Normal 6 5 5" xfId="267"/>
    <cellStyle name="Normal 6 5 5 2" xfId="37939"/>
    <cellStyle name="Normal 6 5 6" xfId="390"/>
    <cellStyle name="Normal 6 5 7" xfId="513"/>
    <cellStyle name="Normal 6 5 8" xfId="645"/>
    <cellStyle name="Normal 6 5 9" xfId="37928"/>
    <cellStyle name="Normal 6 6" xfId="121"/>
    <cellStyle name="Normal 6 6 10" xfId="53718"/>
    <cellStyle name="Normal 6 6 11" xfId="53782"/>
    <cellStyle name="Normal 6 6 2" xfId="158"/>
    <cellStyle name="Normal 6 6 2 10" xfId="53783"/>
    <cellStyle name="Normal 6 6 2 2" xfId="199"/>
    <cellStyle name="Normal 6 6 2 2 2" xfId="335"/>
    <cellStyle name="Normal 6 6 2 2 2 2" xfId="37944"/>
    <cellStyle name="Normal 6 6 2 2 2 3" xfId="37943"/>
    <cellStyle name="Normal 6 6 2 2 3" xfId="458"/>
    <cellStyle name="Normal 6 6 2 2 3 2" xfId="37946"/>
    <cellStyle name="Normal 6 6 2 2 3 2 2" xfId="37947"/>
    <cellStyle name="Normal 6 6 2 2 3 3" xfId="37948"/>
    <cellStyle name="Normal 6 6 2 2 3 4" xfId="37945"/>
    <cellStyle name="Normal 6 6 2 2 4" xfId="653"/>
    <cellStyle name="Normal 6 6 2 2 4 2" xfId="37949"/>
    <cellStyle name="Normal 6 6 2 2 5" xfId="37942"/>
    <cellStyle name="Normal 6 6 2 2 6" xfId="53825"/>
    <cellStyle name="Normal 6 6 2 3" xfId="240"/>
    <cellStyle name="Normal 6 6 2 3 2" xfId="376"/>
    <cellStyle name="Normal 6 6 2 3 2 2" xfId="37952"/>
    <cellStyle name="Normal 6 6 2 3 2 3" xfId="37951"/>
    <cellStyle name="Normal 6 6 2 3 3" xfId="499"/>
    <cellStyle name="Normal 6 6 2 3 3 2" xfId="37953"/>
    <cellStyle name="Normal 6 6 2 3 4" xfId="654"/>
    <cellStyle name="Normal 6 6 2 3 5" xfId="37950"/>
    <cellStyle name="Normal 6 6 2 3 6" xfId="53866"/>
    <cellStyle name="Normal 6 6 2 4" xfId="294"/>
    <cellStyle name="Normal 6 6 2 4 2" xfId="37955"/>
    <cellStyle name="Normal 6 6 2 4 2 2" xfId="37956"/>
    <cellStyle name="Normal 6 6 2 4 3" xfId="37957"/>
    <cellStyle name="Normal 6 6 2 4 4" xfId="37954"/>
    <cellStyle name="Normal 6 6 2 5" xfId="417"/>
    <cellStyle name="Normal 6 6 2 5 2" xfId="37959"/>
    <cellStyle name="Normal 6 6 2 5 2 2" xfId="37960"/>
    <cellStyle name="Normal 6 6 2 5 3" xfId="37961"/>
    <cellStyle name="Normal 6 6 2 5 4" xfId="37958"/>
    <cellStyle name="Normal 6 6 2 6" xfId="540"/>
    <cellStyle name="Normal 6 6 2 6 2" xfId="37962"/>
    <cellStyle name="Normal 6 6 2 7" xfId="652"/>
    <cellStyle name="Normal 6 6 2 8" xfId="37941"/>
    <cellStyle name="Normal 6 6 2 9" xfId="53741"/>
    <cellStyle name="Normal 6 6 3" xfId="176"/>
    <cellStyle name="Normal 6 6 3 2" xfId="312"/>
    <cellStyle name="Normal 6 6 3 2 2" xfId="37965"/>
    <cellStyle name="Normal 6 6 3 2 3" xfId="37964"/>
    <cellStyle name="Normal 6 6 3 3" xfId="435"/>
    <cellStyle name="Normal 6 6 3 3 2" xfId="37967"/>
    <cellStyle name="Normal 6 6 3 3 2 2" xfId="37968"/>
    <cellStyle name="Normal 6 6 3 3 3" xfId="37969"/>
    <cellStyle name="Normal 6 6 3 3 4" xfId="37966"/>
    <cellStyle name="Normal 6 6 3 4" xfId="655"/>
    <cellStyle name="Normal 6 6 3 4 2" xfId="37971"/>
    <cellStyle name="Normal 6 6 3 4 2 2" xfId="37972"/>
    <cellStyle name="Normal 6 6 3 4 3" xfId="37973"/>
    <cellStyle name="Normal 6 6 3 4 4" xfId="37970"/>
    <cellStyle name="Normal 6 6 3 5" xfId="37974"/>
    <cellStyle name="Normal 6 6 3 6" xfId="37963"/>
    <cellStyle name="Normal 6 6 3 7" xfId="53802"/>
    <cellStyle name="Normal 6 6 4" xfId="217"/>
    <cellStyle name="Normal 6 6 4 2" xfId="353"/>
    <cellStyle name="Normal 6 6 4 2 2" xfId="37977"/>
    <cellStyle name="Normal 6 6 4 2 3" xfId="37976"/>
    <cellStyle name="Normal 6 6 4 3" xfId="476"/>
    <cellStyle name="Normal 6 6 4 3 2" xfId="37979"/>
    <cellStyle name="Normal 6 6 4 3 2 2" xfId="37980"/>
    <cellStyle name="Normal 6 6 4 3 3" xfId="37981"/>
    <cellStyle name="Normal 6 6 4 3 4" xfId="37978"/>
    <cellStyle name="Normal 6 6 4 4" xfId="656"/>
    <cellStyle name="Normal 6 6 4 4 2" xfId="37983"/>
    <cellStyle name="Normal 6 6 4 4 2 2" xfId="37984"/>
    <cellStyle name="Normal 6 6 4 4 3" xfId="37985"/>
    <cellStyle name="Normal 6 6 4 4 4" xfId="37982"/>
    <cellStyle name="Normal 6 6 4 5" xfId="37986"/>
    <cellStyle name="Normal 6 6 4 6" xfId="37975"/>
    <cellStyle name="Normal 6 6 4 7" xfId="53843"/>
    <cellStyle name="Normal 6 6 5" xfId="271"/>
    <cellStyle name="Normal 6 6 5 2" xfId="37988"/>
    <cellStyle name="Normal 6 6 5 3" xfId="37987"/>
    <cellStyle name="Normal 6 6 6" xfId="394"/>
    <cellStyle name="Normal 6 6 6 2" xfId="37990"/>
    <cellStyle name="Normal 6 6 6 2 2" xfId="37991"/>
    <cellStyle name="Normal 6 6 6 3" xfId="37992"/>
    <cellStyle name="Normal 6 6 6 4" xfId="37989"/>
    <cellStyle name="Normal 6 6 7" xfId="517"/>
    <cellStyle name="Normal 6 6 7 2" xfId="37994"/>
    <cellStyle name="Normal 6 6 7 2 2" xfId="37995"/>
    <cellStyle name="Normal 6 6 7 3" xfId="37996"/>
    <cellStyle name="Normal 6 6 7 4" xfId="37993"/>
    <cellStyle name="Normal 6 6 8" xfId="651"/>
    <cellStyle name="Normal 6 6 8 2" xfId="37997"/>
    <cellStyle name="Normal 6 6 9" xfId="37940"/>
    <cellStyle name="Normal 6 7" xfId="144"/>
    <cellStyle name="Normal 6 7 10" xfId="37998"/>
    <cellStyle name="Normal 6 7 11" xfId="53727"/>
    <cellStyle name="Normal 6 7 12" xfId="53784"/>
    <cellStyle name="Normal 6 7 2" xfId="185"/>
    <cellStyle name="Normal 6 7 2 2" xfId="321"/>
    <cellStyle name="Normal 6 7 2 2 2" xfId="38001"/>
    <cellStyle name="Normal 6 7 2 2 2 2" xfId="38002"/>
    <cellStyle name="Normal 6 7 2 2 3" xfId="38003"/>
    <cellStyle name="Normal 6 7 2 2 3 2" xfId="38004"/>
    <cellStyle name="Normal 6 7 2 2 3 2 2" xfId="38005"/>
    <cellStyle name="Normal 6 7 2 2 3 3" xfId="38006"/>
    <cellStyle name="Normal 6 7 2 2 4" xfId="38007"/>
    <cellStyle name="Normal 6 7 2 2 5" xfId="38000"/>
    <cellStyle name="Normal 6 7 2 3" xfId="444"/>
    <cellStyle name="Normal 6 7 2 3 2" xfId="38009"/>
    <cellStyle name="Normal 6 7 2 3 2 2" xfId="38010"/>
    <cellStyle name="Normal 6 7 2 3 3" xfId="38011"/>
    <cellStyle name="Normal 6 7 2 3 4" xfId="38008"/>
    <cellStyle name="Normal 6 7 2 4" xfId="658"/>
    <cellStyle name="Normal 6 7 2 4 2" xfId="38013"/>
    <cellStyle name="Normal 6 7 2 4 2 2" xfId="38014"/>
    <cellStyle name="Normal 6 7 2 4 3" xfId="38015"/>
    <cellStyle name="Normal 6 7 2 4 4" xfId="38012"/>
    <cellStyle name="Normal 6 7 2 5" xfId="38016"/>
    <cellStyle name="Normal 6 7 2 5 2" xfId="38017"/>
    <cellStyle name="Normal 6 7 2 5 2 2" xfId="38018"/>
    <cellStyle name="Normal 6 7 2 5 3" xfId="38019"/>
    <cellStyle name="Normal 6 7 2 6" xfId="38020"/>
    <cellStyle name="Normal 6 7 2 7" xfId="37999"/>
    <cellStyle name="Normal 6 7 2 8" xfId="53811"/>
    <cellStyle name="Normal 6 7 3" xfId="226"/>
    <cellStyle name="Normal 6 7 3 2" xfId="362"/>
    <cellStyle name="Normal 6 7 3 2 2" xfId="38023"/>
    <cellStyle name="Normal 6 7 3 2 2 2" xfId="38024"/>
    <cellStyle name="Normal 6 7 3 2 2 2 2" xfId="38025"/>
    <cellStyle name="Normal 6 7 3 2 2 3" xfId="38026"/>
    <cellStyle name="Normal 6 7 3 2 2 3 2" xfId="38027"/>
    <cellStyle name="Normal 6 7 3 2 2 3 2 2" xfId="38028"/>
    <cellStyle name="Normal 6 7 3 2 2 3 3" xfId="38029"/>
    <cellStyle name="Normal 6 7 3 2 2 4" xfId="38030"/>
    <cellStyle name="Normal 6 7 3 2 3" xfId="38031"/>
    <cellStyle name="Normal 6 7 3 2 3 2" xfId="38032"/>
    <cellStyle name="Normal 6 7 3 2 3 2 2" xfId="38033"/>
    <cellStyle name="Normal 6 7 3 2 3 3" xfId="38034"/>
    <cellStyle name="Normal 6 7 3 2 4" xfId="38035"/>
    <cellStyle name="Normal 6 7 3 2 4 2" xfId="38036"/>
    <cellStyle name="Normal 6 7 3 2 4 2 2" xfId="38037"/>
    <cellStyle name="Normal 6 7 3 2 4 3" xfId="38038"/>
    <cellStyle name="Normal 6 7 3 2 5" xfId="38039"/>
    <cellStyle name="Normal 6 7 3 2 6" xfId="38022"/>
    <cellStyle name="Normal 6 7 3 3" xfId="485"/>
    <cellStyle name="Normal 6 7 3 3 2" xfId="38041"/>
    <cellStyle name="Normal 6 7 3 3 2 2" xfId="38042"/>
    <cellStyle name="Normal 6 7 3 3 3" xfId="38043"/>
    <cellStyle name="Normal 6 7 3 3 3 2" xfId="38044"/>
    <cellStyle name="Normal 6 7 3 3 3 2 2" xfId="38045"/>
    <cellStyle name="Normal 6 7 3 3 3 3" xfId="38046"/>
    <cellStyle name="Normal 6 7 3 3 4" xfId="38047"/>
    <cellStyle name="Normal 6 7 3 3 5" xfId="38040"/>
    <cellStyle name="Normal 6 7 3 4" xfId="659"/>
    <cellStyle name="Normal 6 7 3 4 2" xfId="38049"/>
    <cellStyle name="Normal 6 7 3 4 2 2" xfId="38050"/>
    <cellStyle name="Normal 6 7 3 4 3" xfId="38051"/>
    <cellStyle name="Normal 6 7 3 4 4" xfId="38048"/>
    <cellStyle name="Normal 6 7 3 5" xfId="38052"/>
    <cellStyle name="Normal 6 7 3 5 2" xfId="38053"/>
    <cellStyle name="Normal 6 7 3 5 2 2" xfId="38054"/>
    <cellStyle name="Normal 6 7 3 5 3" xfId="38055"/>
    <cellStyle name="Normal 6 7 3 6" xfId="38056"/>
    <cellStyle name="Normal 6 7 3 7" xfId="38021"/>
    <cellStyle name="Normal 6 7 3 8" xfId="53852"/>
    <cellStyle name="Normal 6 7 4" xfId="280"/>
    <cellStyle name="Normal 6 7 4 2" xfId="38058"/>
    <cellStyle name="Normal 6 7 4 2 2" xfId="38059"/>
    <cellStyle name="Normal 6 7 4 3" xfId="38060"/>
    <cellStyle name="Normal 6 7 4 3 2" xfId="38061"/>
    <cellStyle name="Normal 6 7 4 3 2 2" xfId="38062"/>
    <cellStyle name="Normal 6 7 4 3 3" xfId="38063"/>
    <cellStyle name="Normal 6 7 4 4" xfId="38064"/>
    <cellStyle name="Normal 6 7 4 5" xfId="38057"/>
    <cellStyle name="Normal 6 7 5" xfId="403"/>
    <cellStyle name="Normal 6 7 5 2" xfId="38066"/>
    <cellStyle name="Normal 6 7 5 2 2" xfId="38067"/>
    <cellStyle name="Normal 6 7 5 3" xfId="38068"/>
    <cellStyle name="Normal 6 7 5 4" xfId="38065"/>
    <cellStyle name="Normal 6 7 6" xfId="526"/>
    <cellStyle name="Normal 6 7 6 2" xfId="38070"/>
    <cellStyle name="Normal 6 7 6 2 2" xfId="38071"/>
    <cellStyle name="Normal 6 7 6 3" xfId="38072"/>
    <cellStyle name="Normal 6 7 6 4" xfId="38069"/>
    <cellStyle name="Normal 6 7 7" xfId="657"/>
    <cellStyle name="Normal 6 7 7 2" xfId="38074"/>
    <cellStyle name="Normal 6 7 7 2 2" xfId="38075"/>
    <cellStyle name="Normal 6 7 7 3" xfId="38076"/>
    <cellStyle name="Normal 6 7 7 4" xfId="38073"/>
    <cellStyle name="Normal 6 7 8" xfId="38077"/>
    <cellStyle name="Normal 6 7 8 2" xfId="38078"/>
    <cellStyle name="Normal 6 7 8 2 2" xfId="38079"/>
    <cellStyle name="Normal 6 7 8 2 2 2" xfId="38080"/>
    <cellStyle name="Normal 6 7 8 2 3" xfId="38081"/>
    <cellStyle name="Normal 6 7 8 3" xfId="38082"/>
    <cellStyle name="Normal 6 7 8 3 2" xfId="38083"/>
    <cellStyle name="Normal 6 7 8 3 2 2" xfId="38084"/>
    <cellStyle name="Normal 6 7 8 3 3" xfId="38085"/>
    <cellStyle name="Normal 6 7 8 4" xfId="38086"/>
    <cellStyle name="Normal 6 7 8 4 2" xfId="38087"/>
    <cellStyle name="Normal 6 7 8 5" xfId="38088"/>
    <cellStyle name="Normal 6 7 8 5 2" xfId="38089"/>
    <cellStyle name="Normal 6 7 8 6" xfId="38090"/>
    <cellStyle name="Normal 6 7 9" xfId="38091"/>
    <cellStyle name="Normal 6 8" xfId="136"/>
    <cellStyle name="Normal 6 8 10" xfId="53785"/>
    <cellStyle name="Normal 6 8 2" xfId="180"/>
    <cellStyle name="Normal 6 8 2 2" xfId="316"/>
    <cellStyle name="Normal 6 8 2 2 2" xfId="38094"/>
    <cellStyle name="Normal 6 8 2 3" xfId="439"/>
    <cellStyle name="Normal 6 8 2 4" xfId="661"/>
    <cellStyle name="Normal 6 8 2 5" xfId="38093"/>
    <cellStyle name="Normal 6 8 2 6" xfId="53806"/>
    <cellStyle name="Normal 6 8 3" xfId="221"/>
    <cellStyle name="Normal 6 8 3 2" xfId="357"/>
    <cellStyle name="Normal 6 8 3 3" xfId="480"/>
    <cellStyle name="Normal 6 8 3 4" xfId="662"/>
    <cellStyle name="Normal 6 8 3 5" xfId="38095"/>
    <cellStyle name="Normal 6 8 3 6" xfId="53847"/>
    <cellStyle name="Normal 6 8 4" xfId="275"/>
    <cellStyle name="Normal 6 8 5" xfId="398"/>
    <cellStyle name="Normal 6 8 6" xfId="521"/>
    <cellStyle name="Normal 6 8 7" xfId="660"/>
    <cellStyle name="Normal 6 8 8" xfId="38092"/>
    <cellStyle name="Normal 6 8 9" xfId="53722"/>
    <cellStyle name="Normal 6 9" xfId="162"/>
    <cellStyle name="Normal 6 9 2" xfId="298"/>
    <cellStyle name="Normal 6 9 2 2" xfId="38098"/>
    <cellStyle name="Normal 6 9 2 2 2" xfId="38099"/>
    <cellStyle name="Normal 6 9 2 3" xfId="38100"/>
    <cellStyle name="Normal 6 9 2 4" xfId="38097"/>
    <cellStyle name="Normal 6 9 3" xfId="421"/>
    <cellStyle name="Normal 6 9 3 2" xfId="38102"/>
    <cellStyle name="Normal 6 9 3 2 2" xfId="38103"/>
    <cellStyle name="Normal 6 9 3 3" xfId="38104"/>
    <cellStyle name="Normal 6 9 3 4" xfId="38101"/>
    <cellStyle name="Normal 6 9 4" xfId="663"/>
    <cellStyle name="Normal 6 9 4 2" xfId="38106"/>
    <cellStyle name="Normal 6 9 4 3" xfId="38105"/>
    <cellStyle name="Normal 6 9 5" xfId="38107"/>
    <cellStyle name="Normal 6 9 5 2" xfId="38108"/>
    <cellStyle name="Normal 6 9 6" xfId="38109"/>
    <cellStyle name="Normal 6 9 7" xfId="38096"/>
    <cellStyle name="Normal 6 9 8" xfId="53788"/>
    <cellStyle name="Normal 60" xfId="38110"/>
    <cellStyle name="Normal 60 2" xfId="38111"/>
    <cellStyle name="Normal 60 2 2" xfId="38112"/>
    <cellStyle name="Normal 60 2 2 2" xfId="38113"/>
    <cellStyle name="Normal 60 2 3" xfId="38114"/>
    <cellStyle name="Normal 60 2 3 2" xfId="38115"/>
    <cellStyle name="Normal 60 2 3 2 2" xfId="38116"/>
    <cellStyle name="Normal 60 2 3 3" xfId="38117"/>
    <cellStyle name="Normal 60 2 4" xfId="38118"/>
    <cellStyle name="Normal 60 2 4 2" xfId="38119"/>
    <cellStyle name="Normal 60 2 4 2 2" xfId="38120"/>
    <cellStyle name="Normal 60 2 4 3" xfId="38121"/>
    <cellStyle name="Normal 60 2 5" xfId="38122"/>
    <cellStyle name="Normal 60 3" xfId="38123"/>
    <cellStyle name="Normal 60 3 2" xfId="38124"/>
    <cellStyle name="Normal 60 3 2 2" xfId="38125"/>
    <cellStyle name="Normal 60 3 2 2 2" xfId="38126"/>
    <cellStyle name="Normal 60 3 2 3" xfId="38127"/>
    <cellStyle name="Normal 60 3 2 3 2" xfId="38128"/>
    <cellStyle name="Normal 60 3 2 3 2 2" xfId="38129"/>
    <cellStyle name="Normal 60 3 2 3 3" xfId="38130"/>
    <cellStyle name="Normal 60 3 2 4" xfId="38131"/>
    <cellStyle name="Normal 60 3 3" xfId="38132"/>
    <cellStyle name="Normal 60 3 3 2" xfId="38133"/>
    <cellStyle name="Normal 60 3 3 2 2" xfId="38134"/>
    <cellStyle name="Normal 60 3 3 3" xfId="38135"/>
    <cellStyle name="Normal 60 3 4" xfId="38136"/>
    <cellStyle name="Normal 60 3 4 2" xfId="38137"/>
    <cellStyle name="Normal 60 3 4 2 2" xfId="38138"/>
    <cellStyle name="Normal 60 3 4 3" xfId="38139"/>
    <cellStyle name="Normal 60 3 5" xfId="38140"/>
    <cellStyle name="Normal 60 3 5 2" xfId="38141"/>
    <cellStyle name="Normal 60 3 5 2 2" xfId="38142"/>
    <cellStyle name="Normal 60 3 5 3" xfId="38143"/>
    <cellStyle name="Normal 60 3 6" xfId="38144"/>
    <cellStyle name="Normal 60 4" xfId="38145"/>
    <cellStyle name="Normal 60 4 2" xfId="38146"/>
    <cellStyle name="Normal 60 4 2 2" xfId="38147"/>
    <cellStyle name="Normal 60 4 3" xfId="38148"/>
    <cellStyle name="Normal 60 5" xfId="38149"/>
    <cellStyle name="Normal 60 5 2" xfId="38150"/>
    <cellStyle name="Normal 60 5 2 2" xfId="38151"/>
    <cellStyle name="Normal 60 5 3" xfId="38152"/>
    <cellStyle name="Normal 60 6" xfId="38153"/>
    <cellStyle name="Normal 60 6 2" xfId="38154"/>
    <cellStyle name="Normal 60 6 2 2" xfId="38155"/>
    <cellStyle name="Normal 60 6 3" xfId="38156"/>
    <cellStyle name="Normal 60 7" xfId="38157"/>
    <cellStyle name="Normal 600" xfId="38158"/>
    <cellStyle name="Normal 600 2" xfId="38159"/>
    <cellStyle name="Normal 600 2 2" xfId="38160"/>
    <cellStyle name="Normal 600 3" xfId="38161"/>
    <cellStyle name="Normal 601" xfId="38162"/>
    <cellStyle name="Normal 601 2" xfId="38163"/>
    <cellStyle name="Normal 601 2 2" xfId="38164"/>
    <cellStyle name="Normal 601 3" xfId="38165"/>
    <cellStyle name="Normal 602" xfId="38166"/>
    <cellStyle name="Normal 602 2" xfId="38167"/>
    <cellStyle name="Normal 602 2 2" xfId="38168"/>
    <cellStyle name="Normal 602 3" xfId="38169"/>
    <cellStyle name="Normal 603" xfId="38170"/>
    <cellStyle name="Normal 603 2" xfId="38171"/>
    <cellStyle name="Normal 603 2 2" xfId="38172"/>
    <cellStyle name="Normal 603 3" xfId="38173"/>
    <cellStyle name="Normal 604" xfId="38174"/>
    <cellStyle name="Normal 604 2" xfId="38175"/>
    <cellStyle name="Normal 604 2 2" xfId="38176"/>
    <cellStyle name="Normal 604 3" xfId="38177"/>
    <cellStyle name="Normal 605" xfId="38178"/>
    <cellStyle name="Normal 605 2" xfId="38179"/>
    <cellStyle name="Normal 605 2 2" xfId="38180"/>
    <cellStyle name="Normal 605 3" xfId="38181"/>
    <cellStyle name="Normal 606" xfId="38182"/>
    <cellStyle name="Normal 606 2" xfId="38183"/>
    <cellStyle name="Normal 606 2 2" xfId="38184"/>
    <cellStyle name="Normal 606 3" xfId="38185"/>
    <cellStyle name="Normal 607" xfId="38186"/>
    <cellStyle name="Normal 607 2" xfId="38187"/>
    <cellStyle name="Normal 608" xfId="38188"/>
    <cellStyle name="Normal 608 2" xfId="38189"/>
    <cellStyle name="Normal 609" xfId="38190"/>
    <cellStyle name="Normal 609 2" xfId="38191"/>
    <cellStyle name="Normal 61" xfId="38192"/>
    <cellStyle name="Normal 61 2" xfId="38193"/>
    <cellStyle name="Normal 61 2 2" xfId="38194"/>
    <cellStyle name="Normal 61 2 2 2" xfId="38195"/>
    <cellStyle name="Normal 61 2 3" xfId="38196"/>
    <cellStyle name="Normal 61 2 3 2" xfId="38197"/>
    <cellStyle name="Normal 61 2 3 2 2" xfId="38198"/>
    <cellStyle name="Normal 61 2 3 3" xfId="38199"/>
    <cellStyle name="Normal 61 2 4" xfId="38200"/>
    <cellStyle name="Normal 61 2 4 2" xfId="38201"/>
    <cellStyle name="Normal 61 2 4 2 2" xfId="38202"/>
    <cellStyle name="Normal 61 2 4 3" xfId="38203"/>
    <cellStyle name="Normal 61 2 5" xfId="38204"/>
    <cellStyle name="Normal 61 3" xfId="38205"/>
    <cellStyle name="Normal 61 3 2" xfId="38206"/>
    <cellStyle name="Normal 61 3 2 2" xfId="38207"/>
    <cellStyle name="Normal 61 3 2 2 2" xfId="38208"/>
    <cellStyle name="Normal 61 3 2 3" xfId="38209"/>
    <cellStyle name="Normal 61 3 2 3 2" xfId="38210"/>
    <cellStyle name="Normal 61 3 2 3 2 2" xfId="38211"/>
    <cellStyle name="Normal 61 3 2 3 3" xfId="38212"/>
    <cellStyle name="Normal 61 3 2 4" xfId="38213"/>
    <cellStyle name="Normal 61 3 3" xfId="38214"/>
    <cellStyle name="Normal 61 3 3 2" xfId="38215"/>
    <cellStyle name="Normal 61 3 3 2 2" xfId="38216"/>
    <cellStyle name="Normal 61 3 3 3" xfId="38217"/>
    <cellStyle name="Normal 61 3 4" xfId="38218"/>
    <cellStyle name="Normal 61 3 4 2" xfId="38219"/>
    <cellStyle name="Normal 61 3 4 2 2" xfId="38220"/>
    <cellStyle name="Normal 61 3 4 3" xfId="38221"/>
    <cellStyle name="Normal 61 3 5" xfId="38222"/>
    <cellStyle name="Normal 61 3 5 2" xfId="38223"/>
    <cellStyle name="Normal 61 3 5 2 2" xfId="38224"/>
    <cellStyle name="Normal 61 3 5 3" xfId="38225"/>
    <cellStyle name="Normal 61 3 6" xfId="38226"/>
    <cellStyle name="Normal 61 4" xfId="38227"/>
    <cellStyle name="Normal 61 4 2" xfId="38228"/>
    <cellStyle name="Normal 61 4 2 2" xfId="38229"/>
    <cellStyle name="Normal 61 4 3" xfId="38230"/>
    <cellStyle name="Normal 61 5" xfId="38231"/>
    <cellStyle name="Normal 61 5 2" xfId="38232"/>
    <cellStyle name="Normal 61 5 2 2" xfId="38233"/>
    <cellStyle name="Normal 61 5 3" xfId="38234"/>
    <cellStyle name="Normal 61 6" xfId="38235"/>
    <cellStyle name="Normal 61 6 2" xfId="38236"/>
    <cellStyle name="Normal 61 6 2 2" xfId="38237"/>
    <cellStyle name="Normal 61 6 3" xfId="38238"/>
    <cellStyle name="Normal 61 7" xfId="38239"/>
    <cellStyle name="Normal 610" xfId="38240"/>
    <cellStyle name="Normal 610 2" xfId="38241"/>
    <cellStyle name="Normal 610 2 2" xfId="38242"/>
    <cellStyle name="Normal 610 3" xfId="38243"/>
    <cellStyle name="Normal 611" xfId="38244"/>
    <cellStyle name="Normal 611 2" xfId="38245"/>
    <cellStyle name="Normal 611 2 2" xfId="38246"/>
    <cellStyle name="Normal 611 3" xfId="38247"/>
    <cellStyle name="Normal 612" xfId="38248"/>
    <cellStyle name="Normal 612 2" xfId="38249"/>
    <cellStyle name="Normal 612 2 2" xfId="38250"/>
    <cellStyle name="Normal 612 3" xfId="38251"/>
    <cellStyle name="Normal 613" xfId="38252"/>
    <cellStyle name="Normal 613 2" xfId="38253"/>
    <cellStyle name="Normal 613 2 2" xfId="38254"/>
    <cellStyle name="Normal 613 3" xfId="38255"/>
    <cellStyle name="Normal 614" xfId="38256"/>
    <cellStyle name="Normal 614 2" xfId="38257"/>
    <cellStyle name="Normal 614 2 2" xfId="38258"/>
    <cellStyle name="Normal 614 3" xfId="38259"/>
    <cellStyle name="Normal 615" xfId="38260"/>
    <cellStyle name="Normal 615 2" xfId="38261"/>
    <cellStyle name="Normal 615 2 2" xfId="38262"/>
    <cellStyle name="Normal 615 3" xfId="38263"/>
    <cellStyle name="Normal 616" xfId="38264"/>
    <cellStyle name="Normal 616 2" xfId="38265"/>
    <cellStyle name="Normal 617" xfId="38266"/>
    <cellStyle name="Normal 617 2" xfId="38267"/>
    <cellStyle name="Normal 618" xfId="38268"/>
    <cellStyle name="Normal 618 2" xfId="38269"/>
    <cellStyle name="Normal 619" xfId="38270"/>
    <cellStyle name="Normal 619 2" xfId="38271"/>
    <cellStyle name="Normal 62" xfId="38272"/>
    <cellStyle name="Normal 62 2" xfId="38273"/>
    <cellStyle name="Normal 62 2 2" xfId="38274"/>
    <cellStyle name="Normal 62 2 2 2" xfId="38275"/>
    <cellStyle name="Normal 62 2 2 2 2" xfId="38276"/>
    <cellStyle name="Normal 62 2 2 3" xfId="38277"/>
    <cellStyle name="Normal 62 2 2 3 2" xfId="38278"/>
    <cellStyle name="Normal 62 2 2 3 2 2" xfId="38279"/>
    <cellStyle name="Normal 62 2 2 3 3" xfId="38280"/>
    <cellStyle name="Normal 62 2 2 4" xfId="38281"/>
    <cellStyle name="Normal 62 2 2 4 2" xfId="38282"/>
    <cellStyle name="Normal 62 2 2 4 2 2" xfId="38283"/>
    <cellStyle name="Normal 62 2 2 4 3" xfId="38284"/>
    <cellStyle name="Normal 62 2 2 5" xfId="38285"/>
    <cellStyle name="Normal 62 2 3" xfId="38286"/>
    <cellStyle name="Normal 62 2 3 2" xfId="38287"/>
    <cellStyle name="Normal 62 2 3 2 2" xfId="38288"/>
    <cellStyle name="Normal 62 2 3 3" xfId="38289"/>
    <cellStyle name="Normal 62 2 4" xfId="38290"/>
    <cellStyle name="Normal 62 2 4 2" xfId="38291"/>
    <cellStyle name="Normal 62 2 4 2 2" xfId="38292"/>
    <cellStyle name="Normal 62 2 4 3" xfId="38293"/>
    <cellStyle name="Normal 62 2 5" xfId="38294"/>
    <cellStyle name="Normal 62 2 5 2" xfId="38295"/>
    <cellStyle name="Normal 62 2 5 2 2" xfId="38296"/>
    <cellStyle name="Normal 62 2 5 3" xfId="38297"/>
    <cellStyle name="Normal 62 2 6" xfId="38298"/>
    <cellStyle name="Normal 62 3" xfId="38299"/>
    <cellStyle name="Normal 62 3 2" xfId="38300"/>
    <cellStyle name="Normal 62 3 2 2" xfId="38301"/>
    <cellStyle name="Normal 62 3 3" xfId="38302"/>
    <cellStyle name="Normal 62 3 3 2" xfId="38303"/>
    <cellStyle name="Normal 62 3 3 2 2" xfId="38304"/>
    <cellStyle name="Normal 62 3 3 3" xfId="38305"/>
    <cellStyle name="Normal 62 3 4" xfId="38306"/>
    <cellStyle name="Normal 62 3 4 2" xfId="38307"/>
    <cellStyle name="Normal 62 3 4 2 2" xfId="38308"/>
    <cellStyle name="Normal 62 3 4 3" xfId="38309"/>
    <cellStyle name="Normal 62 3 5" xfId="38310"/>
    <cellStyle name="Normal 62 4" xfId="38311"/>
    <cellStyle name="Normal 62 4 2" xfId="38312"/>
    <cellStyle name="Normal 62 4 2 2" xfId="38313"/>
    <cellStyle name="Normal 62 4 3" xfId="38314"/>
    <cellStyle name="Normal 62 5" xfId="38315"/>
    <cellStyle name="Normal 62 5 2" xfId="38316"/>
    <cellStyle name="Normal 62 5 2 2" xfId="38317"/>
    <cellStyle name="Normal 62 5 3" xfId="38318"/>
    <cellStyle name="Normal 62 6" xfId="38319"/>
    <cellStyle name="Normal 62 6 2" xfId="38320"/>
    <cellStyle name="Normal 62 6 2 2" xfId="38321"/>
    <cellStyle name="Normal 62 6 3" xfId="38322"/>
    <cellStyle name="Normal 62 7" xfId="38323"/>
    <cellStyle name="Normal 620" xfId="38324"/>
    <cellStyle name="Normal 620 2" xfId="38325"/>
    <cellStyle name="Normal 621" xfId="38326"/>
    <cellStyle name="Normal 621 2" xfId="38327"/>
    <cellStyle name="Normal 621 2 2" xfId="38328"/>
    <cellStyle name="Normal 621 3" xfId="38329"/>
    <cellStyle name="Normal 622" xfId="38330"/>
    <cellStyle name="Normal 622 2" xfId="38331"/>
    <cellStyle name="Normal 623" xfId="38332"/>
    <cellStyle name="Normal 623 2" xfId="38333"/>
    <cellStyle name="Normal 623 2 2" xfId="38334"/>
    <cellStyle name="Normal 623 3" xfId="38335"/>
    <cellStyle name="Normal 624" xfId="38336"/>
    <cellStyle name="Normal 624 2" xfId="38337"/>
    <cellStyle name="Normal 624 2 2" xfId="38338"/>
    <cellStyle name="Normal 624 3" xfId="38339"/>
    <cellStyle name="Normal 625" xfId="38340"/>
    <cellStyle name="Normal 625 2" xfId="38341"/>
    <cellStyle name="Normal 625 2 2" xfId="38342"/>
    <cellStyle name="Normal 625 3" xfId="38343"/>
    <cellStyle name="Normal 626" xfId="38344"/>
    <cellStyle name="Normal 626 2" xfId="38345"/>
    <cellStyle name="Normal 626 2 2" xfId="38346"/>
    <cellStyle name="Normal 626 3" xfId="38347"/>
    <cellStyle name="Normal 627" xfId="38348"/>
    <cellStyle name="Normal 627 2" xfId="38349"/>
    <cellStyle name="Normal 627 2 2" xfId="38350"/>
    <cellStyle name="Normal 627 3" xfId="38351"/>
    <cellStyle name="Normal 628" xfId="38352"/>
    <cellStyle name="Normal 628 2" xfId="38353"/>
    <cellStyle name="Normal 629" xfId="38354"/>
    <cellStyle name="Normal 629 2" xfId="38355"/>
    <cellStyle name="Normal 63" xfId="38356"/>
    <cellStyle name="Normal 63 2" xfId="38357"/>
    <cellStyle name="Normal 63 2 2" xfId="38358"/>
    <cellStyle name="Normal 63 2 2 2" xfId="38359"/>
    <cellStyle name="Normal 63 2 2 2 2" xfId="38360"/>
    <cellStyle name="Normal 63 2 2 3" xfId="38361"/>
    <cellStyle name="Normal 63 2 2 3 2" xfId="38362"/>
    <cellStyle name="Normal 63 2 2 3 2 2" xfId="38363"/>
    <cellStyle name="Normal 63 2 2 3 3" xfId="38364"/>
    <cellStyle name="Normal 63 2 2 4" xfId="38365"/>
    <cellStyle name="Normal 63 2 2 4 2" xfId="38366"/>
    <cellStyle name="Normal 63 2 2 4 2 2" xfId="38367"/>
    <cellStyle name="Normal 63 2 2 4 3" xfId="38368"/>
    <cellStyle name="Normal 63 2 2 5" xfId="38369"/>
    <cellStyle name="Normal 63 2 3" xfId="38370"/>
    <cellStyle name="Normal 63 2 3 2" xfId="38371"/>
    <cellStyle name="Normal 63 2 3 2 2" xfId="38372"/>
    <cellStyle name="Normal 63 2 3 3" xfId="38373"/>
    <cellStyle name="Normal 63 2 4" xfId="38374"/>
    <cellStyle name="Normal 63 2 4 2" xfId="38375"/>
    <cellStyle name="Normal 63 2 4 2 2" xfId="38376"/>
    <cellStyle name="Normal 63 2 4 3" xfId="38377"/>
    <cellStyle name="Normal 63 2 5" xfId="38378"/>
    <cellStyle name="Normal 63 2 5 2" xfId="38379"/>
    <cellStyle name="Normal 63 2 5 2 2" xfId="38380"/>
    <cellStyle name="Normal 63 2 5 3" xfId="38381"/>
    <cellStyle name="Normal 63 2 6" xfId="38382"/>
    <cellStyle name="Normal 63 3" xfId="38383"/>
    <cellStyle name="Normal 63 3 2" xfId="38384"/>
    <cellStyle name="Normal 63 3 2 2" xfId="38385"/>
    <cellStyle name="Normal 63 3 3" xfId="38386"/>
    <cellStyle name="Normal 63 3 3 2" xfId="38387"/>
    <cellStyle name="Normal 63 3 3 2 2" xfId="38388"/>
    <cellStyle name="Normal 63 3 3 3" xfId="38389"/>
    <cellStyle name="Normal 63 3 4" xfId="38390"/>
    <cellStyle name="Normal 63 3 4 2" xfId="38391"/>
    <cellStyle name="Normal 63 3 4 2 2" xfId="38392"/>
    <cellStyle name="Normal 63 3 4 3" xfId="38393"/>
    <cellStyle name="Normal 63 3 5" xfId="38394"/>
    <cellStyle name="Normal 63 4" xfId="38395"/>
    <cellStyle name="Normal 63 4 2" xfId="38396"/>
    <cellStyle name="Normal 63 4 2 2" xfId="38397"/>
    <cellStyle name="Normal 63 4 3" xfId="38398"/>
    <cellStyle name="Normal 63 5" xfId="38399"/>
    <cellStyle name="Normal 63 5 2" xfId="38400"/>
    <cellStyle name="Normal 63 5 2 2" xfId="38401"/>
    <cellStyle name="Normal 63 5 3" xfId="38402"/>
    <cellStyle name="Normal 63 6" xfId="38403"/>
    <cellStyle name="Normal 63 6 2" xfId="38404"/>
    <cellStyle name="Normal 63 6 2 2" xfId="38405"/>
    <cellStyle name="Normal 63 6 3" xfId="38406"/>
    <cellStyle name="Normal 63 7" xfId="38407"/>
    <cellStyle name="Normal 630" xfId="38408"/>
    <cellStyle name="Normal 630 2" xfId="38409"/>
    <cellStyle name="Normal 631" xfId="38410"/>
    <cellStyle name="Normal 631 2" xfId="38411"/>
    <cellStyle name="Normal 632" xfId="38412"/>
    <cellStyle name="Normal 632 2" xfId="38413"/>
    <cellStyle name="Normal 633" xfId="38414"/>
    <cellStyle name="Normal 633 2" xfId="38415"/>
    <cellStyle name="Normal 634" xfId="38416"/>
    <cellStyle name="Normal 634 2" xfId="38417"/>
    <cellStyle name="Normal 635" xfId="38418"/>
    <cellStyle name="Normal 635 2" xfId="38419"/>
    <cellStyle name="Normal 636" xfId="38420"/>
    <cellStyle name="Normal 636 2" xfId="38421"/>
    <cellStyle name="Normal 637" xfId="38422"/>
    <cellStyle name="Normal 638" xfId="38423"/>
    <cellStyle name="Normal 639" xfId="38424"/>
    <cellStyle name="Normal 64" xfId="38425"/>
    <cellStyle name="Normal 64 2" xfId="38426"/>
    <cellStyle name="Normal 64 2 2" xfId="38427"/>
    <cellStyle name="Normal 64 2 2 2" xfId="38428"/>
    <cellStyle name="Normal 64 2 2 2 2" xfId="38429"/>
    <cellStyle name="Normal 64 2 2 3" xfId="38430"/>
    <cellStyle name="Normal 64 2 2 3 2" xfId="38431"/>
    <cellStyle name="Normal 64 2 2 3 2 2" xfId="38432"/>
    <cellStyle name="Normal 64 2 2 3 3" xfId="38433"/>
    <cellStyle name="Normal 64 2 2 4" xfId="38434"/>
    <cellStyle name="Normal 64 2 2 4 2" xfId="38435"/>
    <cellStyle name="Normal 64 2 2 4 2 2" xfId="38436"/>
    <cellStyle name="Normal 64 2 2 4 3" xfId="38437"/>
    <cellStyle name="Normal 64 2 2 5" xfId="38438"/>
    <cellStyle name="Normal 64 2 3" xfId="38439"/>
    <cellStyle name="Normal 64 2 3 2" xfId="38440"/>
    <cellStyle name="Normal 64 2 3 2 2" xfId="38441"/>
    <cellStyle name="Normal 64 2 3 3" xfId="38442"/>
    <cellStyle name="Normal 64 2 4" xfId="38443"/>
    <cellStyle name="Normal 64 2 4 2" xfId="38444"/>
    <cellStyle name="Normal 64 2 4 2 2" xfId="38445"/>
    <cellStyle name="Normal 64 2 4 3" xfId="38446"/>
    <cellStyle name="Normal 64 2 5" xfId="38447"/>
    <cellStyle name="Normal 64 2 5 2" xfId="38448"/>
    <cellStyle name="Normal 64 2 5 2 2" xfId="38449"/>
    <cellStyle name="Normal 64 2 5 3" xfId="38450"/>
    <cellStyle name="Normal 64 2 6" xfId="38451"/>
    <cellStyle name="Normal 64 3" xfId="38452"/>
    <cellStyle name="Normal 64 3 2" xfId="38453"/>
    <cellStyle name="Normal 64 3 2 2" xfId="38454"/>
    <cellStyle name="Normal 64 3 3" xfId="38455"/>
    <cellStyle name="Normal 64 3 3 2" xfId="38456"/>
    <cellStyle name="Normal 64 3 3 2 2" xfId="38457"/>
    <cellStyle name="Normal 64 3 3 3" xfId="38458"/>
    <cellStyle name="Normal 64 3 4" xfId="38459"/>
    <cellStyle name="Normal 64 3 4 2" xfId="38460"/>
    <cellStyle name="Normal 64 3 4 2 2" xfId="38461"/>
    <cellStyle name="Normal 64 3 4 3" xfId="38462"/>
    <cellStyle name="Normal 64 3 5" xfId="38463"/>
    <cellStyle name="Normal 64 4" xfId="38464"/>
    <cellStyle name="Normal 64 4 2" xfId="38465"/>
    <cellStyle name="Normal 64 4 2 2" xfId="38466"/>
    <cellStyle name="Normal 64 4 3" xfId="38467"/>
    <cellStyle name="Normal 64 5" xfId="38468"/>
    <cellStyle name="Normal 64 5 2" xfId="38469"/>
    <cellStyle name="Normal 64 5 2 2" xfId="38470"/>
    <cellStyle name="Normal 64 5 3" xfId="38471"/>
    <cellStyle name="Normal 64 6" xfId="38472"/>
    <cellStyle name="Normal 64 6 2" xfId="38473"/>
    <cellStyle name="Normal 64 6 2 2" xfId="38474"/>
    <cellStyle name="Normal 64 6 3" xfId="38475"/>
    <cellStyle name="Normal 64 7" xfId="38476"/>
    <cellStyle name="Normal 640" xfId="38477"/>
    <cellStyle name="Normal 641" xfId="38478"/>
    <cellStyle name="Normal 642" xfId="38479"/>
    <cellStyle name="Normal 643" xfId="38480"/>
    <cellStyle name="Normal 644" xfId="38481"/>
    <cellStyle name="Normal 645" xfId="38482"/>
    <cellStyle name="Normal 646" xfId="38483"/>
    <cellStyle name="Normal 647" xfId="38484"/>
    <cellStyle name="Normal 648" xfId="38485"/>
    <cellStyle name="Normal 649" xfId="38486"/>
    <cellStyle name="Normal 65" xfId="38487"/>
    <cellStyle name="Normal 65 2" xfId="38488"/>
    <cellStyle name="Normal 65 2 2" xfId="38489"/>
    <cellStyle name="Normal 65 2 2 2" xfId="38490"/>
    <cellStyle name="Normal 65 2 2 2 2" xfId="38491"/>
    <cellStyle name="Normal 65 2 2 3" xfId="38492"/>
    <cellStyle name="Normal 65 2 2 3 2" xfId="38493"/>
    <cellStyle name="Normal 65 2 2 3 2 2" xfId="38494"/>
    <cellStyle name="Normal 65 2 2 3 3" xfId="38495"/>
    <cellStyle name="Normal 65 2 2 4" xfId="38496"/>
    <cellStyle name="Normal 65 2 2 4 2" xfId="38497"/>
    <cellStyle name="Normal 65 2 2 4 2 2" xfId="38498"/>
    <cellStyle name="Normal 65 2 2 4 3" xfId="38499"/>
    <cellStyle name="Normal 65 2 2 5" xfId="38500"/>
    <cellStyle name="Normal 65 2 3" xfId="38501"/>
    <cellStyle name="Normal 65 2 3 2" xfId="38502"/>
    <cellStyle name="Normal 65 2 3 2 2" xfId="38503"/>
    <cellStyle name="Normal 65 2 3 3" xfId="38504"/>
    <cellStyle name="Normal 65 2 4" xfId="38505"/>
    <cellStyle name="Normal 65 2 4 2" xfId="38506"/>
    <cellStyle name="Normal 65 2 4 2 2" xfId="38507"/>
    <cellStyle name="Normal 65 2 4 3" xfId="38508"/>
    <cellStyle name="Normal 65 2 5" xfId="38509"/>
    <cellStyle name="Normal 65 2 5 2" xfId="38510"/>
    <cellStyle name="Normal 65 2 5 2 2" xfId="38511"/>
    <cellStyle name="Normal 65 2 5 3" xfId="38512"/>
    <cellStyle name="Normal 65 2 6" xfId="38513"/>
    <cellStyle name="Normal 65 3" xfId="38514"/>
    <cellStyle name="Normal 65 3 2" xfId="38515"/>
    <cellStyle name="Normal 65 3 2 2" xfId="38516"/>
    <cellStyle name="Normal 65 3 3" xfId="38517"/>
    <cellStyle name="Normal 65 3 3 2" xfId="38518"/>
    <cellStyle name="Normal 65 3 3 2 2" xfId="38519"/>
    <cellStyle name="Normal 65 3 3 3" xfId="38520"/>
    <cellStyle name="Normal 65 3 4" xfId="38521"/>
    <cellStyle name="Normal 65 3 4 2" xfId="38522"/>
    <cellStyle name="Normal 65 3 4 2 2" xfId="38523"/>
    <cellStyle name="Normal 65 3 4 3" xfId="38524"/>
    <cellStyle name="Normal 65 3 5" xfId="38525"/>
    <cellStyle name="Normal 65 4" xfId="38526"/>
    <cellStyle name="Normal 65 4 2" xfId="38527"/>
    <cellStyle name="Normal 65 4 2 2" xfId="38528"/>
    <cellStyle name="Normal 65 4 3" xfId="38529"/>
    <cellStyle name="Normal 65 5" xfId="38530"/>
    <cellStyle name="Normal 65 5 2" xfId="38531"/>
    <cellStyle name="Normal 65 5 2 2" xfId="38532"/>
    <cellStyle name="Normal 65 5 3" xfId="38533"/>
    <cellStyle name="Normal 65 6" xfId="38534"/>
    <cellStyle name="Normal 65 6 2" xfId="38535"/>
    <cellStyle name="Normal 65 6 2 2" xfId="38536"/>
    <cellStyle name="Normal 65 6 3" xfId="38537"/>
    <cellStyle name="Normal 65 7" xfId="38538"/>
    <cellStyle name="Normal 650" xfId="38539"/>
    <cellStyle name="Normal 651" xfId="38540"/>
    <cellStyle name="Normal 652" xfId="38541"/>
    <cellStyle name="Normal 653" xfId="38542"/>
    <cellStyle name="Normal 654" xfId="38543"/>
    <cellStyle name="Normal 655" xfId="38544"/>
    <cellStyle name="Normal 656" xfId="38545"/>
    <cellStyle name="Normal 657" xfId="38546"/>
    <cellStyle name="Normal 658" xfId="38547"/>
    <cellStyle name="Normal 659" xfId="38548"/>
    <cellStyle name="Normal 66" xfId="38549"/>
    <cellStyle name="Normal 66 2" xfId="38550"/>
    <cellStyle name="Normal 66 2 2" xfId="38551"/>
    <cellStyle name="Normal 66 2 2 2" xfId="38552"/>
    <cellStyle name="Normal 66 2 2 2 2" xfId="38553"/>
    <cellStyle name="Normal 66 2 2 3" xfId="38554"/>
    <cellStyle name="Normal 66 2 2 3 2" xfId="38555"/>
    <cellStyle name="Normal 66 2 2 3 2 2" xfId="38556"/>
    <cellStyle name="Normal 66 2 2 3 3" xfId="38557"/>
    <cellStyle name="Normal 66 2 2 4" xfId="38558"/>
    <cellStyle name="Normal 66 2 2 4 2" xfId="38559"/>
    <cellStyle name="Normal 66 2 2 4 2 2" xfId="38560"/>
    <cellStyle name="Normal 66 2 2 4 3" xfId="38561"/>
    <cellStyle name="Normal 66 2 2 5" xfId="38562"/>
    <cellStyle name="Normal 66 2 3" xfId="38563"/>
    <cellStyle name="Normal 66 2 3 2" xfId="38564"/>
    <cellStyle name="Normal 66 2 3 2 2" xfId="38565"/>
    <cellStyle name="Normal 66 2 3 3" xfId="38566"/>
    <cellStyle name="Normal 66 2 4" xfId="38567"/>
    <cellStyle name="Normal 66 2 4 2" xfId="38568"/>
    <cellStyle name="Normal 66 2 4 2 2" xfId="38569"/>
    <cellStyle name="Normal 66 2 4 3" xfId="38570"/>
    <cellStyle name="Normal 66 2 5" xfId="38571"/>
    <cellStyle name="Normal 66 2 5 2" xfId="38572"/>
    <cellStyle name="Normal 66 2 5 2 2" xfId="38573"/>
    <cellStyle name="Normal 66 2 5 3" xfId="38574"/>
    <cellStyle name="Normal 66 2 6" xfId="38575"/>
    <cellStyle name="Normal 66 3" xfId="38576"/>
    <cellStyle name="Normal 66 3 2" xfId="38577"/>
    <cellStyle name="Normal 66 3 2 2" xfId="38578"/>
    <cellStyle name="Normal 66 3 3" xfId="38579"/>
    <cellStyle name="Normal 66 3 3 2" xfId="38580"/>
    <cellStyle name="Normal 66 3 3 2 2" xfId="38581"/>
    <cellStyle name="Normal 66 3 3 3" xfId="38582"/>
    <cellStyle name="Normal 66 3 4" xfId="38583"/>
    <cellStyle name="Normal 66 3 4 2" xfId="38584"/>
    <cellStyle name="Normal 66 3 4 2 2" xfId="38585"/>
    <cellStyle name="Normal 66 3 4 3" xfId="38586"/>
    <cellStyle name="Normal 66 3 5" xfId="38587"/>
    <cellStyle name="Normal 66 4" xfId="38588"/>
    <cellStyle name="Normal 66 4 2" xfId="38589"/>
    <cellStyle name="Normal 66 4 2 2" xfId="38590"/>
    <cellStyle name="Normal 66 4 3" xfId="38591"/>
    <cellStyle name="Normal 66 5" xfId="38592"/>
    <cellStyle name="Normal 66 5 2" xfId="38593"/>
    <cellStyle name="Normal 66 5 2 2" xfId="38594"/>
    <cellStyle name="Normal 66 5 3" xfId="38595"/>
    <cellStyle name="Normal 66 6" xfId="38596"/>
    <cellStyle name="Normal 66 6 2" xfId="38597"/>
    <cellStyle name="Normal 66 6 2 2" xfId="38598"/>
    <cellStyle name="Normal 66 6 3" xfId="38599"/>
    <cellStyle name="Normal 66 7" xfId="38600"/>
    <cellStyle name="Normal 660" xfId="38601"/>
    <cellStyle name="Normal 661" xfId="38602"/>
    <cellStyle name="Normal 662" xfId="38603"/>
    <cellStyle name="Normal 663" xfId="38604"/>
    <cellStyle name="Normal 664" xfId="38605"/>
    <cellStyle name="Normal 665" xfId="38606"/>
    <cellStyle name="Normal 666" xfId="38607"/>
    <cellStyle name="Normal 667" xfId="38608"/>
    <cellStyle name="Normal 668" xfId="38609"/>
    <cellStyle name="Normal 669" xfId="38610"/>
    <cellStyle name="Normal 67" xfId="38611"/>
    <cellStyle name="Normal 67 2" xfId="38612"/>
    <cellStyle name="Normal 67 2 2" xfId="38613"/>
    <cellStyle name="Normal 67 2 2 2" xfId="38614"/>
    <cellStyle name="Normal 67 2 2 2 2" xfId="38615"/>
    <cellStyle name="Normal 67 2 2 3" xfId="38616"/>
    <cellStyle name="Normal 67 2 2 3 2" xfId="38617"/>
    <cellStyle name="Normal 67 2 2 3 2 2" xfId="38618"/>
    <cellStyle name="Normal 67 2 2 3 3" xfId="38619"/>
    <cellStyle name="Normal 67 2 2 4" xfId="38620"/>
    <cellStyle name="Normal 67 2 2 4 2" xfId="38621"/>
    <cellStyle name="Normal 67 2 2 4 2 2" xfId="38622"/>
    <cellStyle name="Normal 67 2 2 4 3" xfId="38623"/>
    <cellStyle name="Normal 67 2 2 5" xfId="38624"/>
    <cellStyle name="Normal 67 2 3" xfId="38625"/>
    <cellStyle name="Normal 67 2 3 2" xfId="38626"/>
    <cellStyle name="Normal 67 2 3 2 2" xfId="38627"/>
    <cellStyle name="Normal 67 2 3 3" xfId="38628"/>
    <cellStyle name="Normal 67 2 4" xfId="38629"/>
    <cellStyle name="Normal 67 2 4 2" xfId="38630"/>
    <cellStyle name="Normal 67 2 4 2 2" xfId="38631"/>
    <cellStyle name="Normal 67 2 4 3" xfId="38632"/>
    <cellStyle name="Normal 67 2 5" xfId="38633"/>
    <cellStyle name="Normal 67 2 5 2" xfId="38634"/>
    <cellStyle name="Normal 67 2 5 2 2" xfId="38635"/>
    <cellStyle name="Normal 67 2 5 3" xfId="38636"/>
    <cellStyle name="Normal 67 2 6" xfId="38637"/>
    <cellStyle name="Normal 67 3" xfId="38638"/>
    <cellStyle name="Normal 67 3 2" xfId="38639"/>
    <cellStyle name="Normal 67 3 2 2" xfId="38640"/>
    <cellStyle name="Normal 67 3 3" xfId="38641"/>
    <cellStyle name="Normal 67 3 3 2" xfId="38642"/>
    <cellStyle name="Normal 67 3 3 2 2" xfId="38643"/>
    <cellStyle name="Normal 67 3 3 3" xfId="38644"/>
    <cellStyle name="Normal 67 3 4" xfId="38645"/>
    <cellStyle name="Normal 67 3 4 2" xfId="38646"/>
    <cellStyle name="Normal 67 3 4 2 2" xfId="38647"/>
    <cellStyle name="Normal 67 3 4 3" xfId="38648"/>
    <cellStyle name="Normal 67 3 5" xfId="38649"/>
    <cellStyle name="Normal 67 4" xfId="38650"/>
    <cellStyle name="Normal 67 4 2" xfId="38651"/>
    <cellStyle name="Normal 67 4 2 2" xfId="38652"/>
    <cellStyle name="Normal 67 4 3" xfId="38653"/>
    <cellStyle name="Normal 67 5" xfId="38654"/>
    <cellStyle name="Normal 67 5 2" xfId="38655"/>
    <cellStyle name="Normal 67 5 2 2" xfId="38656"/>
    <cellStyle name="Normal 67 5 3" xfId="38657"/>
    <cellStyle name="Normal 67 6" xfId="38658"/>
    <cellStyle name="Normal 67 6 2" xfId="38659"/>
    <cellStyle name="Normal 67 6 2 2" xfId="38660"/>
    <cellStyle name="Normal 67 6 3" xfId="38661"/>
    <cellStyle name="Normal 67 7" xfId="38662"/>
    <cellStyle name="Normal 670" xfId="38663"/>
    <cellStyle name="Normal 671" xfId="38664"/>
    <cellStyle name="Normal 672" xfId="38665"/>
    <cellStyle name="Normal 673" xfId="38666"/>
    <cellStyle name="Normal 674" xfId="38667"/>
    <cellStyle name="Normal 675" xfId="38668"/>
    <cellStyle name="Normal 676" xfId="38669"/>
    <cellStyle name="Normal 677" xfId="38670"/>
    <cellStyle name="Normal 678" xfId="38671"/>
    <cellStyle name="Normal 679" xfId="38672"/>
    <cellStyle name="Normal 68" xfId="38673"/>
    <cellStyle name="Normal 68 2" xfId="38674"/>
    <cellStyle name="Normal 68 2 2" xfId="38675"/>
    <cellStyle name="Normal 68 2 2 2" xfId="38676"/>
    <cellStyle name="Normal 68 2 2 2 2" xfId="38677"/>
    <cellStyle name="Normal 68 2 2 3" xfId="38678"/>
    <cellStyle name="Normal 68 2 2 3 2" xfId="38679"/>
    <cellStyle name="Normal 68 2 2 3 2 2" xfId="38680"/>
    <cellStyle name="Normal 68 2 2 3 3" xfId="38681"/>
    <cellStyle name="Normal 68 2 2 4" xfId="38682"/>
    <cellStyle name="Normal 68 2 2 4 2" xfId="38683"/>
    <cellStyle name="Normal 68 2 2 4 2 2" xfId="38684"/>
    <cellStyle name="Normal 68 2 2 4 3" xfId="38685"/>
    <cellStyle name="Normal 68 2 2 5" xfId="38686"/>
    <cellStyle name="Normal 68 2 3" xfId="38687"/>
    <cellStyle name="Normal 68 2 3 2" xfId="38688"/>
    <cellStyle name="Normal 68 2 3 2 2" xfId="38689"/>
    <cellStyle name="Normal 68 2 3 3" xfId="38690"/>
    <cellStyle name="Normal 68 2 4" xfId="38691"/>
    <cellStyle name="Normal 68 2 4 2" xfId="38692"/>
    <cellStyle name="Normal 68 2 4 2 2" xfId="38693"/>
    <cellStyle name="Normal 68 2 4 3" xfId="38694"/>
    <cellStyle name="Normal 68 2 5" xfId="38695"/>
    <cellStyle name="Normal 68 2 5 2" xfId="38696"/>
    <cellStyle name="Normal 68 2 5 2 2" xfId="38697"/>
    <cellStyle name="Normal 68 2 5 3" xfId="38698"/>
    <cellStyle name="Normal 68 2 6" xfId="38699"/>
    <cellStyle name="Normal 68 3" xfId="38700"/>
    <cellStyle name="Normal 68 3 2" xfId="38701"/>
    <cellStyle name="Normal 68 3 2 2" xfId="38702"/>
    <cellStyle name="Normal 68 3 3" xfId="38703"/>
    <cellStyle name="Normal 68 3 3 2" xfId="38704"/>
    <cellStyle name="Normal 68 3 3 2 2" xfId="38705"/>
    <cellStyle name="Normal 68 3 3 3" xfId="38706"/>
    <cellStyle name="Normal 68 3 4" xfId="38707"/>
    <cellStyle name="Normal 68 3 4 2" xfId="38708"/>
    <cellStyle name="Normal 68 3 4 2 2" xfId="38709"/>
    <cellStyle name="Normal 68 3 4 3" xfId="38710"/>
    <cellStyle name="Normal 68 3 5" xfId="38711"/>
    <cellStyle name="Normal 68 4" xfId="38712"/>
    <cellStyle name="Normal 68 4 2" xfId="38713"/>
    <cellStyle name="Normal 68 4 2 2" xfId="38714"/>
    <cellStyle name="Normal 68 4 3" xfId="38715"/>
    <cellStyle name="Normal 68 5" xfId="38716"/>
    <cellStyle name="Normal 68 5 2" xfId="38717"/>
    <cellStyle name="Normal 68 5 2 2" xfId="38718"/>
    <cellStyle name="Normal 68 5 3" xfId="38719"/>
    <cellStyle name="Normal 68 6" xfId="38720"/>
    <cellStyle name="Normal 68 6 2" xfId="38721"/>
    <cellStyle name="Normal 68 6 2 2" xfId="38722"/>
    <cellStyle name="Normal 68 6 3" xfId="38723"/>
    <cellStyle name="Normal 68 7" xfId="38724"/>
    <cellStyle name="Normal 680" xfId="38725"/>
    <cellStyle name="Normal 681" xfId="38726"/>
    <cellStyle name="Normal 682" xfId="38727"/>
    <cellStyle name="Normal 683" xfId="38728"/>
    <cellStyle name="Normal 684" xfId="38729"/>
    <cellStyle name="Normal 685" xfId="38730"/>
    <cellStyle name="Normal 686" xfId="38731"/>
    <cellStyle name="Normal 687" xfId="38732"/>
    <cellStyle name="Normal 688" xfId="38733"/>
    <cellStyle name="Normal 689" xfId="38734"/>
    <cellStyle name="Normal 69" xfId="38735"/>
    <cellStyle name="Normal 69 2" xfId="38736"/>
    <cellStyle name="Normal 69 2 2" xfId="38737"/>
    <cellStyle name="Normal 69 2 2 2" xfId="38738"/>
    <cellStyle name="Normal 69 2 3" xfId="38739"/>
    <cellStyle name="Normal 69 2 3 2" xfId="38740"/>
    <cellStyle name="Normal 69 2 3 2 2" xfId="38741"/>
    <cellStyle name="Normal 69 2 3 3" xfId="38742"/>
    <cellStyle name="Normal 69 2 4" xfId="38743"/>
    <cellStyle name="Normal 69 2 4 2" xfId="38744"/>
    <cellStyle name="Normal 69 2 4 2 2" xfId="38745"/>
    <cellStyle name="Normal 69 2 4 3" xfId="38746"/>
    <cellStyle name="Normal 69 2 5" xfId="38747"/>
    <cellStyle name="Normal 69 3" xfId="38748"/>
    <cellStyle name="Normal 69 3 2" xfId="38749"/>
    <cellStyle name="Normal 69 3 2 2" xfId="38750"/>
    <cellStyle name="Normal 69 3 2 2 2" xfId="38751"/>
    <cellStyle name="Normal 69 3 2 3" xfId="38752"/>
    <cellStyle name="Normal 69 3 2 3 2" xfId="38753"/>
    <cellStyle name="Normal 69 3 2 3 2 2" xfId="38754"/>
    <cellStyle name="Normal 69 3 2 3 3" xfId="38755"/>
    <cellStyle name="Normal 69 3 2 4" xfId="38756"/>
    <cellStyle name="Normal 69 3 3" xfId="38757"/>
    <cellStyle name="Normal 69 3 3 2" xfId="38758"/>
    <cellStyle name="Normal 69 3 3 2 2" xfId="38759"/>
    <cellStyle name="Normal 69 3 3 3" xfId="38760"/>
    <cellStyle name="Normal 69 3 4" xfId="38761"/>
    <cellStyle name="Normal 69 3 4 2" xfId="38762"/>
    <cellStyle name="Normal 69 3 4 2 2" xfId="38763"/>
    <cellStyle name="Normal 69 3 4 3" xfId="38764"/>
    <cellStyle name="Normal 69 3 5" xfId="38765"/>
    <cellStyle name="Normal 69 3 5 2" xfId="38766"/>
    <cellStyle name="Normal 69 3 5 2 2" xfId="38767"/>
    <cellStyle name="Normal 69 3 5 3" xfId="38768"/>
    <cellStyle name="Normal 69 3 6" xfId="38769"/>
    <cellStyle name="Normal 69 4" xfId="38770"/>
    <cellStyle name="Normal 69 4 2" xfId="38771"/>
    <cellStyle name="Normal 69 4 2 2" xfId="38772"/>
    <cellStyle name="Normal 69 4 3" xfId="38773"/>
    <cellStyle name="Normal 69 5" xfId="38774"/>
    <cellStyle name="Normal 69 5 2" xfId="38775"/>
    <cellStyle name="Normal 69 5 2 2" xfId="38776"/>
    <cellStyle name="Normal 69 5 3" xfId="38777"/>
    <cellStyle name="Normal 69 6" xfId="38778"/>
    <cellStyle name="Normal 69 6 2" xfId="38779"/>
    <cellStyle name="Normal 69 6 2 2" xfId="38780"/>
    <cellStyle name="Normal 69 6 3" xfId="38781"/>
    <cellStyle name="Normal 69 7" xfId="38782"/>
    <cellStyle name="Normal 690" xfId="38783"/>
    <cellStyle name="Normal 691" xfId="38784"/>
    <cellStyle name="Normal 692" xfId="38785"/>
    <cellStyle name="Normal 693" xfId="38786"/>
    <cellStyle name="Normal 694" xfId="38787"/>
    <cellStyle name="Normal 695" xfId="38788"/>
    <cellStyle name="Normal 696" xfId="38789"/>
    <cellStyle name="Normal 697" xfId="38790"/>
    <cellStyle name="Normal 698" xfId="38791"/>
    <cellStyle name="Normal 699" xfId="38792"/>
    <cellStyle name="Normal 7" xfId="108"/>
    <cellStyle name="Normal 7 10" xfId="38794"/>
    <cellStyle name="Normal 7 11" xfId="38793"/>
    <cellStyle name="Normal 7 2" xfId="248"/>
    <cellStyle name="Normal 7 2 2" xfId="38796"/>
    <cellStyle name="Normal 7 2 2 2" xfId="38797"/>
    <cellStyle name="Normal 7 2 2 2 2" xfId="38798"/>
    <cellStyle name="Normal 7 2 2 3" xfId="38799"/>
    <cellStyle name="Normal 7 2 2 3 2" xfId="38800"/>
    <cellStyle name="Normal 7 2 2 3 2 2" xfId="38801"/>
    <cellStyle name="Normal 7 2 2 3 3" xfId="38802"/>
    <cellStyle name="Normal 7 2 2 4" xfId="38803"/>
    <cellStyle name="Normal 7 2 2 4 2" xfId="38804"/>
    <cellStyle name="Normal 7 2 2 4 2 2" xfId="38805"/>
    <cellStyle name="Normal 7 2 2 4 3" xfId="38806"/>
    <cellStyle name="Normal 7 2 2 5" xfId="38807"/>
    <cellStyle name="Normal 7 2 3" xfId="38808"/>
    <cellStyle name="Normal 7 2 3 2" xfId="38809"/>
    <cellStyle name="Normal 7 2 3 2 2" xfId="38810"/>
    <cellStyle name="Normal 7 2 3 2 2 2" xfId="38811"/>
    <cellStyle name="Normal 7 2 3 2 3" xfId="38812"/>
    <cellStyle name="Normal 7 2 3 2 3 2" xfId="38813"/>
    <cellStyle name="Normal 7 2 3 2 3 2 2" xfId="38814"/>
    <cellStyle name="Normal 7 2 3 2 3 3" xfId="38815"/>
    <cellStyle name="Normal 7 2 3 2 4" xfId="38816"/>
    <cellStyle name="Normal 7 2 3 3" xfId="38817"/>
    <cellStyle name="Normal 7 2 3 3 2" xfId="38818"/>
    <cellStyle name="Normal 7 2 3 3 2 2" xfId="38819"/>
    <cellStyle name="Normal 7 2 3 3 3" xfId="38820"/>
    <cellStyle name="Normal 7 2 3 4" xfId="38821"/>
    <cellStyle name="Normal 7 2 3 4 2" xfId="38822"/>
    <cellStyle name="Normal 7 2 3 4 2 2" xfId="38823"/>
    <cellStyle name="Normal 7 2 3 4 3" xfId="38824"/>
    <cellStyle name="Normal 7 2 3 5" xfId="38825"/>
    <cellStyle name="Normal 7 2 3 5 2" xfId="38826"/>
    <cellStyle name="Normal 7 2 3 5 2 2" xfId="38827"/>
    <cellStyle name="Normal 7 2 3 5 3" xfId="38828"/>
    <cellStyle name="Normal 7 2 3 6" xfId="38829"/>
    <cellStyle name="Normal 7 2 4" xfId="38830"/>
    <cellStyle name="Normal 7 2 4 2" xfId="38831"/>
    <cellStyle name="Normal 7 2 4 2 2" xfId="38832"/>
    <cellStyle name="Normal 7 2 4 3" xfId="38833"/>
    <cellStyle name="Normal 7 2 5" xfId="38834"/>
    <cellStyle name="Normal 7 2 5 2" xfId="38835"/>
    <cellStyle name="Normal 7 2 5 2 2" xfId="38836"/>
    <cellStyle name="Normal 7 2 5 3" xfId="38837"/>
    <cellStyle name="Normal 7 2 6" xfId="38838"/>
    <cellStyle name="Normal 7 2 6 2" xfId="38839"/>
    <cellStyle name="Normal 7 2 6 2 2" xfId="38840"/>
    <cellStyle name="Normal 7 2 6 3" xfId="38841"/>
    <cellStyle name="Normal 7 2 7" xfId="38842"/>
    <cellStyle name="Normal 7 2 8" xfId="38795"/>
    <cellStyle name="Normal 7 3" xfId="38843"/>
    <cellStyle name="Normal 7 3 2" xfId="38844"/>
    <cellStyle name="Normal 7 3 2 2" xfId="38845"/>
    <cellStyle name="Normal 7 3 2 2 2" xfId="38846"/>
    <cellStyle name="Normal 7 3 2 3" xfId="38847"/>
    <cellStyle name="Normal 7 3 2 3 2" xfId="38848"/>
    <cellStyle name="Normal 7 3 2 3 2 2" xfId="38849"/>
    <cellStyle name="Normal 7 3 2 3 3" xfId="38850"/>
    <cellStyle name="Normal 7 3 2 4" xfId="38851"/>
    <cellStyle name="Normal 7 3 2 4 2" xfId="38852"/>
    <cellStyle name="Normal 7 3 2 4 2 2" xfId="38853"/>
    <cellStyle name="Normal 7 3 2 4 3" xfId="38854"/>
    <cellStyle name="Normal 7 3 2 5" xfId="38855"/>
    <cellStyle name="Normal 7 3 3" xfId="38856"/>
    <cellStyle name="Normal 7 3 3 2" xfId="38857"/>
    <cellStyle name="Normal 7 3 3 2 2" xfId="38858"/>
    <cellStyle name="Normal 7 3 3 3" xfId="38859"/>
    <cellStyle name="Normal 7 3 4" xfId="38860"/>
    <cellStyle name="Normal 7 3 4 2" xfId="38861"/>
    <cellStyle name="Normal 7 3 4 2 2" xfId="38862"/>
    <cellStyle name="Normal 7 3 4 3" xfId="38863"/>
    <cellStyle name="Normal 7 3 5" xfId="38864"/>
    <cellStyle name="Normal 7 3 5 2" xfId="38865"/>
    <cellStyle name="Normal 7 3 5 2 2" xfId="38866"/>
    <cellStyle name="Normal 7 3 5 3" xfId="38867"/>
    <cellStyle name="Normal 7 3 6" xfId="38868"/>
    <cellStyle name="Normal 7 4" xfId="38869"/>
    <cellStyle name="Normal 7 4 2" xfId="38870"/>
    <cellStyle name="Normal 7 4 2 2" xfId="38871"/>
    <cellStyle name="Normal 7 4 2 2 2" xfId="38872"/>
    <cellStyle name="Normal 7 4 2 3" xfId="38873"/>
    <cellStyle name="Normal 7 4 2 3 2" xfId="38874"/>
    <cellStyle name="Normal 7 4 2 3 2 2" xfId="38875"/>
    <cellStyle name="Normal 7 4 2 3 3" xfId="38876"/>
    <cellStyle name="Normal 7 4 2 4" xfId="38877"/>
    <cellStyle name="Normal 7 4 2 4 2" xfId="38878"/>
    <cellStyle name="Normal 7 4 2 4 2 2" xfId="38879"/>
    <cellStyle name="Normal 7 4 2 4 3" xfId="38880"/>
    <cellStyle name="Normal 7 4 2 5" xfId="38881"/>
    <cellStyle name="Normal 7 4 3" xfId="38882"/>
    <cellStyle name="Normal 7 4 3 2" xfId="38883"/>
    <cellStyle name="Normal 7 4 3 2 2" xfId="38884"/>
    <cellStyle name="Normal 7 4 3 2 2 2" xfId="38885"/>
    <cellStyle name="Normal 7 4 3 2 3" xfId="38886"/>
    <cellStyle name="Normal 7 4 3 2 3 2" xfId="38887"/>
    <cellStyle name="Normal 7 4 3 2 3 2 2" xfId="38888"/>
    <cellStyle name="Normal 7 4 3 2 3 3" xfId="38889"/>
    <cellStyle name="Normal 7 4 3 2 4" xfId="38890"/>
    <cellStyle name="Normal 7 4 3 3" xfId="38891"/>
    <cellStyle name="Normal 7 4 3 3 2" xfId="38892"/>
    <cellStyle name="Normal 7 4 3 3 2 2" xfId="38893"/>
    <cellStyle name="Normal 7 4 3 3 3" xfId="38894"/>
    <cellStyle name="Normal 7 4 3 4" xfId="38895"/>
    <cellStyle name="Normal 7 4 3 4 2" xfId="38896"/>
    <cellStyle name="Normal 7 4 3 4 2 2" xfId="38897"/>
    <cellStyle name="Normal 7 4 3 4 3" xfId="38898"/>
    <cellStyle name="Normal 7 4 3 5" xfId="38899"/>
    <cellStyle name="Normal 7 4 3 5 2" xfId="38900"/>
    <cellStyle name="Normal 7 4 3 5 2 2" xfId="38901"/>
    <cellStyle name="Normal 7 4 3 5 3" xfId="38902"/>
    <cellStyle name="Normal 7 4 3 6" xfId="38903"/>
    <cellStyle name="Normal 7 4 4" xfId="38904"/>
    <cellStyle name="Normal 7 5" xfId="38905"/>
    <cellStyle name="Normal 7 5 2" xfId="38906"/>
    <cellStyle name="Normal 7 5 2 2" xfId="38907"/>
    <cellStyle name="Normal 7 5 3" xfId="38908"/>
    <cellStyle name="Normal 7 5 3 2" xfId="38909"/>
    <cellStyle name="Normal 7 5 3 2 2" xfId="38910"/>
    <cellStyle name="Normal 7 5 3 3" xfId="38911"/>
    <cellStyle name="Normal 7 5 4" xfId="38912"/>
    <cellStyle name="Normal 7 5 4 2" xfId="38913"/>
    <cellStyle name="Normal 7 5 4 2 2" xfId="38914"/>
    <cellStyle name="Normal 7 5 4 3" xfId="38915"/>
    <cellStyle name="Normal 7 5 5" xfId="38916"/>
    <cellStyle name="Normal 7 6" xfId="38917"/>
    <cellStyle name="Normal 7 6 2" xfId="38918"/>
    <cellStyle name="Normal 7 6 2 2" xfId="38919"/>
    <cellStyle name="Normal 7 6 3" xfId="38920"/>
    <cellStyle name="Normal 7 6 3 2" xfId="38921"/>
    <cellStyle name="Normal 7 6 3 2 2" xfId="38922"/>
    <cellStyle name="Normal 7 6 3 3" xfId="38923"/>
    <cellStyle name="Normal 7 6 4" xfId="38924"/>
    <cellStyle name="Normal 7 6 4 2" xfId="38925"/>
    <cellStyle name="Normal 7 6 4 2 2" xfId="38926"/>
    <cellStyle name="Normal 7 6 4 3" xfId="38927"/>
    <cellStyle name="Normal 7 6 5" xfId="38928"/>
    <cellStyle name="Normal 7 7" xfId="38929"/>
    <cellStyle name="Normal 7 7 2" xfId="38930"/>
    <cellStyle name="Normal 7 7 2 2" xfId="38931"/>
    <cellStyle name="Normal 7 7 3" xfId="38932"/>
    <cellStyle name="Normal 7 8" xfId="38933"/>
    <cellStyle name="Normal 7 8 2" xfId="38934"/>
    <cellStyle name="Normal 7 9" xfId="38935"/>
    <cellStyle name="Normal 70" xfId="38936"/>
    <cellStyle name="Normal 70 2" xfId="38937"/>
    <cellStyle name="Normal 70 2 2" xfId="38938"/>
    <cellStyle name="Normal 70 2 2 2" xfId="38939"/>
    <cellStyle name="Normal 70 2 3" xfId="38940"/>
    <cellStyle name="Normal 70 2 3 2" xfId="38941"/>
    <cellStyle name="Normal 70 2 3 2 2" xfId="38942"/>
    <cellStyle name="Normal 70 2 3 3" xfId="38943"/>
    <cellStyle name="Normal 70 2 4" xfId="38944"/>
    <cellStyle name="Normal 70 2 4 2" xfId="38945"/>
    <cellStyle name="Normal 70 2 4 2 2" xfId="38946"/>
    <cellStyle name="Normal 70 2 4 3" xfId="38947"/>
    <cellStyle name="Normal 70 2 5" xfId="38948"/>
    <cellStyle name="Normal 70 3" xfId="38949"/>
    <cellStyle name="Normal 70 3 2" xfId="38950"/>
    <cellStyle name="Normal 70 3 2 2" xfId="38951"/>
    <cellStyle name="Normal 70 3 2 2 2" xfId="38952"/>
    <cellStyle name="Normal 70 3 2 3" xfId="38953"/>
    <cellStyle name="Normal 70 3 2 3 2" xfId="38954"/>
    <cellStyle name="Normal 70 3 2 3 2 2" xfId="38955"/>
    <cellStyle name="Normal 70 3 2 3 3" xfId="38956"/>
    <cellStyle name="Normal 70 3 2 4" xfId="38957"/>
    <cellStyle name="Normal 70 3 3" xfId="38958"/>
    <cellStyle name="Normal 70 3 3 2" xfId="38959"/>
    <cellStyle name="Normal 70 3 3 2 2" xfId="38960"/>
    <cellStyle name="Normal 70 3 3 3" xfId="38961"/>
    <cellStyle name="Normal 70 3 4" xfId="38962"/>
    <cellStyle name="Normal 70 3 4 2" xfId="38963"/>
    <cellStyle name="Normal 70 3 4 2 2" xfId="38964"/>
    <cellStyle name="Normal 70 3 4 3" xfId="38965"/>
    <cellStyle name="Normal 70 3 5" xfId="38966"/>
    <cellStyle name="Normal 70 3 5 2" xfId="38967"/>
    <cellStyle name="Normal 70 3 5 2 2" xfId="38968"/>
    <cellStyle name="Normal 70 3 5 3" xfId="38969"/>
    <cellStyle name="Normal 70 3 6" xfId="38970"/>
    <cellStyle name="Normal 70 4" xfId="38971"/>
    <cellStyle name="Normal 70 4 2" xfId="38972"/>
    <cellStyle name="Normal 70 4 2 2" xfId="38973"/>
    <cellStyle name="Normal 70 4 3" xfId="38974"/>
    <cellStyle name="Normal 70 5" xfId="38975"/>
    <cellStyle name="Normal 70 5 2" xfId="38976"/>
    <cellStyle name="Normal 70 5 2 2" xfId="38977"/>
    <cellStyle name="Normal 70 5 3" xfId="38978"/>
    <cellStyle name="Normal 70 6" xfId="38979"/>
    <cellStyle name="Normal 70 6 2" xfId="38980"/>
    <cellStyle name="Normal 70 6 2 2" xfId="38981"/>
    <cellStyle name="Normal 70 6 3" xfId="38982"/>
    <cellStyle name="Normal 70 7" xfId="38983"/>
    <cellStyle name="Normal 700" xfId="38984"/>
    <cellStyle name="Normal 701" xfId="38985"/>
    <cellStyle name="Normal 702" xfId="38986"/>
    <cellStyle name="Normal 703" xfId="38987"/>
    <cellStyle name="Normal 704" xfId="38988"/>
    <cellStyle name="Normal 705" xfId="38989"/>
    <cellStyle name="Normal 706" xfId="38990"/>
    <cellStyle name="Normal 707" xfId="38991"/>
    <cellStyle name="Normal 708" xfId="38992"/>
    <cellStyle name="Normal 709" xfId="38993"/>
    <cellStyle name="Normal 71" xfId="38994"/>
    <cellStyle name="Normal 71 2" xfId="38995"/>
    <cellStyle name="Normal 71 2 2" xfId="38996"/>
    <cellStyle name="Normal 71 2 2 2" xfId="38997"/>
    <cellStyle name="Normal 71 2 3" xfId="38998"/>
    <cellStyle name="Normal 71 2 3 2" xfId="38999"/>
    <cellStyle name="Normal 71 2 3 2 2" xfId="39000"/>
    <cellStyle name="Normal 71 2 3 3" xfId="39001"/>
    <cellStyle name="Normal 71 2 4" xfId="39002"/>
    <cellStyle name="Normal 71 2 4 2" xfId="39003"/>
    <cellStyle name="Normal 71 2 4 2 2" xfId="39004"/>
    <cellStyle name="Normal 71 2 4 3" xfId="39005"/>
    <cellStyle name="Normal 71 2 5" xfId="39006"/>
    <cellStyle name="Normal 71 3" xfId="39007"/>
    <cellStyle name="Normal 71 3 2" xfId="39008"/>
    <cellStyle name="Normal 71 3 2 2" xfId="39009"/>
    <cellStyle name="Normal 71 3 2 2 2" xfId="39010"/>
    <cellStyle name="Normal 71 3 2 3" xfId="39011"/>
    <cellStyle name="Normal 71 3 2 3 2" xfId="39012"/>
    <cellStyle name="Normal 71 3 2 3 2 2" xfId="39013"/>
    <cellStyle name="Normal 71 3 2 3 3" xfId="39014"/>
    <cellStyle name="Normal 71 3 2 4" xfId="39015"/>
    <cellStyle name="Normal 71 3 3" xfId="39016"/>
    <cellStyle name="Normal 71 3 3 2" xfId="39017"/>
    <cellStyle name="Normal 71 3 3 2 2" xfId="39018"/>
    <cellStyle name="Normal 71 3 3 3" xfId="39019"/>
    <cellStyle name="Normal 71 3 4" xfId="39020"/>
    <cellStyle name="Normal 71 3 4 2" xfId="39021"/>
    <cellStyle name="Normal 71 3 4 2 2" xfId="39022"/>
    <cellStyle name="Normal 71 3 4 3" xfId="39023"/>
    <cellStyle name="Normal 71 3 5" xfId="39024"/>
    <cellStyle name="Normal 71 3 5 2" xfId="39025"/>
    <cellStyle name="Normal 71 3 5 2 2" xfId="39026"/>
    <cellStyle name="Normal 71 3 5 3" xfId="39027"/>
    <cellStyle name="Normal 71 3 6" xfId="39028"/>
    <cellStyle name="Normal 71 4" xfId="39029"/>
    <cellStyle name="Normal 71 4 2" xfId="39030"/>
    <cellStyle name="Normal 71 4 2 2" xfId="39031"/>
    <cellStyle name="Normal 71 4 3" xfId="39032"/>
    <cellStyle name="Normal 71 5" xfId="39033"/>
    <cellStyle name="Normal 71 5 2" xfId="39034"/>
    <cellStyle name="Normal 71 5 2 2" xfId="39035"/>
    <cellStyle name="Normal 71 5 3" xfId="39036"/>
    <cellStyle name="Normal 71 6" xfId="39037"/>
    <cellStyle name="Normal 71 6 2" xfId="39038"/>
    <cellStyle name="Normal 71 6 2 2" xfId="39039"/>
    <cellStyle name="Normal 71 6 3" xfId="39040"/>
    <cellStyle name="Normal 71 7" xfId="39041"/>
    <cellStyle name="Normal 710" xfId="39042"/>
    <cellStyle name="Normal 711" xfId="39043"/>
    <cellStyle name="Normal 712" xfId="39044"/>
    <cellStyle name="Normal 713" xfId="39045"/>
    <cellStyle name="Normal 714" xfId="39046"/>
    <cellStyle name="Normal 715" xfId="39047"/>
    <cellStyle name="Normal 716" xfId="39048"/>
    <cellStyle name="Normal 717" xfId="39049"/>
    <cellStyle name="Normal 718" xfId="39050"/>
    <cellStyle name="Normal 719" xfId="39051"/>
    <cellStyle name="Normal 72" xfId="39052"/>
    <cellStyle name="Normal 72 2" xfId="39053"/>
    <cellStyle name="Normal 72 2 2" xfId="39054"/>
    <cellStyle name="Normal 72 2 2 2" xfId="39055"/>
    <cellStyle name="Normal 72 2 3" xfId="39056"/>
    <cellStyle name="Normal 72 2 3 2" xfId="39057"/>
    <cellStyle name="Normal 72 2 3 2 2" xfId="39058"/>
    <cellStyle name="Normal 72 2 3 3" xfId="39059"/>
    <cellStyle name="Normal 72 2 4" xfId="39060"/>
    <cellStyle name="Normal 72 2 4 2" xfId="39061"/>
    <cellStyle name="Normal 72 2 4 2 2" xfId="39062"/>
    <cellStyle name="Normal 72 2 4 3" xfId="39063"/>
    <cellStyle name="Normal 72 2 5" xfId="39064"/>
    <cellStyle name="Normal 72 3" xfId="39065"/>
    <cellStyle name="Normal 72 3 2" xfId="39066"/>
    <cellStyle name="Normal 72 3 2 2" xfId="39067"/>
    <cellStyle name="Normal 72 3 2 2 2" xfId="39068"/>
    <cellStyle name="Normal 72 3 2 3" xfId="39069"/>
    <cellStyle name="Normal 72 3 2 3 2" xfId="39070"/>
    <cellStyle name="Normal 72 3 2 3 2 2" xfId="39071"/>
    <cellStyle name="Normal 72 3 2 3 3" xfId="39072"/>
    <cellStyle name="Normal 72 3 2 4" xfId="39073"/>
    <cellStyle name="Normal 72 3 3" xfId="39074"/>
    <cellStyle name="Normal 72 3 3 2" xfId="39075"/>
    <cellStyle name="Normal 72 3 3 2 2" xfId="39076"/>
    <cellStyle name="Normal 72 3 3 3" xfId="39077"/>
    <cellStyle name="Normal 72 3 4" xfId="39078"/>
    <cellStyle name="Normal 72 3 4 2" xfId="39079"/>
    <cellStyle name="Normal 72 3 4 2 2" xfId="39080"/>
    <cellStyle name="Normal 72 3 4 3" xfId="39081"/>
    <cellStyle name="Normal 72 3 5" xfId="39082"/>
    <cellStyle name="Normal 72 3 5 2" xfId="39083"/>
    <cellStyle name="Normal 72 3 5 2 2" xfId="39084"/>
    <cellStyle name="Normal 72 3 5 3" xfId="39085"/>
    <cellStyle name="Normal 72 3 6" xfId="39086"/>
    <cellStyle name="Normal 72 4" xfId="39087"/>
    <cellStyle name="Normal 72 4 2" xfId="39088"/>
    <cellStyle name="Normal 72 4 2 2" xfId="39089"/>
    <cellStyle name="Normal 72 4 3" xfId="39090"/>
    <cellStyle name="Normal 72 5" xfId="39091"/>
    <cellStyle name="Normal 72 5 2" xfId="39092"/>
    <cellStyle name="Normal 72 5 2 2" xfId="39093"/>
    <cellStyle name="Normal 72 5 3" xfId="39094"/>
    <cellStyle name="Normal 72 6" xfId="39095"/>
    <cellStyle name="Normal 72 6 2" xfId="39096"/>
    <cellStyle name="Normal 72 6 2 2" xfId="39097"/>
    <cellStyle name="Normal 72 6 3" xfId="39098"/>
    <cellStyle name="Normal 72 7" xfId="39099"/>
    <cellStyle name="Normal 720" xfId="39100"/>
    <cellStyle name="Normal 721" xfId="39101"/>
    <cellStyle name="Normal 722" xfId="39102"/>
    <cellStyle name="Normal 723" xfId="39103"/>
    <cellStyle name="Normal 724" xfId="39104"/>
    <cellStyle name="Normal 725" xfId="39105"/>
    <cellStyle name="Normal 726" xfId="39106"/>
    <cellStyle name="Normal 727" xfId="39107"/>
    <cellStyle name="Normal 728" xfId="39108"/>
    <cellStyle name="Normal 729" xfId="39109"/>
    <cellStyle name="Normal 73" xfId="39110"/>
    <cellStyle name="Normal 73 2" xfId="39111"/>
    <cellStyle name="Normal 73 2 2" xfId="39112"/>
    <cellStyle name="Normal 73 2 2 2" xfId="39113"/>
    <cellStyle name="Normal 73 2 3" xfId="39114"/>
    <cellStyle name="Normal 73 2 3 2" xfId="39115"/>
    <cellStyle name="Normal 73 2 3 2 2" xfId="39116"/>
    <cellStyle name="Normal 73 2 3 3" xfId="39117"/>
    <cellStyle name="Normal 73 2 4" xfId="39118"/>
    <cellStyle name="Normal 73 2 4 2" xfId="39119"/>
    <cellStyle name="Normal 73 2 4 2 2" xfId="39120"/>
    <cellStyle name="Normal 73 2 4 3" xfId="39121"/>
    <cellStyle name="Normal 73 2 5" xfId="39122"/>
    <cellStyle name="Normal 73 3" xfId="39123"/>
    <cellStyle name="Normal 73 3 2" xfId="39124"/>
    <cellStyle name="Normal 73 3 2 2" xfId="39125"/>
    <cellStyle name="Normal 73 3 2 2 2" xfId="39126"/>
    <cellStyle name="Normal 73 3 2 3" xfId="39127"/>
    <cellStyle name="Normal 73 3 2 3 2" xfId="39128"/>
    <cellStyle name="Normal 73 3 2 3 2 2" xfId="39129"/>
    <cellStyle name="Normal 73 3 2 3 3" xfId="39130"/>
    <cellStyle name="Normal 73 3 2 4" xfId="39131"/>
    <cellStyle name="Normal 73 3 3" xfId="39132"/>
    <cellStyle name="Normal 73 3 3 2" xfId="39133"/>
    <cellStyle name="Normal 73 3 3 2 2" xfId="39134"/>
    <cellStyle name="Normal 73 3 3 3" xfId="39135"/>
    <cellStyle name="Normal 73 3 4" xfId="39136"/>
    <cellStyle name="Normal 73 3 4 2" xfId="39137"/>
    <cellStyle name="Normal 73 3 4 2 2" xfId="39138"/>
    <cellStyle name="Normal 73 3 4 3" xfId="39139"/>
    <cellStyle name="Normal 73 3 5" xfId="39140"/>
    <cellStyle name="Normal 73 3 5 2" xfId="39141"/>
    <cellStyle name="Normal 73 3 5 2 2" xfId="39142"/>
    <cellStyle name="Normal 73 3 5 3" xfId="39143"/>
    <cellStyle name="Normal 73 3 6" xfId="39144"/>
    <cellStyle name="Normal 73 4" xfId="39145"/>
    <cellStyle name="Normal 73 4 2" xfId="39146"/>
    <cellStyle name="Normal 73 4 2 2" xfId="39147"/>
    <cellStyle name="Normal 73 4 3" xfId="39148"/>
    <cellStyle name="Normal 73 5" xfId="39149"/>
    <cellStyle name="Normal 73 5 2" xfId="39150"/>
    <cellStyle name="Normal 73 5 2 2" xfId="39151"/>
    <cellStyle name="Normal 73 5 3" xfId="39152"/>
    <cellStyle name="Normal 73 6" xfId="39153"/>
    <cellStyle name="Normal 73 6 2" xfId="39154"/>
    <cellStyle name="Normal 73 6 2 2" xfId="39155"/>
    <cellStyle name="Normal 73 6 3" xfId="39156"/>
    <cellStyle name="Normal 73 7" xfId="39157"/>
    <cellStyle name="Normal 730" xfId="39158"/>
    <cellStyle name="Normal 731" xfId="39159"/>
    <cellStyle name="Normal 732" xfId="39160"/>
    <cellStyle name="Normal 733" xfId="39161"/>
    <cellStyle name="Normal 734" xfId="39162"/>
    <cellStyle name="Normal 735" xfId="39163"/>
    <cellStyle name="Normal 736" xfId="39164"/>
    <cellStyle name="Normal 737" xfId="667"/>
    <cellStyle name="Normal 738" xfId="53745"/>
    <cellStyle name="Normal 739" xfId="53787"/>
    <cellStyle name="Normal 74" xfId="39165"/>
    <cellStyle name="Normal 74 2" xfId="39166"/>
    <cellStyle name="Normal 74 2 2" xfId="39167"/>
    <cellStyle name="Normal 74 2 2 2" xfId="39168"/>
    <cellStyle name="Normal 74 2 3" xfId="39169"/>
    <cellStyle name="Normal 74 2 3 2" xfId="39170"/>
    <cellStyle name="Normal 74 2 3 2 2" xfId="39171"/>
    <cellStyle name="Normal 74 2 3 3" xfId="39172"/>
    <cellStyle name="Normal 74 2 4" xfId="39173"/>
    <cellStyle name="Normal 74 2 4 2" xfId="39174"/>
    <cellStyle name="Normal 74 2 4 2 2" xfId="39175"/>
    <cellStyle name="Normal 74 2 4 3" xfId="39176"/>
    <cellStyle name="Normal 74 2 5" xfId="39177"/>
    <cellStyle name="Normal 74 3" xfId="39178"/>
    <cellStyle name="Normal 74 3 2" xfId="39179"/>
    <cellStyle name="Normal 74 3 2 2" xfId="39180"/>
    <cellStyle name="Normal 74 3 2 2 2" xfId="39181"/>
    <cellStyle name="Normal 74 3 2 3" xfId="39182"/>
    <cellStyle name="Normal 74 3 2 3 2" xfId="39183"/>
    <cellStyle name="Normal 74 3 2 3 2 2" xfId="39184"/>
    <cellStyle name="Normal 74 3 2 3 3" xfId="39185"/>
    <cellStyle name="Normal 74 3 2 4" xfId="39186"/>
    <cellStyle name="Normal 74 3 3" xfId="39187"/>
    <cellStyle name="Normal 74 3 3 2" xfId="39188"/>
    <cellStyle name="Normal 74 3 3 2 2" xfId="39189"/>
    <cellStyle name="Normal 74 3 3 3" xfId="39190"/>
    <cellStyle name="Normal 74 3 4" xfId="39191"/>
    <cellStyle name="Normal 74 3 4 2" xfId="39192"/>
    <cellStyle name="Normal 74 3 4 2 2" xfId="39193"/>
    <cellStyle name="Normal 74 3 4 3" xfId="39194"/>
    <cellStyle name="Normal 74 3 5" xfId="39195"/>
    <cellStyle name="Normal 74 3 5 2" xfId="39196"/>
    <cellStyle name="Normal 74 3 5 2 2" xfId="39197"/>
    <cellStyle name="Normal 74 3 5 3" xfId="39198"/>
    <cellStyle name="Normal 74 3 6" xfId="39199"/>
    <cellStyle name="Normal 74 4" xfId="39200"/>
    <cellStyle name="Normal 74 4 2" xfId="39201"/>
    <cellStyle name="Normal 74 4 2 2" xfId="39202"/>
    <cellStyle name="Normal 74 4 3" xfId="39203"/>
    <cellStyle name="Normal 74 5" xfId="39204"/>
    <cellStyle name="Normal 74 5 2" xfId="39205"/>
    <cellStyle name="Normal 74 5 2 2" xfId="39206"/>
    <cellStyle name="Normal 74 5 3" xfId="39207"/>
    <cellStyle name="Normal 74 6" xfId="39208"/>
    <cellStyle name="Normal 74 6 2" xfId="39209"/>
    <cellStyle name="Normal 74 6 2 2" xfId="39210"/>
    <cellStyle name="Normal 74 6 3" xfId="39211"/>
    <cellStyle name="Normal 74 7" xfId="39212"/>
    <cellStyle name="Normal 740" xfId="53870"/>
    <cellStyle name="Normal 741" xfId="53874"/>
    <cellStyle name="Normal 742" xfId="53877"/>
    <cellStyle name="Normal 743" xfId="53880"/>
    <cellStyle name="Normal 744" xfId="53883"/>
    <cellStyle name="Normal 745" xfId="53886"/>
    <cellStyle name="Normal 746" xfId="53890"/>
    <cellStyle name="Normal 75" xfId="39213"/>
    <cellStyle name="Normal 75 2" xfId="39214"/>
    <cellStyle name="Normal 75 2 2" xfId="39215"/>
    <cellStyle name="Normal 75 2 2 2" xfId="39216"/>
    <cellStyle name="Normal 75 2 3" xfId="39217"/>
    <cellStyle name="Normal 75 2 3 2" xfId="39218"/>
    <cellStyle name="Normal 75 2 3 2 2" xfId="39219"/>
    <cellStyle name="Normal 75 2 3 3" xfId="39220"/>
    <cellStyle name="Normal 75 2 4" xfId="39221"/>
    <cellStyle name="Normal 75 2 4 2" xfId="39222"/>
    <cellStyle name="Normal 75 2 4 2 2" xfId="39223"/>
    <cellStyle name="Normal 75 2 4 3" xfId="39224"/>
    <cellStyle name="Normal 75 2 5" xfId="39225"/>
    <cellStyle name="Normal 75 3" xfId="39226"/>
    <cellStyle name="Normal 75 3 2" xfId="39227"/>
    <cellStyle name="Normal 75 3 2 2" xfId="39228"/>
    <cellStyle name="Normal 75 3 2 2 2" xfId="39229"/>
    <cellStyle name="Normal 75 3 2 3" xfId="39230"/>
    <cellStyle name="Normal 75 3 2 3 2" xfId="39231"/>
    <cellStyle name="Normal 75 3 2 3 2 2" xfId="39232"/>
    <cellStyle name="Normal 75 3 2 3 3" xfId="39233"/>
    <cellStyle name="Normal 75 3 2 4" xfId="39234"/>
    <cellStyle name="Normal 75 3 3" xfId="39235"/>
    <cellStyle name="Normal 75 3 3 2" xfId="39236"/>
    <cellStyle name="Normal 75 3 3 2 2" xfId="39237"/>
    <cellStyle name="Normal 75 3 3 3" xfId="39238"/>
    <cellStyle name="Normal 75 3 4" xfId="39239"/>
    <cellStyle name="Normal 75 3 4 2" xfId="39240"/>
    <cellStyle name="Normal 75 3 4 2 2" xfId="39241"/>
    <cellStyle name="Normal 75 3 4 3" xfId="39242"/>
    <cellStyle name="Normal 75 3 5" xfId="39243"/>
    <cellStyle name="Normal 75 3 5 2" xfId="39244"/>
    <cellStyle name="Normal 75 3 5 2 2" xfId="39245"/>
    <cellStyle name="Normal 75 3 5 3" xfId="39246"/>
    <cellStyle name="Normal 75 3 6" xfId="39247"/>
    <cellStyle name="Normal 75 4" xfId="39248"/>
    <cellStyle name="Normal 75 4 2" xfId="39249"/>
    <cellStyle name="Normal 75 4 2 2" xfId="39250"/>
    <cellStyle name="Normal 75 4 3" xfId="39251"/>
    <cellStyle name="Normal 75 5" xfId="39252"/>
    <cellStyle name="Normal 75 5 2" xfId="39253"/>
    <cellStyle name="Normal 75 5 2 2" xfId="39254"/>
    <cellStyle name="Normal 75 5 3" xfId="39255"/>
    <cellStyle name="Normal 75 6" xfId="39256"/>
    <cellStyle name="Normal 75 6 2" xfId="39257"/>
    <cellStyle name="Normal 75 6 2 2" xfId="39258"/>
    <cellStyle name="Normal 75 6 3" xfId="39259"/>
    <cellStyle name="Normal 75 7" xfId="39260"/>
    <cellStyle name="Normal 76" xfId="39261"/>
    <cellStyle name="Normal 76 2" xfId="39262"/>
    <cellStyle name="Normal 76 2 2" xfId="39263"/>
    <cellStyle name="Normal 76 2 2 2" xfId="39264"/>
    <cellStyle name="Normal 76 2 3" xfId="39265"/>
    <cellStyle name="Normal 76 2 3 2" xfId="39266"/>
    <cellStyle name="Normal 76 2 3 2 2" xfId="39267"/>
    <cellStyle name="Normal 76 2 3 3" xfId="39268"/>
    <cellStyle name="Normal 76 2 4" xfId="39269"/>
    <cellStyle name="Normal 76 2 4 2" xfId="39270"/>
    <cellStyle name="Normal 76 2 4 2 2" xfId="39271"/>
    <cellStyle name="Normal 76 2 4 3" xfId="39272"/>
    <cellStyle name="Normal 76 2 5" xfId="39273"/>
    <cellStyle name="Normal 76 3" xfId="39274"/>
    <cellStyle name="Normal 76 3 2" xfId="39275"/>
    <cellStyle name="Normal 76 3 2 2" xfId="39276"/>
    <cellStyle name="Normal 76 3 2 2 2" xfId="39277"/>
    <cellStyle name="Normal 76 3 2 3" xfId="39278"/>
    <cellStyle name="Normal 76 3 2 3 2" xfId="39279"/>
    <cellStyle name="Normal 76 3 2 3 2 2" xfId="39280"/>
    <cellStyle name="Normal 76 3 2 3 3" xfId="39281"/>
    <cellStyle name="Normal 76 3 2 4" xfId="39282"/>
    <cellStyle name="Normal 76 3 3" xfId="39283"/>
    <cellStyle name="Normal 76 3 3 2" xfId="39284"/>
    <cellStyle name="Normal 76 3 3 2 2" xfId="39285"/>
    <cellStyle name="Normal 76 3 3 3" xfId="39286"/>
    <cellStyle name="Normal 76 3 4" xfId="39287"/>
    <cellStyle name="Normal 76 3 4 2" xfId="39288"/>
    <cellStyle name="Normal 76 3 4 2 2" xfId="39289"/>
    <cellStyle name="Normal 76 3 4 3" xfId="39290"/>
    <cellStyle name="Normal 76 3 5" xfId="39291"/>
    <cellStyle name="Normal 76 3 5 2" xfId="39292"/>
    <cellStyle name="Normal 76 3 5 2 2" xfId="39293"/>
    <cellStyle name="Normal 76 3 5 3" xfId="39294"/>
    <cellStyle name="Normal 76 3 6" xfId="39295"/>
    <cellStyle name="Normal 76 4" xfId="39296"/>
    <cellStyle name="Normal 76 4 2" xfId="39297"/>
    <cellStyle name="Normal 76 4 2 2" xfId="39298"/>
    <cellStyle name="Normal 76 4 3" xfId="39299"/>
    <cellStyle name="Normal 76 5" xfId="39300"/>
    <cellStyle name="Normal 76 5 2" xfId="39301"/>
    <cellStyle name="Normal 76 5 2 2" xfId="39302"/>
    <cellStyle name="Normal 76 5 3" xfId="39303"/>
    <cellStyle name="Normal 76 6" xfId="39304"/>
    <cellStyle name="Normal 76 6 2" xfId="39305"/>
    <cellStyle name="Normal 76 6 2 2" xfId="39306"/>
    <cellStyle name="Normal 76 6 3" xfId="39307"/>
    <cellStyle name="Normal 76 7" xfId="39308"/>
    <cellStyle name="Normal 77" xfId="39309"/>
    <cellStyle name="Normal 77 2" xfId="39310"/>
    <cellStyle name="Normal 77 2 2" xfId="39311"/>
    <cellStyle name="Normal 77 2 2 2" xfId="39312"/>
    <cellStyle name="Normal 77 2 3" xfId="39313"/>
    <cellStyle name="Normal 77 2 3 2" xfId="39314"/>
    <cellStyle name="Normal 77 2 3 2 2" xfId="39315"/>
    <cellStyle name="Normal 77 2 3 3" xfId="39316"/>
    <cellStyle name="Normal 77 2 4" xfId="39317"/>
    <cellStyle name="Normal 77 2 4 2" xfId="39318"/>
    <cellStyle name="Normal 77 2 4 2 2" xfId="39319"/>
    <cellStyle name="Normal 77 2 4 3" xfId="39320"/>
    <cellStyle name="Normal 77 2 5" xfId="39321"/>
    <cellStyle name="Normal 77 3" xfId="39322"/>
    <cellStyle name="Normal 77 3 2" xfId="39323"/>
    <cellStyle name="Normal 77 3 2 2" xfId="39324"/>
    <cellStyle name="Normal 77 3 2 2 2" xfId="39325"/>
    <cellStyle name="Normal 77 3 2 3" xfId="39326"/>
    <cellStyle name="Normal 77 3 2 3 2" xfId="39327"/>
    <cellStyle name="Normal 77 3 2 3 2 2" xfId="39328"/>
    <cellStyle name="Normal 77 3 2 3 3" xfId="39329"/>
    <cellStyle name="Normal 77 3 2 4" xfId="39330"/>
    <cellStyle name="Normal 77 3 3" xfId="39331"/>
    <cellStyle name="Normal 77 3 3 2" xfId="39332"/>
    <cellStyle name="Normal 77 3 3 2 2" xfId="39333"/>
    <cellStyle name="Normal 77 3 3 3" xfId="39334"/>
    <cellStyle name="Normal 77 3 4" xfId="39335"/>
    <cellStyle name="Normal 77 3 4 2" xfId="39336"/>
    <cellStyle name="Normal 77 3 4 2 2" xfId="39337"/>
    <cellStyle name="Normal 77 3 4 3" xfId="39338"/>
    <cellStyle name="Normal 77 3 5" xfId="39339"/>
    <cellStyle name="Normal 77 3 5 2" xfId="39340"/>
    <cellStyle name="Normal 77 3 5 2 2" xfId="39341"/>
    <cellStyle name="Normal 77 3 5 3" xfId="39342"/>
    <cellStyle name="Normal 77 3 6" xfId="39343"/>
    <cellStyle name="Normal 77 4" xfId="39344"/>
    <cellStyle name="Normal 77 4 2" xfId="39345"/>
    <cellStyle name="Normal 77 4 2 2" xfId="39346"/>
    <cellStyle name="Normal 77 4 3" xfId="39347"/>
    <cellStyle name="Normal 77 5" xfId="39348"/>
    <cellStyle name="Normal 77 5 2" xfId="39349"/>
    <cellStyle name="Normal 77 5 2 2" xfId="39350"/>
    <cellStyle name="Normal 77 5 3" xfId="39351"/>
    <cellStyle name="Normal 77 6" xfId="39352"/>
    <cellStyle name="Normal 77 6 2" xfId="39353"/>
    <cellStyle name="Normal 77 6 2 2" xfId="39354"/>
    <cellStyle name="Normal 77 6 3" xfId="39355"/>
    <cellStyle name="Normal 77 7" xfId="39356"/>
    <cellStyle name="Normal 78" xfId="39357"/>
    <cellStyle name="Normal 78 2" xfId="39358"/>
    <cellStyle name="Normal 78 2 2" xfId="39359"/>
    <cellStyle name="Normal 78 2 2 2" xfId="39360"/>
    <cellStyle name="Normal 78 2 3" xfId="39361"/>
    <cellStyle name="Normal 78 2 3 2" xfId="39362"/>
    <cellStyle name="Normal 78 2 3 2 2" xfId="39363"/>
    <cellStyle name="Normal 78 2 3 3" xfId="39364"/>
    <cellStyle name="Normal 78 2 4" xfId="39365"/>
    <cellStyle name="Normal 78 2 4 2" xfId="39366"/>
    <cellStyle name="Normal 78 2 4 2 2" xfId="39367"/>
    <cellStyle name="Normal 78 2 4 3" xfId="39368"/>
    <cellStyle name="Normal 78 2 5" xfId="39369"/>
    <cellStyle name="Normal 78 3" xfId="39370"/>
    <cellStyle name="Normal 78 3 2" xfId="39371"/>
    <cellStyle name="Normal 78 3 2 2" xfId="39372"/>
    <cellStyle name="Normal 78 3 2 2 2" xfId="39373"/>
    <cellStyle name="Normal 78 3 2 3" xfId="39374"/>
    <cellStyle name="Normal 78 3 2 3 2" xfId="39375"/>
    <cellStyle name="Normal 78 3 2 3 2 2" xfId="39376"/>
    <cellStyle name="Normal 78 3 2 3 3" xfId="39377"/>
    <cellStyle name="Normal 78 3 2 4" xfId="39378"/>
    <cellStyle name="Normal 78 3 3" xfId="39379"/>
    <cellStyle name="Normal 78 3 3 2" xfId="39380"/>
    <cellStyle name="Normal 78 3 3 2 2" xfId="39381"/>
    <cellStyle name="Normal 78 3 3 3" xfId="39382"/>
    <cellStyle name="Normal 78 3 4" xfId="39383"/>
    <cellStyle name="Normal 78 3 4 2" xfId="39384"/>
    <cellStyle name="Normal 78 3 4 2 2" xfId="39385"/>
    <cellStyle name="Normal 78 3 4 3" xfId="39386"/>
    <cellStyle name="Normal 78 3 5" xfId="39387"/>
    <cellStyle name="Normal 78 3 5 2" xfId="39388"/>
    <cellStyle name="Normal 78 3 5 2 2" xfId="39389"/>
    <cellStyle name="Normal 78 3 5 3" xfId="39390"/>
    <cellStyle name="Normal 78 3 6" xfId="39391"/>
    <cellStyle name="Normal 78 4" xfId="39392"/>
    <cellStyle name="Normal 78 4 2" xfId="39393"/>
    <cellStyle name="Normal 78 4 2 2" xfId="39394"/>
    <cellStyle name="Normal 78 4 3" xfId="39395"/>
    <cellStyle name="Normal 78 5" xfId="39396"/>
    <cellStyle name="Normal 78 5 2" xfId="39397"/>
    <cellStyle name="Normal 78 5 2 2" xfId="39398"/>
    <cellStyle name="Normal 78 5 3" xfId="39399"/>
    <cellStyle name="Normal 78 6" xfId="39400"/>
    <cellStyle name="Normal 78 6 2" xfId="39401"/>
    <cellStyle name="Normal 78 6 2 2" xfId="39402"/>
    <cellStyle name="Normal 78 6 3" xfId="39403"/>
    <cellStyle name="Normal 78 7" xfId="39404"/>
    <cellStyle name="Normal 79" xfId="39405"/>
    <cellStyle name="Normal 79 2" xfId="39406"/>
    <cellStyle name="Normal 79 2 2" xfId="39407"/>
    <cellStyle name="Normal 79 2 2 2" xfId="39408"/>
    <cellStyle name="Normal 79 2 3" xfId="39409"/>
    <cellStyle name="Normal 79 2 3 2" xfId="39410"/>
    <cellStyle name="Normal 79 2 3 2 2" xfId="39411"/>
    <cellStyle name="Normal 79 2 3 3" xfId="39412"/>
    <cellStyle name="Normal 79 2 4" xfId="39413"/>
    <cellStyle name="Normal 79 2 4 2" xfId="39414"/>
    <cellStyle name="Normal 79 2 4 2 2" xfId="39415"/>
    <cellStyle name="Normal 79 2 4 3" xfId="39416"/>
    <cellStyle name="Normal 79 2 5" xfId="39417"/>
    <cellStyle name="Normal 79 3" xfId="39418"/>
    <cellStyle name="Normal 79 3 2" xfId="39419"/>
    <cellStyle name="Normal 79 3 2 2" xfId="39420"/>
    <cellStyle name="Normal 79 3 2 2 2" xfId="39421"/>
    <cellStyle name="Normal 79 3 2 3" xfId="39422"/>
    <cellStyle name="Normal 79 3 2 3 2" xfId="39423"/>
    <cellStyle name="Normal 79 3 2 3 2 2" xfId="39424"/>
    <cellStyle name="Normal 79 3 2 3 3" xfId="39425"/>
    <cellStyle name="Normal 79 3 2 4" xfId="39426"/>
    <cellStyle name="Normal 79 3 3" xfId="39427"/>
    <cellStyle name="Normal 79 3 3 2" xfId="39428"/>
    <cellStyle name="Normal 79 3 3 2 2" xfId="39429"/>
    <cellStyle name="Normal 79 3 3 3" xfId="39430"/>
    <cellStyle name="Normal 79 3 4" xfId="39431"/>
    <cellStyle name="Normal 79 3 4 2" xfId="39432"/>
    <cellStyle name="Normal 79 3 4 2 2" xfId="39433"/>
    <cellStyle name="Normal 79 3 4 3" xfId="39434"/>
    <cellStyle name="Normal 79 3 5" xfId="39435"/>
    <cellStyle name="Normal 79 3 5 2" xfId="39436"/>
    <cellStyle name="Normal 79 3 5 2 2" xfId="39437"/>
    <cellStyle name="Normal 79 3 5 3" xfId="39438"/>
    <cellStyle name="Normal 79 3 6" xfId="39439"/>
    <cellStyle name="Normal 79 4" xfId="39440"/>
    <cellStyle name="Normal 79 4 2" xfId="39441"/>
    <cellStyle name="Normal 79 4 2 2" xfId="39442"/>
    <cellStyle name="Normal 79 4 3" xfId="39443"/>
    <cellStyle name="Normal 79 5" xfId="39444"/>
    <cellStyle name="Normal 79 5 2" xfId="39445"/>
    <cellStyle name="Normal 79 5 2 2" xfId="39446"/>
    <cellStyle name="Normal 79 5 3" xfId="39447"/>
    <cellStyle name="Normal 79 6" xfId="39448"/>
    <cellStyle name="Normal 79 6 2" xfId="39449"/>
    <cellStyle name="Normal 79 6 2 2" xfId="39450"/>
    <cellStyle name="Normal 79 6 3" xfId="39451"/>
    <cellStyle name="Normal 79 7" xfId="39452"/>
    <cellStyle name="Normal 8" xfId="126"/>
    <cellStyle name="Normal 8 10" xfId="39454"/>
    <cellStyle name="Normal 8 11" xfId="39453"/>
    <cellStyle name="Normal 8 2" xfId="39455"/>
    <cellStyle name="Normal 8 2 2" xfId="39456"/>
    <cellStyle name="Normal 8 2 2 2" xfId="39457"/>
    <cellStyle name="Normal 8 2 2 2 2" xfId="39458"/>
    <cellStyle name="Normal 8 2 2 3" xfId="39459"/>
    <cellStyle name="Normal 8 2 2 3 2" xfId="39460"/>
    <cellStyle name="Normal 8 2 2 3 2 2" xfId="39461"/>
    <cellStyle name="Normal 8 2 2 3 3" xfId="39462"/>
    <cellStyle name="Normal 8 2 2 4" xfId="39463"/>
    <cellStyle name="Normal 8 2 2 4 2" xfId="39464"/>
    <cellStyle name="Normal 8 2 2 4 2 2" xfId="39465"/>
    <cellStyle name="Normal 8 2 2 4 3" xfId="39466"/>
    <cellStyle name="Normal 8 2 2 5" xfId="39467"/>
    <cellStyle name="Normal 8 2 3" xfId="39468"/>
    <cellStyle name="Normal 8 2 3 2" xfId="39469"/>
    <cellStyle name="Normal 8 2 3 2 2" xfId="39470"/>
    <cellStyle name="Normal 8 2 3 2 2 2" xfId="39471"/>
    <cellStyle name="Normal 8 2 3 2 3" xfId="39472"/>
    <cellStyle name="Normal 8 2 3 2 3 2" xfId="39473"/>
    <cellStyle name="Normal 8 2 3 2 3 2 2" xfId="39474"/>
    <cellStyle name="Normal 8 2 3 2 3 3" xfId="39475"/>
    <cellStyle name="Normal 8 2 3 2 4" xfId="39476"/>
    <cellStyle name="Normal 8 2 3 3" xfId="39477"/>
    <cellStyle name="Normal 8 2 3 3 2" xfId="39478"/>
    <cellStyle name="Normal 8 2 3 3 2 2" xfId="39479"/>
    <cellStyle name="Normal 8 2 3 3 3" xfId="39480"/>
    <cellStyle name="Normal 8 2 3 4" xfId="39481"/>
    <cellStyle name="Normal 8 2 3 4 2" xfId="39482"/>
    <cellStyle name="Normal 8 2 3 4 2 2" xfId="39483"/>
    <cellStyle name="Normal 8 2 3 4 3" xfId="39484"/>
    <cellStyle name="Normal 8 2 3 5" xfId="39485"/>
    <cellStyle name="Normal 8 2 3 5 2" xfId="39486"/>
    <cellStyle name="Normal 8 2 3 5 2 2" xfId="39487"/>
    <cellStyle name="Normal 8 2 3 5 3" xfId="39488"/>
    <cellStyle name="Normal 8 2 3 6" xfId="39489"/>
    <cellStyle name="Normal 8 2 4" xfId="39490"/>
    <cellStyle name="Normal 8 3" xfId="39491"/>
    <cellStyle name="Normal 8 3 2" xfId="39492"/>
    <cellStyle name="Normal 8 3 2 2" xfId="39493"/>
    <cellStyle name="Normal 8 3 2 2 2" xfId="39494"/>
    <cellStyle name="Normal 8 3 2 3" xfId="39495"/>
    <cellStyle name="Normal 8 3 2 3 2" xfId="39496"/>
    <cellStyle name="Normal 8 3 2 3 2 2" xfId="39497"/>
    <cellStyle name="Normal 8 3 2 3 3" xfId="39498"/>
    <cellStyle name="Normal 8 3 2 4" xfId="39499"/>
    <cellStyle name="Normal 8 3 2 4 2" xfId="39500"/>
    <cellStyle name="Normal 8 3 2 4 2 2" xfId="39501"/>
    <cellStyle name="Normal 8 3 2 4 3" xfId="39502"/>
    <cellStyle name="Normal 8 3 2 5" xfId="39503"/>
    <cellStyle name="Normal 8 3 3" xfId="39504"/>
    <cellStyle name="Normal 8 3 3 2" xfId="39505"/>
    <cellStyle name="Normal 8 3 3 2 2" xfId="39506"/>
    <cellStyle name="Normal 8 3 3 2 2 2" xfId="39507"/>
    <cellStyle name="Normal 8 3 3 2 3" xfId="39508"/>
    <cellStyle name="Normal 8 3 3 2 3 2" xfId="39509"/>
    <cellStyle name="Normal 8 3 3 2 3 2 2" xfId="39510"/>
    <cellStyle name="Normal 8 3 3 2 3 3" xfId="39511"/>
    <cellStyle name="Normal 8 3 3 2 4" xfId="39512"/>
    <cellStyle name="Normal 8 3 3 3" xfId="39513"/>
    <cellStyle name="Normal 8 3 3 3 2" xfId="39514"/>
    <cellStyle name="Normal 8 3 3 3 2 2" xfId="39515"/>
    <cellStyle name="Normal 8 3 3 3 3" xfId="39516"/>
    <cellStyle name="Normal 8 3 3 4" xfId="39517"/>
    <cellStyle name="Normal 8 3 3 4 2" xfId="39518"/>
    <cellStyle name="Normal 8 3 3 4 2 2" xfId="39519"/>
    <cellStyle name="Normal 8 3 3 4 3" xfId="39520"/>
    <cellStyle name="Normal 8 3 3 5" xfId="39521"/>
    <cellStyle name="Normal 8 3 3 5 2" xfId="39522"/>
    <cellStyle name="Normal 8 3 3 5 2 2" xfId="39523"/>
    <cellStyle name="Normal 8 3 3 5 3" xfId="39524"/>
    <cellStyle name="Normal 8 3 3 6" xfId="39525"/>
    <cellStyle name="Normal 8 3 4" xfId="39526"/>
    <cellStyle name="Normal 8 4" xfId="39527"/>
    <cellStyle name="Normal 8 4 2" xfId="39528"/>
    <cellStyle name="Normal 8 4 2 2" xfId="39529"/>
    <cellStyle name="Normal 8 4 3" xfId="39530"/>
    <cellStyle name="Normal 8 4 3 2" xfId="39531"/>
    <cellStyle name="Normal 8 4 3 2 2" xfId="39532"/>
    <cellStyle name="Normal 8 4 3 3" xfId="39533"/>
    <cellStyle name="Normal 8 4 4" xfId="39534"/>
    <cellStyle name="Normal 8 4 4 2" xfId="39535"/>
    <cellStyle name="Normal 8 4 4 2 2" xfId="39536"/>
    <cellStyle name="Normal 8 4 4 3" xfId="39537"/>
    <cellStyle name="Normal 8 4 5" xfId="39538"/>
    <cellStyle name="Normal 8 5" xfId="39539"/>
    <cellStyle name="Normal 8 5 2" xfId="39540"/>
    <cellStyle name="Normal 8 5 2 2" xfId="39541"/>
    <cellStyle name="Normal 8 5 3" xfId="39542"/>
    <cellStyle name="Normal 8 5 3 2" xfId="39543"/>
    <cellStyle name="Normal 8 5 3 2 2" xfId="39544"/>
    <cellStyle name="Normal 8 5 3 3" xfId="39545"/>
    <cellStyle name="Normal 8 5 4" xfId="39546"/>
    <cellStyle name="Normal 8 5 4 2" xfId="39547"/>
    <cellStyle name="Normal 8 5 4 2 2" xfId="39548"/>
    <cellStyle name="Normal 8 5 4 3" xfId="39549"/>
    <cellStyle name="Normal 8 5 5" xfId="39550"/>
    <cellStyle name="Normal 8 6" xfId="39551"/>
    <cellStyle name="Normal 8 6 2" xfId="39552"/>
    <cellStyle name="Normal 8 6 2 2" xfId="39553"/>
    <cellStyle name="Normal 8 6 2 2 2" xfId="39554"/>
    <cellStyle name="Normal 8 6 2 3" xfId="39555"/>
    <cellStyle name="Normal 8 6 2 3 2" xfId="39556"/>
    <cellStyle name="Normal 8 6 2 3 2 2" xfId="39557"/>
    <cellStyle name="Normal 8 6 2 3 3" xfId="39558"/>
    <cellStyle name="Normal 8 6 2 4" xfId="39559"/>
    <cellStyle name="Normal 8 6 3" xfId="39560"/>
    <cellStyle name="Normal 8 6 3 2" xfId="39561"/>
    <cellStyle name="Normal 8 6 3 2 2" xfId="39562"/>
    <cellStyle name="Normal 8 6 3 3" xfId="39563"/>
    <cellStyle name="Normal 8 6 4" xfId="39564"/>
    <cellStyle name="Normal 8 6 4 2" xfId="39565"/>
    <cellStyle name="Normal 8 6 4 2 2" xfId="39566"/>
    <cellStyle name="Normal 8 6 4 3" xfId="39567"/>
    <cellStyle name="Normal 8 6 5" xfId="39568"/>
    <cellStyle name="Normal 8 6 5 2" xfId="39569"/>
    <cellStyle name="Normal 8 6 5 2 2" xfId="39570"/>
    <cellStyle name="Normal 8 6 5 3" xfId="39571"/>
    <cellStyle name="Normal 8 6 6" xfId="39572"/>
    <cellStyle name="Normal 8 7" xfId="39573"/>
    <cellStyle name="Normal 8 7 2" xfId="39574"/>
    <cellStyle name="Normal 8 7 2 2" xfId="39575"/>
    <cellStyle name="Normal 8 7 3" xfId="39576"/>
    <cellStyle name="Normal 8 8" xfId="39577"/>
    <cellStyle name="Normal 8 8 2" xfId="39578"/>
    <cellStyle name="Normal 8 8 2 2" xfId="39579"/>
    <cellStyle name="Normal 8 8 3" xfId="39580"/>
    <cellStyle name="Normal 8 9" xfId="39581"/>
    <cellStyle name="Normal 8 9 2" xfId="39582"/>
    <cellStyle name="Normal 80" xfId="39583"/>
    <cellStyle name="Normal 80 2" xfId="39584"/>
    <cellStyle name="Normal 80 2 2" xfId="39585"/>
    <cellStyle name="Normal 80 2 2 2" xfId="39586"/>
    <cellStyle name="Normal 80 2 3" xfId="39587"/>
    <cellStyle name="Normal 80 2 3 2" xfId="39588"/>
    <cellStyle name="Normal 80 2 3 2 2" xfId="39589"/>
    <cellStyle name="Normal 80 2 3 3" xfId="39590"/>
    <cellStyle name="Normal 80 2 4" xfId="39591"/>
    <cellStyle name="Normal 80 2 4 2" xfId="39592"/>
    <cellStyle name="Normal 80 2 4 2 2" xfId="39593"/>
    <cellStyle name="Normal 80 2 4 3" xfId="39594"/>
    <cellStyle name="Normal 80 2 5" xfId="39595"/>
    <cellStyle name="Normal 80 3" xfId="39596"/>
    <cellStyle name="Normal 80 3 2" xfId="39597"/>
    <cellStyle name="Normal 80 3 2 2" xfId="39598"/>
    <cellStyle name="Normal 80 3 2 2 2" xfId="39599"/>
    <cellStyle name="Normal 80 3 2 3" xfId="39600"/>
    <cellStyle name="Normal 80 3 2 3 2" xfId="39601"/>
    <cellStyle name="Normal 80 3 2 3 2 2" xfId="39602"/>
    <cellStyle name="Normal 80 3 2 3 3" xfId="39603"/>
    <cellStyle name="Normal 80 3 2 4" xfId="39604"/>
    <cellStyle name="Normal 80 3 3" xfId="39605"/>
    <cellStyle name="Normal 80 3 3 2" xfId="39606"/>
    <cellStyle name="Normal 80 3 3 2 2" xfId="39607"/>
    <cellStyle name="Normal 80 3 3 3" xfId="39608"/>
    <cellStyle name="Normal 80 3 4" xfId="39609"/>
    <cellStyle name="Normal 80 3 4 2" xfId="39610"/>
    <cellStyle name="Normal 80 3 4 2 2" xfId="39611"/>
    <cellStyle name="Normal 80 3 4 3" xfId="39612"/>
    <cellStyle name="Normal 80 3 5" xfId="39613"/>
    <cellStyle name="Normal 80 3 5 2" xfId="39614"/>
    <cellStyle name="Normal 80 3 5 2 2" xfId="39615"/>
    <cellStyle name="Normal 80 3 5 3" xfId="39616"/>
    <cellStyle name="Normal 80 3 6" xfId="39617"/>
    <cellStyle name="Normal 80 4" xfId="39618"/>
    <cellStyle name="Normal 80 4 2" xfId="39619"/>
    <cellStyle name="Normal 80 4 2 2" xfId="39620"/>
    <cellStyle name="Normal 80 4 3" xfId="39621"/>
    <cellStyle name="Normal 80 5" xfId="39622"/>
    <cellStyle name="Normal 80 5 2" xfId="39623"/>
    <cellStyle name="Normal 80 5 2 2" xfId="39624"/>
    <cellStyle name="Normal 80 5 3" xfId="39625"/>
    <cellStyle name="Normal 80 6" xfId="39626"/>
    <cellStyle name="Normal 80 6 2" xfId="39627"/>
    <cellStyle name="Normal 80 6 2 2" xfId="39628"/>
    <cellStyle name="Normal 80 6 3" xfId="39629"/>
    <cellStyle name="Normal 80 7" xfId="39630"/>
    <cellStyle name="Normal 81" xfId="39631"/>
    <cellStyle name="Normal 81 2" xfId="39632"/>
    <cellStyle name="Normal 81 2 2" xfId="39633"/>
    <cellStyle name="Normal 81 2 2 2" xfId="39634"/>
    <cellStyle name="Normal 81 2 3" xfId="39635"/>
    <cellStyle name="Normal 81 2 3 2" xfId="39636"/>
    <cellStyle name="Normal 81 2 3 2 2" xfId="39637"/>
    <cellStyle name="Normal 81 2 3 3" xfId="39638"/>
    <cellStyle name="Normal 81 2 4" xfId="39639"/>
    <cellStyle name="Normal 81 2 4 2" xfId="39640"/>
    <cellStyle name="Normal 81 2 4 2 2" xfId="39641"/>
    <cellStyle name="Normal 81 2 4 3" xfId="39642"/>
    <cellStyle name="Normal 81 2 5" xfId="39643"/>
    <cellStyle name="Normal 81 3" xfId="39644"/>
    <cellStyle name="Normal 81 3 2" xfId="39645"/>
    <cellStyle name="Normal 81 3 2 2" xfId="39646"/>
    <cellStyle name="Normal 81 3 2 2 2" xfId="39647"/>
    <cellStyle name="Normal 81 3 2 3" xfId="39648"/>
    <cellStyle name="Normal 81 3 2 3 2" xfId="39649"/>
    <cellStyle name="Normal 81 3 2 3 2 2" xfId="39650"/>
    <cellStyle name="Normal 81 3 2 3 3" xfId="39651"/>
    <cellStyle name="Normal 81 3 2 4" xfId="39652"/>
    <cellStyle name="Normal 81 3 3" xfId="39653"/>
    <cellStyle name="Normal 81 3 3 2" xfId="39654"/>
    <cellStyle name="Normal 81 3 3 2 2" xfId="39655"/>
    <cellStyle name="Normal 81 3 3 3" xfId="39656"/>
    <cellStyle name="Normal 81 3 4" xfId="39657"/>
    <cellStyle name="Normal 81 3 4 2" xfId="39658"/>
    <cellStyle name="Normal 81 3 4 2 2" xfId="39659"/>
    <cellStyle name="Normal 81 3 4 3" xfId="39660"/>
    <cellStyle name="Normal 81 3 5" xfId="39661"/>
    <cellStyle name="Normal 81 3 5 2" xfId="39662"/>
    <cellStyle name="Normal 81 3 5 2 2" xfId="39663"/>
    <cellStyle name="Normal 81 3 5 3" xfId="39664"/>
    <cellStyle name="Normal 81 3 6" xfId="39665"/>
    <cellStyle name="Normal 81 4" xfId="39666"/>
    <cellStyle name="Normal 81 4 2" xfId="39667"/>
    <cellStyle name="Normal 81 4 2 2" xfId="39668"/>
    <cellStyle name="Normal 81 4 3" xfId="39669"/>
    <cellStyle name="Normal 81 5" xfId="39670"/>
    <cellStyle name="Normal 81 5 2" xfId="39671"/>
    <cellStyle name="Normal 81 5 2 2" xfId="39672"/>
    <cellStyle name="Normal 81 5 3" xfId="39673"/>
    <cellStyle name="Normal 81 6" xfId="39674"/>
    <cellStyle name="Normal 81 6 2" xfId="39675"/>
    <cellStyle name="Normal 81 6 2 2" xfId="39676"/>
    <cellStyle name="Normal 81 6 3" xfId="39677"/>
    <cellStyle name="Normal 81 7" xfId="39678"/>
    <cellStyle name="Normal 82" xfId="39679"/>
    <cellStyle name="Normal 82 2" xfId="39680"/>
    <cellStyle name="Normal 82 2 2" xfId="39681"/>
    <cellStyle name="Normal 82 2 2 2" xfId="39682"/>
    <cellStyle name="Normal 82 2 3" xfId="39683"/>
    <cellStyle name="Normal 82 2 3 2" xfId="39684"/>
    <cellStyle name="Normal 82 2 3 2 2" xfId="39685"/>
    <cellStyle name="Normal 82 2 3 3" xfId="39686"/>
    <cellStyle name="Normal 82 2 4" xfId="39687"/>
    <cellStyle name="Normal 82 2 4 2" xfId="39688"/>
    <cellStyle name="Normal 82 2 4 2 2" xfId="39689"/>
    <cellStyle name="Normal 82 2 4 3" xfId="39690"/>
    <cellStyle name="Normal 82 2 5" xfId="39691"/>
    <cellStyle name="Normal 82 3" xfId="39692"/>
    <cellStyle name="Normal 82 3 2" xfId="39693"/>
    <cellStyle name="Normal 82 3 2 2" xfId="39694"/>
    <cellStyle name="Normal 82 3 2 2 2" xfId="39695"/>
    <cellStyle name="Normal 82 3 2 3" xfId="39696"/>
    <cellStyle name="Normal 82 3 2 3 2" xfId="39697"/>
    <cellStyle name="Normal 82 3 2 3 2 2" xfId="39698"/>
    <cellStyle name="Normal 82 3 2 3 3" xfId="39699"/>
    <cellStyle name="Normal 82 3 2 4" xfId="39700"/>
    <cellStyle name="Normal 82 3 3" xfId="39701"/>
    <cellStyle name="Normal 82 3 3 2" xfId="39702"/>
    <cellStyle name="Normal 82 3 3 2 2" xfId="39703"/>
    <cellStyle name="Normal 82 3 3 3" xfId="39704"/>
    <cellStyle name="Normal 82 3 4" xfId="39705"/>
    <cellStyle name="Normal 82 3 4 2" xfId="39706"/>
    <cellStyle name="Normal 82 3 4 2 2" xfId="39707"/>
    <cellStyle name="Normal 82 3 4 3" xfId="39708"/>
    <cellStyle name="Normal 82 3 5" xfId="39709"/>
    <cellStyle name="Normal 82 3 5 2" xfId="39710"/>
    <cellStyle name="Normal 82 3 5 2 2" xfId="39711"/>
    <cellStyle name="Normal 82 3 5 3" xfId="39712"/>
    <cellStyle name="Normal 82 3 6" xfId="39713"/>
    <cellStyle name="Normal 82 4" xfId="39714"/>
    <cellStyle name="Normal 82 4 2" xfId="39715"/>
    <cellStyle name="Normal 82 4 2 2" xfId="39716"/>
    <cellStyle name="Normal 82 4 3" xfId="39717"/>
    <cellStyle name="Normal 82 5" xfId="39718"/>
    <cellStyle name="Normal 82 5 2" xfId="39719"/>
    <cellStyle name="Normal 82 5 2 2" xfId="39720"/>
    <cellStyle name="Normal 82 5 3" xfId="39721"/>
    <cellStyle name="Normal 82 6" xfId="39722"/>
    <cellStyle name="Normal 82 6 2" xfId="39723"/>
    <cellStyle name="Normal 82 6 2 2" xfId="39724"/>
    <cellStyle name="Normal 82 6 3" xfId="39725"/>
    <cellStyle name="Normal 82 7" xfId="39726"/>
    <cellStyle name="Normal 83" xfId="39727"/>
    <cellStyle name="Normal 83 2" xfId="39728"/>
    <cellStyle name="Normal 83 2 2" xfId="39729"/>
    <cellStyle name="Normal 83 2 2 2" xfId="39730"/>
    <cellStyle name="Normal 83 2 3" xfId="39731"/>
    <cellStyle name="Normal 83 2 3 2" xfId="39732"/>
    <cellStyle name="Normal 83 2 3 2 2" xfId="39733"/>
    <cellStyle name="Normal 83 2 3 3" xfId="39734"/>
    <cellStyle name="Normal 83 2 4" xfId="39735"/>
    <cellStyle name="Normal 83 2 4 2" xfId="39736"/>
    <cellStyle name="Normal 83 2 4 2 2" xfId="39737"/>
    <cellStyle name="Normal 83 2 4 3" xfId="39738"/>
    <cellStyle name="Normal 83 2 5" xfId="39739"/>
    <cellStyle name="Normal 83 3" xfId="39740"/>
    <cellStyle name="Normal 83 3 2" xfId="39741"/>
    <cellStyle name="Normal 83 3 2 2" xfId="39742"/>
    <cellStyle name="Normal 83 3 2 2 2" xfId="39743"/>
    <cellStyle name="Normal 83 3 2 3" xfId="39744"/>
    <cellStyle name="Normal 83 3 2 3 2" xfId="39745"/>
    <cellStyle name="Normal 83 3 2 3 2 2" xfId="39746"/>
    <cellStyle name="Normal 83 3 2 3 3" xfId="39747"/>
    <cellStyle name="Normal 83 3 2 4" xfId="39748"/>
    <cellStyle name="Normal 83 3 3" xfId="39749"/>
    <cellStyle name="Normal 83 3 3 2" xfId="39750"/>
    <cellStyle name="Normal 83 3 3 2 2" xfId="39751"/>
    <cellStyle name="Normal 83 3 3 3" xfId="39752"/>
    <cellStyle name="Normal 83 3 4" xfId="39753"/>
    <cellStyle name="Normal 83 3 4 2" xfId="39754"/>
    <cellStyle name="Normal 83 3 4 2 2" xfId="39755"/>
    <cellStyle name="Normal 83 3 4 3" xfId="39756"/>
    <cellStyle name="Normal 83 3 5" xfId="39757"/>
    <cellStyle name="Normal 83 3 5 2" xfId="39758"/>
    <cellStyle name="Normal 83 3 5 2 2" xfId="39759"/>
    <cellStyle name="Normal 83 3 5 3" xfId="39760"/>
    <cellStyle name="Normal 83 3 6" xfId="39761"/>
    <cellStyle name="Normal 83 4" xfId="39762"/>
    <cellStyle name="Normal 83 4 2" xfId="39763"/>
    <cellStyle name="Normal 83 4 2 2" xfId="39764"/>
    <cellStyle name="Normal 83 4 3" xfId="39765"/>
    <cellStyle name="Normal 83 5" xfId="39766"/>
    <cellStyle name="Normal 83 5 2" xfId="39767"/>
    <cellStyle name="Normal 83 5 2 2" xfId="39768"/>
    <cellStyle name="Normal 83 5 3" xfId="39769"/>
    <cellStyle name="Normal 83 6" xfId="39770"/>
    <cellStyle name="Normal 83 6 2" xfId="39771"/>
    <cellStyle name="Normal 83 6 2 2" xfId="39772"/>
    <cellStyle name="Normal 83 6 3" xfId="39773"/>
    <cellStyle name="Normal 83 7" xfId="39774"/>
    <cellStyle name="Normal 84" xfId="39775"/>
    <cellStyle name="Normal 84 2" xfId="39776"/>
    <cellStyle name="Normal 84 2 2" xfId="39777"/>
    <cellStyle name="Normal 84 2 2 2" xfId="39778"/>
    <cellStyle name="Normal 84 2 3" xfId="39779"/>
    <cellStyle name="Normal 84 2 3 2" xfId="39780"/>
    <cellStyle name="Normal 84 2 3 2 2" xfId="39781"/>
    <cellStyle name="Normal 84 2 3 3" xfId="39782"/>
    <cellStyle name="Normal 84 2 4" xfId="39783"/>
    <cellStyle name="Normal 84 2 4 2" xfId="39784"/>
    <cellStyle name="Normal 84 2 4 2 2" xfId="39785"/>
    <cellStyle name="Normal 84 2 4 3" xfId="39786"/>
    <cellStyle name="Normal 84 2 5" xfId="39787"/>
    <cellStyle name="Normal 84 3" xfId="39788"/>
    <cellStyle name="Normal 84 3 2" xfId="39789"/>
    <cellStyle name="Normal 84 3 2 2" xfId="39790"/>
    <cellStyle name="Normal 84 3 2 2 2" xfId="39791"/>
    <cellStyle name="Normal 84 3 2 3" xfId="39792"/>
    <cellStyle name="Normal 84 3 2 3 2" xfId="39793"/>
    <cellStyle name="Normal 84 3 2 3 2 2" xfId="39794"/>
    <cellStyle name="Normal 84 3 2 3 3" xfId="39795"/>
    <cellStyle name="Normal 84 3 2 4" xfId="39796"/>
    <cellStyle name="Normal 84 3 3" xfId="39797"/>
    <cellStyle name="Normal 84 3 3 2" xfId="39798"/>
    <cellStyle name="Normal 84 3 3 2 2" xfId="39799"/>
    <cellStyle name="Normal 84 3 3 3" xfId="39800"/>
    <cellStyle name="Normal 84 3 4" xfId="39801"/>
    <cellStyle name="Normal 84 3 4 2" xfId="39802"/>
    <cellStyle name="Normal 84 3 4 2 2" xfId="39803"/>
    <cellStyle name="Normal 84 3 4 3" xfId="39804"/>
    <cellStyle name="Normal 84 3 5" xfId="39805"/>
    <cellStyle name="Normal 84 3 5 2" xfId="39806"/>
    <cellStyle name="Normal 84 3 5 2 2" xfId="39807"/>
    <cellStyle name="Normal 84 3 5 3" xfId="39808"/>
    <cellStyle name="Normal 84 3 6" xfId="39809"/>
    <cellStyle name="Normal 84 4" xfId="39810"/>
    <cellStyle name="Normal 84 4 2" xfId="39811"/>
    <cellStyle name="Normal 84 4 2 2" xfId="39812"/>
    <cellStyle name="Normal 84 4 3" xfId="39813"/>
    <cellStyle name="Normal 84 5" xfId="39814"/>
    <cellStyle name="Normal 84 5 2" xfId="39815"/>
    <cellStyle name="Normal 84 5 2 2" xfId="39816"/>
    <cellStyle name="Normal 84 5 3" xfId="39817"/>
    <cellStyle name="Normal 84 6" xfId="39818"/>
    <cellStyle name="Normal 84 6 2" xfId="39819"/>
    <cellStyle name="Normal 84 6 2 2" xfId="39820"/>
    <cellStyle name="Normal 84 6 3" xfId="39821"/>
    <cellStyle name="Normal 84 7" xfId="39822"/>
    <cellStyle name="Normal 85" xfId="39823"/>
    <cellStyle name="Normal 85 2" xfId="39824"/>
    <cellStyle name="Normal 85 2 2" xfId="39825"/>
    <cellStyle name="Normal 85 2 2 2" xfId="39826"/>
    <cellStyle name="Normal 85 2 3" xfId="39827"/>
    <cellStyle name="Normal 85 2 3 2" xfId="39828"/>
    <cellStyle name="Normal 85 2 3 2 2" xfId="39829"/>
    <cellStyle name="Normal 85 2 3 3" xfId="39830"/>
    <cellStyle name="Normal 85 2 4" xfId="39831"/>
    <cellStyle name="Normal 85 2 4 2" xfId="39832"/>
    <cellStyle name="Normal 85 2 4 2 2" xfId="39833"/>
    <cellStyle name="Normal 85 2 4 3" xfId="39834"/>
    <cellStyle name="Normal 85 2 5" xfId="39835"/>
    <cellStyle name="Normal 85 3" xfId="39836"/>
    <cellStyle name="Normal 85 3 2" xfId="39837"/>
    <cellStyle name="Normal 85 3 2 2" xfId="39838"/>
    <cellStyle name="Normal 85 3 2 2 2" xfId="39839"/>
    <cellStyle name="Normal 85 3 2 3" xfId="39840"/>
    <cellStyle name="Normal 85 3 2 3 2" xfId="39841"/>
    <cellStyle name="Normal 85 3 2 3 2 2" xfId="39842"/>
    <cellStyle name="Normal 85 3 2 3 3" xfId="39843"/>
    <cellStyle name="Normal 85 3 2 4" xfId="39844"/>
    <cellStyle name="Normal 85 3 3" xfId="39845"/>
    <cellStyle name="Normal 85 3 3 2" xfId="39846"/>
    <cellStyle name="Normal 85 3 3 2 2" xfId="39847"/>
    <cellStyle name="Normal 85 3 3 3" xfId="39848"/>
    <cellStyle name="Normal 85 3 4" xfId="39849"/>
    <cellStyle name="Normal 85 3 4 2" xfId="39850"/>
    <cellStyle name="Normal 85 3 4 2 2" xfId="39851"/>
    <cellStyle name="Normal 85 3 4 3" xfId="39852"/>
    <cellStyle name="Normal 85 3 5" xfId="39853"/>
    <cellStyle name="Normal 85 3 5 2" xfId="39854"/>
    <cellStyle name="Normal 85 3 5 2 2" xfId="39855"/>
    <cellStyle name="Normal 85 3 5 3" xfId="39856"/>
    <cellStyle name="Normal 85 3 6" xfId="39857"/>
    <cellStyle name="Normal 85 4" xfId="39858"/>
    <cellStyle name="Normal 85 4 2" xfId="39859"/>
    <cellStyle name="Normal 85 4 2 2" xfId="39860"/>
    <cellStyle name="Normal 85 4 3" xfId="39861"/>
    <cellStyle name="Normal 85 5" xfId="39862"/>
    <cellStyle name="Normal 85 5 2" xfId="39863"/>
    <cellStyle name="Normal 85 5 2 2" xfId="39864"/>
    <cellStyle name="Normal 85 5 3" xfId="39865"/>
    <cellStyle name="Normal 85 6" xfId="39866"/>
    <cellStyle name="Normal 85 6 2" xfId="39867"/>
    <cellStyle name="Normal 85 6 2 2" xfId="39868"/>
    <cellStyle name="Normal 85 6 3" xfId="39869"/>
    <cellStyle name="Normal 85 7" xfId="39870"/>
    <cellStyle name="Normal 86" xfId="39871"/>
    <cellStyle name="Normal 86 2" xfId="39872"/>
    <cellStyle name="Normal 86 2 2" xfId="39873"/>
    <cellStyle name="Normal 86 2 2 2" xfId="39874"/>
    <cellStyle name="Normal 86 2 3" xfId="39875"/>
    <cellStyle name="Normal 86 2 3 2" xfId="39876"/>
    <cellStyle name="Normal 86 2 3 2 2" xfId="39877"/>
    <cellStyle name="Normal 86 2 3 3" xfId="39878"/>
    <cellStyle name="Normal 86 2 4" xfId="39879"/>
    <cellStyle name="Normal 86 2 4 2" xfId="39880"/>
    <cellStyle name="Normal 86 2 4 2 2" xfId="39881"/>
    <cellStyle name="Normal 86 2 4 3" xfId="39882"/>
    <cellStyle name="Normal 86 2 5" xfId="39883"/>
    <cellStyle name="Normal 86 3" xfId="39884"/>
    <cellStyle name="Normal 86 3 2" xfId="39885"/>
    <cellStyle name="Normal 86 3 2 2" xfId="39886"/>
    <cellStyle name="Normal 86 3 2 2 2" xfId="39887"/>
    <cellStyle name="Normal 86 3 2 3" xfId="39888"/>
    <cellStyle name="Normal 86 3 2 3 2" xfId="39889"/>
    <cellStyle name="Normal 86 3 2 3 2 2" xfId="39890"/>
    <cellStyle name="Normal 86 3 2 3 3" xfId="39891"/>
    <cellStyle name="Normal 86 3 2 4" xfId="39892"/>
    <cellStyle name="Normal 86 3 3" xfId="39893"/>
    <cellStyle name="Normal 86 3 3 2" xfId="39894"/>
    <cellStyle name="Normal 86 3 3 2 2" xfId="39895"/>
    <cellStyle name="Normal 86 3 3 3" xfId="39896"/>
    <cellStyle name="Normal 86 3 4" xfId="39897"/>
    <cellStyle name="Normal 86 3 4 2" xfId="39898"/>
    <cellStyle name="Normal 86 3 4 2 2" xfId="39899"/>
    <cellStyle name="Normal 86 3 4 3" xfId="39900"/>
    <cellStyle name="Normal 86 3 5" xfId="39901"/>
    <cellStyle name="Normal 86 3 5 2" xfId="39902"/>
    <cellStyle name="Normal 86 3 5 2 2" xfId="39903"/>
    <cellStyle name="Normal 86 3 5 3" xfId="39904"/>
    <cellStyle name="Normal 86 3 6" xfId="39905"/>
    <cellStyle name="Normal 86 4" xfId="39906"/>
    <cellStyle name="Normal 86 4 2" xfId="39907"/>
    <cellStyle name="Normal 86 4 2 2" xfId="39908"/>
    <cellStyle name="Normal 86 4 3" xfId="39909"/>
    <cellStyle name="Normal 86 5" xfId="39910"/>
    <cellStyle name="Normal 86 5 2" xfId="39911"/>
    <cellStyle name="Normal 86 5 2 2" xfId="39912"/>
    <cellStyle name="Normal 86 5 3" xfId="39913"/>
    <cellStyle name="Normal 86 6" xfId="39914"/>
    <cellStyle name="Normal 86 6 2" xfId="39915"/>
    <cellStyle name="Normal 86 6 2 2" xfId="39916"/>
    <cellStyle name="Normal 86 6 3" xfId="39917"/>
    <cellStyle name="Normal 86 7" xfId="39918"/>
    <cellStyle name="Normal 87" xfId="39919"/>
    <cellStyle name="Normal 87 2" xfId="39920"/>
    <cellStyle name="Normal 87 2 2" xfId="39921"/>
    <cellStyle name="Normal 87 2 2 2" xfId="39922"/>
    <cellStyle name="Normal 87 2 3" xfId="39923"/>
    <cellStyle name="Normal 87 2 3 2" xfId="39924"/>
    <cellStyle name="Normal 87 2 3 2 2" xfId="39925"/>
    <cellStyle name="Normal 87 2 3 3" xfId="39926"/>
    <cellStyle name="Normal 87 2 4" xfId="39927"/>
    <cellStyle name="Normal 87 2 4 2" xfId="39928"/>
    <cellStyle name="Normal 87 2 4 2 2" xfId="39929"/>
    <cellStyle name="Normal 87 2 4 3" xfId="39930"/>
    <cellStyle name="Normal 87 2 5" xfId="39931"/>
    <cellStyle name="Normal 87 3" xfId="39932"/>
    <cellStyle name="Normal 87 3 2" xfId="39933"/>
    <cellStyle name="Normal 87 3 2 2" xfId="39934"/>
    <cellStyle name="Normal 87 3 2 2 2" xfId="39935"/>
    <cellStyle name="Normal 87 3 2 3" xfId="39936"/>
    <cellStyle name="Normal 87 3 2 3 2" xfId="39937"/>
    <cellStyle name="Normal 87 3 2 3 2 2" xfId="39938"/>
    <cellStyle name="Normal 87 3 2 3 3" xfId="39939"/>
    <cellStyle name="Normal 87 3 2 4" xfId="39940"/>
    <cellStyle name="Normal 87 3 3" xfId="39941"/>
    <cellStyle name="Normal 87 3 3 2" xfId="39942"/>
    <cellStyle name="Normal 87 3 3 2 2" xfId="39943"/>
    <cellStyle name="Normal 87 3 3 3" xfId="39944"/>
    <cellStyle name="Normal 87 3 4" xfId="39945"/>
    <cellStyle name="Normal 87 3 4 2" xfId="39946"/>
    <cellStyle name="Normal 87 3 4 2 2" xfId="39947"/>
    <cellStyle name="Normal 87 3 4 3" xfId="39948"/>
    <cellStyle name="Normal 87 3 5" xfId="39949"/>
    <cellStyle name="Normal 87 3 5 2" xfId="39950"/>
    <cellStyle name="Normal 87 3 5 2 2" xfId="39951"/>
    <cellStyle name="Normal 87 3 5 3" xfId="39952"/>
    <cellStyle name="Normal 87 3 6" xfId="39953"/>
    <cellStyle name="Normal 87 4" xfId="39954"/>
    <cellStyle name="Normal 87 4 2" xfId="39955"/>
    <cellStyle name="Normal 87 4 2 2" xfId="39956"/>
    <cellStyle name="Normal 87 4 3" xfId="39957"/>
    <cellStyle name="Normal 87 5" xfId="39958"/>
    <cellStyle name="Normal 87 5 2" xfId="39959"/>
    <cellStyle name="Normal 87 5 2 2" xfId="39960"/>
    <cellStyle name="Normal 87 5 3" xfId="39961"/>
    <cellStyle name="Normal 87 6" xfId="39962"/>
    <cellStyle name="Normal 87 6 2" xfId="39963"/>
    <cellStyle name="Normal 87 6 2 2" xfId="39964"/>
    <cellStyle name="Normal 87 6 3" xfId="39965"/>
    <cellStyle name="Normal 87 7" xfId="39966"/>
    <cellStyle name="Normal 88" xfId="39967"/>
    <cellStyle name="Normal 88 2" xfId="39968"/>
    <cellStyle name="Normal 88 2 2" xfId="39969"/>
    <cellStyle name="Normal 88 2 2 2" xfId="39970"/>
    <cellStyle name="Normal 88 2 3" xfId="39971"/>
    <cellStyle name="Normal 88 2 3 2" xfId="39972"/>
    <cellStyle name="Normal 88 2 3 2 2" xfId="39973"/>
    <cellStyle name="Normal 88 2 3 3" xfId="39974"/>
    <cellStyle name="Normal 88 2 4" xfId="39975"/>
    <cellStyle name="Normal 88 2 4 2" xfId="39976"/>
    <cellStyle name="Normal 88 2 4 2 2" xfId="39977"/>
    <cellStyle name="Normal 88 2 4 3" xfId="39978"/>
    <cellStyle name="Normal 88 2 5" xfId="39979"/>
    <cellStyle name="Normal 88 3" xfId="39980"/>
    <cellStyle name="Normal 88 3 2" xfId="39981"/>
    <cellStyle name="Normal 88 3 2 2" xfId="39982"/>
    <cellStyle name="Normal 88 3 2 2 2" xfId="39983"/>
    <cellStyle name="Normal 88 3 2 3" xfId="39984"/>
    <cellStyle name="Normal 88 3 2 3 2" xfId="39985"/>
    <cellStyle name="Normal 88 3 2 3 2 2" xfId="39986"/>
    <cellStyle name="Normal 88 3 2 3 3" xfId="39987"/>
    <cellStyle name="Normal 88 3 2 4" xfId="39988"/>
    <cellStyle name="Normal 88 3 3" xfId="39989"/>
    <cellStyle name="Normal 88 3 3 2" xfId="39990"/>
    <cellStyle name="Normal 88 3 3 2 2" xfId="39991"/>
    <cellStyle name="Normal 88 3 3 3" xfId="39992"/>
    <cellStyle name="Normal 88 3 4" xfId="39993"/>
    <cellStyle name="Normal 88 3 4 2" xfId="39994"/>
    <cellStyle name="Normal 88 3 4 2 2" xfId="39995"/>
    <cellStyle name="Normal 88 3 4 3" xfId="39996"/>
    <cellStyle name="Normal 88 3 5" xfId="39997"/>
    <cellStyle name="Normal 88 3 5 2" xfId="39998"/>
    <cellStyle name="Normal 88 3 5 2 2" xfId="39999"/>
    <cellStyle name="Normal 88 3 5 3" xfId="40000"/>
    <cellStyle name="Normal 88 3 6" xfId="40001"/>
    <cellStyle name="Normal 88 4" xfId="40002"/>
    <cellStyle name="Normal 88 4 2" xfId="40003"/>
    <cellStyle name="Normal 88 4 2 2" xfId="40004"/>
    <cellStyle name="Normal 88 4 3" xfId="40005"/>
    <cellStyle name="Normal 88 5" xfId="40006"/>
    <cellStyle name="Normal 88 5 2" xfId="40007"/>
    <cellStyle name="Normal 88 5 2 2" xfId="40008"/>
    <cellStyle name="Normal 88 5 3" xfId="40009"/>
    <cellStyle name="Normal 88 6" xfId="40010"/>
    <cellStyle name="Normal 88 6 2" xfId="40011"/>
    <cellStyle name="Normal 88 6 2 2" xfId="40012"/>
    <cellStyle name="Normal 88 6 3" xfId="40013"/>
    <cellStyle name="Normal 88 7" xfId="40014"/>
    <cellStyle name="Normal 89" xfId="40015"/>
    <cellStyle name="Normal 89 2" xfId="40016"/>
    <cellStyle name="Normal 89 2 2" xfId="40017"/>
    <cellStyle name="Normal 89 2 2 2" xfId="40018"/>
    <cellStyle name="Normal 89 2 3" xfId="40019"/>
    <cellStyle name="Normal 89 2 3 2" xfId="40020"/>
    <cellStyle name="Normal 89 2 3 2 2" xfId="40021"/>
    <cellStyle name="Normal 89 2 3 3" xfId="40022"/>
    <cellStyle name="Normal 89 2 4" xfId="40023"/>
    <cellStyle name="Normal 89 2 4 2" xfId="40024"/>
    <cellStyle name="Normal 89 2 4 2 2" xfId="40025"/>
    <cellStyle name="Normal 89 2 4 3" xfId="40026"/>
    <cellStyle name="Normal 89 2 5" xfId="40027"/>
    <cellStyle name="Normal 89 3" xfId="40028"/>
    <cellStyle name="Normal 89 3 2" xfId="40029"/>
    <cellStyle name="Normal 89 3 2 2" xfId="40030"/>
    <cellStyle name="Normal 89 3 2 2 2" xfId="40031"/>
    <cellStyle name="Normal 89 3 2 3" xfId="40032"/>
    <cellStyle name="Normal 89 3 2 3 2" xfId="40033"/>
    <cellStyle name="Normal 89 3 2 3 2 2" xfId="40034"/>
    <cellStyle name="Normal 89 3 2 3 3" xfId="40035"/>
    <cellStyle name="Normal 89 3 2 4" xfId="40036"/>
    <cellStyle name="Normal 89 3 3" xfId="40037"/>
    <cellStyle name="Normal 89 3 3 2" xfId="40038"/>
    <cellStyle name="Normal 89 3 3 2 2" xfId="40039"/>
    <cellStyle name="Normal 89 3 3 3" xfId="40040"/>
    <cellStyle name="Normal 89 3 4" xfId="40041"/>
    <cellStyle name="Normal 89 3 4 2" xfId="40042"/>
    <cellStyle name="Normal 89 3 4 2 2" xfId="40043"/>
    <cellStyle name="Normal 89 3 4 3" xfId="40044"/>
    <cellStyle name="Normal 89 3 5" xfId="40045"/>
    <cellStyle name="Normal 89 3 5 2" xfId="40046"/>
    <cellStyle name="Normal 89 3 5 2 2" xfId="40047"/>
    <cellStyle name="Normal 89 3 5 3" xfId="40048"/>
    <cellStyle name="Normal 89 3 6" xfId="40049"/>
    <cellStyle name="Normal 89 4" xfId="40050"/>
    <cellStyle name="Normal 89 4 2" xfId="40051"/>
    <cellStyle name="Normal 89 4 2 2" xfId="40052"/>
    <cellStyle name="Normal 89 4 3" xfId="40053"/>
    <cellStyle name="Normal 89 5" xfId="40054"/>
    <cellStyle name="Normal 89 5 2" xfId="40055"/>
    <cellStyle name="Normal 89 5 2 2" xfId="40056"/>
    <cellStyle name="Normal 89 5 3" xfId="40057"/>
    <cellStyle name="Normal 89 6" xfId="40058"/>
    <cellStyle name="Normal 89 6 2" xfId="40059"/>
    <cellStyle name="Normal 89 6 2 2" xfId="40060"/>
    <cellStyle name="Normal 89 6 3" xfId="40061"/>
    <cellStyle name="Normal 89 7" xfId="40062"/>
    <cellStyle name="Normal 9" xfId="138"/>
    <cellStyle name="Normal 9 10" xfId="53724"/>
    <cellStyle name="Normal 9 11" xfId="53786"/>
    <cellStyle name="Normal 9 2" xfId="182"/>
    <cellStyle name="Normal 9 2 2" xfId="318"/>
    <cellStyle name="Normal 9 2 2 2" xfId="40066"/>
    <cellStyle name="Normal 9 2 2 2 2" xfId="40067"/>
    <cellStyle name="Normal 9 2 2 3" xfId="40068"/>
    <cellStyle name="Normal 9 2 2 3 2" xfId="40069"/>
    <cellStyle name="Normal 9 2 2 3 2 2" xfId="40070"/>
    <cellStyle name="Normal 9 2 2 3 3" xfId="40071"/>
    <cellStyle name="Normal 9 2 2 4" xfId="40072"/>
    <cellStyle name="Normal 9 2 2 4 2" xfId="40073"/>
    <cellStyle name="Normal 9 2 2 4 2 2" xfId="40074"/>
    <cellStyle name="Normal 9 2 2 4 3" xfId="40075"/>
    <cellStyle name="Normal 9 2 2 5" xfId="40076"/>
    <cellStyle name="Normal 9 2 2 6" xfId="40065"/>
    <cellStyle name="Normal 9 2 3" xfId="441"/>
    <cellStyle name="Normal 9 2 3 2" xfId="40078"/>
    <cellStyle name="Normal 9 2 3 2 2" xfId="40079"/>
    <cellStyle name="Normal 9 2 3 2 2 2" xfId="40080"/>
    <cellStyle name="Normal 9 2 3 2 3" xfId="40081"/>
    <cellStyle name="Normal 9 2 3 2 3 2" xfId="40082"/>
    <cellStyle name="Normal 9 2 3 2 3 2 2" xfId="40083"/>
    <cellStyle name="Normal 9 2 3 2 3 3" xfId="40084"/>
    <cellStyle name="Normal 9 2 3 2 4" xfId="40085"/>
    <cellStyle name="Normal 9 2 3 3" xfId="40086"/>
    <cellStyle name="Normal 9 2 3 3 2" xfId="40087"/>
    <cellStyle name="Normal 9 2 3 3 2 2" xfId="40088"/>
    <cellStyle name="Normal 9 2 3 3 3" xfId="40089"/>
    <cellStyle name="Normal 9 2 3 4" xfId="40090"/>
    <cellStyle name="Normal 9 2 3 4 2" xfId="40091"/>
    <cellStyle name="Normal 9 2 3 4 2 2" xfId="40092"/>
    <cellStyle name="Normal 9 2 3 4 3" xfId="40093"/>
    <cellStyle name="Normal 9 2 3 5" xfId="40094"/>
    <cellStyle name="Normal 9 2 3 5 2" xfId="40095"/>
    <cellStyle name="Normal 9 2 3 5 2 2" xfId="40096"/>
    <cellStyle name="Normal 9 2 3 5 3" xfId="40097"/>
    <cellStyle name="Normal 9 2 3 6" xfId="40098"/>
    <cellStyle name="Normal 9 2 3 7" xfId="40077"/>
    <cellStyle name="Normal 9 2 4" xfId="665"/>
    <cellStyle name="Normal 9 2 4 2" xfId="40099"/>
    <cellStyle name="Normal 9 2 5" xfId="40064"/>
    <cellStyle name="Normal 9 2 6" xfId="53808"/>
    <cellStyle name="Normal 9 3" xfId="223"/>
    <cellStyle name="Normal 9 3 2" xfId="359"/>
    <cellStyle name="Normal 9 3 2 2" xfId="40102"/>
    <cellStyle name="Normal 9 3 2 2 2" xfId="40103"/>
    <cellStyle name="Normal 9 3 2 3" xfId="40104"/>
    <cellStyle name="Normal 9 3 2 3 2" xfId="40105"/>
    <cellStyle name="Normal 9 3 2 3 2 2" xfId="40106"/>
    <cellStyle name="Normal 9 3 2 3 3" xfId="40107"/>
    <cellStyle name="Normal 9 3 2 4" xfId="40108"/>
    <cellStyle name="Normal 9 3 2 4 2" xfId="40109"/>
    <cellStyle name="Normal 9 3 2 4 2 2" xfId="40110"/>
    <cellStyle name="Normal 9 3 2 4 3" xfId="40111"/>
    <cellStyle name="Normal 9 3 2 5" xfId="40112"/>
    <cellStyle name="Normal 9 3 2 6" xfId="40101"/>
    <cellStyle name="Normal 9 3 3" xfId="482"/>
    <cellStyle name="Normal 9 3 3 2" xfId="40114"/>
    <cellStyle name="Normal 9 3 3 2 2" xfId="40115"/>
    <cellStyle name="Normal 9 3 3 3" xfId="40116"/>
    <cellStyle name="Normal 9 3 3 4" xfId="40113"/>
    <cellStyle name="Normal 9 3 4" xfId="666"/>
    <cellStyle name="Normal 9 3 4 2" xfId="40118"/>
    <cellStyle name="Normal 9 3 4 2 2" xfId="40119"/>
    <cellStyle name="Normal 9 3 4 3" xfId="40120"/>
    <cellStyle name="Normal 9 3 4 4" xfId="40117"/>
    <cellStyle name="Normal 9 3 5" xfId="40121"/>
    <cellStyle name="Normal 9 3 5 2" xfId="40122"/>
    <cellStyle name="Normal 9 3 5 2 2" xfId="40123"/>
    <cellStyle name="Normal 9 3 5 3" xfId="40124"/>
    <cellStyle name="Normal 9 3 6" xfId="40125"/>
    <cellStyle name="Normal 9 3 7" xfId="40100"/>
    <cellStyle name="Normal 9 3 8" xfId="53849"/>
    <cellStyle name="Normal 9 4" xfId="277"/>
    <cellStyle name="Normal 9 4 2" xfId="40127"/>
    <cellStyle name="Normal 9 4 2 2" xfId="40128"/>
    <cellStyle name="Normal 9 4 3" xfId="40129"/>
    <cellStyle name="Normal 9 4 3 2" xfId="40130"/>
    <cellStyle name="Normal 9 4 3 2 2" xfId="40131"/>
    <cellStyle name="Normal 9 4 3 3" xfId="40132"/>
    <cellStyle name="Normal 9 4 4" xfId="40133"/>
    <cellStyle name="Normal 9 4 4 2" xfId="40134"/>
    <cellStyle name="Normal 9 4 4 2 2" xfId="40135"/>
    <cellStyle name="Normal 9 4 4 3" xfId="40136"/>
    <cellStyle name="Normal 9 4 5" xfId="40137"/>
    <cellStyle name="Normal 9 4 6" xfId="40126"/>
    <cellStyle name="Normal 9 5" xfId="400"/>
    <cellStyle name="Normal 9 5 2" xfId="40139"/>
    <cellStyle name="Normal 9 5 2 2" xfId="40140"/>
    <cellStyle name="Normal 9 5 2 2 2" xfId="40141"/>
    <cellStyle name="Normal 9 5 2 3" xfId="40142"/>
    <cellStyle name="Normal 9 5 2 3 2" xfId="40143"/>
    <cellStyle name="Normal 9 5 2 3 2 2" xfId="40144"/>
    <cellStyle name="Normal 9 5 2 3 3" xfId="40145"/>
    <cellStyle name="Normal 9 5 2 4" xfId="40146"/>
    <cellStyle name="Normal 9 5 3" xfId="40147"/>
    <cellStyle name="Normal 9 5 3 2" xfId="40148"/>
    <cellStyle name="Normal 9 5 3 2 2" xfId="40149"/>
    <cellStyle name="Normal 9 5 3 3" xfId="40150"/>
    <cellStyle name="Normal 9 5 4" xfId="40151"/>
    <cellStyle name="Normal 9 5 4 2" xfId="40152"/>
    <cellStyle name="Normal 9 5 4 2 2" xfId="40153"/>
    <cellStyle name="Normal 9 5 4 3" xfId="40154"/>
    <cellStyle name="Normal 9 5 5" xfId="40155"/>
    <cellStyle name="Normal 9 5 5 2" xfId="40156"/>
    <cellStyle name="Normal 9 5 5 2 2" xfId="40157"/>
    <cellStyle name="Normal 9 5 5 3" xfId="40158"/>
    <cellStyle name="Normal 9 5 6" xfId="40159"/>
    <cellStyle name="Normal 9 5 7" xfId="40138"/>
    <cellStyle name="Normal 9 6" xfId="523"/>
    <cellStyle name="Normal 9 6 2" xfId="40161"/>
    <cellStyle name="Normal 9 6 2 2" xfId="40162"/>
    <cellStyle name="Normal 9 6 2 2 2" xfId="40163"/>
    <cellStyle name="Normal 9 6 2 3" xfId="40164"/>
    <cellStyle name="Normal 9 6 2 3 2" xfId="40165"/>
    <cellStyle name="Normal 9 6 2 3 2 2" xfId="40166"/>
    <cellStyle name="Normal 9 6 2 3 3" xfId="40167"/>
    <cellStyle name="Normal 9 6 2 4" xfId="40168"/>
    <cellStyle name="Normal 9 6 3" xfId="40169"/>
    <cellStyle name="Normal 9 6 3 2" xfId="40170"/>
    <cellStyle name="Normal 9 6 3 2 2" xfId="40171"/>
    <cellStyle name="Normal 9 6 3 3" xfId="40172"/>
    <cellStyle name="Normal 9 6 4" xfId="40173"/>
    <cellStyle name="Normal 9 6 4 2" xfId="40174"/>
    <cellStyle name="Normal 9 6 4 2 2" xfId="40175"/>
    <cellStyle name="Normal 9 6 4 3" xfId="40176"/>
    <cellStyle name="Normal 9 6 5" xfId="40177"/>
    <cellStyle name="Normal 9 6 6" xfId="40160"/>
    <cellStyle name="Normal 9 7" xfId="664"/>
    <cellStyle name="Normal 9 7 2" xfId="40179"/>
    <cellStyle name="Normal 9 7 3" xfId="40178"/>
    <cellStyle name="Normal 9 8" xfId="40180"/>
    <cellStyle name="Normal 9 9" xfId="40063"/>
    <cellStyle name="Normal 90" xfId="40181"/>
    <cellStyle name="Normal 90 2" xfId="40182"/>
    <cellStyle name="Normal 90 2 2" xfId="40183"/>
    <cellStyle name="Normal 90 2 2 2" xfId="40184"/>
    <cellStyle name="Normal 90 2 3" xfId="40185"/>
    <cellStyle name="Normal 90 2 3 2" xfId="40186"/>
    <cellStyle name="Normal 90 2 3 2 2" xfId="40187"/>
    <cellStyle name="Normal 90 2 3 3" xfId="40188"/>
    <cellStyle name="Normal 90 2 4" xfId="40189"/>
    <cellStyle name="Normal 90 2 4 2" xfId="40190"/>
    <cellStyle name="Normal 90 2 4 2 2" xfId="40191"/>
    <cellStyle name="Normal 90 2 4 3" xfId="40192"/>
    <cellStyle name="Normal 90 2 5" xfId="40193"/>
    <cellStyle name="Normal 90 3" xfId="40194"/>
    <cellStyle name="Normal 90 3 2" xfId="40195"/>
    <cellStyle name="Normal 90 3 2 2" xfId="40196"/>
    <cellStyle name="Normal 90 3 2 2 2" xfId="40197"/>
    <cellStyle name="Normal 90 3 2 3" xfId="40198"/>
    <cellStyle name="Normal 90 3 2 3 2" xfId="40199"/>
    <cellStyle name="Normal 90 3 2 3 2 2" xfId="40200"/>
    <cellStyle name="Normal 90 3 2 3 3" xfId="40201"/>
    <cellStyle name="Normal 90 3 2 4" xfId="40202"/>
    <cellStyle name="Normal 90 3 3" xfId="40203"/>
    <cellStyle name="Normal 90 3 3 2" xfId="40204"/>
    <cellStyle name="Normal 90 3 3 2 2" xfId="40205"/>
    <cellStyle name="Normal 90 3 3 3" xfId="40206"/>
    <cellStyle name="Normal 90 3 4" xfId="40207"/>
    <cellStyle name="Normal 90 3 4 2" xfId="40208"/>
    <cellStyle name="Normal 90 3 4 2 2" xfId="40209"/>
    <cellStyle name="Normal 90 3 4 3" xfId="40210"/>
    <cellStyle name="Normal 90 3 5" xfId="40211"/>
    <cellStyle name="Normal 90 3 5 2" xfId="40212"/>
    <cellStyle name="Normal 90 3 5 2 2" xfId="40213"/>
    <cellStyle name="Normal 90 3 5 3" xfId="40214"/>
    <cellStyle name="Normal 90 3 6" xfId="40215"/>
    <cellStyle name="Normal 90 4" xfId="40216"/>
    <cellStyle name="Normal 90 4 2" xfId="40217"/>
    <cellStyle name="Normal 90 4 2 2" xfId="40218"/>
    <cellStyle name="Normal 90 4 3" xfId="40219"/>
    <cellStyle name="Normal 90 5" xfId="40220"/>
    <cellStyle name="Normal 90 5 2" xfId="40221"/>
    <cellStyle name="Normal 90 5 2 2" xfId="40222"/>
    <cellStyle name="Normal 90 5 3" xfId="40223"/>
    <cellStyle name="Normal 90 6" xfId="40224"/>
    <cellStyle name="Normal 90 6 2" xfId="40225"/>
    <cellStyle name="Normal 90 6 2 2" xfId="40226"/>
    <cellStyle name="Normal 90 6 3" xfId="40227"/>
    <cellStyle name="Normal 90 7" xfId="40228"/>
    <cellStyle name="Normal 91" xfId="40229"/>
    <cellStyle name="Normal 91 2" xfId="40230"/>
    <cellStyle name="Normal 91 2 2" xfId="40231"/>
    <cellStyle name="Normal 91 2 2 2" xfId="40232"/>
    <cellStyle name="Normal 91 2 3" xfId="40233"/>
    <cellStyle name="Normal 91 2 3 2" xfId="40234"/>
    <cellStyle name="Normal 91 2 3 2 2" xfId="40235"/>
    <cellStyle name="Normal 91 2 3 3" xfId="40236"/>
    <cellStyle name="Normal 91 2 4" xfId="40237"/>
    <cellStyle name="Normal 91 2 4 2" xfId="40238"/>
    <cellStyle name="Normal 91 2 4 2 2" xfId="40239"/>
    <cellStyle name="Normal 91 2 4 3" xfId="40240"/>
    <cellStyle name="Normal 91 2 5" xfId="40241"/>
    <cellStyle name="Normal 91 3" xfId="40242"/>
    <cellStyle name="Normal 91 3 2" xfId="40243"/>
    <cellStyle name="Normal 91 3 2 2" xfId="40244"/>
    <cellStyle name="Normal 91 3 2 2 2" xfId="40245"/>
    <cellStyle name="Normal 91 3 2 3" xfId="40246"/>
    <cellStyle name="Normal 91 3 2 3 2" xfId="40247"/>
    <cellStyle name="Normal 91 3 2 3 2 2" xfId="40248"/>
    <cellStyle name="Normal 91 3 2 3 3" xfId="40249"/>
    <cellStyle name="Normal 91 3 2 4" xfId="40250"/>
    <cellStyle name="Normal 91 3 3" xfId="40251"/>
    <cellStyle name="Normal 91 3 3 2" xfId="40252"/>
    <cellStyle name="Normal 91 3 3 2 2" xfId="40253"/>
    <cellStyle name="Normal 91 3 3 3" xfId="40254"/>
    <cellStyle name="Normal 91 3 4" xfId="40255"/>
    <cellStyle name="Normal 91 3 4 2" xfId="40256"/>
    <cellStyle name="Normal 91 3 4 2 2" xfId="40257"/>
    <cellStyle name="Normal 91 3 4 3" xfId="40258"/>
    <cellStyle name="Normal 91 3 5" xfId="40259"/>
    <cellStyle name="Normal 91 3 5 2" xfId="40260"/>
    <cellStyle name="Normal 91 3 5 2 2" xfId="40261"/>
    <cellStyle name="Normal 91 3 5 3" xfId="40262"/>
    <cellStyle name="Normal 91 3 6" xfId="40263"/>
    <cellStyle name="Normal 91 4" xfId="40264"/>
    <cellStyle name="Normal 91 4 2" xfId="40265"/>
    <cellStyle name="Normal 91 4 2 2" xfId="40266"/>
    <cellStyle name="Normal 91 4 3" xfId="40267"/>
    <cellStyle name="Normal 91 5" xfId="40268"/>
    <cellStyle name="Normal 91 5 2" xfId="40269"/>
    <cellStyle name="Normal 91 5 2 2" xfId="40270"/>
    <cellStyle name="Normal 91 5 3" xfId="40271"/>
    <cellStyle name="Normal 91 6" xfId="40272"/>
    <cellStyle name="Normal 91 6 2" xfId="40273"/>
    <cellStyle name="Normal 91 6 2 2" xfId="40274"/>
    <cellStyle name="Normal 91 6 3" xfId="40275"/>
    <cellStyle name="Normal 91 7" xfId="40276"/>
    <cellStyle name="Normal 92" xfId="40277"/>
    <cellStyle name="Normal 92 2" xfId="40278"/>
    <cellStyle name="Normal 92 2 2" xfId="40279"/>
    <cellStyle name="Normal 92 2 2 2" xfId="40280"/>
    <cellStyle name="Normal 92 2 3" xfId="40281"/>
    <cellStyle name="Normal 92 2 3 2" xfId="40282"/>
    <cellStyle name="Normal 92 2 3 2 2" xfId="40283"/>
    <cellStyle name="Normal 92 2 3 3" xfId="40284"/>
    <cellStyle name="Normal 92 2 4" xfId="40285"/>
    <cellStyle name="Normal 92 2 4 2" xfId="40286"/>
    <cellStyle name="Normal 92 2 4 2 2" xfId="40287"/>
    <cellStyle name="Normal 92 2 4 3" xfId="40288"/>
    <cellStyle name="Normal 92 2 5" xfId="40289"/>
    <cellStyle name="Normal 92 3" xfId="40290"/>
    <cellStyle name="Normal 92 3 2" xfId="40291"/>
    <cellStyle name="Normal 92 3 2 2" xfId="40292"/>
    <cellStyle name="Normal 92 3 2 2 2" xfId="40293"/>
    <cellStyle name="Normal 92 3 2 3" xfId="40294"/>
    <cellStyle name="Normal 92 3 2 3 2" xfId="40295"/>
    <cellStyle name="Normal 92 3 2 3 2 2" xfId="40296"/>
    <cellStyle name="Normal 92 3 2 3 3" xfId="40297"/>
    <cellStyle name="Normal 92 3 2 4" xfId="40298"/>
    <cellStyle name="Normal 92 3 3" xfId="40299"/>
    <cellStyle name="Normal 92 3 3 2" xfId="40300"/>
    <cellStyle name="Normal 92 3 3 2 2" xfId="40301"/>
    <cellStyle name="Normal 92 3 3 3" xfId="40302"/>
    <cellStyle name="Normal 92 3 4" xfId="40303"/>
    <cellStyle name="Normal 92 3 4 2" xfId="40304"/>
    <cellStyle name="Normal 92 3 4 2 2" xfId="40305"/>
    <cellStyle name="Normal 92 3 4 3" xfId="40306"/>
    <cellStyle name="Normal 92 3 5" xfId="40307"/>
    <cellStyle name="Normal 92 3 5 2" xfId="40308"/>
    <cellStyle name="Normal 92 3 5 2 2" xfId="40309"/>
    <cellStyle name="Normal 92 3 5 3" xfId="40310"/>
    <cellStyle name="Normal 92 3 6" xfId="40311"/>
    <cellStyle name="Normal 92 4" xfId="40312"/>
    <cellStyle name="Normal 92 4 2" xfId="40313"/>
    <cellStyle name="Normal 92 4 2 2" xfId="40314"/>
    <cellStyle name="Normal 92 4 3" xfId="40315"/>
    <cellStyle name="Normal 92 5" xfId="40316"/>
    <cellStyle name="Normal 92 5 2" xfId="40317"/>
    <cellStyle name="Normal 92 5 2 2" xfId="40318"/>
    <cellStyle name="Normal 92 5 3" xfId="40319"/>
    <cellStyle name="Normal 92 6" xfId="40320"/>
    <cellStyle name="Normal 92 6 2" xfId="40321"/>
    <cellStyle name="Normal 92 6 2 2" xfId="40322"/>
    <cellStyle name="Normal 92 6 3" xfId="40323"/>
    <cellStyle name="Normal 92 7" xfId="40324"/>
    <cellStyle name="Normal 93" xfId="40325"/>
    <cellStyle name="Normal 93 2" xfId="40326"/>
    <cellStyle name="Normal 93 2 2" xfId="40327"/>
    <cellStyle name="Normal 93 2 2 2" xfId="40328"/>
    <cellStyle name="Normal 93 2 3" xfId="40329"/>
    <cellStyle name="Normal 93 2 3 2" xfId="40330"/>
    <cellStyle name="Normal 93 2 3 2 2" xfId="40331"/>
    <cellStyle name="Normal 93 2 3 3" xfId="40332"/>
    <cellStyle name="Normal 93 2 4" xfId="40333"/>
    <cellStyle name="Normal 93 2 4 2" xfId="40334"/>
    <cellStyle name="Normal 93 2 4 2 2" xfId="40335"/>
    <cellStyle name="Normal 93 2 4 3" xfId="40336"/>
    <cellStyle name="Normal 93 2 5" xfId="40337"/>
    <cellStyle name="Normal 93 3" xfId="40338"/>
    <cellStyle name="Normal 93 3 2" xfId="40339"/>
    <cellStyle name="Normal 93 3 2 2" xfId="40340"/>
    <cellStyle name="Normal 93 3 2 2 2" xfId="40341"/>
    <cellStyle name="Normal 93 3 2 3" xfId="40342"/>
    <cellStyle name="Normal 93 3 2 3 2" xfId="40343"/>
    <cellStyle name="Normal 93 3 2 3 2 2" xfId="40344"/>
    <cellStyle name="Normal 93 3 2 3 3" xfId="40345"/>
    <cellStyle name="Normal 93 3 2 4" xfId="40346"/>
    <cellStyle name="Normal 93 3 3" xfId="40347"/>
    <cellStyle name="Normal 93 3 3 2" xfId="40348"/>
    <cellStyle name="Normal 93 3 3 2 2" xfId="40349"/>
    <cellStyle name="Normal 93 3 3 3" xfId="40350"/>
    <cellStyle name="Normal 93 3 4" xfId="40351"/>
    <cellStyle name="Normal 93 3 4 2" xfId="40352"/>
    <cellStyle name="Normal 93 3 4 2 2" xfId="40353"/>
    <cellStyle name="Normal 93 3 4 3" xfId="40354"/>
    <cellStyle name="Normal 93 3 5" xfId="40355"/>
    <cellStyle name="Normal 93 3 5 2" xfId="40356"/>
    <cellStyle name="Normal 93 3 5 2 2" xfId="40357"/>
    <cellStyle name="Normal 93 3 5 3" xfId="40358"/>
    <cellStyle name="Normal 93 3 6" xfId="40359"/>
    <cellStyle name="Normal 93 4" xfId="40360"/>
    <cellStyle name="Normal 93 4 2" xfId="40361"/>
    <cellStyle name="Normal 93 4 2 2" xfId="40362"/>
    <cellStyle name="Normal 93 4 3" xfId="40363"/>
    <cellStyle name="Normal 93 5" xfId="40364"/>
    <cellStyle name="Normal 93 5 2" xfId="40365"/>
    <cellStyle name="Normal 93 5 2 2" xfId="40366"/>
    <cellStyle name="Normal 93 5 3" xfId="40367"/>
    <cellStyle name="Normal 93 6" xfId="40368"/>
    <cellStyle name="Normal 93 6 2" xfId="40369"/>
    <cellStyle name="Normal 93 6 2 2" xfId="40370"/>
    <cellStyle name="Normal 93 6 3" xfId="40371"/>
    <cellStyle name="Normal 93 7" xfId="40372"/>
    <cellStyle name="Normal 94" xfId="40373"/>
    <cellStyle name="Normal 94 2" xfId="40374"/>
    <cellStyle name="Normal 94 2 2" xfId="40375"/>
    <cellStyle name="Normal 94 2 2 2" xfId="40376"/>
    <cellStyle name="Normal 94 2 3" xfId="40377"/>
    <cellStyle name="Normal 94 2 3 2" xfId="40378"/>
    <cellStyle name="Normal 94 2 3 2 2" xfId="40379"/>
    <cellStyle name="Normal 94 2 3 3" xfId="40380"/>
    <cellStyle name="Normal 94 2 4" xfId="40381"/>
    <cellStyle name="Normal 94 2 4 2" xfId="40382"/>
    <cellStyle name="Normal 94 2 4 2 2" xfId="40383"/>
    <cellStyle name="Normal 94 2 4 3" xfId="40384"/>
    <cellStyle name="Normal 94 2 5" xfId="40385"/>
    <cellStyle name="Normal 94 3" xfId="40386"/>
    <cellStyle name="Normal 94 3 2" xfId="40387"/>
    <cellStyle name="Normal 94 3 2 2" xfId="40388"/>
    <cellStyle name="Normal 94 3 2 2 2" xfId="40389"/>
    <cellStyle name="Normal 94 3 2 3" xfId="40390"/>
    <cellStyle name="Normal 94 3 2 3 2" xfId="40391"/>
    <cellStyle name="Normal 94 3 2 3 2 2" xfId="40392"/>
    <cellStyle name="Normal 94 3 2 3 3" xfId="40393"/>
    <cellStyle name="Normal 94 3 2 4" xfId="40394"/>
    <cellStyle name="Normal 94 3 3" xfId="40395"/>
    <cellStyle name="Normal 94 3 3 2" xfId="40396"/>
    <cellStyle name="Normal 94 3 3 2 2" xfId="40397"/>
    <cellStyle name="Normal 94 3 3 3" xfId="40398"/>
    <cellStyle name="Normal 94 3 4" xfId="40399"/>
    <cellStyle name="Normal 94 3 4 2" xfId="40400"/>
    <cellStyle name="Normal 94 3 4 2 2" xfId="40401"/>
    <cellStyle name="Normal 94 3 4 3" xfId="40402"/>
    <cellStyle name="Normal 94 3 5" xfId="40403"/>
    <cellStyle name="Normal 94 3 5 2" xfId="40404"/>
    <cellStyle name="Normal 94 3 5 2 2" xfId="40405"/>
    <cellStyle name="Normal 94 3 5 3" xfId="40406"/>
    <cellStyle name="Normal 94 3 6" xfId="40407"/>
    <cellStyle name="Normal 94 4" xfId="40408"/>
    <cellStyle name="Normal 94 4 2" xfId="40409"/>
    <cellStyle name="Normal 94 4 2 2" xfId="40410"/>
    <cellStyle name="Normal 94 4 3" xfId="40411"/>
    <cellStyle name="Normal 94 5" xfId="40412"/>
    <cellStyle name="Normal 94 5 2" xfId="40413"/>
    <cellStyle name="Normal 94 5 2 2" xfId="40414"/>
    <cellStyle name="Normal 94 5 3" xfId="40415"/>
    <cellStyle name="Normal 94 6" xfId="40416"/>
    <cellStyle name="Normal 94 6 2" xfId="40417"/>
    <cellStyle name="Normal 94 6 2 2" xfId="40418"/>
    <cellStyle name="Normal 94 6 3" xfId="40419"/>
    <cellStyle name="Normal 94 7" xfId="40420"/>
    <cellStyle name="Normal 95" xfId="40421"/>
    <cellStyle name="Normal 95 2" xfId="40422"/>
    <cellStyle name="Normal 95 2 2" xfId="40423"/>
    <cellStyle name="Normal 95 2 2 2" xfId="40424"/>
    <cellStyle name="Normal 95 2 3" xfId="40425"/>
    <cellStyle name="Normal 95 2 3 2" xfId="40426"/>
    <cellStyle name="Normal 95 2 3 2 2" xfId="40427"/>
    <cellStyle name="Normal 95 2 3 3" xfId="40428"/>
    <cellStyle name="Normal 95 2 4" xfId="40429"/>
    <cellStyle name="Normal 95 2 4 2" xfId="40430"/>
    <cellStyle name="Normal 95 2 4 2 2" xfId="40431"/>
    <cellStyle name="Normal 95 2 4 3" xfId="40432"/>
    <cellStyle name="Normal 95 2 5" xfId="40433"/>
    <cellStyle name="Normal 95 3" xfId="40434"/>
    <cellStyle name="Normal 95 3 2" xfId="40435"/>
    <cellStyle name="Normal 95 3 2 2" xfId="40436"/>
    <cellStyle name="Normal 95 3 2 2 2" xfId="40437"/>
    <cellStyle name="Normal 95 3 2 3" xfId="40438"/>
    <cellStyle name="Normal 95 3 2 3 2" xfId="40439"/>
    <cellStyle name="Normal 95 3 2 3 2 2" xfId="40440"/>
    <cellStyle name="Normal 95 3 2 3 3" xfId="40441"/>
    <cellStyle name="Normal 95 3 2 4" xfId="40442"/>
    <cellStyle name="Normal 95 3 3" xfId="40443"/>
    <cellStyle name="Normal 95 3 3 2" xfId="40444"/>
    <cellStyle name="Normal 95 3 3 2 2" xfId="40445"/>
    <cellStyle name="Normal 95 3 3 3" xfId="40446"/>
    <cellStyle name="Normal 95 3 4" xfId="40447"/>
    <cellStyle name="Normal 95 3 4 2" xfId="40448"/>
    <cellStyle name="Normal 95 3 4 2 2" xfId="40449"/>
    <cellStyle name="Normal 95 3 4 3" xfId="40450"/>
    <cellStyle name="Normal 95 3 5" xfId="40451"/>
    <cellStyle name="Normal 95 3 5 2" xfId="40452"/>
    <cellStyle name="Normal 95 3 5 2 2" xfId="40453"/>
    <cellStyle name="Normal 95 3 5 3" xfId="40454"/>
    <cellStyle name="Normal 95 3 6" xfId="40455"/>
    <cellStyle name="Normal 95 4" xfId="40456"/>
    <cellStyle name="Normal 95 4 2" xfId="40457"/>
    <cellStyle name="Normal 95 4 2 2" xfId="40458"/>
    <cellStyle name="Normal 95 4 3" xfId="40459"/>
    <cellStyle name="Normal 95 5" xfId="40460"/>
    <cellStyle name="Normal 95 5 2" xfId="40461"/>
    <cellStyle name="Normal 95 5 2 2" xfId="40462"/>
    <cellStyle name="Normal 95 5 3" xfId="40463"/>
    <cellStyle name="Normal 95 6" xfId="40464"/>
    <cellStyle name="Normal 95 6 2" xfId="40465"/>
    <cellStyle name="Normal 95 6 2 2" xfId="40466"/>
    <cellStyle name="Normal 95 6 3" xfId="40467"/>
    <cellStyle name="Normal 95 7" xfId="40468"/>
    <cellStyle name="Normal 96" xfId="40469"/>
    <cellStyle name="Normal 96 2" xfId="40470"/>
    <cellStyle name="Normal 96 2 2" xfId="40471"/>
    <cellStyle name="Normal 96 2 2 2" xfId="40472"/>
    <cellStyle name="Normal 96 2 3" xfId="40473"/>
    <cellStyle name="Normal 96 2 3 2" xfId="40474"/>
    <cellStyle name="Normal 96 2 3 2 2" xfId="40475"/>
    <cellStyle name="Normal 96 2 3 3" xfId="40476"/>
    <cellStyle name="Normal 96 2 4" xfId="40477"/>
    <cellStyle name="Normal 96 2 4 2" xfId="40478"/>
    <cellStyle name="Normal 96 2 4 2 2" xfId="40479"/>
    <cellStyle name="Normal 96 2 4 3" xfId="40480"/>
    <cellStyle name="Normal 96 2 5" xfId="40481"/>
    <cellStyle name="Normal 96 3" xfId="40482"/>
    <cellStyle name="Normal 96 3 2" xfId="40483"/>
    <cellStyle name="Normal 96 3 2 2" xfId="40484"/>
    <cellStyle name="Normal 96 3 2 2 2" xfId="40485"/>
    <cellStyle name="Normal 96 3 2 3" xfId="40486"/>
    <cellStyle name="Normal 96 3 2 3 2" xfId="40487"/>
    <cellStyle name="Normal 96 3 2 3 2 2" xfId="40488"/>
    <cellStyle name="Normal 96 3 2 3 3" xfId="40489"/>
    <cellStyle name="Normal 96 3 2 4" xfId="40490"/>
    <cellStyle name="Normal 96 3 3" xfId="40491"/>
    <cellStyle name="Normal 96 3 3 2" xfId="40492"/>
    <cellStyle name="Normal 96 3 3 2 2" xfId="40493"/>
    <cellStyle name="Normal 96 3 3 3" xfId="40494"/>
    <cellStyle name="Normal 96 3 4" xfId="40495"/>
    <cellStyle name="Normal 96 3 4 2" xfId="40496"/>
    <cellStyle name="Normal 96 3 4 2 2" xfId="40497"/>
    <cellStyle name="Normal 96 3 4 3" xfId="40498"/>
    <cellStyle name="Normal 96 3 5" xfId="40499"/>
    <cellStyle name="Normal 96 3 5 2" xfId="40500"/>
    <cellStyle name="Normal 96 3 5 2 2" xfId="40501"/>
    <cellStyle name="Normal 96 3 5 3" xfId="40502"/>
    <cellStyle name="Normal 96 3 6" xfId="40503"/>
    <cellStyle name="Normal 96 4" xfId="40504"/>
    <cellStyle name="Normal 96 4 2" xfId="40505"/>
    <cellStyle name="Normal 96 4 2 2" xfId="40506"/>
    <cellStyle name="Normal 96 4 3" xfId="40507"/>
    <cellStyle name="Normal 96 5" xfId="40508"/>
    <cellStyle name="Normal 96 5 2" xfId="40509"/>
    <cellStyle name="Normal 96 5 2 2" xfId="40510"/>
    <cellStyle name="Normal 96 5 3" xfId="40511"/>
    <cellStyle name="Normal 96 6" xfId="40512"/>
    <cellStyle name="Normal 96 6 2" xfId="40513"/>
    <cellStyle name="Normal 96 6 2 2" xfId="40514"/>
    <cellStyle name="Normal 96 6 3" xfId="40515"/>
    <cellStyle name="Normal 96 7" xfId="40516"/>
    <cellStyle name="Normal 97" xfId="40517"/>
    <cellStyle name="Normal 97 2" xfId="40518"/>
    <cellStyle name="Normal 97 2 2" xfId="40519"/>
    <cellStyle name="Normal 97 2 2 2" xfId="40520"/>
    <cellStyle name="Normal 97 2 3" xfId="40521"/>
    <cellStyle name="Normal 97 2 3 2" xfId="40522"/>
    <cellStyle name="Normal 97 2 3 2 2" xfId="40523"/>
    <cellStyle name="Normal 97 2 3 3" xfId="40524"/>
    <cellStyle name="Normal 97 2 4" xfId="40525"/>
    <cellStyle name="Normal 97 2 4 2" xfId="40526"/>
    <cellStyle name="Normal 97 2 4 2 2" xfId="40527"/>
    <cellStyle name="Normal 97 2 4 3" xfId="40528"/>
    <cellStyle name="Normal 97 2 5" xfId="40529"/>
    <cellStyle name="Normal 97 3" xfId="40530"/>
    <cellStyle name="Normal 97 3 2" xfId="40531"/>
    <cellStyle name="Normal 97 3 2 2" xfId="40532"/>
    <cellStyle name="Normal 97 3 2 2 2" xfId="40533"/>
    <cellStyle name="Normal 97 3 2 3" xfId="40534"/>
    <cellStyle name="Normal 97 3 2 3 2" xfId="40535"/>
    <cellStyle name="Normal 97 3 2 3 2 2" xfId="40536"/>
    <cellStyle name="Normal 97 3 2 3 3" xfId="40537"/>
    <cellStyle name="Normal 97 3 2 4" xfId="40538"/>
    <cellStyle name="Normal 97 3 3" xfId="40539"/>
    <cellStyle name="Normal 97 3 3 2" xfId="40540"/>
    <cellStyle name="Normal 97 3 3 2 2" xfId="40541"/>
    <cellStyle name="Normal 97 3 3 3" xfId="40542"/>
    <cellStyle name="Normal 97 3 4" xfId="40543"/>
    <cellStyle name="Normal 97 3 4 2" xfId="40544"/>
    <cellStyle name="Normal 97 3 4 2 2" xfId="40545"/>
    <cellStyle name="Normal 97 3 4 3" xfId="40546"/>
    <cellStyle name="Normal 97 3 5" xfId="40547"/>
    <cellStyle name="Normal 97 3 5 2" xfId="40548"/>
    <cellStyle name="Normal 97 3 5 2 2" xfId="40549"/>
    <cellStyle name="Normal 97 3 5 3" xfId="40550"/>
    <cellStyle name="Normal 97 3 6" xfId="40551"/>
    <cellStyle name="Normal 97 4" xfId="40552"/>
    <cellStyle name="Normal 97 4 2" xfId="40553"/>
    <cellStyle name="Normal 97 4 2 2" xfId="40554"/>
    <cellStyle name="Normal 97 4 3" xfId="40555"/>
    <cellStyle name="Normal 97 5" xfId="40556"/>
    <cellStyle name="Normal 97 5 2" xfId="40557"/>
    <cellStyle name="Normal 97 5 2 2" xfId="40558"/>
    <cellStyle name="Normal 97 5 3" xfId="40559"/>
    <cellStyle name="Normal 97 6" xfId="40560"/>
    <cellStyle name="Normal 97 6 2" xfId="40561"/>
    <cellStyle name="Normal 97 6 2 2" xfId="40562"/>
    <cellStyle name="Normal 97 6 3" xfId="40563"/>
    <cellStyle name="Normal 97 7" xfId="40564"/>
    <cellStyle name="Normal 98" xfId="40565"/>
    <cellStyle name="Normal 98 2" xfId="40566"/>
    <cellStyle name="Normal 98 2 2" xfId="40567"/>
    <cellStyle name="Normal 98 2 2 2" xfId="40568"/>
    <cellStyle name="Normal 98 2 3" xfId="40569"/>
    <cellStyle name="Normal 98 2 3 2" xfId="40570"/>
    <cellStyle name="Normal 98 2 3 2 2" xfId="40571"/>
    <cellStyle name="Normal 98 2 3 3" xfId="40572"/>
    <cellStyle name="Normal 98 2 4" xfId="40573"/>
    <cellStyle name="Normal 98 2 4 2" xfId="40574"/>
    <cellStyle name="Normal 98 2 4 2 2" xfId="40575"/>
    <cellStyle name="Normal 98 2 4 3" xfId="40576"/>
    <cellStyle name="Normal 98 2 5" xfId="40577"/>
    <cellStyle name="Normal 98 3" xfId="40578"/>
    <cellStyle name="Normal 98 3 2" xfId="40579"/>
    <cellStyle name="Normal 98 3 2 2" xfId="40580"/>
    <cellStyle name="Normal 98 3 2 2 2" xfId="40581"/>
    <cellStyle name="Normal 98 3 2 3" xfId="40582"/>
    <cellStyle name="Normal 98 3 2 3 2" xfId="40583"/>
    <cellStyle name="Normal 98 3 2 3 2 2" xfId="40584"/>
    <cellStyle name="Normal 98 3 2 3 3" xfId="40585"/>
    <cellStyle name="Normal 98 3 2 4" xfId="40586"/>
    <cellStyle name="Normal 98 3 3" xfId="40587"/>
    <cellStyle name="Normal 98 3 3 2" xfId="40588"/>
    <cellStyle name="Normal 98 3 3 2 2" xfId="40589"/>
    <cellStyle name="Normal 98 3 3 3" xfId="40590"/>
    <cellStyle name="Normal 98 3 4" xfId="40591"/>
    <cellStyle name="Normal 98 3 4 2" xfId="40592"/>
    <cellStyle name="Normal 98 3 4 2 2" xfId="40593"/>
    <cellStyle name="Normal 98 3 4 3" xfId="40594"/>
    <cellStyle name="Normal 98 3 5" xfId="40595"/>
    <cellStyle name="Normal 98 3 5 2" xfId="40596"/>
    <cellStyle name="Normal 98 3 5 2 2" xfId="40597"/>
    <cellStyle name="Normal 98 3 5 3" xfId="40598"/>
    <cellStyle name="Normal 98 3 6" xfId="40599"/>
    <cellStyle name="Normal 98 4" xfId="40600"/>
    <cellStyle name="Normal 98 4 2" xfId="40601"/>
    <cellStyle name="Normal 98 4 2 2" xfId="40602"/>
    <cellStyle name="Normal 98 4 3" xfId="40603"/>
    <cellStyle name="Normal 98 5" xfId="40604"/>
    <cellStyle name="Normal 98 5 2" xfId="40605"/>
    <cellStyle name="Normal 98 5 2 2" xfId="40606"/>
    <cellStyle name="Normal 98 5 3" xfId="40607"/>
    <cellStyle name="Normal 98 6" xfId="40608"/>
    <cellStyle name="Normal 98 6 2" xfId="40609"/>
    <cellStyle name="Normal 98 6 2 2" xfId="40610"/>
    <cellStyle name="Normal 98 6 3" xfId="40611"/>
    <cellStyle name="Normal 98 7" xfId="40612"/>
    <cellStyle name="Normal 99" xfId="40613"/>
    <cellStyle name="Normal 99 2" xfId="40614"/>
    <cellStyle name="Normal 99 2 2" xfId="40615"/>
    <cellStyle name="Normal 99 2 2 2" xfId="40616"/>
    <cellStyle name="Normal 99 2 3" xfId="40617"/>
    <cellStyle name="Normal 99 2 3 2" xfId="40618"/>
    <cellStyle name="Normal 99 2 3 2 2" xfId="40619"/>
    <cellStyle name="Normal 99 2 3 3" xfId="40620"/>
    <cellStyle name="Normal 99 2 4" xfId="40621"/>
    <cellStyle name="Normal 99 2 4 2" xfId="40622"/>
    <cellStyle name="Normal 99 2 4 2 2" xfId="40623"/>
    <cellStyle name="Normal 99 2 4 3" xfId="40624"/>
    <cellStyle name="Normal 99 2 5" xfId="40625"/>
    <cellStyle name="Normal 99 3" xfId="40626"/>
    <cellStyle name="Normal 99 3 2" xfId="40627"/>
    <cellStyle name="Normal 99 3 2 2" xfId="40628"/>
    <cellStyle name="Normal 99 3 2 2 2" xfId="40629"/>
    <cellStyle name="Normal 99 3 2 3" xfId="40630"/>
    <cellStyle name="Normal 99 3 2 3 2" xfId="40631"/>
    <cellStyle name="Normal 99 3 2 3 2 2" xfId="40632"/>
    <cellStyle name="Normal 99 3 2 3 3" xfId="40633"/>
    <cellStyle name="Normal 99 3 2 4" xfId="40634"/>
    <cellStyle name="Normal 99 3 3" xfId="40635"/>
    <cellStyle name="Normal 99 3 3 2" xfId="40636"/>
    <cellStyle name="Normal 99 3 3 2 2" xfId="40637"/>
    <cellStyle name="Normal 99 3 3 3" xfId="40638"/>
    <cellStyle name="Normal 99 3 4" xfId="40639"/>
    <cellStyle name="Normal 99 3 4 2" xfId="40640"/>
    <cellStyle name="Normal 99 3 4 2 2" xfId="40641"/>
    <cellStyle name="Normal 99 3 4 3" xfId="40642"/>
    <cellStyle name="Normal 99 3 5" xfId="40643"/>
    <cellStyle name="Normal 99 3 5 2" xfId="40644"/>
    <cellStyle name="Normal 99 3 5 2 2" xfId="40645"/>
    <cellStyle name="Normal 99 3 5 3" xfId="40646"/>
    <cellStyle name="Normal 99 3 6" xfId="40647"/>
    <cellStyle name="Normal 99 4" xfId="40648"/>
    <cellStyle name="Normal 99 4 2" xfId="40649"/>
    <cellStyle name="Normal 99 4 2 2" xfId="40650"/>
    <cellStyle name="Normal 99 4 3" xfId="40651"/>
    <cellStyle name="Normal 99 5" xfId="40652"/>
    <cellStyle name="Normal 99 5 2" xfId="40653"/>
    <cellStyle name="Normal 99 5 2 2" xfId="40654"/>
    <cellStyle name="Normal 99 5 3" xfId="40655"/>
    <cellStyle name="Normal 99 6" xfId="40656"/>
    <cellStyle name="Normal 99 6 2" xfId="40657"/>
    <cellStyle name="Normal 99 6 2 2" xfId="40658"/>
    <cellStyle name="Normal 99 6 3" xfId="40659"/>
    <cellStyle name="Normal 99 7" xfId="40660"/>
    <cellStyle name="Normal_2008 ISO Transmission Study test v1" xfId="34"/>
    <cellStyle name="Normal_Debt Sept 94" xfId="53892"/>
    <cellStyle name="Normal_Rate-Design" xfId="35"/>
    <cellStyle name="Normal_Review_only_Extract_Bond_Amortizations_from_Journal_Entry_Data" xfId="53893"/>
    <cellStyle name="Normal_Statement AD Period I 2004" xfId="36"/>
    <cellStyle name="Normal2" xfId="40661"/>
    <cellStyle name="Normal2 2" xfId="40662"/>
    <cellStyle name="Normal2 3" xfId="40663"/>
    <cellStyle name="Normal2 3 2" xfId="40664"/>
    <cellStyle name="Normal2 3 2 2" xfId="40665"/>
    <cellStyle name="Normal2 3 3" xfId="40666"/>
    <cellStyle name="Normal2 4" xfId="40667"/>
    <cellStyle name="Normal2 4 2" xfId="40668"/>
    <cellStyle name="Normal2 4 2 2" xfId="40669"/>
    <cellStyle name="Normal2 4 3" xfId="40670"/>
    <cellStyle name="Not In Use" xfId="40671"/>
    <cellStyle name="Not In Use 2" xfId="40672"/>
    <cellStyle name="Not In Use 2 2" xfId="40673"/>
    <cellStyle name="Not In Use 3" xfId="40674"/>
    <cellStyle name="Not In Use 3 2" xfId="40675"/>
    <cellStyle name="Not In Use 3 2 2" xfId="40676"/>
    <cellStyle name="Not In Use 3 3" xfId="40677"/>
    <cellStyle name="Not In Use 4" xfId="40678"/>
    <cellStyle name="Not In Use 4 2" xfId="40679"/>
    <cellStyle name="Not In Use 4 2 2" xfId="40680"/>
    <cellStyle name="Not In Use 4 3" xfId="40681"/>
    <cellStyle name="Not In Use 5" xfId="40682"/>
    <cellStyle name="Note 10" xfId="40683"/>
    <cellStyle name="Note 10 2" xfId="40684"/>
    <cellStyle name="Note 10 3" xfId="40685"/>
    <cellStyle name="Note 11" xfId="40686"/>
    <cellStyle name="Note 11 2" xfId="40687"/>
    <cellStyle name="Note 12" xfId="40688"/>
    <cellStyle name="Note 12 2" xfId="40689"/>
    <cellStyle name="Note 13" xfId="40690"/>
    <cellStyle name="Note 14" xfId="40691"/>
    <cellStyle name="Note 15" xfId="40692"/>
    <cellStyle name="Note 16" xfId="53889"/>
    <cellStyle name="Note 2" xfId="40693"/>
    <cellStyle name="Note 2 10" xfId="40694"/>
    <cellStyle name="Note 2 10 2" xfId="40695"/>
    <cellStyle name="Note 2 10 2 2" xfId="40696"/>
    <cellStyle name="Note 2 10 2 2 2" xfId="40697"/>
    <cellStyle name="Note 2 10 2 2 2 2" xfId="40698"/>
    <cellStyle name="Note 2 10 2 2 2 2 2" xfId="40699"/>
    <cellStyle name="Note 2 10 2 2 2 2 2 2" xfId="40700"/>
    <cellStyle name="Note 2 10 2 2 2 2 3" xfId="40701"/>
    <cellStyle name="Note 2 10 2 2 2 3" xfId="40702"/>
    <cellStyle name="Note 2 10 2 2 2 3 2" xfId="40703"/>
    <cellStyle name="Note 2 10 2 2 2 4" xfId="40704"/>
    <cellStyle name="Note 2 10 2 2 3" xfId="40705"/>
    <cellStyle name="Note 2 10 2 2 3 2" xfId="40706"/>
    <cellStyle name="Note 2 10 2 2 3 2 2" xfId="40707"/>
    <cellStyle name="Note 2 10 2 2 3 3" xfId="40708"/>
    <cellStyle name="Note 2 10 2 2 4" xfId="40709"/>
    <cellStyle name="Note 2 10 2 2 4 2" xfId="40710"/>
    <cellStyle name="Note 2 10 2 2 5" xfId="40711"/>
    <cellStyle name="Note 2 10 2 3" xfId="40712"/>
    <cellStyle name="Note 2 10 2 3 2" xfId="40713"/>
    <cellStyle name="Note 2 10 2 3 2 2" xfId="40714"/>
    <cellStyle name="Note 2 10 2 3 3" xfId="40715"/>
    <cellStyle name="Note 2 10 2 4" xfId="40716"/>
    <cellStyle name="Note 2 10 2 4 2" xfId="40717"/>
    <cellStyle name="Note 2 10 2 4 2 2" xfId="40718"/>
    <cellStyle name="Note 2 10 2 4 2 2 2" xfId="40719"/>
    <cellStyle name="Note 2 10 2 4 2 3" xfId="40720"/>
    <cellStyle name="Note 2 10 2 4 3" xfId="40721"/>
    <cellStyle name="Note 2 10 2 4 3 2" xfId="40722"/>
    <cellStyle name="Note 2 10 2 4 4" xfId="40723"/>
    <cellStyle name="Note 2 10 2 5" xfId="40724"/>
    <cellStyle name="Note 2 10 2 5 2" xfId="40725"/>
    <cellStyle name="Note 2 10 2 5 2 2" xfId="40726"/>
    <cellStyle name="Note 2 10 2 5 3" xfId="40727"/>
    <cellStyle name="Note 2 10 2 6" xfId="40728"/>
    <cellStyle name="Note 2 10 2 6 2" xfId="40729"/>
    <cellStyle name="Note 2 10 2 7" xfId="40730"/>
    <cellStyle name="Note 2 10 3" xfId="40731"/>
    <cellStyle name="Note 2 10 3 2" xfId="40732"/>
    <cellStyle name="Note 2 10 3 2 2" xfId="40733"/>
    <cellStyle name="Note 2 10 3 2 2 2" xfId="40734"/>
    <cellStyle name="Note 2 10 3 2 2 2 2" xfId="40735"/>
    <cellStyle name="Note 2 10 3 2 2 2 2 2" xfId="40736"/>
    <cellStyle name="Note 2 10 3 2 2 2 3" xfId="40737"/>
    <cellStyle name="Note 2 10 3 2 2 3" xfId="40738"/>
    <cellStyle name="Note 2 10 3 2 2 3 2" xfId="40739"/>
    <cellStyle name="Note 2 10 3 2 2 4" xfId="40740"/>
    <cellStyle name="Note 2 10 3 2 3" xfId="40741"/>
    <cellStyle name="Note 2 10 3 2 3 2" xfId="40742"/>
    <cellStyle name="Note 2 10 3 2 3 2 2" xfId="40743"/>
    <cellStyle name="Note 2 10 3 2 3 3" xfId="40744"/>
    <cellStyle name="Note 2 10 3 2 4" xfId="40745"/>
    <cellStyle name="Note 2 10 3 2 4 2" xfId="40746"/>
    <cellStyle name="Note 2 10 3 2 5" xfId="40747"/>
    <cellStyle name="Note 2 10 3 3" xfId="40748"/>
    <cellStyle name="Note 2 10 3 3 2" xfId="40749"/>
    <cellStyle name="Note 2 10 3 3 2 2" xfId="40750"/>
    <cellStyle name="Note 2 10 3 3 2 2 2" xfId="40751"/>
    <cellStyle name="Note 2 10 3 3 2 3" xfId="40752"/>
    <cellStyle name="Note 2 10 3 3 3" xfId="40753"/>
    <cellStyle name="Note 2 10 3 3 3 2" xfId="40754"/>
    <cellStyle name="Note 2 10 3 3 4" xfId="40755"/>
    <cellStyle name="Note 2 10 3 4" xfId="40756"/>
    <cellStyle name="Note 2 10 3 4 2" xfId="40757"/>
    <cellStyle name="Note 2 10 3 4 2 2" xfId="40758"/>
    <cellStyle name="Note 2 10 3 4 3" xfId="40759"/>
    <cellStyle name="Note 2 10 3 5" xfId="40760"/>
    <cellStyle name="Note 2 10 3 5 2" xfId="40761"/>
    <cellStyle name="Note 2 10 3 6" xfId="40762"/>
    <cellStyle name="Note 2 10 4" xfId="40763"/>
    <cellStyle name="Note 2 10 4 2" xfId="40764"/>
    <cellStyle name="Note 2 10 4 2 2" xfId="40765"/>
    <cellStyle name="Note 2 10 4 3" xfId="40766"/>
    <cellStyle name="Note 2 10 5" xfId="40767"/>
    <cellStyle name="Note 2 10 5 2" xfId="40768"/>
    <cellStyle name="Note 2 10 5 2 2" xfId="40769"/>
    <cellStyle name="Note 2 10 5 3" xfId="40770"/>
    <cellStyle name="Note 2 10 6" xfId="40771"/>
    <cellStyle name="Note 2 10 6 2" xfId="40772"/>
    <cellStyle name="Note 2 10 6 2 2" xfId="40773"/>
    <cellStyle name="Note 2 10 6 2 2 2" xfId="40774"/>
    <cellStyle name="Note 2 10 6 2 3" xfId="40775"/>
    <cellStyle name="Note 2 10 6 3" xfId="40776"/>
    <cellStyle name="Note 2 10 6 3 2" xfId="40777"/>
    <cellStyle name="Note 2 10 6 4" xfId="40778"/>
    <cellStyle name="Note 2 10 7" xfId="40779"/>
    <cellStyle name="Note 2 10 7 2" xfId="40780"/>
    <cellStyle name="Note 2 10 7 2 2" xfId="40781"/>
    <cellStyle name="Note 2 10 7 3" xfId="40782"/>
    <cellStyle name="Note 2 10 8" xfId="40783"/>
    <cellStyle name="Note 2 10 8 2" xfId="40784"/>
    <cellStyle name="Note 2 10 9" xfId="40785"/>
    <cellStyle name="Note 2 11" xfId="40786"/>
    <cellStyle name="Note 2 11 2" xfId="40787"/>
    <cellStyle name="Note 2 11 2 2" xfId="40788"/>
    <cellStyle name="Note 2 11 2 2 2" xfId="40789"/>
    <cellStyle name="Note 2 11 2 2 2 2" xfId="40790"/>
    <cellStyle name="Note 2 11 2 2 2 2 2" xfId="40791"/>
    <cellStyle name="Note 2 11 2 2 2 3" xfId="40792"/>
    <cellStyle name="Note 2 11 2 2 3" xfId="40793"/>
    <cellStyle name="Note 2 11 2 2 3 2" xfId="40794"/>
    <cellStyle name="Note 2 11 2 2 4" xfId="40795"/>
    <cellStyle name="Note 2 11 2 3" xfId="40796"/>
    <cellStyle name="Note 2 11 2 3 2" xfId="40797"/>
    <cellStyle name="Note 2 11 2 3 2 2" xfId="40798"/>
    <cellStyle name="Note 2 11 2 3 3" xfId="40799"/>
    <cellStyle name="Note 2 11 2 4" xfId="40800"/>
    <cellStyle name="Note 2 11 2 4 2" xfId="40801"/>
    <cellStyle name="Note 2 11 2 5" xfId="40802"/>
    <cellStyle name="Note 2 11 3" xfId="40803"/>
    <cellStyle name="Note 2 11 3 2" xfId="40804"/>
    <cellStyle name="Note 2 11 3 2 2" xfId="40805"/>
    <cellStyle name="Note 2 11 3 2 2 2" xfId="40806"/>
    <cellStyle name="Note 2 11 3 2 3" xfId="40807"/>
    <cellStyle name="Note 2 11 3 3" xfId="40808"/>
    <cellStyle name="Note 2 11 3 3 2" xfId="40809"/>
    <cellStyle name="Note 2 11 3 4" xfId="40810"/>
    <cellStyle name="Note 2 11 4" xfId="40811"/>
    <cellStyle name="Note 2 11 4 2" xfId="40812"/>
    <cellStyle name="Note 2 11 4 2 2" xfId="40813"/>
    <cellStyle name="Note 2 11 4 3" xfId="40814"/>
    <cellStyle name="Note 2 11 5" xfId="40815"/>
    <cellStyle name="Note 2 11 5 2" xfId="40816"/>
    <cellStyle name="Note 2 11 6" xfId="40817"/>
    <cellStyle name="Note 2 12" xfId="40818"/>
    <cellStyle name="Note 2 12 2" xfId="40819"/>
    <cellStyle name="Note 2 12 2 2" xfId="40820"/>
    <cellStyle name="Note 2 12 3" xfId="40821"/>
    <cellStyle name="Note 2 13" xfId="40822"/>
    <cellStyle name="Note 2 13 2" xfId="40823"/>
    <cellStyle name="Note 2 13 2 2" xfId="40824"/>
    <cellStyle name="Note 2 13 3" xfId="40825"/>
    <cellStyle name="Note 2 14" xfId="40826"/>
    <cellStyle name="Note 2 14 2" xfId="40827"/>
    <cellStyle name="Note 2 14 2 2" xfId="40828"/>
    <cellStyle name="Note 2 14 2 2 2" xfId="40829"/>
    <cellStyle name="Note 2 14 2 2 2 2" xfId="40830"/>
    <cellStyle name="Note 2 14 2 2 3" xfId="40831"/>
    <cellStyle name="Note 2 14 2 3" xfId="40832"/>
    <cellStyle name="Note 2 14 2 3 2" xfId="40833"/>
    <cellStyle name="Note 2 14 2 4" xfId="40834"/>
    <cellStyle name="Note 2 14 3" xfId="40835"/>
    <cellStyle name="Note 2 14 3 2" xfId="40836"/>
    <cellStyle name="Note 2 14 3 2 2" xfId="40837"/>
    <cellStyle name="Note 2 14 3 2 2 2" xfId="40838"/>
    <cellStyle name="Note 2 14 3 2 3" xfId="40839"/>
    <cellStyle name="Note 2 14 3 3" xfId="40840"/>
    <cellStyle name="Note 2 14 3 3 2" xfId="40841"/>
    <cellStyle name="Note 2 14 3 4" xfId="40842"/>
    <cellStyle name="Note 2 14 4" xfId="40843"/>
    <cellStyle name="Note 2 14 4 2" xfId="40844"/>
    <cellStyle name="Note 2 14 4 2 2" xfId="40845"/>
    <cellStyle name="Note 2 14 4 3" xfId="40846"/>
    <cellStyle name="Note 2 14 5" xfId="40847"/>
    <cellStyle name="Note 2 14 5 2" xfId="40848"/>
    <cellStyle name="Note 2 14 6" xfId="40849"/>
    <cellStyle name="Note 2 14 6 2" xfId="40850"/>
    <cellStyle name="Note 2 14 7" xfId="40851"/>
    <cellStyle name="Note 2 15" xfId="40852"/>
    <cellStyle name="Note 2 15 2" xfId="40853"/>
    <cellStyle name="Note 2 15 2 2" xfId="40854"/>
    <cellStyle name="Note 2 15 2 2 2" xfId="40855"/>
    <cellStyle name="Note 2 15 2 3" xfId="40856"/>
    <cellStyle name="Note 2 15 3" xfId="40857"/>
    <cellStyle name="Note 2 15 3 2" xfId="40858"/>
    <cellStyle name="Note 2 15 4" xfId="40859"/>
    <cellStyle name="Note 2 16" xfId="40860"/>
    <cellStyle name="Note 2 16 2" xfId="40861"/>
    <cellStyle name="Note 2 16 2 2" xfId="40862"/>
    <cellStyle name="Note 2 16 3" xfId="40863"/>
    <cellStyle name="Note 2 17" xfId="40864"/>
    <cellStyle name="Note 2 17 2" xfId="40865"/>
    <cellStyle name="Note 2 17 3" xfId="40866"/>
    <cellStyle name="Note 2 18" xfId="40867"/>
    <cellStyle name="Note 2 18 2" xfId="40868"/>
    <cellStyle name="Note 2 19" xfId="40869"/>
    <cellStyle name="Note 2 2" xfId="40870"/>
    <cellStyle name="Note 2 2 2" xfId="40871"/>
    <cellStyle name="Note 2 2 2 2" xfId="40872"/>
    <cellStyle name="Note 2 2 2 2 2" xfId="40873"/>
    <cellStyle name="Note 2 2 2 2 2 2" xfId="40874"/>
    <cellStyle name="Note 2 2 2 2 3" xfId="40875"/>
    <cellStyle name="Note 2 2 2 3" xfId="40876"/>
    <cellStyle name="Note 2 2 2 3 2" xfId="40877"/>
    <cellStyle name="Note 2 2 2 3 2 2" xfId="40878"/>
    <cellStyle name="Note 2 2 2 3 3" xfId="40879"/>
    <cellStyle name="Note 2 2 2 4" xfId="40880"/>
    <cellStyle name="Note 2 2 2 4 2" xfId="40881"/>
    <cellStyle name="Note 2 2 2 4 2 2" xfId="40882"/>
    <cellStyle name="Note 2 2 2 4 3" xfId="40883"/>
    <cellStyle name="Note 2 2 2 5" xfId="40884"/>
    <cellStyle name="Note 2 2 2 5 2" xfId="40885"/>
    <cellStyle name="Note 2 2 2 6" xfId="40886"/>
    <cellStyle name="Note 2 2 3" xfId="40887"/>
    <cellStyle name="Note 2 2 3 2" xfId="40888"/>
    <cellStyle name="Note 2 2 3 2 2" xfId="40889"/>
    <cellStyle name="Note 2 2 3 2 2 2" xfId="40890"/>
    <cellStyle name="Note 2 2 3 2 2 2 2" xfId="40891"/>
    <cellStyle name="Note 2 2 3 2 2 3" xfId="40892"/>
    <cellStyle name="Note 2 2 3 2 3" xfId="40893"/>
    <cellStyle name="Note 2 2 3 2 3 2" xfId="40894"/>
    <cellStyle name="Note 2 2 3 2 3 2 2" xfId="40895"/>
    <cellStyle name="Note 2 2 3 2 3 3" xfId="40896"/>
    <cellStyle name="Note 2 2 3 2 4" xfId="40897"/>
    <cellStyle name="Note 2 2 3 2 4 2" xfId="40898"/>
    <cellStyle name="Note 2 2 3 2 5" xfId="40899"/>
    <cellStyle name="Note 2 2 3 3" xfId="40900"/>
    <cellStyle name="Note 2 2 3 3 2" xfId="40901"/>
    <cellStyle name="Note 2 2 3 3 2 2" xfId="40902"/>
    <cellStyle name="Note 2 2 3 3 2 2 2" xfId="40903"/>
    <cellStyle name="Note 2 2 3 3 2 3" xfId="40904"/>
    <cellStyle name="Note 2 2 3 3 3" xfId="40905"/>
    <cellStyle name="Note 2 2 3 3 3 2" xfId="40906"/>
    <cellStyle name="Note 2 2 3 3 4" xfId="40907"/>
    <cellStyle name="Note 2 2 3 4" xfId="40908"/>
    <cellStyle name="Note 2 2 3 4 2" xfId="40909"/>
    <cellStyle name="Note 2 2 3 4 2 2" xfId="40910"/>
    <cellStyle name="Note 2 2 3 4 3" xfId="40911"/>
    <cellStyle name="Note 2 2 3 5" xfId="40912"/>
    <cellStyle name="Note 2 2 3 5 2" xfId="40913"/>
    <cellStyle name="Note 2 2 3 5 2 2" xfId="40914"/>
    <cellStyle name="Note 2 2 3 5 3" xfId="40915"/>
    <cellStyle name="Note 2 2 3 6" xfId="40916"/>
    <cellStyle name="Note 2 2 3 6 2" xfId="40917"/>
    <cellStyle name="Note 2 2 3 7" xfId="40918"/>
    <cellStyle name="Note 2 2 4" xfId="40919"/>
    <cellStyle name="Note 2 2 4 2" xfId="40920"/>
    <cellStyle name="Note 2 2 4 2 2" xfId="40921"/>
    <cellStyle name="Note 2 2 4 2 2 2" xfId="40922"/>
    <cellStyle name="Note 2 2 4 2 3" xfId="40923"/>
    <cellStyle name="Note 2 2 4 3" xfId="40924"/>
    <cellStyle name="Note 2 2 4 3 2" xfId="40925"/>
    <cellStyle name="Note 2 2 4 4" xfId="40926"/>
    <cellStyle name="Note 2 2 5" xfId="40927"/>
    <cellStyle name="Note 2 2 5 2" xfId="40928"/>
    <cellStyle name="Note 2 2 5 2 2" xfId="40929"/>
    <cellStyle name="Note 2 2 5 3" xfId="40930"/>
    <cellStyle name="Note 2 2 6" xfId="40931"/>
    <cellStyle name="Note 2 2 6 2" xfId="40932"/>
    <cellStyle name="Note 2 2 6 2 2" xfId="40933"/>
    <cellStyle name="Note 2 2 6 3" xfId="40934"/>
    <cellStyle name="Note 2 2 7" xfId="40935"/>
    <cellStyle name="Note 2 2 7 2" xfId="40936"/>
    <cellStyle name="Note 2 2 8" xfId="40937"/>
    <cellStyle name="Note 2 20" xfId="40938"/>
    <cellStyle name="Note 2 3" xfId="40939"/>
    <cellStyle name="Note 2 3 10" xfId="40940"/>
    <cellStyle name="Note 2 3 2" xfId="40941"/>
    <cellStyle name="Note 2 3 2 2" xfId="40942"/>
    <cellStyle name="Note 2 3 2 2 2" xfId="40943"/>
    <cellStyle name="Note 2 3 2 2 2 2" xfId="40944"/>
    <cellStyle name="Note 2 3 2 2 2 2 2" xfId="40945"/>
    <cellStyle name="Note 2 3 2 2 2 2 2 2" xfId="40946"/>
    <cellStyle name="Note 2 3 2 2 2 2 3" xfId="40947"/>
    <cellStyle name="Note 2 3 2 2 2 3" xfId="40948"/>
    <cellStyle name="Note 2 3 2 2 2 3 2" xfId="40949"/>
    <cellStyle name="Note 2 3 2 2 2 4" xfId="40950"/>
    <cellStyle name="Note 2 3 2 2 3" xfId="40951"/>
    <cellStyle name="Note 2 3 2 2 3 2" xfId="40952"/>
    <cellStyle name="Note 2 3 2 2 3 2 2" xfId="40953"/>
    <cellStyle name="Note 2 3 2 2 3 3" xfId="40954"/>
    <cellStyle name="Note 2 3 2 2 4" xfId="40955"/>
    <cellStyle name="Note 2 3 2 2 4 2" xfId="40956"/>
    <cellStyle name="Note 2 3 2 2 5" xfId="40957"/>
    <cellStyle name="Note 2 3 2 3" xfId="40958"/>
    <cellStyle name="Note 2 3 2 3 2" xfId="40959"/>
    <cellStyle name="Note 2 3 2 3 2 2" xfId="40960"/>
    <cellStyle name="Note 2 3 2 3 3" xfId="40961"/>
    <cellStyle name="Note 2 3 2 4" xfId="40962"/>
    <cellStyle name="Note 2 3 2 4 2" xfId="40963"/>
    <cellStyle name="Note 2 3 2 4 2 2" xfId="40964"/>
    <cellStyle name="Note 2 3 2 4 3" xfId="40965"/>
    <cellStyle name="Note 2 3 2 5" xfId="40966"/>
    <cellStyle name="Note 2 3 2 5 2" xfId="40967"/>
    <cellStyle name="Note 2 3 2 5 2 2" xfId="40968"/>
    <cellStyle name="Note 2 3 2 5 2 2 2" xfId="40969"/>
    <cellStyle name="Note 2 3 2 5 2 3" xfId="40970"/>
    <cellStyle name="Note 2 3 2 5 3" xfId="40971"/>
    <cellStyle name="Note 2 3 2 5 3 2" xfId="40972"/>
    <cellStyle name="Note 2 3 2 5 4" xfId="40973"/>
    <cellStyle name="Note 2 3 2 6" xfId="40974"/>
    <cellStyle name="Note 2 3 2 6 2" xfId="40975"/>
    <cellStyle name="Note 2 3 2 6 2 2" xfId="40976"/>
    <cellStyle name="Note 2 3 2 6 3" xfId="40977"/>
    <cellStyle name="Note 2 3 2 7" xfId="40978"/>
    <cellStyle name="Note 2 3 2 7 2" xfId="40979"/>
    <cellStyle name="Note 2 3 2 8" xfId="40980"/>
    <cellStyle name="Note 2 3 3" xfId="40981"/>
    <cellStyle name="Note 2 3 3 2" xfId="40982"/>
    <cellStyle name="Note 2 3 3 2 2" xfId="40983"/>
    <cellStyle name="Note 2 3 3 2 2 2" xfId="40984"/>
    <cellStyle name="Note 2 3 3 2 2 2 2" xfId="40985"/>
    <cellStyle name="Note 2 3 3 2 2 2 2 2" xfId="40986"/>
    <cellStyle name="Note 2 3 3 2 2 2 2 2 2" xfId="40987"/>
    <cellStyle name="Note 2 3 3 2 2 2 2 3" xfId="40988"/>
    <cellStyle name="Note 2 3 3 2 2 2 3" xfId="40989"/>
    <cellStyle name="Note 2 3 3 2 2 2 3 2" xfId="40990"/>
    <cellStyle name="Note 2 3 3 2 2 2 4" xfId="40991"/>
    <cellStyle name="Note 2 3 3 2 2 3" xfId="40992"/>
    <cellStyle name="Note 2 3 3 2 2 3 2" xfId="40993"/>
    <cellStyle name="Note 2 3 3 2 2 3 2 2" xfId="40994"/>
    <cellStyle name="Note 2 3 3 2 2 3 3" xfId="40995"/>
    <cellStyle name="Note 2 3 3 2 2 4" xfId="40996"/>
    <cellStyle name="Note 2 3 3 2 2 4 2" xfId="40997"/>
    <cellStyle name="Note 2 3 3 2 2 5" xfId="40998"/>
    <cellStyle name="Note 2 3 3 2 3" xfId="40999"/>
    <cellStyle name="Note 2 3 3 2 3 2" xfId="41000"/>
    <cellStyle name="Note 2 3 3 2 3 2 2" xfId="41001"/>
    <cellStyle name="Note 2 3 3 2 3 3" xfId="41002"/>
    <cellStyle name="Note 2 3 3 2 4" xfId="41003"/>
    <cellStyle name="Note 2 3 3 2 4 2" xfId="41004"/>
    <cellStyle name="Note 2 3 3 2 4 2 2" xfId="41005"/>
    <cellStyle name="Note 2 3 3 2 4 2 2 2" xfId="41006"/>
    <cellStyle name="Note 2 3 3 2 4 2 3" xfId="41007"/>
    <cellStyle name="Note 2 3 3 2 4 3" xfId="41008"/>
    <cellStyle name="Note 2 3 3 2 4 3 2" xfId="41009"/>
    <cellStyle name="Note 2 3 3 2 4 4" xfId="41010"/>
    <cellStyle name="Note 2 3 3 2 5" xfId="41011"/>
    <cellStyle name="Note 2 3 3 2 5 2" xfId="41012"/>
    <cellStyle name="Note 2 3 3 2 5 2 2" xfId="41013"/>
    <cellStyle name="Note 2 3 3 2 5 3" xfId="41014"/>
    <cellStyle name="Note 2 3 3 2 6" xfId="41015"/>
    <cellStyle name="Note 2 3 3 2 6 2" xfId="41016"/>
    <cellStyle name="Note 2 3 3 2 7" xfId="41017"/>
    <cellStyle name="Note 2 3 3 3" xfId="41018"/>
    <cellStyle name="Note 2 3 3 3 2" xfId="41019"/>
    <cellStyle name="Note 2 3 3 3 2 2" xfId="41020"/>
    <cellStyle name="Note 2 3 3 3 2 2 2" xfId="41021"/>
    <cellStyle name="Note 2 3 3 3 2 2 2 2" xfId="41022"/>
    <cellStyle name="Note 2 3 3 3 2 2 2 2 2" xfId="41023"/>
    <cellStyle name="Note 2 3 3 3 2 2 2 3" xfId="41024"/>
    <cellStyle name="Note 2 3 3 3 2 2 3" xfId="41025"/>
    <cellStyle name="Note 2 3 3 3 2 2 3 2" xfId="41026"/>
    <cellStyle name="Note 2 3 3 3 2 2 4" xfId="41027"/>
    <cellStyle name="Note 2 3 3 3 2 3" xfId="41028"/>
    <cellStyle name="Note 2 3 3 3 2 3 2" xfId="41029"/>
    <cellStyle name="Note 2 3 3 3 2 3 2 2" xfId="41030"/>
    <cellStyle name="Note 2 3 3 3 2 3 3" xfId="41031"/>
    <cellStyle name="Note 2 3 3 3 2 4" xfId="41032"/>
    <cellStyle name="Note 2 3 3 3 2 4 2" xfId="41033"/>
    <cellStyle name="Note 2 3 3 3 2 5" xfId="41034"/>
    <cellStyle name="Note 2 3 3 3 3" xfId="41035"/>
    <cellStyle name="Note 2 3 3 3 3 2" xfId="41036"/>
    <cellStyle name="Note 2 3 3 3 3 2 2" xfId="41037"/>
    <cellStyle name="Note 2 3 3 3 3 2 2 2" xfId="41038"/>
    <cellStyle name="Note 2 3 3 3 3 2 3" xfId="41039"/>
    <cellStyle name="Note 2 3 3 3 3 3" xfId="41040"/>
    <cellStyle name="Note 2 3 3 3 3 3 2" xfId="41041"/>
    <cellStyle name="Note 2 3 3 3 3 4" xfId="41042"/>
    <cellStyle name="Note 2 3 3 3 4" xfId="41043"/>
    <cellStyle name="Note 2 3 3 3 4 2" xfId="41044"/>
    <cellStyle name="Note 2 3 3 3 4 2 2" xfId="41045"/>
    <cellStyle name="Note 2 3 3 3 4 3" xfId="41046"/>
    <cellStyle name="Note 2 3 3 3 5" xfId="41047"/>
    <cellStyle name="Note 2 3 3 3 5 2" xfId="41048"/>
    <cellStyle name="Note 2 3 3 3 6" xfId="41049"/>
    <cellStyle name="Note 2 3 3 4" xfId="41050"/>
    <cellStyle name="Note 2 3 3 4 2" xfId="41051"/>
    <cellStyle name="Note 2 3 3 4 2 2" xfId="41052"/>
    <cellStyle name="Note 2 3 3 4 3" xfId="41053"/>
    <cellStyle name="Note 2 3 3 5" xfId="41054"/>
    <cellStyle name="Note 2 3 3 5 2" xfId="41055"/>
    <cellStyle name="Note 2 3 3 5 2 2" xfId="41056"/>
    <cellStyle name="Note 2 3 3 5 3" xfId="41057"/>
    <cellStyle name="Note 2 3 3 6" xfId="41058"/>
    <cellStyle name="Note 2 3 3 6 2" xfId="41059"/>
    <cellStyle name="Note 2 3 3 6 2 2" xfId="41060"/>
    <cellStyle name="Note 2 3 3 6 2 2 2" xfId="41061"/>
    <cellStyle name="Note 2 3 3 6 2 3" xfId="41062"/>
    <cellStyle name="Note 2 3 3 6 3" xfId="41063"/>
    <cellStyle name="Note 2 3 3 6 3 2" xfId="41064"/>
    <cellStyle name="Note 2 3 3 6 4" xfId="41065"/>
    <cellStyle name="Note 2 3 3 7" xfId="41066"/>
    <cellStyle name="Note 2 3 3 7 2" xfId="41067"/>
    <cellStyle name="Note 2 3 3 7 2 2" xfId="41068"/>
    <cellStyle name="Note 2 3 3 7 3" xfId="41069"/>
    <cellStyle name="Note 2 3 3 8" xfId="41070"/>
    <cellStyle name="Note 2 3 3 8 2" xfId="41071"/>
    <cellStyle name="Note 2 3 3 9" xfId="41072"/>
    <cellStyle name="Note 2 3 4" xfId="41073"/>
    <cellStyle name="Note 2 3 4 2" xfId="41074"/>
    <cellStyle name="Note 2 3 4 2 2" xfId="41075"/>
    <cellStyle name="Note 2 3 4 2 2 2" xfId="41076"/>
    <cellStyle name="Note 2 3 4 2 2 2 2" xfId="41077"/>
    <cellStyle name="Note 2 3 4 2 2 2 2 2" xfId="41078"/>
    <cellStyle name="Note 2 3 4 2 2 2 3" xfId="41079"/>
    <cellStyle name="Note 2 3 4 2 2 3" xfId="41080"/>
    <cellStyle name="Note 2 3 4 2 2 3 2" xfId="41081"/>
    <cellStyle name="Note 2 3 4 2 2 4" xfId="41082"/>
    <cellStyle name="Note 2 3 4 2 3" xfId="41083"/>
    <cellStyle name="Note 2 3 4 2 3 2" xfId="41084"/>
    <cellStyle name="Note 2 3 4 2 3 2 2" xfId="41085"/>
    <cellStyle name="Note 2 3 4 2 3 3" xfId="41086"/>
    <cellStyle name="Note 2 3 4 2 4" xfId="41087"/>
    <cellStyle name="Note 2 3 4 2 4 2" xfId="41088"/>
    <cellStyle name="Note 2 3 4 2 5" xfId="41089"/>
    <cellStyle name="Note 2 3 4 3" xfId="41090"/>
    <cellStyle name="Note 2 3 4 3 2" xfId="41091"/>
    <cellStyle name="Note 2 3 4 3 2 2" xfId="41092"/>
    <cellStyle name="Note 2 3 4 3 2 2 2" xfId="41093"/>
    <cellStyle name="Note 2 3 4 3 2 3" xfId="41094"/>
    <cellStyle name="Note 2 3 4 3 3" xfId="41095"/>
    <cellStyle name="Note 2 3 4 3 3 2" xfId="41096"/>
    <cellStyle name="Note 2 3 4 3 4" xfId="41097"/>
    <cellStyle name="Note 2 3 4 4" xfId="41098"/>
    <cellStyle name="Note 2 3 4 4 2" xfId="41099"/>
    <cellStyle name="Note 2 3 4 4 2 2" xfId="41100"/>
    <cellStyle name="Note 2 3 4 4 3" xfId="41101"/>
    <cellStyle name="Note 2 3 4 5" xfId="41102"/>
    <cellStyle name="Note 2 3 4 5 2" xfId="41103"/>
    <cellStyle name="Note 2 3 4 6" xfId="41104"/>
    <cellStyle name="Note 2 3 5" xfId="41105"/>
    <cellStyle name="Note 2 3 5 2" xfId="41106"/>
    <cellStyle name="Note 2 3 5 2 2" xfId="41107"/>
    <cellStyle name="Note 2 3 5 3" xfId="41108"/>
    <cellStyle name="Note 2 3 6" xfId="41109"/>
    <cellStyle name="Note 2 3 6 2" xfId="41110"/>
    <cellStyle name="Note 2 3 6 2 2" xfId="41111"/>
    <cellStyle name="Note 2 3 6 3" xfId="41112"/>
    <cellStyle name="Note 2 3 7" xfId="41113"/>
    <cellStyle name="Note 2 3 7 2" xfId="41114"/>
    <cellStyle name="Note 2 3 7 2 2" xfId="41115"/>
    <cellStyle name="Note 2 3 7 2 2 2" xfId="41116"/>
    <cellStyle name="Note 2 3 7 2 3" xfId="41117"/>
    <cellStyle name="Note 2 3 7 3" xfId="41118"/>
    <cellStyle name="Note 2 3 7 3 2" xfId="41119"/>
    <cellStyle name="Note 2 3 7 4" xfId="41120"/>
    <cellStyle name="Note 2 3 8" xfId="41121"/>
    <cellStyle name="Note 2 3 8 2" xfId="41122"/>
    <cellStyle name="Note 2 3 8 2 2" xfId="41123"/>
    <cellStyle name="Note 2 3 8 3" xfId="41124"/>
    <cellStyle name="Note 2 3 9" xfId="41125"/>
    <cellStyle name="Note 2 3 9 2" xfId="41126"/>
    <cellStyle name="Note 2 4" xfId="41127"/>
    <cellStyle name="Note 2 4 2" xfId="41128"/>
    <cellStyle name="Note 2 4 2 2" xfId="41129"/>
    <cellStyle name="Note 2 4 2 2 2" xfId="41130"/>
    <cellStyle name="Note 2 4 2 2 2 2" xfId="41131"/>
    <cellStyle name="Note 2 4 2 2 3" xfId="41132"/>
    <cellStyle name="Note 2 4 2 3" xfId="41133"/>
    <cellStyle name="Note 2 4 2 3 2" xfId="41134"/>
    <cellStyle name="Note 2 4 2 3 2 2" xfId="41135"/>
    <cellStyle name="Note 2 4 2 3 3" xfId="41136"/>
    <cellStyle name="Note 2 4 2 4" xfId="41137"/>
    <cellStyle name="Note 2 4 2 4 2" xfId="41138"/>
    <cellStyle name="Note 2 4 2 4 2 2" xfId="41139"/>
    <cellStyle name="Note 2 4 2 4 3" xfId="41140"/>
    <cellStyle name="Note 2 4 2 5" xfId="41141"/>
    <cellStyle name="Note 2 4 2 5 2" xfId="41142"/>
    <cellStyle name="Note 2 4 2 6" xfId="41143"/>
    <cellStyle name="Note 2 4 3" xfId="41144"/>
    <cellStyle name="Note 2 4 3 2" xfId="41145"/>
    <cellStyle name="Note 2 4 3 2 2" xfId="41146"/>
    <cellStyle name="Note 2 4 3 2 2 2" xfId="41147"/>
    <cellStyle name="Note 2 4 3 2 2 2 2" xfId="41148"/>
    <cellStyle name="Note 2 4 3 2 2 3" xfId="41149"/>
    <cellStyle name="Note 2 4 3 2 3" xfId="41150"/>
    <cellStyle name="Note 2 4 3 2 3 2" xfId="41151"/>
    <cellStyle name="Note 2 4 3 2 3 2 2" xfId="41152"/>
    <cellStyle name="Note 2 4 3 2 3 3" xfId="41153"/>
    <cellStyle name="Note 2 4 3 2 4" xfId="41154"/>
    <cellStyle name="Note 2 4 3 2 4 2" xfId="41155"/>
    <cellStyle name="Note 2 4 3 2 5" xfId="41156"/>
    <cellStyle name="Note 2 4 3 3" xfId="41157"/>
    <cellStyle name="Note 2 4 3 3 2" xfId="41158"/>
    <cellStyle name="Note 2 4 3 3 2 2" xfId="41159"/>
    <cellStyle name="Note 2 4 3 3 2 2 2" xfId="41160"/>
    <cellStyle name="Note 2 4 3 3 2 3" xfId="41161"/>
    <cellStyle name="Note 2 4 3 3 3" xfId="41162"/>
    <cellStyle name="Note 2 4 3 3 3 2" xfId="41163"/>
    <cellStyle name="Note 2 4 3 3 4" xfId="41164"/>
    <cellStyle name="Note 2 4 3 4" xfId="41165"/>
    <cellStyle name="Note 2 4 3 4 2" xfId="41166"/>
    <cellStyle name="Note 2 4 3 4 2 2" xfId="41167"/>
    <cellStyle name="Note 2 4 3 4 3" xfId="41168"/>
    <cellStyle name="Note 2 4 3 5" xfId="41169"/>
    <cellStyle name="Note 2 4 3 5 2" xfId="41170"/>
    <cellStyle name="Note 2 4 3 5 2 2" xfId="41171"/>
    <cellStyle name="Note 2 4 3 5 3" xfId="41172"/>
    <cellStyle name="Note 2 4 3 6" xfId="41173"/>
    <cellStyle name="Note 2 4 3 6 2" xfId="41174"/>
    <cellStyle name="Note 2 4 3 7" xfId="41175"/>
    <cellStyle name="Note 2 4 4" xfId="41176"/>
    <cellStyle name="Note 2 4 4 2" xfId="41177"/>
    <cellStyle name="Note 2 4 4 2 2" xfId="41178"/>
    <cellStyle name="Note 2 4 4 2 2 2" xfId="41179"/>
    <cellStyle name="Note 2 4 4 2 3" xfId="41180"/>
    <cellStyle name="Note 2 4 4 3" xfId="41181"/>
    <cellStyle name="Note 2 4 4 3 2" xfId="41182"/>
    <cellStyle name="Note 2 4 4 4" xfId="41183"/>
    <cellStyle name="Note 2 4 5" xfId="41184"/>
    <cellStyle name="Note 2 4 5 2" xfId="41185"/>
    <cellStyle name="Note 2 4 5 2 2" xfId="41186"/>
    <cellStyle name="Note 2 4 5 3" xfId="41187"/>
    <cellStyle name="Note 2 4 6" xfId="41188"/>
    <cellStyle name="Note 2 4 6 2" xfId="41189"/>
    <cellStyle name="Note 2 4 6 2 2" xfId="41190"/>
    <cellStyle name="Note 2 4 6 3" xfId="41191"/>
    <cellStyle name="Note 2 4 7" xfId="41192"/>
    <cellStyle name="Note 2 4 7 2" xfId="41193"/>
    <cellStyle name="Note 2 4 8" xfId="41194"/>
    <cellStyle name="Note 2 5" xfId="41195"/>
    <cellStyle name="Note 2 5 2" xfId="41196"/>
    <cellStyle name="Note 2 5 2 2" xfId="41197"/>
    <cellStyle name="Note 2 5 2 2 2" xfId="41198"/>
    <cellStyle name="Note 2 5 2 2 2 2" xfId="41199"/>
    <cellStyle name="Note 2 5 2 2 2 2 2" xfId="41200"/>
    <cellStyle name="Note 2 5 2 2 2 2 2 2" xfId="41201"/>
    <cellStyle name="Note 2 5 2 2 2 2 3" xfId="41202"/>
    <cellStyle name="Note 2 5 2 2 2 3" xfId="41203"/>
    <cellStyle name="Note 2 5 2 2 2 3 2" xfId="41204"/>
    <cellStyle name="Note 2 5 2 2 2 4" xfId="41205"/>
    <cellStyle name="Note 2 5 2 2 3" xfId="41206"/>
    <cellStyle name="Note 2 5 2 2 3 2" xfId="41207"/>
    <cellStyle name="Note 2 5 2 2 3 2 2" xfId="41208"/>
    <cellStyle name="Note 2 5 2 2 3 3" xfId="41209"/>
    <cellStyle name="Note 2 5 2 2 4" xfId="41210"/>
    <cellStyle name="Note 2 5 2 2 4 2" xfId="41211"/>
    <cellStyle name="Note 2 5 2 2 5" xfId="41212"/>
    <cellStyle name="Note 2 5 2 3" xfId="41213"/>
    <cellStyle name="Note 2 5 2 3 2" xfId="41214"/>
    <cellStyle name="Note 2 5 2 3 2 2" xfId="41215"/>
    <cellStyle name="Note 2 5 2 3 3" xfId="41216"/>
    <cellStyle name="Note 2 5 2 4" xfId="41217"/>
    <cellStyle name="Note 2 5 2 4 2" xfId="41218"/>
    <cellStyle name="Note 2 5 2 4 2 2" xfId="41219"/>
    <cellStyle name="Note 2 5 2 4 3" xfId="41220"/>
    <cellStyle name="Note 2 5 2 5" xfId="41221"/>
    <cellStyle name="Note 2 5 2 5 2" xfId="41222"/>
    <cellStyle name="Note 2 5 2 5 2 2" xfId="41223"/>
    <cellStyle name="Note 2 5 2 5 2 2 2" xfId="41224"/>
    <cellStyle name="Note 2 5 2 5 2 3" xfId="41225"/>
    <cellStyle name="Note 2 5 2 5 3" xfId="41226"/>
    <cellStyle name="Note 2 5 2 5 3 2" xfId="41227"/>
    <cellStyle name="Note 2 5 2 5 4" xfId="41228"/>
    <cellStyle name="Note 2 5 2 6" xfId="41229"/>
    <cellStyle name="Note 2 5 2 6 2" xfId="41230"/>
    <cellStyle name="Note 2 5 2 6 2 2" xfId="41231"/>
    <cellStyle name="Note 2 5 2 6 3" xfId="41232"/>
    <cellStyle name="Note 2 5 2 7" xfId="41233"/>
    <cellStyle name="Note 2 5 2 7 2" xfId="41234"/>
    <cellStyle name="Note 2 5 2 8" xfId="41235"/>
    <cellStyle name="Note 2 5 3" xfId="41236"/>
    <cellStyle name="Note 2 5 3 2" xfId="41237"/>
    <cellStyle name="Note 2 5 3 2 2" xfId="41238"/>
    <cellStyle name="Note 2 5 3 2 2 2" xfId="41239"/>
    <cellStyle name="Note 2 5 3 2 2 2 2" xfId="41240"/>
    <cellStyle name="Note 2 5 3 2 2 2 2 2" xfId="41241"/>
    <cellStyle name="Note 2 5 3 2 2 2 3" xfId="41242"/>
    <cellStyle name="Note 2 5 3 2 2 3" xfId="41243"/>
    <cellStyle name="Note 2 5 3 2 2 3 2" xfId="41244"/>
    <cellStyle name="Note 2 5 3 2 2 4" xfId="41245"/>
    <cellStyle name="Note 2 5 3 2 3" xfId="41246"/>
    <cellStyle name="Note 2 5 3 2 3 2" xfId="41247"/>
    <cellStyle name="Note 2 5 3 2 3 2 2" xfId="41248"/>
    <cellStyle name="Note 2 5 3 2 3 3" xfId="41249"/>
    <cellStyle name="Note 2 5 3 2 4" xfId="41250"/>
    <cellStyle name="Note 2 5 3 2 4 2" xfId="41251"/>
    <cellStyle name="Note 2 5 3 2 5" xfId="41252"/>
    <cellStyle name="Note 2 5 3 3" xfId="41253"/>
    <cellStyle name="Note 2 5 3 3 2" xfId="41254"/>
    <cellStyle name="Note 2 5 3 3 2 2" xfId="41255"/>
    <cellStyle name="Note 2 5 3 3 2 2 2" xfId="41256"/>
    <cellStyle name="Note 2 5 3 3 2 3" xfId="41257"/>
    <cellStyle name="Note 2 5 3 3 3" xfId="41258"/>
    <cellStyle name="Note 2 5 3 3 3 2" xfId="41259"/>
    <cellStyle name="Note 2 5 3 3 4" xfId="41260"/>
    <cellStyle name="Note 2 5 3 4" xfId="41261"/>
    <cellStyle name="Note 2 5 3 4 2" xfId="41262"/>
    <cellStyle name="Note 2 5 3 4 2 2" xfId="41263"/>
    <cellStyle name="Note 2 5 3 4 3" xfId="41264"/>
    <cellStyle name="Note 2 5 3 5" xfId="41265"/>
    <cellStyle name="Note 2 5 3 5 2" xfId="41266"/>
    <cellStyle name="Note 2 5 3 6" xfId="41267"/>
    <cellStyle name="Note 2 5 4" xfId="41268"/>
    <cellStyle name="Note 2 5 4 2" xfId="41269"/>
    <cellStyle name="Note 2 5 4 2 2" xfId="41270"/>
    <cellStyle name="Note 2 5 4 3" xfId="41271"/>
    <cellStyle name="Note 2 5 5" xfId="41272"/>
    <cellStyle name="Note 2 5 5 2" xfId="41273"/>
    <cellStyle name="Note 2 5 5 2 2" xfId="41274"/>
    <cellStyle name="Note 2 5 5 3" xfId="41275"/>
    <cellStyle name="Note 2 5 6" xfId="41276"/>
    <cellStyle name="Note 2 5 6 2" xfId="41277"/>
    <cellStyle name="Note 2 5 6 2 2" xfId="41278"/>
    <cellStyle name="Note 2 5 6 2 2 2" xfId="41279"/>
    <cellStyle name="Note 2 5 6 2 3" xfId="41280"/>
    <cellStyle name="Note 2 5 6 3" xfId="41281"/>
    <cellStyle name="Note 2 5 6 3 2" xfId="41282"/>
    <cellStyle name="Note 2 5 6 4" xfId="41283"/>
    <cellStyle name="Note 2 5 7" xfId="41284"/>
    <cellStyle name="Note 2 5 7 2" xfId="41285"/>
    <cellStyle name="Note 2 5 7 2 2" xfId="41286"/>
    <cellStyle name="Note 2 5 7 3" xfId="41287"/>
    <cellStyle name="Note 2 5 8" xfId="41288"/>
    <cellStyle name="Note 2 5 8 2" xfId="41289"/>
    <cellStyle name="Note 2 5 9" xfId="41290"/>
    <cellStyle name="Note 2 6" xfId="41291"/>
    <cellStyle name="Note 2 6 2" xfId="41292"/>
    <cellStyle name="Note 2 6 2 2" xfId="41293"/>
    <cellStyle name="Note 2 6 2 2 2" xfId="41294"/>
    <cellStyle name="Note 2 6 2 3" xfId="41295"/>
    <cellStyle name="Note 2 6 2 3 2" xfId="41296"/>
    <cellStyle name="Note 2 6 2 3 2 2" xfId="41297"/>
    <cellStyle name="Note 2 6 2 3 3" xfId="41298"/>
    <cellStyle name="Note 2 6 2 4" xfId="41299"/>
    <cellStyle name="Note 2 6 2 4 2" xfId="41300"/>
    <cellStyle name="Note 2 6 2 4 2 2" xfId="41301"/>
    <cellStyle name="Note 2 6 2 4 3" xfId="41302"/>
    <cellStyle name="Note 2 6 2 5" xfId="41303"/>
    <cellStyle name="Note 2 6 3" xfId="41304"/>
    <cellStyle name="Note 2 6 3 2" xfId="41305"/>
    <cellStyle name="Note 2 6 3 2 2" xfId="41306"/>
    <cellStyle name="Note 2 6 3 2 2 2" xfId="41307"/>
    <cellStyle name="Note 2 6 3 2 3" xfId="41308"/>
    <cellStyle name="Note 2 6 3 2 3 2" xfId="41309"/>
    <cellStyle name="Note 2 6 3 2 3 2 2" xfId="41310"/>
    <cellStyle name="Note 2 6 3 2 3 3" xfId="41311"/>
    <cellStyle name="Note 2 6 3 2 4" xfId="41312"/>
    <cellStyle name="Note 2 6 3 3" xfId="41313"/>
    <cellStyle name="Note 2 6 3 3 2" xfId="41314"/>
    <cellStyle name="Note 2 6 3 3 2 2" xfId="41315"/>
    <cellStyle name="Note 2 6 3 3 3" xfId="41316"/>
    <cellStyle name="Note 2 6 3 4" xfId="41317"/>
    <cellStyle name="Note 2 6 3 4 2" xfId="41318"/>
    <cellStyle name="Note 2 6 3 4 2 2" xfId="41319"/>
    <cellStyle name="Note 2 6 3 4 3" xfId="41320"/>
    <cellStyle name="Note 2 6 3 5" xfId="41321"/>
    <cellStyle name="Note 2 6 3 5 2" xfId="41322"/>
    <cellStyle name="Note 2 6 3 5 2 2" xfId="41323"/>
    <cellStyle name="Note 2 6 3 5 3" xfId="41324"/>
    <cellStyle name="Note 2 6 3 6" xfId="41325"/>
    <cellStyle name="Note 2 6 4" xfId="41326"/>
    <cellStyle name="Note 2 6 4 2" xfId="41327"/>
    <cellStyle name="Note 2 6 4 2 2" xfId="41328"/>
    <cellStyle name="Note 2 6 4 3" xfId="41329"/>
    <cellStyle name="Note 2 6 5" xfId="41330"/>
    <cellStyle name="Note 2 6 5 2" xfId="41331"/>
    <cellStyle name="Note 2 6 5 2 2" xfId="41332"/>
    <cellStyle name="Note 2 6 5 3" xfId="41333"/>
    <cellStyle name="Note 2 6 6" xfId="41334"/>
    <cellStyle name="Note 2 6 6 2" xfId="41335"/>
    <cellStyle name="Note 2 6 6 2 2" xfId="41336"/>
    <cellStyle name="Note 2 6 6 3" xfId="41337"/>
    <cellStyle name="Note 2 6 7" xfId="41338"/>
    <cellStyle name="Note 2 7" xfId="41339"/>
    <cellStyle name="Note 2 7 10" xfId="41340"/>
    <cellStyle name="Note 2 7 2" xfId="41341"/>
    <cellStyle name="Note 2 7 2 2" xfId="41342"/>
    <cellStyle name="Note 2 7 2 2 2" xfId="41343"/>
    <cellStyle name="Note 2 7 2 2 2 2" xfId="41344"/>
    <cellStyle name="Note 2 7 2 2 2 2 2" xfId="41345"/>
    <cellStyle name="Note 2 7 2 2 2 2 2 2" xfId="41346"/>
    <cellStyle name="Note 2 7 2 2 2 2 3" xfId="41347"/>
    <cellStyle name="Note 2 7 2 2 2 3" xfId="41348"/>
    <cellStyle name="Note 2 7 2 2 2 3 2" xfId="41349"/>
    <cellStyle name="Note 2 7 2 2 2 4" xfId="41350"/>
    <cellStyle name="Note 2 7 2 2 3" xfId="41351"/>
    <cellStyle name="Note 2 7 2 2 3 2" xfId="41352"/>
    <cellStyle name="Note 2 7 2 2 3 2 2" xfId="41353"/>
    <cellStyle name="Note 2 7 2 2 3 3" xfId="41354"/>
    <cellStyle name="Note 2 7 2 2 4" xfId="41355"/>
    <cellStyle name="Note 2 7 2 2 4 2" xfId="41356"/>
    <cellStyle name="Note 2 7 2 2 5" xfId="41357"/>
    <cellStyle name="Note 2 7 2 3" xfId="41358"/>
    <cellStyle name="Note 2 7 2 3 2" xfId="41359"/>
    <cellStyle name="Note 2 7 2 3 2 2" xfId="41360"/>
    <cellStyle name="Note 2 7 2 3 3" xfId="41361"/>
    <cellStyle name="Note 2 7 2 4" xfId="41362"/>
    <cellStyle name="Note 2 7 2 4 2" xfId="41363"/>
    <cellStyle name="Note 2 7 2 4 2 2" xfId="41364"/>
    <cellStyle name="Note 2 7 2 4 3" xfId="41365"/>
    <cellStyle name="Note 2 7 2 5" xfId="41366"/>
    <cellStyle name="Note 2 7 2 5 2" xfId="41367"/>
    <cellStyle name="Note 2 7 2 5 2 2" xfId="41368"/>
    <cellStyle name="Note 2 7 2 5 2 2 2" xfId="41369"/>
    <cellStyle name="Note 2 7 2 5 2 3" xfId="41370"/>
    <cellStyle name="Note 2 7 2 5 3" xfId="41371"/>
    <cellStyle name="Note 2 7 2 5 3 2" xfId="41372"/>
    <cellStyle name="Note 2 7 2 5 4" xfId="41373"/>
    <cellStyle name="Note 2 7 2 6" xfId="41374"/>
    <cellStyle name="Note 2 7 2 6 2" xfId="41375"/>
    <cellStyle name="Note 2 7 2 6 2 2" xfId="41376"/>
    <cellStyle name="Note 2 7 2 6 3" xfId="41377"/>
    <cellStyle name="Note 2 7 2 7" xfId="41378"/>
    <cellStyle name="Note 2 7 2 7 2" xfId="41379"/>
    <cellStyle name="Note 2 7 2 8" xfId="41380"/>
    <cellStyle name="Note 2 7 3" xfId="41381"/>
    <cellStyle name="Note 2 7 3 2" xfId="41382"/>
    <cellStyle name="Note 2 7 3 2 2" xfId="41383"/>
    <cellStyle name="Note 2 7 3 2 2 2" xfId="41384"/>
    <cellStyle name="Note 2 7 3 2 2 2 2" xfId="41385"/>
    <cellStyle name="Note 2 7 3 2 2 2 2 2" xfId="41386"/>
    <cellStyle name="Note 2 7 3 2 2 2 2 2 2" xfId="41387"/>
    <cellStyle name="Note 2 7 3 2 2 2 2 3" xfId="41388"/>
    <cellStyle name="Note 2 7 3 2 2 2 3" xfId="41389"/>
    <cellStyle name="Note 2 7 3 2 2 2 3 2" xfId="41390"/>
    <cellStyle name="Note 2 7 3 2 2 2 4" xfId="41391"/>
    <cellStyle name="Note 2 7 3 2 2 3" xfId="41392"/>
    <cellStyle name="Note 2 7 3 2 2 3 2" xfId="41393"/>
    <cellStyle name="Note 2 7 3 2 2 3 2 2" xfId="41394"/>
    <cellStyle name="Note 2 7 3 2 2 3 3" xfId="41395"/>
    <cellStyle name="Note 2 7 3 2 2 4" xfId="41396"/>
    <cellStyle name="Note 2 7 3 2 2 4 2" xfId="41397"/>
    <cellStyle name="Note 2 7 3 2 2 5" xfId="41398"/>
    <cellStyle name="Note 2 7 3 2 3" xfId="41399"/>
    <cellStyle name="Note 2 7 3 2 3 2" xfId="41400"/>
    <cellStyle name="Note 2 7 3 2 3 2 2" xfId="41401"/>
    <cellStyle name="Note 2 7 3 2 3 3" xfId="41402"/>
    <cellStyle name="Note 2 7 3 2 4" xfId="41403"/>
    <cellStyle name="Note 2 7 3 2 4 2" xfId="41404"/>
    <cellStyle name="Note 2 7 3 2 4 2 2" xfId="41405"/>
    <cellStyle name="Note 2 7 3 2 4 2 2 2" xfId="41406"/>
    <cellStyle name="Note 2 7 3 2 4 2 3" xfId="41407"/>
    <cellStyle name="Note 2 7 3 2 4 3" xfId="41408"/>
    <cellStyle name="Note 2 7 3 2 4 3 2" xfId="41409"/>
    <cellStyle name="Note 2 7 3 2 4 4" xfId="41410"/>
    <cellStyle name="Note 2 7 3 2 5" xfId="41411"/>
    <cellStyle name="Note 2 7 3 2 5 2" xfId="41412"/>
    <cellStyle name="Note 2 7 3 2 5 2 2" xfId="41413"/>
    <cellStyle name="Note 2 7 3 2 5 3" xfId="41414"/>
    <cellStyle name="Note 2 7 3 2 6" xfId="41415"/>
    <cellStyle name="Note 2 7 3 2 6 2" xfId="41416"/>
    <cellStyle name="Note 2 7 3 2 7" xfId="41417"/>
    <cellStyle name="Note 2 7 3 3" xfId="41418"/>
    <cellStyle name="Note 2 7 3 3 2" xfId="41419"/>
    <cellStyle name="Note 2 7 3 3 2 2" xfId="41420"/>
    <cellStyle name="Note 2 7 3 3 2 2 2" xfId="41421"/>
    <cellStyle name="Note 2 7 3 3 2 2 2 2" xfId="41422"/>
    <cellStyle name="Note 2 7 3 3 2 2 2 2 2" xfId="41423"/>
    <cellStyle name="Note 2 7 3 3 2 2 2 3" xfId="41424"/>
    <cellStyle name="Note 2 7 3 3 2 2 3" xfId="41425"/>
    <cellStyle name="Note 2 7 3 3 2 2 3 2" xfId="41426"/>
    <cellStyle name="Note 2 7 3 3 2 2 4" xfId="41427"/>
    <cellStyle name="Note 2 7 3 3 2 3" xfId="41428"/>
    <cellStyle name="Note 2 7 3 3 2 3 2" xfId="41429"/>
    <cellStyle name="Note 2 7 3 3 2 3 2 2" xfId="41430"/>
    <cellStyle name="Note 2 7 3 3 2 3 3" xfId="41431"/>
    <cellStyle name="Note 2 7 3 3 2 4" xfId="41432"/>
    <cellStyle name="Note 2 7 3 3 2 4 2" xfId="41433"/>
    <cellStyle name="Note 2 7 3 3 2 5" xfId="41434"/>
    <cellStyle name="Note 2 7 3 3 3" xfId="41435"/>
    <cellStyle name="Note 2 7 3 3 3 2" xfId="41436"/>
    <cellStyle name="Note 2 7 3 3 3 2 2" xfId="41437"/>
    <cellStyle name="Note 2 7 3 3 3 2 2 2" xfId="41438"/>
    <cellStyle name="Note 2 7 3 3 3 2 3" xfId="41439"/>
    <cellStyle name="Note 2 7 3 3 3 3" xfId="41440"/>
    <cellStyle name="Note 2 7 3 3 3 3 2" xfId="41441"/>
    <cellStyle name="Note 2 7 3 3 3 4" xfId="41442"/>
    <cellStyle name="Note 2 7 3 3 4" xfId="41443"/>
    <cellStyle name="Note 2 7 3 3 4 2" xfId="41444"/>
    <cellStyle name="Note 2 7 3 3 4 2 2" xfId="41445"/>
    <cellStyle name="Note 2 7 3 3 4 3" xfId="41446"/>
    <cellStyle name="Note 2 7 3 3 5" xfId="41447"/>
    <cellStyle name="Note 2 7 3 3 5 2" xfId="41448"/>
    <cellStyle name="Note 2 7 3 3 6" xfId="41449"/>
    <cellStyle name="Note 2 7 3 4" xfId="41450"/>
    <cellStyle name="Note 2 7 3 4 2" xfId="41451"/>
    <cellStyle name="Note 2 7 3 4 2 2" xfId="41452"/>
    <cellStyle name="Note 2 7 3 4 3" xfId="41453"/>
    <cellStyle name="Note 2 7 3 5" xfId="41454"/>
    <cellStyle name="Note 2 7 3 5 2" xfId="41455"/>
    <cellStyle name="Note 2 7 3 5 2 2" xfId="41456"/>
    <cellStyle name="Note 2 7 3 5 3" xfId="41457"/>
    <cellStyle name="Note 2 7 3 6" xfId="41458"/>
    <cellStyle name="Note 2 7 3 6 2" xfId="41459"/>
    <cellStyle name="Note 2 7 3 6 2 2" xfId="41460"/>
    <cellStyle name="Note 2 7 3 6 2 2 2" xfId="41461"/>
    <cellStyle name="Note 2 7 3 6 2 3" xfId="41462"/>
    <cellStyle name="Note 2 7 3 6 3" xfId="41463"/>
    <cellStyle name="Note 2 7 3 6 3 2" xfId="41464"/>
    <cellStyle name="Note 2 7 3 6 4" xfId="41465"/>
    <cellStyle name="Note 2 7 3 7" xfId="41466"/>
    <cellStyle name="Note 2 7 3 7 2" xfId="41467"/>
    <cellStyle name="Note 2 7 3 7 2 2" xfId="41468"/>
    <cellStyle name="Note 2 7 3 7 3" xfId="41469"/>
    <cellStyle name="Note 2 7 3 8" xfId="41470"/>
    <cellStyle name="Note 2 7 3 8 2" xfId="41471"/>
    <cellStyle name="Note 2 7 3 9" xfId="41472"/>
    <cellStyle name="Note 2 7 4" xfId="41473"/>
    <cellStyle name="Note 2 7 4 2" xfId="41474"/>
    <cellStyle name="Note 2 7 4 2 2" xfId="41475"/>
    <cellStyle name="Note 2 7 4 2 2 2" xfId="41476"/>
    <cellStyle name="Note 2 7 4 2 2 2 2" xfId="41477"/>
    <cellStyle name="Note 2 7 4 2 2 2 2 2" xfId="41478"/>
    <cellStyle name="Note 2 7 4 2 2 2 3" xfId="41479"/>
    <cellStyle name="Note 2 7 4 2 2 3" xfId="41480"/>
    <cellStyle name="Note 2 7 4 2 2 3 2" xfId="41481"/>
    <cellStyle name="Note 2 7 4 2 2 4" xfId="41482"/>
    <cellStyle name="Note 2 7 4 2 3" xfId="41483"/>
    <cellStyle name="Note 2 7 4 2 3 2" xfId="41484"/>
    <cellStyle name="Note 2 7 4 2 3 2 2" xfId="41485"/>
    <cellStyle name="Note 2 7 4 2 3 3" xfId="41486"/>
    <cellStyle name="Note 2 7 4 2 4" xfId="41487"/>
    <cellStyle name="Note 2 7 4 2 4 2" xfId="41488"/>
    <cellStyle name="Note 2 7 4 2 5" xfId="41489"/>
    <cellStyle name="Note 2 7 4 3" xfId="41490"/>
    <cellStyle name="Note 2 7 4 3 2" xfId="41491"/>
    <cellStyle name="Note 2 7 4 3 2 2" xfId="41492"/>
    <cellStyle name="Note 2 7 4 3 2 2 2" xfId="41493"/>
    <cellStyle name="Note 2 7 4 3 2 3" xfId="41494"/>
    <cellStyle name="Note 2 7 4 3 3" xfId="41495"/>
    <cellStyle name="Note 2 7 4 3 3 2" xfId="41496"/>
    <cellStyle name="Note 2 7 4 3 4" xfId="41497"/>
    <cellStyle name="Note 2 7 4 4" xfId="41498"/>
    <cellStyle name="Note 2 7 4 4 2" xfId="41499"/>
    <cellStyle name="Note 2 7 4 4 2 2" xfId="41500"/>
    <cellStyle name="Note 2 7 4 4 3" xfId="41501"/>
    <cellStyle name="Note 2 7 4 5" xfId="41502"/>
    <cellStyle name="Note 2 7 4 5 2" xfId="41503"/>
    <cellStyle name="Note 2 7 4 6" xfId="41504"/>
    <cellStyle name="Note 2 7 5" xfId="41505"/>
    <cellStyle name="Note 2 7 5 2" xfId="41506"/>
    <cellStyle name="Note 2 7 5 2 2" xfId="41507"/>
    <cellStyle name="Note 2 7 5 3" xfId="41508"/>
    <cellStyle name="Note 2 7 6" xfId="41509"/>
    <cellStyle name="Note 2 7 6 2" xfId="41510"/>
    <cellStyle name="Note 2 7 6 2 2" xfId="41511"/>
    <cellStyle name="Note 2 7 6 3" xfId="41512"/>
    <cellStyle name="Note 2 7 7" xfId="41513"/>
    <cellStyle name="Note 2 7 7 2" xfId="41514"/>
    <cellStyle name="Note 2 7 7 2 2" xfId="41515"/>
    <cellStyle name="Note 2 7 7 2 2 2" xfId="41516"/>
    <cellStyle name="Note 2 7 7 2 3" xfId="41517"/>
    <cellStyle name="Note 2 7 7 3" xfId="41518"/>
    <cellStyle name="Note 2 7 7 3 2" xfId="41519"/>
    <cellStyle name="Note 2 7 7 4" xfId="41520"/>
    <cellStyle name="Note 2 7 8" xfId="41521"/>
    <cellStyle name="Note 2 7 8 2" xfId="41522"/>
    <cellStyle name="Note 2 7 8 2 2" xfId="41523"/>
    <cellStyle name="Note 2 7 8 3" xfId="41524"/>
    <cellStyle name="Note 2 7 9" xfId="41525"/>
    <cellStyle name="Note 2 7 9 2" xfId="41526"/>
    <cellStyle name="Note 2 8" xfId="41527"/>
    <cellStyle name="Note 2 8 10" xfId="41528"/>
    <cellStyle name="Note 2 8 2" xfId="41529"/>
    <cellStyle name="Note 2 8 2 2" xfId="41530"/>
    <cellStyle name="Note 2 8 2 2 2" xfId="41531"/>
    <cellStyle name="Note 2 8 2 2 2 2" xfId="41532"/>
    <cellStyle name="Note 2 8 2 2 2 2 2" xfId="41533"/>
    <cellStyle name="Note 2 8 2 2 2 2 2 2" xfId="41534"/>
    <cellStyle name="Note 2 8 2 2 2 2 3" xfId="41535"/>
    <cellStyle name="Note 2 8 2 2 2 3" xfId="41536"/>
    <cellStyle name="Note 2 8 2 2 2 3 2" xfId="41537"/>
    <cellStyle name="Note 2 8 2 2 2 4" xfId="41538"/>
    <cellStyle name="Note 2 8 2 2 3" xfId="41539"/>
    <cellStyle name="Note 2 8 2 2 3 2" xfId="41540"/>
    <cellStyle name="Note 2 8 2 2 3 2 2" xfId="41541"/>
    <cellStyle name="Note 2 8 2 2 3 3" xfId="41542"/>
    <cellStyle name="Note 2 8 2 2 4" xfId="41543"/>
    <cellStyle name="Note 2 8 2 2 4 2" xfId="41544"/>
    <cellStyle name="Note 2 8 2 2 5" xfId="41545"/>
    <cellStyle name="Note 2 8 2 3" xfId="41546"/>
    <cellStyle name="Note 2 8 2 3 2" xfId="41547"/>
    <cellStyle name="Note 2 8 2 3 2 2" xfId="41548"/>
    <cellStyle name="Note 2 8 2 3 3" xfId="41549"/>
    <cellStyle name="Note 2 8 2 4" xfId="41550"/>
    <cellStyle name="Note 2 8 2 4 2" xfId="41551"/>
    <cellStyle name="Note 2 8 2 4 2 2" xfId="41552"/>
    <cellStyle name="Note 2 8 2 4 3" xfId="41553"/>
    <cellStyle name="Note 2 8 2 5" xfId="41554"/>
    <cellStyle name="Note 2 8 2 5 2" xfId="41555"/>
    <cellStyle name="Note 2 8 2 5 2 2" xfId="41556"/>
    <cellStyle name="Note 2 8 2 5 2 2 2" xfId="41557"/>
    <cellStyle name="Note 2 8 2 5 2 3" xfId="41558"/>
    <cellStyle name="Note 2 8 2 5 3" xfId="41559"/>
    <cellStyle name="Note 2 8 2 5 3 2" xfId="41560"/>
    <cellStyle name="Note 2 8 2 5 4" xfId="41561"/>
    <cellStyle name="Note 2 8 2 6" xfId="41562"/>
    <cellStyle name="Note 2 8 2 6 2" xfId="41563"/>
    <cellStyle name="Note 2 8 2 6 2 2" xfId="41564"/>
    <cellStyle name="Note 2 8 2 6 3" xfId="41565"/>
    <cellStyle name="Note 2 8 2 7" xfId="41566"/>
    <cellStyle name="Note 2 8 2 7 2" xfId="41567"/>
    <cellStyle name="Note 2 8 2 8" xfId="41568"/>
    <cellStyle name="Note 2 8 3" xfId="41569"/>
    <cellStyle name="Note 2 8 3 2" xfId="41570"/>
    <cellStyle name="Note 2 8 3 2 2" xfId="41571"/>
    <cellStyle name="Note 2 8 3 2 2 2" xfId="41572"/>
    <cellStyle name="Note 2 8 3 2 2 2 2" xfId="41573"/>
    <cellStyle name="Note 2 8 3 2 2 2 2 2" xfId="41574"/>
    <cellStyle name="Note 2 8 3 2 2 2 3" xfId="41575"/>
    <cellStyle name="Note 2 8 3 2 2 3" xfId="41576"/>
    <cellStyle name="Note 2 8 3 2 2 3 2" xfId="41577"/>
    <cellStyle name="Note 2 8 3 2 2 4" xfId="41578"/>
    <cellStyle name="Note 2 8 3 2 3" xfId="41579"/>
    <cellStyle name="Note 2 8 3 2 3 2" xfId="41580"/>
    <cellStyle name="Note 2 8 3 2 3 2 2" xfId="41581"/>
    <cellStyle name="Note 2 8 3 2 3 3" xfId="41582"/>
    <cellStyle name="Note 2 8 3 2 4" xfId="41583"/>
    <cellStyle name="Note 2 8 3 2 4 2" xfId="41584"/>
    <cellStyle name="Note 2 8 3 2 5" xfId="41585"/>
    <cellStyle name="Note 2 8 3 3" xfId="41586"/>
    <cellStyle name="Note 2 8 3 3 2" xfId="41587"/>
    <cellStyle name="Note 2 8 3 3 2 2" xfId="41588"/>
    <cellStyle name="Note 2 8 3 3 3" xfId="41589"/>
    <cellStyle name="Note 2 8 3 4" xfId="41590"/>
    <cellStyle name="Note 2 8 3 4 2" xfId="41591"/>
    <cellStyle name="Note 2 8 3 4 2 2" xfId="41592"/>
    <cellStyle name="Note 2 8 3 4 2 2 2" xfId="41593"/>
    <cellStyle name="Note 2 8 3 4 2 3" xfId="41594"/>
    <cellStyle name="Note 2 8 3 4 3" xfId="41595"/>
    <cellStyle name="Note 2 8 3 4 3 2" xfId="41596"/>
    <cellStyle name="Note 2 8 3 4 4" xfId="41597"/>
    <cellStyle name="Note 2 8 3 5" xfId="41598"/>
    <cellStyle name="Note 2 8 3 5 2" xfId="41599"/>
    <cellStyle name="Note 2 8 3 5 2 2" xfId="41600"/>
    <cellStyle name="Note 2 8 3 5 3" xfId="41601"/>
    <cellStyle name="Note 2 8 3 6" xfId="41602"/>
    <cellStyle name="Note 2 8 3 6 2" xfId="41603"/>
    <cellStyle name="Note 2 8 3 7" xfId="41604"/>
    <cellStyle name="Note 2 8 4" xfId="41605"/>
    <cellStyle name="Note 2 8 4 2" xfId="41606"/>
    <cellStyle name="Note 2 8 4 2 2" xfId="41607"/>
    <cellStyle name="Note 2 8 4 2 2 2" xfId="41608"/>
    <cellStyle name="Note 2 8 4 2 2 2 2" xfId="41609"/>
    <cellStyle name="Note 2 8 4 2 2 2 2 2" xfId="41610"/>
    <cellStyle name="Note 2 8 4 2 2 2 3" xfId="41611"/>
    <cellStyle name="Note 2 8 4 2 2 3" xfId="41612"/>
    <cellStyle name="Note 2 8 4 2 2 3 2" xfId="41613"/>
    <cellStyle name="Note 2 8 4 2 2 4" xfId="41614"/>
    <cellStyle name="Note 2 8 4 2 3" xfId="41615"/>
    <cellStyle name="Note 2 8 4 2 3 2" xfId="41616"/>
    <cellStyle name="Note 2 8 4 2 3 2 2" xfId="41617"/>
    <cellStyle name="Note 2 8 4 2 3 3" xfId="41618"/>
    <cellStyle name="Note 2 8 4 2 4" xfId="41619"/>
    <cellStyle name="Note 2 8 4 2 4 2" xfId="41620"/>
    <cellStyle name="Note 2 8 4 2 5" xfId="41621"/>
    <cellStyle name="Note 2 8 4 3" xfId="41622"/>
    <cellStyle name="Note 2 8 4 3 2" xfId="41623"/>
    <cellStyle name="Note 2 8 4 3 2 2" xfId="41624"/>
    <cellStyle name="Note 2 8 4 3 2 2 2" xfId="41625"/>
    <cellStyle name="Note 2 8 4 3 2 3" xfId="41626"/>
    <cellStyle name="Note 2 8 4 3 3" xfId="41627"/>
    <cellStyle name="Note 2 8 4 3 3 2" xfId="41628"/>
    <cellStyle name="Note 2 8 4 3 4" xfId="41629"/>
    <cellStyle name="Note 2 8 4 4" xfId="41630"/>
    <cellStyle name="Note 2 8 4 4 2" xfId="41631"/>
    <cellStyle name="Note 2 8 4 4 2 2" xfId="41632"/>
    <cellStyle name="Note 2 8 4 4 3" xfId="41633"/>
    <cellStyle name="Note 2 8 4 5" xfId="41634"/>
    <cellStyle name="Note 2 8 4 5 2" xfId="41635"/>
    <cellStyle name="Note 2 8 4 6" xfId="41636"/>
    <cellStyle name="Note 2 8 5" xfId="41637"/>
    <cellStyle name="Note 2 8 5 2" xfId="41638"/>
    <cellStyle name="Note 2 8 5 2 2" xfId="41639"/>
    <cellStyle name="Note 2 8 5 3" xfId="41640"/>
    <cellStyle name="Note 2 8 6" xfId="41641"/>
    <cellStyle name="Note 2 8 6 2" xfId="41642"/>
    <cellStyle name="Note 2 8 6 2 2" xfId="41643"/>
    <cellStyle name="Note 2 8 6 3" xfId="41644"/>
    <cellStyle name="Note 2 8 7" xfId="41645"/>
    <cellStyle name="Note 2 8 7 2" xfId="41646"/>
    <cellStyle name="Note 2 8 7 2 2" xfId="41647"/>
    <cellStyle name="Note 2 8 7 2 2 2" xfId="41648"/>
    <cellStyle name="Note 2 8 7 2 3" xfId="41649"/>
    <cellStyle name="Note 2 8 7 3" xfId="41650"/>
    <cellStyle name="Note 2 8 7 3 2" xfId="41651"/>
    <cellStyle name="Note 2 8 7 4" xfId="41652"/>
    <cellStyle name="Note 2 8 8" xfId="41653"/>
    <cellStyle name="Note 2 8 8 2" xfId="41654"/>
    <cellStyle name="Note 2 8 8 2 2" xfId="41655"/>
    <cellStyle name="Note 2 8 8 3" xfId="41656"/>
    <cellStyle name="Note 2 8 9" xfId="41657"/>
    <cellStyle name="Note 2 8 9 2" xfId="41658"/>
    <cellStyle name="Note 2 9" xfId="41659"/>
    <cellStyle name="Note 2 9 2" xfId="41660"/>
    <cellStyle name="Note 2 9 2 2" xfId="41661"/>
    <cellStyle name="Note 2 9 2 2 2" xfId="41662"/>
    <cellStyle name="Note 2 9 2 2 2 2" xfId="41663"/>
    <cellStyle name="Note 2 9 2 2 2 2 2" xfId="41664"/>
    <cellStyle name="Note 2 9 2 2 2 3" xfId="41665"/>
    <cellStyle name="Note 2 9 2 2 3" xfId="41666"/>
    <cellStyle name="Note 2 9 2 2 3 2" xfId="41667"/>
    <cellStyle name="Note 2 9 2 2 4" xfId="41668"/>
    <cellStyle name="Note 2 9 2 3" xfId="41669"/>
    <cellStyle name="Note 2 9 2 3 2" xfId="41670"/>
    <cellStyle name="Note 2 9 2 3 2 2" xfId="41671"/>
    <cellStyle name="Note 2 9 2 3 3" xfId="41672"/>
    <cellStyle name="Note 2 9 2 4" xfId="41673"/>
    <cellStyle name="Note 2 9 2 4 2" xfId="41674"/>
    <cellStyle name="Note 2 9 2 5" xfId="41675"/>
    <cellStyle name="Note 2 9 3" xfId="41676"/>
    <cellStyle name="Note 2 9 3 2" xfId="41677"/>
    <cellStyle name="Note 2 9 3 2 2" xfId="41678"/>
    <cellStyle name="Note 2 9 3 3" xfId="41679"/>
    <cellStyle name="Note 2 9 4" xfId="41680"/>
    <cellStyle name="Note 2 9 4 2" xfId="41681"/>
    <cellStyle name="Note 2 9 4 2 2" xfId="41682"/>
    <cellStyle name="Note 2 9 4 3" xfId="41683"/>
    <cellStyle name="Note 2 9 5" xfId="41684"/>
    <cellStyle name="Note 2 9 5 2" xfId="41685"/>
    <cellStyle name="Note 2 9 5 2 2" xfId="41686"/>
    <cellStyle name="Note 2 9 5 2 2 2" xfId="41687"/>
    <cellStyle name="Note 2 9 5 2 3" xfId="41688"/>
    <cellStyle name="Note 2 9 5 3" xfId="41689"/>
    <cellStyle name="Note 2 9 5 3 2" xfId="41690"/>
    <cellStyle name="Note 2 9 5 4" xfId="41691"/>
    <cellStyle name="Note 2 9 6" xfId="41692"/>
    <cellStyle name="Note 2 9 6 2" xfId="41693"/>
    <cellStyle name="Note 2 9 6 2 2" xfId="41694"/>
    <cellStyle name="Note 2 9 6 3" xfId="41695"/>
    <cellStyle name="Note 2 9 7" xfId="41696"/>
    <cellStyle name="Note 2 9 7 2" xfId="41697"/>
    <cellStyle name="Note 2 9 8" xfId="41698"/>
    <cellStyle name="Note 3" xfId="41699"/>
    <cellStyle name="Note 3 10" xfId="41700"/>
    <cellStyle name="Note 3 10 2" xfId="41701"/>
    <cellStyle name="Note 3 10 2 2" xfId="41702"/>
    <cellStyle name="Note 3 10 3" xfId="41703"/>
    <cellStyle name="Note 3 11" xfId="41704"/>
    <cellStyle name="Note 3 11 2" xfId="41705"/>
    <cellStyle name="Note 3 12" xfId="41706"/>
    <cellStyle name="Note 3 13" xfId="41707"/>
    <cellStyle name="Note 3 2" xfId="41708"/>
    <cellStyle name="Note 3 2 2" xfId="41709"/>
    <cellStyle name="Note 3 2 2 2" xfId="41710"/>
    <cellStyle name="Note 3 2 2 2 2" xfId="41711"/>
    <cellStyle name="Note 3 2 2 2 2 2" xfId="41712"/>
    <cellStyle name="Note 3 2 2 2 3" xfId="41713"/>
    <cellStyle name="Note 3 2 2 3" xfId="41714"/>
    <cellStyle name="Note 3 2 2 3 2" xfId="41715"/>
    <cellStyle name="Note 3 2 2 3 2 2" xfId="41716"/>
    <cellStyle name="Note 3 2 2 3 3" xfId="41717"/>
    <cellStyle name="Note 3 2 2 4" xfId="41718"/>
    <cellStyle name="Note 3 2 2 4 2" xfId="41719"/>
    <cellStyle name="Note 3 2 2 4 2 2" xfId="41720"/>
    <cellStyle name="Note 3 2 2 4 3" xfId="41721"/>
    <cellStyle name="Note 3 2 2 5" xfId="41722"/>
    <cellStyle name="Note 3 2 2 5 2" xfId="41723"/>
    <cellStyle name="Note 3 2 2 6" xfId="41724"/>
    <cellStyle name="Note 3 2 3" xfId="41725"/>
    <cellStyle name="Note 3 2 3 2" xfId="41726"/>
    <cellStyle name="Note 3 2 3 2 2" xfId="41727"/>
    <cellStyle name="Note 3 2 3 2 2 2" xfId="41728"/>
    <cellStyle name="Note 3 2 3 2 2 2 2" xfId="41729"/>
    <cellStyle name="Note 3 2 3 2 2 3" xfId="41730"/>
    <cellStyle name="Note 3 2 3 2 3" xfId="41731"/>
    <cellStyle name="Note 3 2 3 2 3 2" xfId="41732"/>
    <cellStyle name="Note 3 2 3 2 3 2 2" xfId="41733"/>
    <cellStyle name="Note 3 2 3 2 3 3" xfId="41734"/>
    <cellStyle name="Note 3 2 3 2 4" xfId="41735"/>
    <cellStyle name="Note 3 2 3 2 4 2" xfId="41736"/>
    <cellStyle name="Note 3 2 3 2 5" xfId="41737"/>
    <cellStyle name="Note 3 2 3 3" xfId="41738"/>
    <cellStyle name="Note 3 2 3 3 2" xfId="41739"/>
    <cellStyle name="Note 3 2 3 3 2 2" xfId="41740"/>
    <cellStyle name="Note 3 2 3 3 2 2 2" xfId="41741"/>
    <cellStyle name="Note 3 2 3 3 2 3" xfId="41742"/>
    <cellStyle name="Note 3 2 3 3 3" xfId="41743"/>
    <cellStyle name="Note 3 2 3 3 3 2" xfId="41744"/>
    <cellStyle name="Note 3 2 3 3 4" xfId="41745"/>
    <cellStyle name="Note 3 2 3 4" xfId="41746"/>
    <cellStyle name="Note 3 2 3 4 2" xfId="41747"/>
    <cellStyle name="Note 3 2 3 4 2 2" xfId="41748"/>
    <cellStyle name="Note 3 2 3 4 3" xfId="41749"/>
    <cellStyle name="Note 3 2 3 5" xfId="41750"/>
    <cellStyle name="Note 3 2 3 5 2" xfId="41751"/>
    <cellStyle name="Note 3 2 3 5 2 2" xfId="41752"/>
    <cellStyle name="Note 3 2 3 5 3" xfId="41753"/>
    <cellStyle name="Note 3 2 3 6" xfId="41754"/>
    <cellStyle name="Note 3 2 3 6 2" xfId="41755"/>
    <cellStyle name="Note 3 2 3 7" xfId="41756"/>
    <cellStyle name="Note 3 2 4" xfId="41757"/>
    <cellStyle name="Note 3 2 4 2" xfId="41758"/>
    <cellStyle name="Note 3 2 4 2 2" xfId="41759"/>
    <cellStyle name="Note 3 2 4 2 2 2" xfId="41760"/>
    <cellStyle name="Note 3 2 4 2 3" xfId="41761"/>
    <cellStyle name="Note 3 2 4 3" xfId="41762"/>
    <cellStyle name="Note 3 2 4 3 2" xfId="41763"/>
    <cellStyle name="Note 3 2 4 4" xfId="41764"/>
    <cellStyle name="Note 3 2 5" xfId="41765"/>
    <cellStyle name="Note 3 2 5 2" xfId="41766"/>
    <cellStyle name="Note 3 2 5 2 2" xfId="41767"/>
    <cellStyle name="Note 3 2 5 3" xfId="41768"/>
    <cellStyle name="Note 3 2 6" xfId="41769"/>
    <cellStyle name="Note 3 2 6 2" xfId="41770"/>
    <cellStyle name="Note 3 2 6 2 2" xfId="41771"/>
    <cellStyle name="Note 3 2 6 3" xfId="41772"/>
    <cellStyle name="Note 3 2 7" xfId="41773"/>
    <cellStyle name="Note 3 2 7 2" xfId="41774"/>
    <cellStyle name="Note 3 2 8" xfId="41775"/>
    <cellStyle name="Note 3 3" xfId="41776"/>
    <cellStyle name="Note 3 3 2" xfId="41777"/>
    <cellStyle name="Note 3 3 2 2" xfId="41778"/>
    <cellStyle name="Note 3 3 2 2 2" xfId="41779"/>
    <cellStyle name="Note 3 3 2 3" xfId="41780"/>
    <cellStyle name="Note 3 3 2 3 2" xfId="41781"/>
    <cellStyle name="Note 3 3 2 3 2 2" xfId="41782"/>
    <cellStyle name="Note 3 3 2 3 3" xfId="41783"/>
    <cellStyle name="Note 3 3 2 4" xfId="41784"/>
    <cellStyle name="Note 3 3 2 4 2" xfId="41785"/>
    <cellStyle name="Note 3 3 2 4 2 2" xfId="41786"/>
    <cellStyle name="Note 3 3 2 4 3" xfId="41787"/>
    <cellStyle name="Note 3 3 2 5" xfId="41788"/>
    <cellStyle name="Note 3 3 3" xfId="41789"/>
    <cellStyle name="Note 3 3 3 2" xfId="41790"/>
    <cellStyle name="Note 3 3 3 2 2" xfId="41791"/>
    <cellStyle name="Note 3 3 3 2 2 2" xfId="41792"/>
    <cellStyle name="Note 3 3 3 2 3" xfId="41793"/>
    <cellStyle name="Note 3 3 3 2 3 2" xfId="41794"/>
    <cellStyle name="Note 3 3 3 2 3 2 2" xfId="41795"/>
    <cellStyle name="Note 3 3 3 2 3 3" xfId="41796"/>
    <cellStyle name="Note 3 3 3 2 4" xfId="41797"/>
    <cellStyle name="Note 3 3 3 3" xfId="41798"/>
    <cellStyle name="Note 3 3 3 3 2" xfId="41799"/>
    <cellStyle name="Note 3 3 3 3 2 2" xfId="41800"/>
    <cellStyle name="Note 3 3 3 3 3" xfId="41801"/>
    <cellStyle name="Note 3 3 3 4" xfId="41802"/>
    <cellStyle name="Note 3 3 3 4 2" xfId="41803"/>
    <cellStyle name="Note 3 3 3 4 2 2" xfId="41804"/>
    <cellStyle name="Note 3 3 3 4 3" xfId="41805"/>
    <cellStyle name="Note 3 3 3 5" xfId="41806"/>
    <cellStyle name="Note 3 3 3 5 2" xfId="41807"/>
    <cellStyle name="Note 3 3 3 5 2 2" xfId="41808"/>
    <cellStyle name="Note 3 3 3 5 3" xfId="41809"/>
    <cellStyle name="Note 3 3 3 6" xfId="41810"/>
    <cellStyle name="Note 3 3 4" xfId="41811"/>
    <cellStyle name="Note 3 3 4 2" xfId="41812"/>
    <cellStyle name="Note 3 3 4 2 2" xfId="41813"/>
    <cellStyle name="Note 3 3 4 3" xfId="41814"/>
    <cellStyle name="Note 3 3 5" xfId="41815"/>
    <cellStyle name="Note 3 3 5 2" xfId="41816"/>
    <cellStyle name="Note 3 3 5 2 2" xfId="41817"/>
    <cellStyle name="Note 3 3 5 3" xfId="41818"/>
    <cellStyle name="Note 3 3 6" xfId="41819"/>
    <cellStyle name="Note 3 3 6 2" xfId="41820"/>
    <cellStyle name="Note 3 3 6 2 2" xfId="41821"/>
    <cellStyle name="Note 3 3 6 3" xfId="41822"/>
    <cellStyle name="Note 3 3 7" xfId="41823"/>
    <cellStyle name="Note 3 4" xfId="41824"/>
    <cellStyle name="Note 3 4 2" xfId="41825"/>
    <cellStyle name="Note 3 4 2 2" xfId="41826"/>
    <cellStyle name="Note 3 4 2 2 2" xfId="41827"/>
    <cellStyle name="Note 3 4 2 2 2 2" xfId="41828"/>
    <cellStyle name="Note 3 4 2 2 2 2 2" xfId="41829"/>
    <cellStyle name="Note 3 4 2 2 2 3" xfId="41830"/>
    <cellStyle name="Note 3 4 2 2 3" xfId="41831"/>
    <cellStyle name="Note 3 4 2 2 3 2" xfId="41832"/>
    <cellStyle name="Note 3 4 2 2 4" xfId="41833"/>
    <cellStyle name="Note 3 4 2 3" xfId="41834"/>
    <cellStyle name="Note 3 4 2 3 2" xfId="41835"/>
    <cellStyle name="Note 3 4 2 3 2 2" xfId="41836"/>
    <cellStyle name="Note 3 4 2 3 3" xfId="41837"/>
    <cellStyle name="Note 3 4 2 4" xfId="41838"/>
    <cellStyle name="Note 3 4 2 4 2" xfId="41839"/>
    <cellStyle name="Note 3 4 2 5" xfId="41840"/>
    <cellStyle name="Note 3 4 3" xfId="41841"/>
    <cellStyle name="Note 3 4 3 2" xfId="41842"/>
    <cellStyle name="Note 3 4 3 2 2" xfId="41843"/>
    <cellStyle name="Note 3 4 3 3" xfId="41844"/>
    <cellStyle name="Note 3 4 4" xfId="41845"/>
    <cellStyle name="Note 3 4 4 2" xfId="41846"/>
    <cellStyle name="Note 3 4 4 2 2" xfId="41847"/>
    <cellStyle name="Note 3 4 4 3" xfId="41848"/>
    <cellStyle name="Note 3 4 5" xfId="41849"/>
    <cellStyle name="Note 3 4 5 2" xfId="41850"/>
    <cellStyle name="Note 3 4 5 2 2" xfId="41851"/>
    <cellStyle name="Note 3 4 5 2 2 2" xfId="41852"/>
    <cellStyle name="Note 3 4 5 2 3" xfId="41853"/>
    <cellStyle name="Note 3 4 5 3" xfId="41854"/>
    <cellStyle name="Note 3 4 5 3 2" xfId="41855"/>
    <cellStyle name="Note 3 4 5 4" xfId="41856"/>
    <cellStyle name="Note 3 4 6" xfId="41857"/>
    <cellStyle name="Note 3 4 6 2" xfId="41858"/>
    <cellStyle name="Note 3 4 6 2 2" xfId="41859"/>
    <cellStyle name="Note 3 4 6 3" xfId="41860"/>
    <cellStyle name="Note 3 4 7" xfId="41861"/>
    <cellStyle name="Note 3 4 7 2" xfId="41862"/>
    <cellStyle name="Note 3 4 8" xfId="41863"/>
    <cellStyle name="Note 3 5" xfId="41864"/>
    <cellStyle name="Note 3 5 2" xfId="41865"/>
    <cellStyle name="Note 3 5 2 2" xfId="41866"/>
    <cellStyle name="Note 3 5 2 2 2" xfId="41867"/>
    <cellStyle name="Note 3 5 2 3" xfId="41868"/>
    <cellStyle name="Note 3 5 3" xfId="41869"/>
    <cellStyle name="Note 3 5 3 2" xfId="41870"/>
    <cellStyle name="Note 3 5 3 2 2" xfId="41871"/>
    <cellStyle name="Note 3 5 3 3" xfId="41872"/>
    <cellStyle name="Note 3 5 4" xfId="41873"/>
    <cellStyle name="Note 3 5 4 2" xfId="41874"/>
    <cellStyle name="Note 3 5 4 2 2" xfId="41875"/>
    <cellStyle name="Note 3 5 4 3" xfId="41876"/>
    <cellStyle name="Note 3 5 5" xfId="41877"/>
    <cellStyle name="Note 3 5 5 2" xfId="41878"/>
    <cellStyle name="Note 3 5 6" xfId="41879"/>
    <cellStyle name="Note 3 6" xfId="41880"/>
    <cellStyle name="Note 3 6 2" xfId="41881"/>
    <cellStyle name="Note 3 6 2 2" xfId="41882"/>
    <cellStyle name="Note 3 6 2 2 2" xfId="41883"/>
    <cellStyle name="Note 3 6 2 2 2 2" xfId="41884"/>
    <cellStyle name="Note 3 6 2 2 3" xfId="41885"/>
    <cellStyle name="Note 3 6 2 3" xfId="41886"/>
    <cellStyle name="Note 3 6 2 3 2" xfId="41887"/>
    <cellStyle name="Note 3 6 2 3 2 2" xfId="41888"/>
    <cellStyle name="Note 3 6 2 3 3" xfId="41889"/>
    <cellStyle name="Note 3 6 2 4" xfId="41890"/>
    <cellStyle name="Note 3 6 2 4 2" xfId="41891"/>
    <cellStyle name="Note 3 6 2 5" xfId="41892"/>
    <cellStyle name="Note 3 6 3" xfId="41893"/>
    <cellStyle name="Note 3 6 3 2" xfId="41894"/>
    <cellStyle name="Note 3 6 3 2 2" xfId="41895"/>
    <cellStyle name="Note 3 6 3 2 2 2" xfId="41896"/>
    <cellStyle name="Note 3 6 3 2 3" xfId="41897"/>
    <cellStyle name="Note 3 6 3 3" xfId="41898"/>
    <cellStyle name="Note 3 6 3 3 2" xfId="41899"/>
    <cellStyle name="Note 3 6 3 4" xfId="41900"/>
    <cellStyle name="Note 3 6 4" xfId="41901"/>
    <cellStyle name="Note 3 6 4 2" xfId="41902"/>
    <cellStyle name="Note 3 6 4 2 2" xfId="41903"/>
    <cellStyle name="Note 3 6 4 3" xfId="41904"/>
    <cellStyle name="Note 3 6 5" xfId="41905"/>
    <cellStyle name="Note 3 6 5 2" xfId="41906"/>
    <cellStyle name="Note 3 6 5 2 2" xfId="41907"/>
    <cellStyle name="Note 3 6 5 3" xfId="41908"/>
    <cellStyle name="Note 3 6 6" xfId="41909"/>
    <cellStyle name="Note 3 6 6 2" xfId="41910"/>
    <cellStyle name="Note 3 6 7" xfId="41911"/>
    <cellStyle name="Note 3 7" xfId="41912"/>
    <cellStyle name="Note 3 7 2" xfId="41913"/>
    <cellStyle name="Note 3 7 2 2" xfId="41914"/>
    <cellStyle name="Note 3 7 2 2 2" xfId="41915"/>
    <cellStyle name="Note 3 7 2 2 2 2" xfId="41916"/>
    <cellStyle name="Note 3 7 2 2 2 2 2" xfId="41917"/>
    <cellStyle name="Note 3 7 2 2 2 2 2 2" xfId="41918"/>
    <cellStyle name="Note 3 7 2 2 2 2 3" xfId="41919"/>
    <cellStyle name="Note 3 7 2 2 2 3" xfId="41920"/>
    <cellStyle name="Note 3 7 2 2 2 3 2" xfId="41921"/>
    <cellStyle name="Note 3 7 2 2 2 4" xfId="41922"/>
    <cellStyle name="Note 3 7 2 2 3" xfId="41923"/>
    <cellStyle name="Note 3 7 2 2 3 2" xfId="41924"/>
    <cellStyle name="Note 3 7 2 2 3 2 2" xfId="41925"/>
    <cellStyle name="Note 3 7 2 2 3 3" xfId="41926"/>
    <cellStyle name="Note 3 7 2 2 4" xfId="41927"/>
    <cellStyle name="Note 3 7 2 2 4 2" xfId="41928"/>
    <cellStyle name="Note 3 7 2 2 5" xfId="41929"/>
    <cellStyle name="Note 3 7 2 3" xfId="41930"/>
    <cellStyle name="Note 3 7 2 3 2" xfId="41931"/>
    <cellStyle name="Note 3 7 2 3 2 2" xfId="41932"/>
    <cellStyle name="Note 3 7 2 3 3" xfId="41933"/>
    <cellStyle name="Note 3 7 2 4" xfId="41934"/>
    <cellStyle name="Note 3 7 2 4 2" xfId="41935"/>
    <cellStyle name="Note 3 7 2 4 2 2" xfId="41936"/>
    <cellStyle name="Note 3 7 2 4 2 2 2" xfId="41937"/>
    <cellStyle name="Note 3 7 2 4 2 3" xfId="41938"/>
    <cellStyle name="Note 3 7 2 4 3" xfId="41939"/>
    <cellStyle name="Note 3 7 2 4 3 2" xfId="41940"/>
    <cellStyle name="Note 3 7 2 4 4" xfId="41941"/>
    <cellStyle name="Note 3 7 2 5" xfId="41942"/>
    <cellStyle name="Note 3 7 2 5 2" xfId="41943"/>
    <cellStyle name="Note 3 7 2 5 2 2" xfId="41944"/>
    <cellStyle name="Note 3 7 2 5 3" xfId="41945"/>
    <cellStyle name="Note 3 7 2 6" xfId="41946"/>
    <cellStyle name="Note 3 7 2 6 2" xfId="41947"/>
    <cellStyle name="Note 3 7 2 7" xfId="41948"/>
    <cellStyle name="Note 3 7 3" xfId="41949"/>
    <cellStyle name="Note 3 7 3 2" xfId="41950"/>
    <cellStyle name="Note 3 7 3 2 2" xfId="41951"/>
    <cellStyle name="Note 3 7 3 2 2 2" xfId="41952"/>
    <cellStyle name="Note 3 7 3 2 2 2 2" xfId="41953"/>
    <cellStyle name="Note 3 7 3 2 2 2 2 2" xfId="41954"/>
    <cellStyle name="Note 3 7 3 2 2 2 3" xfId="41955"/>
    <cellStyle name="Note 3 7 3 2 2 3" xfId="41956"/>
    <cellStyle name="Note 3 7 3 2 2 3 2" xfId="41957"/>
    <cellStyle name="Note 3 7 3 2 2 4" xfId="41958"/>
    <cellStyle name="Note 3 7 3 2 3" xfId="41959"/>
    <cellStyle name="Note 3 7 3 2 3 2" xfId="41960"/>
    <cellStyle name="Note 3 7 3 2 3 2 2" xfId="41961"/>
    <cellStyle name="Note 3 7 3 2 3 3" xfId="41962"/>
    <cellStyle name="Note 3 7 3 2 4" xfId="41963"/>
    <cellStyle name="Note 3 7 3 2 4 2" xfId="41964"/>
    <cellStyle name="Note 3 7 3 2 5" xfId="41965"/>
    <cellStyle name="Note 3 7 3 3" xfId="41966"/>
    <cellStyle name="Note 3 7 3 3 2" xfId="41967"/>
    <cellStyle name="Note 3 7 3 3 2 2" xfId="41968"/>
    <cellStyle name="Note 3 7 3 3 2 2 2" xfId="41969"/>
    <cellStyle name="Note 3 7 3 3 2 3" xfId="41970"/>
    <cellStyle name="Note 3 7 3 3 3" xfId="41971"/>
    <cellStyle name="Note 3 7 3 3 3 2" xfId="41972"/>
    <cellStyle name="Note 3 7 3 3 4" xfId="41973"/>
    <cellStyle name="Note 3 7 3 4" xfId="41974"/>
    <cellStyle name="Note 3 7 3 4 2" xfId="41975"/>
    <cellStyle name="Note 3 7 3 4 2 2" xfId="41976"/>
    <cellStyle name="Note 3 7 3 4 3" xfId="41977"/>
    <cellStyle name="Note 3 7 3 5" xfId="41978"/>
    <cellStyle name="Note 3 7 3 5 2" xfId="41979"/>
    <cellStyle name="Note 3 7 3 6" xfId="41980"/>
    <cellStyle name="Note 3 7 4" xfId="41981"/>
    <cellStyle name="Note 3 7 4 2" xfId="41982"/>
    <cellStyle name="Note 3 7 4 2 2" xfId="41983"/>
    <cellStyle name="Note 3 7 4 3" xfId="41984"/>
    <cellStyle name="Note 3 7 5" xfId="41985"/>
    <cellStyle name="Note 3 7 5 2" xfId="41986"/>
    <cellStyle name="Note 3 7 5 2 2" xfId="41987"/>
    <cellStyle name="Note 3 7 5 2 2 2" xfId="41988"/>
    <cellStyle name="Note 3 7 5 2 3" xfId="41989"/>
    <cellStyle name="Note 3 7 5 3" xfId="41990"/>
    <cellStyle name="Note 3 7 5 3 2" xfId="41991"/>
    <cellStyle name="Note 3 7 5 4" xfId="41992"/>
    <cellStyle name="Note 3 7 6" xfId="41993"/>
    <cellStyle name="Note 3 7 6 2" xfId="41994"/>
    <cellStyle name="Note 3 7 6 2 2" xfId="41995"/>
    <cellStyle name="Note 3 7 6 3" xfId="41996"/>
    <cellStyle name="Note 3 7 7" xfId="41997"/>
    <cellStyle name="Note 3 7 7 2" xfId="41998"/>
    <cellStyle name="Note 3 7 8" xfId="41999"/>
    <cellStyle name="Note 3 8" xfId="42000"/>
    <cellStyle name="Note 3 8 2" xfId="42001"/>
    <cellStyle name="Note 3 8 2 2" xfId="42002"/>
    <cellStyle name="Note 3 8 2 2 2" xfId="42003"/>
    <cellStyle name="Note 3 8 2 3" xfId="42004"/>
    <cellStyle name="Note 3 8 3" xfId="42005"/>
    <cellStyle name="Note 3 8 3 2" xfId="42006"/>
    <cellStyle name="Note 3 8 4" xfId="42007"/>
    <cellStyle name="Note 3 9" xfId="42008"/>
    <cellStyle name="Note 3 9 2" xfId="42009"/>
    <cellStyle name="Note 3 9 2 2" xfId="42010"/>
    <cellStyle name="Note 3 9 3" xfId="42011"/>
    <cellStyle name="Note 4" xfId="42012"/>
    <cellStyle name="Note 4 10" xfId="42013"/>
    <cellStyle name="Note 4 2" xfId="42014"/>
    <cellStyle name="Note 4 2 2" xfId="42015"/>
    <cellStyle name="Note 4 2 2 2" xfId="42016"/>
    <cellStyle name="Note 4 2 2 2 2" xfId="42017"/>
    <cellStyle name="Note 4 2 2 2 2 2" xfId="42018"/>
    <cellStyle name="Note 4 2 2 2 3" xfId="42019"/>
    <cellStyle name="Note 4 2 2 3" xfId="42020"/>
    <cellStyle name="Note 4 2 2 3 2" xfId="42021"/>
    <cellStyle name="Note 4 2 2 3 2 2" xfId="42022"/>
    <cellStyle name="Note 4 2 2 3 3" xfId="42023"/>
    <cellStyle name="Note 4 2 2 4" xfId="42024"/>
    <cellStyle name="Note 4 2 2 4 2" xfId="42025"/>
    <cellStyle name="Note 4 2 2 4 2 2" xfId="42026"/>
    <cellStyle name="Note 4 2 2 4 3" xfId="42027"/>
    <cellStyle name="Note 4 2 2 5" xfId="42028"/>
    <cellStyle name="Note 4 2 2 5 2" xfId="42029"/>
    <cellStyle name="Note 4 2 2 6" xfId="42030"/>
    <cellStyle name="Note 4 2 3" xfId="42031"/>
    <cellStyle name="Note 4 2 3 2" xfId="42032"/>
    <cellStyle name="Note 4 2 3 2 2" xfId="42033"/>
    <cellStyle name="Note 4 2 3 2 2 2" xfId="42034"/>
    <cellStyle name="Note 4 2 3 2 2 2 2" xfId="42035"/>
    <cellStyle name="Note 4 2 3 2 2 3" xfId="42036"/>
    <cellStyle name="Note 4 2 3 2 3" xfId="42037"/>
    <cellStyle name="Note 4 2 3 2 3 2" xfId="42038"/>
    <cellStyle name="Note 4 2 3 2 3 2 2" xfId="42039"/>
    <cellStyle name="Note 4 2 3 2 3 3" xfId="42040"/>
    <cellStyle name="Note 4 2 3 2 4" xfId="42041"/>
    <cellStyle name="Note 4 2 3 2 4 2" xfId="42042"/>
    <cellStyle name="Note 4 2 3 2 5" xfId="42043"/>
    <cellStyle name="Note 4 2 3 3" xfId="42044"/>
    <cellStyle name="Note 4 2 3 3 2" xfId="42045"/>
    <cellStyle name="Note 4 2 3 3 2 2" xfId="42046"/>
    <cellStyle name="Note 4 2 3 3 2 2 2" xfId="42047"/>
    <cellStyle name="Note 4 2 3 3 2 3" xfId="42048"/>
    <cellStyle name="Note 4 2 3 3 3" xfId="42049"/>
    <cellStyle name="Note 4 2 3 3 3 2" xfId="42050"/>
    <cellStyle name="Note 4 2 3 3 4" xfId="42051"/>
    <cellStyle name="Note 4 2 3 4" xfId="42052"/>
    <cellStyle name="Note 4 2 3 4 2" xfId="42053"/>
    <cellStyle name="Note 4 2 3 4 2 2" xfId="42054"/>
    <cellStyle name="Note 4 2 3 4 3" xfId="42055"/>
    <cellStyle name="Note 4 2 3 5" xfId="42056"/>
    <cellStyle name="Note 4 2 3 5 2" xfId="42057"/>
    <cellStyle name="Note 4 2 3 5 2 2" xfId="42058"/>
    <cellStyle name="Note 4 2 3 5 3" xfId="42059"/>
    <cellStyle name="Note 4 2 3 6" xfId="42060"/>
    <cellStyle name="Note 4 2 3 6 2" xfId="42061"/>
    <cellStyle name="Note 4 2 3 7" xfId="42062"/>
    <cellStyle name="Note 4 2 4" xfId="42063"/>
    <cellStyle name="Note 4 2 4 2" xfId="42064"/>
    <cellStyle name="Note 4 2 4 2 2" xfId="42065"/>
    <cellStyle name="Note 4 2 4 2 2 2" xfId="42066"/>
    <cellStyle name="Note 4 2 4 2 3" xfId="42067"/>
    <cellStyle name="Note 4 2 4 3" xfId="42068"/>
    <cellStyle name="Note 4 2 4 3 2" xfId="42069"/>
    <cellStyle name="Note 4 2 4 4" xfId="42070"/>
    <cellStyle name="Note 4 2 5" xfId="42071"/>
    <cellStyle name="Note 4 2 5 2" xfId="42072"/>
    <cellStyle name="Note 4 2 5 2 2" xfId="42073"/>
    <cellStyle name="Note 4 2 5 3" xfId="42074"/>
    <cellStyle name="Note 4 2 6" xfId="42075"/>
    <cellStyle name="Note 4 2 6 2" xfId="42076"/>
    <cellStyle name="Note 4 2 6 2 2" xfId="42077"/>
    <cellStyle name="Note 4 2 6 3" xfId="42078"/>
    <cellStyle name="Note 4 2 7" xfId="42079"/>
    <cellStyle name="Note 4 2 7 2" xfId="42080"/>
    <cellStyle name="Note 4 2 8" xfId="42081"/>
    <cellStyle name="Note 4 3" xfId="42082"/>
    <cellStyle name="Note 4 3 2" xfId="42083"/>
    <cellStyle name="Note 4 3 2 2" xfId="42084"/>
    <cellStyle name="Note 4 3 2 2 2" xfId="42085"/>
    <cellStyle name="Note 4 3 2 3" xfId="42086"/>
    <cellStyle name="Note 4 3 2 3 2" xfId="42087"/>
    <cellStyle name="Note 4 3 2 3 2 2" xfId="42088"/>
    <cellStyle name="Note 4 3 2 3 3" xfId="42089"/>
    <cellStyle name="Note 4 3 2 4" xfId="42090"/>
    <cellStyle name="Note 4 3 2 4 2" xfId="42091"/>
    <cellStyle name="Note 4 3 2 4 2 2" xfId="42092"/>
    <cellStyle name="Note 4 3 2 4 3" xfId="42093"/>
    <cellStyle name="Note 4 3 2 5" xfId="42094"/>
    <cellStyle name="Note 4 3 3" xfId="42095"/>
    <cellStyle name="Note 4 3 3 2" xfId="42096"/>
    <cellStyle name="Note 4 3 3 2 2" xfId="42097"/>
    <cellStyle name="Note 4 3 3 2 2 2" xfId="42098"/>
    <cellStyle name="Note 4 3 3 2 3" xfId="42099"/>
    <cellStyle name="Note 4 3 3 2 3 2" xfId="42100"/>
    <cellStyle name="Note 4 3 3 2 3 2 2" xfId="42101"/>
    <cellStyle name="Note 4 3 3 2 3 3" xfId="42102"/>
    <cellStyle name="Note 4 3 3 2 4" xfId="42103"/>
    <cellStyle name="Note 4 3 3 3" xfId="42104"/>
    <cellStyle name="Note 4 3 3 3 2" xfId="42105"/>
    <cellStyle name="Note 4 3 3 3 2 2" xfId="42106"/>
    <cellStyle name="Note 4 3 3 3 3" xfId="42107"/>
    <cellStyle name="Note 4 3 3 4" xfId="42108"/>
    <cellStyle name="Note 4 3 3 4 2" xfId="42109"/>
    <cellStyle name="Note 4 3 3 4 2 2" xfId="42110"/>
    <cellStyle name="Note 4 3 3 4 3" xfId="42111"/>
    <cellStyle name="Note 4 3 3 5" xfId="42112"/>
    <cellStyle name="Note 4 3 3 5 2" xfId="42113"/>
    <cellStyle name="Note 4 3 3 5 2 2" xfId="42114"/>
    <cellStyle name="Note 4 3 3 5 3" xfId="42115"/>
    <cellStyle name="Note 4 3 3 6" xfId="42116"/>
    <cellStyle name="Note 4 3 4" xfId="42117"/>
    <cellStyle name="Note 4 3 4 2" xfId="42118"/>
    <cellStyle name="Note 4 3 4 2 2" xfId="42119"/>
    <cellStyle name="Note 4 3 4 3" xfId="42120"/>
    <cellStyle name="Note 4 3 5" xfId="42121"/>
    <cellStyle name="Note 4 3 5 2" xfId="42122"/>
    <cellStyle name="Note 4 3 5 2 2" xfId="42123"/>
    <cellStyle name="Note 4 3 5 3" xfId="42124"/>
    <cellStyle name="Note 4 3 6" xfId="42125"/>
    <cellStyle name="Note 4 3 6 2" xfId="42126"/>
    <cellStyle name="Note 4 3 6 2 2" xfId="42127"/>
    <cellStyle name="Note 4 3 6 3" xfId="42128"/>
    <cellStyle name="Note 4 3 7" xfId="42129"/>
    <cellStyle name="Note 4 4" xfId="42130"/>
    <cellStyle name="Note 4 4 2" xfId="42131"/>
    <cellStyle name="Note 4 4 2 2" xfId="42132"/>
    <cellStyle name="Note 4 4 2 2 2" xfId="42133"/>
    <cellStyle name="Note 4 4 2 3" xfId="42134"/>
    <cellStyle name="Note 4 4 3" xfId="42135"/>
    <cellStyle name="Note 4 4 3 2" xfId="42136"/>
    <cellStyle name="Note 4 4 3 2 2" xfId="42137"/>
    <cellStyle name="Note 4 4 3 3" xfId="42138"/>
    <cellStyle name="Note 4 4 4" xfId="42139"/>
    <cellStyle name="Note 4 4 4 2" xfId="42140"/>
    <cellStyle name="Note 4 4 4 2 2" xfId="42141"/>
    <cellStyle name="Note 4 4 4 3" xfId="42142"/>
    <cellStyle name="Note 4 4 5" xfId="42143"/>
    <cellStyle name="Note 4 4 5 2" xfId="42144"/>
    <cellStyle name="Note 4 4 6" xfId="42145"/>
    <cellStyle name="Note 4 5" xfId="42146"/>
    <cellStyle name="Note 4 5 2" xfId="42147"/>
    <cellStyle name="Note 4 5 2 2" xfId="42148"/>
    <cellStyle name="Note 4 5 2 2 2" xfId="42149"/>
    <cellStyle name="Note 4 5 2 2 2 2" xfId="42150"/>
    <cellStyle name="Note 4 5 2 2 3" xfId="42151"/>
    <cellStyle name="Note 4 5 2 3" xfId="42152"/>
    <cellStyle name="Note 4 5 2 3 2" xfId="42153"/>
    <cellStyle name="Note 4 5 2 3 2 2" xfId="42154"/>
    <cellStyle name="Note 4 5 2 3 3" xfId="42155"/>
    <cellStyle name="Note 4 5 2 4" xfId="42156"/>
    <cellStyle name="Note 4 5 2 4 2" xfId="42157"/>
    <cellStyle name="Note 4 5 2 5" xfId="42158"/>
    <cellStyle name="Note 4 5 3" xfId="42159"/>
    <cellStyle name="Note 4 5 3 2" xfId="42160"/>
    <cellStyle name="Note 4 5 3 2 2" xfId="42161"/>
    <cellStyle name="Note 4 5 3 2 2 2" xfId="42162"/>
    <cellStyle name="Note 4 5 3 2 3" xfId="42163"/>
    <cellStyle name="Note 4 5 3 3" xfId="42164"/>
    <cellStyle name="Note 4 5 3 3 2" xfId="42165"/>
    <cellStyle name="Note 4 5 3 4" xfId="42166"/>
    <cellStyle name="Note 4 5 4" xfId="42167"/>
    <cellStyle name="Note 4 5 4 2" xfId="42168"/>
    <cellStyle name="Note 4 5 4 2 2" xfId="42169"/>
    <cellStyle name="Note 4 5 4 3" xfId="42170"/>
    <cellStyle name="Note 4 5 5" xfId="42171"/>
    <cellStyle name="Note 4 5 5 2" xfId="42172"/>
    <cellStyle name="Note 4 5 5 2 2" xfId="42173"/>
    <cellStyle name="Note 4 5 5 3" xfId="42174"/>
    <cellStyle name="Note 4 5 6" xfId="42175"/>
    <cellStyle name="Note 4 5 6 2" xfId="42176"/>
    <cellStyle name="Note 4 5 7" xfId="42177"/>
    <cellStyle name="Note 4 6" xfId="42178"/>
    <cellStyle name="Note 4 6 2" xfId="42179"/>
    <cellStyle name="Note 4 6 2 2" xfId="42180"/>
    <cellStyle name="Note 4 6 2 2 2" xfId="42181"/>
    <cellStyle name="Note 4 6 2 3" xfId="42182"/>
    <cellStyle name="Note 4 6 3" xfId="42183"/>
    <cellStyle name="Note 4 6 3 2" xfId="42184"/>
    <cellStyle name="Note 4 6 4" xfId="42185"/>
    <cellStyle name="Note 4 7" xfId="42186"/>
    <cellStyle name="Note 4 7 2" xfId="42187"/>
    <cellStyle name="Note 4 7 2 2" xfId="42188"/>
    <cellStyle name="Note 4 7 3" xfId="42189"/>
    <cellStyle name="Note 4 8" xfId="42190"/>
    <cellStyle name="Note 4 8 2" xfId="42191"/>
    <cellStyle name="Note 4 8 2 2" xfId="42192"/>
    <cellStyle name="Note 4 8 3" xfId="42193"/>
    <cellStyle name="Note 4 9" xfId="42194"/>
    <cellStyle name="Note 4 9 2" xfId="42195"/>
    <cellStyle name="Note 5" xfId="42196"/>
    <cellStyle name="Note 5 10" xfId="42197"/>
    <cellStyle name="Note 5 2" xfId="42198"/>
    <cellStyle name="Note 5 2 2" xfId="42199"/>
    <cellStyle name="Note 5 2 2 2" xfId="42200"/>
    <cellStyle name="Note 5 2 2 2 2" xfId="42201"/>
    <cellStyle name="Note 5 2 2 2 2 2" xfId="42202"/>
    <cellStyle name="Note 5 2 2 2 2 2 2" xfId="42203"/>
    <cellStyle name="Note 5 2 2 2 2 3" xfId="42204"/>
    <cellStyle name="Note 5 2 2 2 3" xfId="42205"/>
    <cellStyle name="Note 5 2 2 2 3 2" xfId="42206"/>
    <cellStyle name="Note 5 2 2 2 4" xfId="42207"/>
    <cellStyle name="Note 5 2 2 3" xfId="42208"/>
    <cellStyle name="Note 5 2 2 3 2" xfId="42209"/>
    <cellStyle name="Note 5 2 2 3 2 2" xfId="42210"/>
    <cellStyle name="Note 5 2 2 3 3" xfId="42211"/>
    <cellStyle name="Note 5 2 2 4" xfId="42212"/>
    <cellStyle name="Note 5 2 2 4 2" xfId="42213"/>
    <cellStyle name="Note 5 2 2 5" xfId="42214"/>
    <cellStyle name="Note 5 2 3" xfId="42215"/>
    <cellStyle name="Note 5 2 3 2" xfId="42216"/>
    <cellStyle name="Note 5 2 3 2 2" xfId="42217"/>
    <cellStyle name="Note 5 2 3 3" xfId="42218"/>
    <cellStyle name="Note 5 2 4" xfId="42219"/>
    <cellStyle name="Note 5 2 4 2" xfId="42220"/>
    <cellStyle name="Note 5 2 4 2 2" xfId="42221"/>
    <cellStyle name="Note 5 2 4 3" xfId="42222"/>
    <cellStyle name="Note 5 2 5" xfId="42223"/>
    <cellStyle name="Note 5 2 5 2" xfId="42224"/>
    <cellStyle name="Note 5 2 5 2 2" xfId="42225"/>
    <cellStyle name="Note 5 2 5 2 2 2" xfId="42226"/>
    <cellStyle name="Note 5 2 5 2 3" xfId="42227"/>
    <cellStyle name="Note 5 2 5 3" xfId="42228"/>
    <cellStyle name="Note 5 2 5 3 2" xfId="42229"/>
    <cellStyle name="Note 5 2 5 4" xfId="42230"/>
    <cellStyle name="Note 5 2 6" xfId="42231"/>
    <cellStyle name="Note 5 2 6 2" xfId="42232"/>
    <cellStyle name="Note 5 2 6 2 2" xfId="42233"/>
    <cellStyle name="Note 5 2 6 3" xfId="42234"/>
    <cellStyle name="Note 5 2 7" xfId="42235"/>
    <cellStyle name="Note 5 2 7 2" xfId="42236"/>
    <cellStyle name="Note 5 2 8" xfId="42237"/>
    <cellStyle name="Note 5 3" xfId="42238"/>
    <cellStyle name="Note 5 3 2" xfId="42239"/>
    <cellStyle name="Note 5 3 2 2" xfId="42240"/>
    <cellStyle name="Note 5 3 2 2 2" xfId="42241"/>
    <cellStyle name="Note 5 3 2 2 2 2" xfId="42242"/>
    <cellStyle name="Note 5 3 2 2 2 2 2" xfId="42243"/>
    <cellStyle name="Note 5 3 2 2 2 2 2 2" xfId="42244"/>
    <cellStyle name="Note 5 3 2 2 2 2 3" xfId="42245"/>
    <cellStyle name="Note 5 3 2 2 2 3" xfId="42246"/>
    <cellStyle name="Note 5 3 2 2 2 3 2" xfId="42247"/>
    <cellStyle name="Note 5 3 2 2 2 4" xfId="42248"/>
    <cellStyle name="Note 5 3 2 2 3" xfId="42249"/>
    <cellStyle name="Note 5 3 2 2 3 2" xfId="42250"/>
    <cellStyle name="Note 5 3 2 2 3 2 2" xfId="42251"/>
    <cellStyle name="Note 5 3 2 2 3 3" xfId="42252"/>
    <cellStyle name="Note 5 3 2 2 4" xfId="42253"/>
    <cellStyle name="Note 5 3 2 2 4 2" xfId="42254"/>
    <cellStyle name="Note 5 3 2 2 5" xfId="42255"/>
    <cellStyle name="Note 5 3 2 3" xfId="42256"/>
    <cellStyle name="Note 5 3 2 3 2" xfId="42257"/>
    <cellStyle name="Note 5 3 2 3 2 2" xfId="42258"/>
    <cellStyle name="Note 5 3 2 3 3" xfId="42259"/>
    <cellStyle name="Note 5 3 2 4" xfId="42260"/>
    <cellStyle name="Note 5 3 2 4 2" xfId="42261"/>
    <cellStyle name="Note 5 3 2 4 2 2" xfId="42262"/>
    <cellStyle name="Note 5 3 2 4 2 2 2" xfId="42263"/>
    <cellStyle name="Note 5 3 2 4 2 3" xfId="42264"/>
    <cellStyle name="Note 5 3 2 4 3" xfId="42265"/>
    <cellStyle name="Note 5 3 2 4 3 2" xfId="42266"/>
    <cellStyle name="Note 5 3 2 4 4" xfId="42267"/>
    <cellStyle name="Note 5 3 2 5" xfId="42268"/>
    <cellStyle name="Note 5 3 2 5 2" xfId="42269"/>
    <cellStyle name="Note 5 3 2 5 2 2" xfId="42270"/>
    <cellStyle name="Note 5 3 2 5 3" xfId="42271"/>
    <cellStyle name="Note 5 3 2 6" xfId="42272"/>
    <cellStyle name="Note 5 3 2 6 2" xfId="42273"/>
    <cellStyle name="Note 5 3 2 7" xfId="42274"/>
    <cellStyle name="Note 5 3 3" xfId="42275"/>
    <cellStyle name="Note 5 3 3 2" xfId="42276"/>
    <cellStyle name="Note 5 3 3 2 2" xfId="42277"/>
    <cellStyle name="Note 5 3 3 2 2 2" xfId="42278"/>
    <cellStyle name="Note 5 3 3 2 2 2 2" xfId="42279"/>
    <cellStyle name="Note 5 3 3 2 2 2 2 2" xfId="42280"/>
    <cellStyle name="Note 5 3 3 2 2 2 3" xfId="42281"/>
    <cellStyle name="Note 5 3 3 2 2 3" xfId="42282"/>
    <cellStyle name="Note 5 3 3 2 2 3 2" xfId="42283"/>
    <cellStyle name="Note 5 3 3 2 2 4" xfId="42284"/>
    <cellStyle name="Note 5 3 3 2 3" xfId="42285"/>
    <cellStyle name="Note 5 3 3 2 3 2" xfId="42286"/>
    <cellStyle name="Note 5 3 3 2 3 2 2" xfId="42287"/>
    <cellStyle name="Note 5 3 3 2 3 3" xfId="42288"/>
    <cellStyle name="Note 5 3 3 2 4" xfId="42289"/>
    <cellStyle name="Note 5 3 3 2 4 2" xfId="42290"/>
    <cellStyle name="Note 5 3 3 2 5" xfId="42291"/>
    <cellStyle name="Note 5 3 3 3" xfId="42292"/>
    <cellStyle name="Note 5 3 3 3 2" xfId="42293"/>
    <cellStyle name="Note 5 3 3 3 2 2" xfId="42294"/>
    <cellStyle name="Note 5 3 3 3 2 2 2" xfId="42295"/>
    <cellStyle name="Note 5 3 3 3 2 3" xfId="42296"/>
    <cellStyle name="Note 5 3 3 3 3" xfId="42297"/>
    <cellStyle name="Note 5 3 3 3 3 2" xfId="42298"/>
    <cellStyle name="Note 5 3 3 3 4" xfId="42299"/>
    <cellStyle name="Note 5 3 3 4" xfId="42300"/>
    <cellStyle name="Note 5 3 3 4 2" xfId="42301"/>
    <cellStyle name="Note 5 3 3 4 2 2" xfId="42302"/>
    <cellStyle name="Note 5 3 3 4 3" xfId="42303"/>
    <cellStyle name="Note 5 3 3 5" xfId="42304"/>
    <cellStyle name="Note 5 3 3 5 2" xfId="42305"/>
    <cellStyle name="Note 5 3 3 6" xfId="42306"/>
    <cellStyle name="Note 5 3 4" xfId="42307"/>
    <cellStyle name="Note 5 3 4 2" xfId="42308"/>
    <cellStyle name="Note 5 3 4 2 2" xfId="42309"/>
    <cellStyle name="Note 5 3 4 3" xfId="42310"/>
    <cellStyle name="Note 5 3 5" xfId="42311"/>
    <cellStyle name="Note 5 3 5 2" xfId="42312"/>
    <cellStyle name="Note 5 3 5 2 2" xfId="42313"/>
    <cellStyle name="Note 5 3 5 3" xfId="42314"/>
    <cellStyle name="Note 5 3 6" xfId="42315"/>
    <cellStyle name="Note 5 3 6 2" xfId="42316"/>
    <cellStyle name="Note 5 3 6 2 2" xfId="42317"/>
    <cellStyle name="Note 5 3 6 2 2 2" xfId="42318"/>
    <cellStyle name="Note 5 3 6 2 3" xfId="42319"/>
    <cellStyle name="Note 5 3 6 3" xfId="42320"/>
    <cellStyle name="Note 5 3 6 3 2" xfId="42321"/>
    <cellStyle name="Note 5 3 6 4" xfId="42322"/>
    <cellStyle name="Note 5 3 7" xfId="42323"/>
    <cellStyle name="Note 5 3 7 2" xfId="42324"/>
    <cellStyle name="Note 5 3 7 2 2" xfId="42325"/>
    <cellStyle name="Note 5 3 7 3" xfId="42326"/>
    <cellStyle name="Note 5 3 8" xfId="42327"/>
    <cellStyle name="Note 5 3 8 2" xfId="42328"/>
    <cellStyle name="Note 5 3 9" xfId="42329"/>
    <cellStyle name="Note 5 4" xfId="42330"/>
    <cellStyle name="Note 5 4 2" xfId="42331"/>
    <cellStyle name="Note 5 4 2 2" xfId="42332"/>
    <cellStyle name="Note 5 4 2 2 2" xfId="42333"/>
    <cellStyle name="Note 5 4 2 2 2 2" xfId="42334"/>
    <cellStyle name="Note 5 4 2 2 2 2 2" xfId="42335"/>
    <cellStyle name="Note 5 4 2 2 2 3" xfId="42336"/>
    <cellStyle name="Note 5 4 2 2 3" xfId="42337"/>
    <cellStyle name="Note 5 4 2 2 3 2" xfId="42338"/>
    <cellStyle name="Note 5 4 2 2 4" xfId="42339"/>
    <cellStyle name="Note 5 4 2 3" xfId="42340"/>
    <cellStyle name="Note 5 4 2 3 2" xfId="42341"/>
    <cellStyle name="Note 5 4 2 3 2 2" xfId="42342"/>
    <cellStyle name="Note 5 4 2 3 3" xfId="42343"/>
    <cellStyle name="Note 5 4 2 4" xfId="42344"/>
    <cellStyle name="Note 5 4 2 4 2" xfId="42345"/>
    <cellStyle name="Note 5 4 2 5" xfId="42346"/>
    <cellStyle name="Note 5 4 3" xfId="42347"/>
    <cellStyle name="Note 5 4 3 2" xfId="42348"/>
    <cellStyle name="Note 5 4 3 2 2" xfId="42349"/>
    <cellStyle name="Note 5 4 3 2 2 2" xfId="42350"/>
    <cellStyle name="Note 5 4 3 2 3" xfId="42351"/>
    <cellStyle name="Note 5 4 3 3" xfId="42352"/>
    <cellStyle name="Note 5 4 3 3 2" xfId="42353"/>
    <cellStyle name="Note 5 4 3 4" xfId="42354"/>
    <cellStyle name="Note 5 4 4" xfId="42355"/>
    <cellStyle name="Note 5 4 4 2" xfId="42356"/>
    <cellStyle name="Note 5 4 4 2 2" xfId="42357"/>
    <cellStyle name="Note 5 4 4 3" xfId="42358"/>
    <cellStyle name="Note 5 4 5" xfId="42359"/>
    <cellStyle name="Note 5 4 5 2" xfId="42360"/>
    <cellStyle name="Note 5 4 6" xfId="42361"/>
    <cellStyle name="Note 5 5" xfId="42362"/>
    <cellStyle name="Note 5 5 2" xfId="42363"/>
    <cellStyle name="Note 5 5 2 2" xfId="42364"/>
    <cellStyle name="Note 5 5 3" xfId="42365"/>
    <cellStyle name="Note 5 6" xfId="42366"/>
    <cellStyle name="Note 5 6 2" xfId="42367"/>
    <cellStyle name="Note 5 6 2 2" xfId="42368"/>
    <cellStyle name="Note 5 6 3" xfId="42369"/>
    <cellStyle name="Note 5 7" xfId="42370"/>
    <cellStyle name="Note 5 7 2" xfId="42371"/>
    <cellStyle name="Note 5 7 2 2" xfId="42372"/>
    <cellStyle name="Note 5 7 2 2 2" xfId="42373"/>
    <cellStyle name="Note 5 7 2 3" xfId="42374"/>
    <cellStyle name="Note 5 7 3" xfId="42375"/>
    <cellStyle name="Note 5 7 3 2" xfId="42376"/>
    <cellStyle name="Note 5 7 4" xfId="42377"/>
    <cellStyle name="Note 5 8" xfId="42378"/>
    <cellStyle name="Note 5 8 2" xfId="42379"/>
    <cellStyle name="Note 5 8 2 2" xfId="42380"/>
    <cellStyle name="Note 5 8 3" xfId="42381"/>
    <cellStyle name="Note 5 9" xfId="42382"/>
    <cellStyle name="Note 5 9 2" xfId="42383"/>
    <cellStyle name="Note 6" xfId="42384"/>
    <cellStyle name="Note 6 2" xfId="42385"/>
    <cellStyle name="Note 6 2 2" xfId="42386"/>
    <cellStyle name="Note 6 2 2 2" xfId="42387"/>
    <cellStyle name="Note 6 2 2 2 2" xfId="42388"/>
    <cellStyle name="Note 6 2 2 2 2 2" xfId="42389"/>
    <cellStyle name="Note 6 2 2 2 2 2 2" xfId="42390"/>
    <cellStyle name="Note 6 2 2 2 2 3" xfId="42391"/>
    <cellStyle name="Note 6 2 2 2 3" xfId="42392"/>
    <cellStyle name="Note 6 2 2 2 3 2" xfId="42393"/>
    <cellStyle name="Note 6 2 2 2 4" xfId="42394"/>
    <cellStyle name="Note 6 2 2 3" xfId="42395"/>
    <cellStyle name="Note 6 2 2 3 2" xfId="42396"/>
    <cellStyle name="Note 6 2 2 3 2 2" xfId="42397"/>
    <cellStyle name="Note 6 2 2 3 3" xfId="42398"/>
    <cellStyle name="Note 6 2 2 4" xfId="42399"/>
    <cellStyle name="Note 6 2 2 4 2" xfId="42400"/>
    <cellStyle name="Note 6 2 2 5" xfId="42401"/>
    <cellStyle name="Note 6 2 3" xfId="42402"/>
    <cellStyle name="Note 6 2 3 2" xfId="42403"/>
    <cellStyle name="Note 6 2 3 2 2" xfId="42404"/>
    <cellStyle name="Note 6 2 3 3" xfId="42405"/>
    <cellStyle name="Note 6 2 4" xfId="42406"/>
    <cellStyle name="Note 6 2 4 2" xfId="42407"/>
    <cellStyle name="Note 6 2 4 2 2" xfId="42408"/>
    <cellStyle name="Note 6 2 4 3" xfId="42409"/>
    <cellStyle name="Note 6 2 5" xfId="42410"/>
    <cellStyle name="Note 6 2 5 2" xfId="42411"/>
    <cellStyle name="Note 6 2 5 2 2" xfId="42412"/>
    <cellStyle name="Note 6 2 5 2 2 2" xfId="42413"/>
    <cellStyle name="Note 6 2 5 2 3" xfId="42414"/>
    <cellStyle name="Note 6 2 5 3" xfId="42415"/>
    <cellStyle name="Note 6 2 5 3 2" xfId="42416"/>
    <cellStyle name="Note 6 2 5 4" xfId="42417"/>
    <cellStyle name="Note 6 2 6" xfId="42418"/>
    <cellStyle name="Note 6 2 6 2" xfId="42419"/>
    <cellStyle name="Note 6 2 6 2 2" xfId="42420"/>
    <cellStyle name="Note 6 2 6 3" xfId="42421"/>
    <cellStyle name="Note 6 2 7" xfId="42422"/>
    <cellStyle name="Note 6 2 7 2" xfId="42423"/>
    <cellStyle name="Note 6 2 8" xfId="42424"/>
    <cellStyle name="Note 6 3" xfId="42425"/>
    <cellStyle name="Note 6 3 2" xfId="42426"/>
    <cellStyle name="Note 6 3 2 2" xfId="42427"/>
    <cellStyle name="Note 6 3 2 2 2" xfId="42428"/>
    <cellStyle name="Note 6 3 2 2 2 2" xfId="42429"/>
    <cellStyle name="Note 6 3 2 2 2 2 2" xfId="42430"/>
    <cellStyle name="Note 6 3 2 2 2 3" xfId="42431"/>
    <cellStyle name="Note 6 3 2 2 3" xfId="42432"/>
    <cellStyle name="Note 6 3 2 2 3 2" xfId="42433"/>
    <cellStyle name="Note 6 3 2 2 4" xfId="42434"/>
    <cellStyle name="Note 6 3 2 3" xfId="42435"/>
    <cellStyle name="Note 6 3 2 3 2" xfId="42436"/>
    <cellStyle name="Note 6 3 2 3 2 2" xfId="42437"/>
    <cellStyle name="Note 6 3 2 3 3" xfId="42438"/>
    <cellStyle name="Note 6 3 2 4" xfId="42439"/>
    <cellStyle name="Note 6 3 2 4 2" xfId="42440"/>
    <cellStyle name="Note 6 3 2 5" xfId="42441"/>
    <cellStyle name="Note 6 3 3" xfId="42442"/>
    <cellStyle name="Note 6 3 3 2" xfId="42443"/>
    <cellStyle name="Note 6 3 3 2 2" xfId="42444"/>
    <cellStyle name="Note 6 3 3 2 2 2" xfId="42445"/>
    <cellStyle name="Note 6 3 3 2 3" xfId="42446"/>
    <cellStyle name="Note 6 3 3 3" xfId="42447"/>
    <cellStyle name="Note 6 3 3 3 2" xfId="42448"/>
    <cellStyle name="Note 6 3 3 4" xfId="42449"/>
    <cellStyle name="Note 6 3 4" xfId="42450"/>
    <cellStyle name="Note 6 3 4 2" xfId="42451"/>
    <cellStyle name="Note 6 3 4 2 2" xfId="42452"/>
    <cellStyle name="Note 6 3 4 3" xfId="42453"/>
    <cellStyle name="Note 6 3 5" xfId="42454"/>
    <cellStyle name="Note 6 3 5 2" xfId="42455"/>
    <cellStyle name="Note 6 3 6" xfId="42456"/>
    <cellStyle name="Note 6 4" xfId="42457"/>
    <cellStyle name="Note 6 4 2" xfId="42458"/>
    <cellStyle name="Note 6 4 2 2" xfId="42459"/>
    <cellStyle name="Note 6 4 3" xfId="42460"/>
    <cellStyle name="Note 6 5" xfId="42461"/>
    <cellStyle name="Note 6 5 2" xfId="42462"/>
    <cellStyle name="Note 6 5 2 2" xfId="42463"/>
    <cellStyle name="Note 6 5 3" xfId="42464"/>
    <cellStyle name="Note 6 6" xfId="42465"/>
    <cellStyle name="Note 6 6 2" xfId="42466"/>
    <cellStyle name="Note 6 6 2 2" xfId="42467"/>
    <cellStyle name="Note 6 6 2 2 2" xfId="42468"/>
    <cellStyle name="Note 6 6 2 3" xfId="42469"/>
    <cellStyle name="Note 6 6 3" xfId="42470"/>
    <cellStyle name="Note 6 6 3 2" xfId="42471"/>
    <cellStyle name="Note 6 6 4" xfId="42472"/>
    <cellStyle name="Note 6 7" xfId="42473"/>
    <cellStyle name="Note 6 7 2" xfId="42474"/>
    <cellStyle name="Note 6 7 2 2" xfId="42475"/>
    <cellStyle name="Note 6 7 3" xfId="42476"/>
    <cellStyle name="Note 6 8" xfId="42477"/>
    <cellStyle name="Note 6 8 2" xfId="42478"/>
    <cellStyle name="Note 6 9" xfId="42479"/>
    <cellStyle name="Note 7" xfId="42480"/>
    <cellStyle name="Note 7 2" xfId="42481"/>
    <cellStyle name="Note 7 2 2" xfId="42482"/>
    <cellStyle name="Note 7 2 2 2" xfId="42483"/>
    <cellStyle name="Note 7 2 2 2 2" xfId="42484"/>
    <cellStyle name="Note 7 2 2 2 2 2" xfId="42485"/>
    <cellStyle name="Note 7 2 2 2 3" xfId="42486"/>
    <cellStyle name="Note 7 2 2 3" xfId="42487"/>
    <cellStyle name="Note 7 2 2 3 2" xfId="42488"/>
    <cellStyle name="Note 7 2 2 4" xfId="42489"/>
    <cellStyle name="Note 7 2 3" xfId="42490"/>
    <cellStyle name="Note 7 2 3 2" xfId="42491"/>
    <cellStyle name="Note 7 2 3 2 2" xfId="42492"/>
    <cellStyle name="Note 7 2 3 3" xfId="42493"/>
    <cellStyle name="Note 7 2 4" xfId="42494"/>
    <cellStyle name="Note 7 2 4 2" xfId="42495"/>
    <cellStyle name="Note 7 2 5" xfId="42496"/>
    <cellStyle name="Note 7 3" xfId="42497"/>
    <cellStyle name="Note 7 3 2" xfId="42498"/>
    <cellStyle name="Note 7 3 2 2" xfId="42499"/>
    <cellStyle name="Note 7 3 3" xfId="42500"/>
    <cellStyle name="Note 7 4" xfId="42501"/>
    <cellStyle name="Note 7 4 2" xfId="42502"/>
    <cellStyle name="Note 7 4 2 2" xfId="42503"/>
    <cellStyle name="Note 7 4 2 2 2" xfId="42504"/>
    <cellStyle name="Note 7 4 2 3" xfId="42505"/>
    <cellStyle name="Note 7 4 3" xfId="42506"/>
    <cellStyle name="Note 7 4 3 2" xfId="42507"/>
    <cellStyle name="Note 7 4 4" xfId="42508"/>
    <cellStyle name="Note 7 5" xfId="42509"/>
    <cellStyle name="Note 7 5 2" xfId="42510"/>
    <cellStyle name="Note 7 5 2 2" xfId="42511"/>
    <cellStyle name="Note 7 5 3" xfId="42512"/>
    <cellStyle name="Note 7 6" xfId="42513"/>
    <cellStyle name="Note 7 6 2" xfId="42514"/>
    <cellStyle name="Note 7 7" xfId="42515"/>
    <cellStyle name="Note 8" xfId="42516"/>
    <cellStyle name="Note 8 2" xfId="42517"/>
    <cellStyle name="Note 8 2 2" xfId="42518"/>
    <cellStyle name="Note 8 2 2 2" xfId="42519"/>
    <cellStyle name="Note 8 2 2 2 2" xfId="42520"/>
    <cellStyle name="Note 8 2 2 2 2 2" xfId="42521"/>
    <cellStyle name="Note 8 2 2 2 2 2 2" xfId="42522"/>
    <cellStyle name="Note 8 2 2 2 2 3" xfId="42523"/>
    <cellStyle name="Note 8 2 2 2 3" xfId="42524"/>
    <cellStyle name="Note 8 2 2 2 3 2" xfId="42525"/>
    <cellStyle name="Note 8 2 2 2 4" xfId="42526"/>
    <cellStyle name="Note 8 2 2 3" xfId="42527"/>
    <cellStyle name="Note 8 2 2 3 2" xfId="42528"/>
    <cellStyle name="Note 8 2 2 3 2 2" xfId="42529"/>
    <cellStyle name="Note 8 2 2 3 3" xfId="42530"/>
    <cellStyle name="Note 8 2 2 4" xfId="42531"/>
    <cellStyle name="Note 8 2 2 4 2" xfId="42532"/>
    <cellStyle name="Note 8 2 2 5" xfId="42533"/>
    <cellStyle name="Note 8 2 3" xfId="42534"/>
    <cellStyle name="Note 8 2 3 2" xfId="42535"/>
    <cellStyle name="Note 8 2 3 2 2" xfId="42536"/>
    <cellStyle name="Note 8 2 3 2 2 2" xfId="42537"/>
    <cellStyle name="Note 8 2 3 2 3" xfId="42538"/>
    <cellStyle name="Note 8 2 3 3" xfId="42539"/>
    <cellStyle name="Note 8 2 3 3 2" xfId="42540"/>
    <cellStyle name="Note 8 2 3 4" xfId="42541"/>
    <cellStyle name="Note 8 2 4" xfId="42542"/>
    <cellStyle name="Note 8 2 4 2" xfId="42543"/>
    <cellStyle name="Note 8 2 4 2 2" xfId="42544"/>
    <cellStyle name="Note 8 2 4 3" xfId="42545"/>
    <cellStyle name="Note 8 2 5" xfId="42546"/>
    <cellStyle name="Note 8 2 5 2" xfId="42547"/>
    <cellStyle name="Note 8 2 6" xfId="42548"/>
    <cellStyle name="Note 8 3" xfId="42549"/>
    <cellStyle name="Note 8 3 2" xfId="42550"/>
    <cellStyle name="Note 8 3 2 2" xfId="42551"/>
    <cellStyle name="Note 8 3 2 2 2" xfId="42552"/>
    <cellStyle name="Note 8 3 2 2 2 2" xfId="42553"/>
    <cellStyle name="Note 8 3 2 2 2 2 2" xfId="42554"/>
    <cellStyle name="Note 8 3 2 2 2 2 2 2" xfId="42555"/>
    <cellStyle name="Note 8 3 2 2 2 2 3" xfId="42556"/>
    <cellStyle name="Note 8 3 2 2 2 3" xfId="42557"/>
    <cellStyle name="Note 8 3 2 2 2 3 2" xfId="42558"/>
    <cellStyle name="Note 8 3 2 2 2 4" xfId="42559"/>
    <cellStyle name="Note 8 3 2 2 3" xfId="42560"/>
    <cellStyle name="Note 8 3 2 2 3 2" xfId="42561"/>
    <cellStyle name="Note 8 3 2 2 3 2 2" xfId="42562"/>
    <cellStyle name="Note 8 3 2 2 3 3" xfId="42563"/>
    <cellStyle name="Note 8 3 2 2 4" xfId="42564"/>
    <cellStyle name="Note 8 3 2 2 4 2" xfId="42565"/>
    <cellStyle name="Note 8 3 2 2 5" xfId="42566"/>
    <cellStyle name="Note 8 3 2 3" xfId="42567"/>
    <cellStyle name="Note 8 3 2 3 2" xfId="42568"/>
    <cellStyle name="Note 8 3 2 3 2 2" xfId="42569"/>
    <cellStyle name="Note 8 3 2 3 2 2 2" xfId="42570"/>
    <cellStyle name="Note 8 3 2 3 2 3" xfId="42571"/>
    <cellStyle name="Note 8 3 2 3 3" xfId="42572"/>
    <cellStyle name="Note 8 3 2 3 3 2" xfId="42573"/>
    <cellStyle name="Note 8 3 2 3 4" xfId="42574"/>
    <cellStyle name="Note 8 3 2 4" xfId="42575"/>
    <cellStyle name="Note 8 3 2 4 2" xfId="42576"/>
    <cellStyle name="Note 8 3 2 4 2 2" xfId="42577"/>
    <cellStyle name="Note 8 3 2 4 3" xfId="42578"/>
    <cellStyle name="Note 8 3 2 5" xfId="42579"/>
    <cellStyle name="Note 8 3 2 5 2" xfId="42580"/>
    <cellStyle name="Note 8 3 2 6" xfId="42581"/>
    <cellStyle name="Note 8 3 3" xfId="42582"/>
    <cellStyle name="Note 8 3 3 2" xfId="42583"/>
    <cellStyle name="Note 8 3 3 2 2" xfId="42584"/>
    <cellStyle name="Note 8 3 3 2 2 2" xfId="42585"/>
    <cellStyle name="Note 8 3 3 2 2 2 2" xfId="42586"/>
    <cellStyle name="Note 8 3 3 2 2 3" xfId="42587"/>
    <cellStyle name="Note 8 3 3 2 3" xfId="42588"/>
    <cellStyle name="Note 8 3 3 2 3 2" xfId="42589"/>
    <cellStyle name="Note 8 3 3 2 4" xfId="42590"/>
    <cellStyle name="Note 8 3 3 3" xfId="42591"/>
    <cellStyle name="Note 8 3 3 3 2" xfId="42592"/>
    <cellStyle name="Note 8 3 3 3 2 2" xfId="42593"/>
    <cellStyle name="Note 8 3 3 3 3" xfId="42594"/>
    <cellStyle name="Note 8 3 3 4" xfId="42595"/>
    <cellStyle name="Note 8 3 3 4 2" xfId="42596"/>
    <cellStyle name="Note 8 3 3 5" xfId="42597"/>
    <cellStyle name="Note 8 3 4" xfId="42598"/>
    <cellStyle name="Note 8 3 4 2" xfId="42599"/>
    <cellStyle name="Note 8 3 4 2 2" xfId="42600"/>
    <cellStyle name="Note 8 3 4 2 2 2" xfId="42601"/>
    <cellStyle name="Note 8 3 4 2 3" xfId="42602"/>
    <cellStyle name="Note 8 3 4 3" xfId="42603"/>
    <cellStyle name="Note 8 3 4 3 2" xfId="42604"/>
    <cellStyle name="Note 8 3 4 4" xfId="42605"/>
    <cellStyle name="Note 8 3 5" xfId="42606"/>
    <cellStyle name="Note 8 3 5 2" xfId="42607"/>
    <cellStyle name="Note 8 3 5 2 2" xfId="42608"/>
    <cellStyle name="Note 8 3 5 3" xfId="42609"/>
    <cellStyle name="Note 8 3 6" xfId="42610"/>
    <cellStyle name="Note 8 3 6 2" xfId="42611"/>
    <cellStyle name="Note 8 3 7" xfId="42612"/>
    <cellStyle name="Note 8 4" xfId="42613"/>
    <cellStyle name="Note 8 4 2" xfId="42614"/>
    <cellStyle name="Note 8 4 2 2" xfId="42615"/>
    <cellStyle name="Note 8 4 3" xfId="42616"/>
    <cellStyle name="Note 8 5" xfId="42617"/>
    <cellStyle name="Note 8 5 2" xfId="42618"/>
    <cellStyle name="Note 8 5 2 2" xfId="42619"/>
    <cellStyle name="Note 8 5 2 2 2" xfId="42620"/>
    <cellStyle name="Note 8 5 2 2 2 2" xfId="42621"/>
    <cellStyle name="Note 8 5 2 2 3" xfId="42622"/>
    <cellStyle name="Note 8 5 2 3" xfId="42623"/>
    <cellStyle name="Note 8 5 2 3 2" xfId="42624"/>
    <cellStyle name="Note 8 5 2 4" xfId="42625"/>
    <cellStyle name="Note 8 5 3" xfId="42626"/>
    <cellStyle name="Note 8 5 3 2" xfId="42627"/>
    <cellStyle name="Note 8 5 3 2 2" xfId="42628"/>
    <cellStyle name="Note 8 5 3 3" xfId="42629"/>
    <cellStyle name="Note 8 5 4" xfId="42630"/>
    <cellStyle name="Note 8 5 4 2" xfId="42631"/>
    <cellStyle name="Note 8 5 5" xfId="42632"/>
    <cellStyle name="Note 8 6" xfId="42633"/>
    <cellStyle name="Note 8 6 2" xfId="42634"/>
    <cellStyle name="Note 8 6 2 2" xfId="42635"/>
    <cellStyle name="Note 8 6 2 2 2" xfId="42636"/>
    <cellStyle name="Note 8 6 2 3" xfId="42637"/>
    <cellStyle name="Note 8 6 3" xfId="42638"/>
    <cellStyle name="Note 8 6 3 2" xfId="42639"/>
    <cellStyle name="Note 8 6 4" xfId="42640"/>
    <cellStyle name="Note 8 7" xfId="42641"/>
    <cellStyle name="Note 8 7 2" xfId="42642"/>
    <cellStyle name="Note 8 7 2 2" xfId="42643"/>
    <cellStyle name="Note 8 7 3" xfId="42644"/>
    <cellStyle name="Note 8 8" xfId="42645"/>
    <cellStyle name="Note 8 8 2" xfId="42646"/>
    <cellStyle name="Note 8 9" xfId="42647"/>
    <cellStyle name="Note 9" xfId="42648"/>
    <cellStyle name="Note 9 2" xfId="42649"/>
    <cellStyle name="Note 9 2 2" xfId="42650"/>
    <cellStyle name="Note 9 2 2 2" xfId="42651"/>
    <cellStyle name="Note 9 2 2 2 2" xfId="42652"/>
    <cellStyle name="Note 9 2 2 3" xfId="42653"/>
    <cellStyle name="Note 9 2 3" xfId="42654"/>
    <cellStyle name="Note 9 2 3 2" xfId="42655"/>
    <cellStyle name="Note 9 2 4" xfId="42656"/>
    <cellStyle name="Note 9 3" xfId="42657"/>
    <cellStyle name="Note 9 3 2" xfId="42658"/>
    <cellStyle name="Note 9 3 2 2" xfId="42659"/>
    <cellStyle name="Note 9 3 3" xfId="42660"/>
    <cellStyle name="Note 9 4" xfId="42661"/>
    <cellStyle name="Note 9 4 2" xfId="42662"/>
    <cellStyle name="Note 9 5" xfId="42663"/>
    <cellStyle name="onezero" xfId="42664"/>
    <cellStyle name="onezero 2" xfId="42665"/>
    <cellStyle name="onezero 3" xfId="42666"/>
    <cellStyle name="onezero 3 2" xfId="42667"/>
    <cellStyle name="onezero 3 2 2" xfId="42668"/>
    <cellStyle name="onezero 3 3" xfId="42669"/>
    <cellStyle name="onezero 4" xfId="42670"/>
    <cellStyle name="onezero 4 2" xfId="42671"/>
    <cellStyle name="onezero 4 2 2" xfId="42672"/>
    <cellStyle name="onezero 4 3" xfId="42673"/>
    <cellStyle name="Output 10" xfId="42674"/>
    <cellStyle name="Output 2" xfId="42675"/>
    <cellStyle name="Output 2 10" xfId="42676"/>
    <cellStyle name="Output 2 10 2" xfId="42677"/>
    <cellStyle name="Output 2 10 2 2" xfId="42678"/>
    <cellStyle name="Output 2 10 3" xfId="42679"/>
    <cellStyle name="Output 2 11" xfId="42680"/>
    <cellStyle name="Output 2 11 2" xfId="42681"/>
    <cellStyle name="Output 2 11 2 2" xfId="42682"/>
    <cellStyle name="Output 2 11 3" xfId="42683"/>
    <cellStyle name="Output 2 12" xfId="42684"/>
    <cellStyle name="Output 2 12 2" xfId="42685"/>
    <cellStyle name="Output 2 12 2 2" xfId="42686"/>
    <cellStyle name="Output 2 12 2 2 2" xfId="42687"/>
    <cellStyle name="Output 2 12 2 3" xfId="42688"/>
    <cellStyle name="Output 2 12 3" xfId="42689"/>
    <cellStyle name="Output 2 12 3 2" xfId="42690"/>
    <cellStyle name="Output 2 12 4" xfId="42691"/>
    <cellStyle name="Output 2 12 4 2" xfId="42692"/>
    <cellStyle name="Output 2 12 5" xfId="42693"/>
    <cellStyle name="Output 2 13" xfId="42694"/>
    <cellStyle name="Output 2 13 2" xfId="42695"/>
    <cellStyle name="Output 2 13 3" xfId="42696"/>
    <cellStyle name="Output 2 14" xfId="42697"/>
    <cellStyle name="Output 2 14 2" xfId="42698"/>
    <cellStyle name="Output 2 15" xfId="42699"/>
    <cellStyle name="Output 2 16" xfId="42700"/>
    <cellStyle name="Output 2 2" xfId="42701"/>
    <cellStyle name="Output 2 2 2" xfId="42702"/>
    <cellStyle name="Output 2 2 2 2" xfId="42703"/>
    <cellStyle name="Output 2 2 2 2 2" xfId="42704"/>
    <cellStyle name="Output 2 2 2 3" xfId="42705"/>
    <cellStyle name="Output 2 2 2 3 2" xfId="42706"/>
    <cellStyle name="Output 2 2 2 3 2 2" xfId="42707"/>
    <cellStyle name="Output 2 2 2 3 3" xfId="42708"/>
    <cellStyle name="Output 2 2 2 4" xfId="42709"/>
    <cellStyle name="Output 2 2 2 4 2" xfId="42710"/>
    <cellStyle name="Output 2 2 2 4 2 2" xfId="42711"/>
    <cellStyle name="Output 2 2 2 4 3" xfId="42712"/>
    <cellStyle name="Output 2 2 2 5" xfId="42713"/>
    <cellStyle name="Output 2 2 3" xfId="42714"/>
    <cellStyle name="Output 2 2 3 2" xfId="42715"/>
    <cellStyle name="Output 2 2 3 2 2" xfId="42716"/>
    <cellStyle name="Output 2 2 3 2 2 2" xfId="42717"/>
    <cellStyle name="Output 2 2 3 2 3" xfId="42718"/>
    <cellStyle name="Output 2 2 3 2 3 2" xfId="42719"/>
    <cellStyle name="Output 2 2 3 2 3 2 2" xfId="42720"/>
    <cellStyle name="Output 2 2 3 2 3 3" xfId="42721"/>
    <cellStyle name="Output 2 2 3 2 4" xfId="42722"/>
    <cellStyle name="Output 2 2 3 3" xfId="42723"/>
    <cellStyle name="Output 2 2 3 3 2" xfId="42724"/>
    <cellStyle name="Output 2 2 3 3 2 2" xfId="42725"/>
    <cellStyle name="Output 2 2 3 3 3" xfId="42726"/>
    <cellStyle name="Output 2 2 3 4" xfId="42727"/>
    <cellStyle name="Output 2 2 3 4 2" xfId="42728"/>
    <cellStyle name="Output 2 2 3 4 2 2" xfId="42729"/>
    <cellStyle name="Output 2 2 3 4 3" xfId="42730"/>
    <cellStyle name="Output 2 2 3 5" xfId="42731"/>
    <cellStyle name="Output 2 2 3 5 2" xfId="42732"/>
    <cellStyle name="Output 2 2 3 5 2 2" xfId="42733"/>
    <cellStyle name="Output 2 2 3 5 3" xfId="42734"/>
    <cellStyle name="Output 2 2 3 6" xfId="42735"/>
    <cellStyle name="Output 2 2 4" xfId="42736"/>
    <cellStyle name="Output 2 2 4 2" xfId="42737"/>
    <cellStyle name="Output 2 2 4 2 2" xfId="42738"/>
    <cellStyle name="Output 2 2 4 3" xfId="42739"/>
    <cellStyle name="Output 2 2 5" xfId="42740"/>
    <cellStyle name="Output 2 2 5 2" xfId="42741"/>
    <cellStyle name="Output 2 2 5 2 2" xfId="42742"/>
    <cellStyle name="Output 2 2 5 3" xfId="42743"/>
    <cellStyle name="Output 2 2 6" xfId="42744"/>
    <cellStyle name="Output 2 2 6 2" xfId="42745"/>
    <cellStyle name="Output 2 2 6 2 2" xfId="42746"/>
    <cellStyle name="Output 2 2 6 3" xfId="42747"/>
    <cellStyle name="Output 2 2 7" xfId="42748"/>
    <cellStyle name="Output 2 3" xfId="42749"/>
    <cellStyle name="Output 2 3 2" xfId="42750"/>
    <cellStyle name="Output 2 3 2 2" xfId="42751"/>
    <cellStyle name="Output 2 3 2 2 2" xfId="42752"/>
    <cellStyle name="Output 2 3 2 2 2 2" xfId="42753"/>
    <cellStyle name="Output 2 3 2 2 3" xfId="42754"/>
    <cellStyle name="Output 2 3 2 3" xfId="42755"/>
    <cellStyle name="Output 2 3 2 3 2" xfId="42756"/>
    <cellStyle name="Output 2 3 2 3 2 2" xfId="42757"/>
    <cellStyle name="Output 2 3 2 3 3" xfId="42758"/>
    <cellStyle name="Output 2 3 2 4" xfId="42759"/>
    <cellStyle name="Output 2 3 2 4 2" xfId="42760"/>
    <cellStyle name="Output 2 3 2 4 2 2" xfId="42761"/>
    <cellStyle name="Output 2 3 2 4 3" xfId="42762"/>
    <cellStyle name="Output 2 3 2 5" xfId="42763"/>
    <cellStyle name="Output 2 3 2 5 2" xfId="42764"/>
    <cellStyle name="Output 2 3 2 6" xfId="42765"/>
    <cellStyle name="Output 2 3 3" xfId="42766"/>
    <cellStyle name="Output 2 3 3 2" xfId="42767"/>
    <cellStyle name="Output 2 3 3 2 2" xfId="42768"/>
    <cellStyle name="Output 2 3 3 2 2 2" xfId="42769"/>
    <cellStyle name="Output 2 3 3 2 2 2 2" xfId="42770"/>
    <cellStyle name="Output 2 3 3 2 2 3" xfId="42771"/>
    <cellStyle name="Output 2 3 3 2 3" xfId="42772"/>
    <cellStyle name="Output 2 3 3 2 3 2" xfId="42773"/>
    <cellStyle name="Output 2 3 3 2 3 2 2" xfId="42774"/>
    <cellStyle name="Output 2 3 3 2 3 3" xfId="42775"/>
    <cellStyle name="Output 2 3 3 2 4" xfId="42776"/>
    <cellStyle name="Output 2 3 3 2 4 2" xfId="42777"/>
    <cellStyle name="Output 2 3 3 2 5" xfId="42778"/>
    <cellStyle name="Output 2 3 3 3" xfId="42779"/>
    <cellStyle name="Output 2 3 3 3 2" xfId="42780"/>
    <cellStyle name="Output 2 3 3 3 2 2" xfId="42781"/>
    <cellStyle name="Output 2 3 3 3 2 2 2" xfId="42782"/>
    <cellStyle name="Output 2 3 3 3 2 3" xfId="42783"/>
    <cellStyle name="Output 2 3 3 3 3" xfId="42784"/>
    <cellStyle name="Output 2 3 3 3 3 2" xfId="42785"/>
    <cellStyle name="Output 2 3 3 3 4" xfId="42786"/>
    <cellStyle name="Output 2 3 3 4" xfId="42787"/>
    <cellStyle name="Output 2 3 3 4 2" xfId="42788"/>
    <cellStyle name="Output 2 3 3 4 2 2" xfId="42789"/>
    <cellStyle name="Output 2 3 3 4 3" xfId="42790"/>
    <cellStyle name="Output 2 3 3 5" xfId="42791"/>
    <cellStyle name="Output 2 3 3 5 2" xfId="42792"/>
    <cellStyle name="Output 2 3 3 5 2 2" xfId="42793"/>
    <cellStyle name="Output 2 3 3 5 3" xfId="42794"/>
    <cellStyle name="Output 2 3 3 6" xfId="42795"/>
    <cellStyle name="Output 2 3 3 6 2" xfId="42796"/>
    <cellStyle name="Output 2 3 3 7" xfId="42797"/>
    <cellStyle name="Output 2 3 4" xfId="42798"/>
    <cellStyle name="Output 2 3 4 2" xfId="42799"/>
    <cellStyle name="Output 2 3 4 2 2" xfId="42800"/>
    <cellStyle name="Output 2 3 4 2 2 2" xfId="42801"/>
    <cellStyle name="Output 2 3 4 2 3" xfId="42802"/>
    <cellStyle name="Output 2 3 4 3" xfId="42803"/>
    <cellStyle name="Output 2 3 4 3 2" xfId="42804"/>
    <cellStyle name="Output 2 3 4 4" xfId="42805"/>
    <cellStyle name="Output 2 3 5" xfId="42806"/>
    <cellStyle name="Output 2 3 5 2" xfId="42807"/>
    <cellStyle name="Output 2 3 5 2 2" xfId="42808"/>
    <cellStyle name="Output 2 3 5 3" xfId="42809"/>
    <cellStyle name="Output 2 3 6" xfId="42810"/>
    <cellStyle name="Output 2 3 6 2" xfId="42811"/>
    <cellStyle name="Output 2 3 6 2 2" xfId="42812"/>
    <cellStyle name="Output 2 3 6 3" xfId="42813"/>
    <cellStyle name="Output 2 3 7" xfId="42814"/>
    <cellStyle name="Output 2 3 7 2" xfId="42815"/>
    <cellStyle name="Output 2 3 8" xfId="42816"/>
    <cellStyle name="Output 2 4" xfId="42817"/>
    <cellStyle name="Output 2 4 2" xfId="42818"/>
    <cellStyle name="Output 2 4 2 2" xfId="42819"/>
    <cellStyle name="Output 2 4 2 2 2" xfId="42820"/>
    <cellStyle name="Output 2 4 2 2 2 2" xfId="42821"/>
    <cellStyle name="Output 2 4 2 2 3" xfId="42822"/>
    <cellStyle name="Output 2 4 2 3" xfId="42823"/>
    <cellStyle name="Output 2 4 2 3 2" xfId="42824"/>
    <cellStyle name="Output 2 4 2 3 2 2" xfId="42825"/>
    <cellStyle name="Output 2 4 2 3 3" xfId="42826"/>
    <cellStyle name="Output 2 4 2 4" xfId="42827"/>
    <cellStyle name="Output 2 4 2 4 2" xfId="42828"/>
    <cellStyle name="Output 2 4 2 4 2 2" xfId="42829"/>
    <cellStyle name="Output 2 4 2 4 3" xfId="42830"/>
    <cellStyle name="Output 2 4 2 5" xfId="42831"/>
    <cellStyle name="Output 2 4 2 5 2" xfId="42832"/>
    <cellStyle name="Output 2 4 2 6" xfId="42833"/>
    <cellStyle name="Output 2 4 3" xfId="42834"/>
    <cellStyle name="Output 2 4 3 2" xfId="42835"/>
    <cellStyle name="Output 2 4 3 2 2" xfId="42836"/>
    <cellStyle name="Output 2 4 3 2 2 2" xfId="42837"/>
    <cellStyle name="Output 2 4 3 2 3" xfId="42838"/>
    <cellStyle name="Output 2 4 3 3" xfId="42839"/>
    <cellStyle name="Output 2 4 3 3 2" xfId="42840"/>
    <cellStyle name="Output 2 4 3 4" xfId="42841"/>
    <cellStyle name="Output 2 4 4" xfId="42842"/>
    <cellStyle name="Output 2 4 4 2" xfId="42843"/>
    <cellStyle name="Output 2 4 4 2 2" xfId="42844"/>
    <cellStyle name="Output 2 4 4 3" xfId="42845"/>
    <cellStyle name="Output 2 4 5" xfId="42846"/>
    <cellStyle name="Output 2 4 5 2" xfId="42847"/>
    <cellStyle name="Output 2 4 5 2 2" xfId="42848"/>
    <cellStyle name="Output 2 4 5 3" xfId="42849"/>
    <cellStyle name="Output 2 4 6" xfId="42850"/>
    <cellStyle name="Output 2 4 6 2" xfId="42851"/>
    <cellStyle name="Output 2 4 7" xfId="42852"/>
    <cellStyle name="Output 2 5" xfId="42853"/>
    <cellStyle name="Output 2 5 2" xfId="42854"/>
    <cellStyle name="Output 2 5 2 2" xfId="42855"/>
    <cellStyle name="Output 2 5 2 2 2" xfId="42856"/>
    <cellStyle name="Output 2 5 2 2 2 2" xfId="42857"/>
    <cellStyle name="Output 2 5 2 2 3" xfId="42858"/>
    <cellStyle name="Output 2 5 2 3" xfId="42859"/>
    <cellStyle name="Output 2 5 2 3 2" xfId="42860"/>
    <cellStyle name="Output 2 5 2 3 2 2" xfId="42861"/>
    <cellStyle name="Output 2 5 2 3 3" xfId="42862"/>
    <cellStyle name="Output 2 5 2 4" xfId="42863"/>
    <cellStyle name="Output 2 5 2 4 2" xfId="42864"/>
    <cellStyle name="Output 2 5 2 4 2 2" xfId="42865"/>
    <cellStyle name="Output 2 5 2 4 3" xfId="42866"/>
    <cellStyle name="Output 2 5 2 5" xfId="42867"/>
    <cellStyle name="Output 2 5 2 5 2" xfId="42868"/>
    <cellStyle name="Output 2 5 2 6" xfId="42869"/>
    <cellStyle name="Output 2 5 3" xfId="42870"/>
    <cellStyle name="Output 2 5 3 2" xfId="42871"/>
    <cellStyle name="Output 2 5 3 2 2" xfId="42872"/>
    <cellStyle name="Output 2 5 3 2 2 2" xfId="42873"/>
    <cellStyle name="Output 2 5 3 2 2 2 2" xfId="42874"/>
    <cellStyle name="Output 2 5 3 2 2 3" xfId="42875"/>
    <cellStyle name="Output 2 5 3 2 3" xfId="42876"/>
    <cellStyle name="Output 2 5 3 2 3 2" xfId="42877"/>
    <cellStyle name="Output 2 5 3 2 3 2 2" xfId="42878"/>
    <cellStyle name="Output 2 5 3 2 3 3" xfId="42879"/>
    <cellStyle name="Output 2 5 3 2 4" xfId="42880"/>
    <cellStyle name="Output 2 5 3 2 4 2" xfId="42881"/>
    <cellStyle name="Output 2 5 3 2 5" xfId="42882"/>
    <cellStyle name="Output 2 5 3 3" xfId="42883"/>
    <cellStyle name="Output 2 5 3 3 2" xfId="42884"/>
    <cellStyle name="Output 2 5 3 3 2 2" xfId="42885"/>
    <cellStyle name="Output 2 5 3 3 2 2 2" xfId="42886"/>
    <cellStyle name="Output 2 5 3 3 2 3" xfId="42887"/>
    <cellStyle name="Output 2 5 3 3 3" xfId="42888"/>
    <cellStyle name="Output 2 5 3 3 3 2" xfId="42889"/>
    <cellStyle name="Output 2 5 3 3 4" xfId="42890"/>
    <cellStyle name="Output 2 5 3 4" xfId="42891"/>
    <cellStyle name="Output 2 5 3 4 2" xfId="42892"/>
    <cellStyle name="Output 2 5 3 4 2 2" xfId="42893"/>
    <cellStyle name="Output 2 5 3 4 3" xfId="42894"/>
    <cellStyle name="Output 2 5 3 5" xfId="42895"/>
    <cellStyle name="Output 2 5 3 5 2" xfId="42896"/>
    <cellStyle name="Output 2 5 3 5 2 2" xfId="42897"/>
    <cellStyle name="Output 2 5 3 5 3" xfId="42898"/>
    <cellStyle name="Output 2 5 3 6" xfId="42899"/>
    <cellStyle name="Output 2 5 3 6 2" xfId="42900"/>
    <cellStyle name="Output 2 5 3 7" xfId="42901"/>
    <cellStyle name="Output 2 5 4" xfId="42902"/>
    <cellStyle name="Output 2 5 4 2" xfId="42903"/>
    <cellStyle name="Output 2 5 4 2 2" xfId="42904"/>
    <cellStyle name="Output 2 5 4 2 2 2" xfId="42905"/>
    <cellStyle name="Output 2 5 4 2 3" xfId="42906"/>
    <cellStyle name="Output 2 5 4 3" xfId="42907"/>
    <cellStyle name="Output 2 5 4 3 2" xfId="42908"/>
    <cellStyle name="Output 2 5 4 4" xfId="42909"/>
    <cellStyle name="Output 2 5 5" xfId="42910"/>
    <cellStyle name="Output 2 5 5 2" xfId="42911"/>
    <cellStyle name="Output 2 5 5 2 2" xfId="42912"/>
    <cellStyle name="Output 2 5 5 3" xfId="42913"/>
    <cellStyle name="Output 2 5 6" xfId="42914"/>
    <cellStyle name="Output 2 5 6 2" xfId="42915"/>
    <cellStyle name="Output 2 5 6 2 2" xfId="42916"/>
    <cellStyle name="Output 2 5 6 3" xfId="42917"/>
    <cellStyle name="Output 2 5 7" xfId="42918"/>
    <cellStyle name="Output 2 5 7 2" xfId="42919"/>
    <cellStyle name="Output 2 5 8" xfId="42920"/>
    <cellStyle name="Output 2 6" xfId="42921"/>
    <cellStyle name="Output 2 6 2" xfId="42922"/>
    <cellStyle name="Output 2 6 2 2" xfId="42923"/>
    <cellStyle name="Output 2 6 2 2 2" xfId="42924"/>
    <cellStyle name="Output 2 6 2 2 2 2" xfId="42925"/>
    <cellStyle name="Output 2 6 2 2 3" xfId="42926"/>
    <cellStyle name="Output 2 6 2 3" xfId="42927"/>
    <cellStyle name="Output 2 6 2 3 2" xfId="42928"/>
    <cellStyle name="Output 2 6 2 3 2 2" xfId="42929"/>
    <cellStyle name="Output 2 6 2 3 3" xfId="42930"/>
    <cellStyle name="Output 2 6 2 4" xfId="42931"/>
    <cellStyle name="Output 2 6 2 4 2" xfId="42932"/>
    <cellStyle name="Output 2 6 2 4 2 2" xfId="42933"/>
    <cellStyle name="Output 2 6 2 4 3" xfId="42934"/>
    <cellStyle name="Output 2 6 2 5" xfId="42935"/>
    <cellStyle name="Output 2 6 2 5 2" xfId="42936"/>
    <cellStyle name="Output 2 6 2 6" xfId="42937"/>
    <cellStyle name="Output 2 6 3" xfId="42938"/>
    <cellStyle name="Output 2 6 3 2" xfId="42939"/>
    <cellStyle name="Output 2 6 3 2 2" xfId="42940"/>
    <cellStyle name="Output 2 6 3 2 2 2" xfId="42941"/>
    <cellStyle name="Output 2 6 3 2 3" xfId="42942"/>
    <cellStyle name="Output 2 6 3 3" xfId="42943"/>
    <cellStyle name="Output 2 6 3 3 2" xfId="42944"/>
    <cellStyle name="Output 2 6 3 3 2 2" xfId="42945"/>
    <cellStyle name="Output 2 6 3 3 3" xfId="42946"/>
    <cellStyle name="Output 2 6 3 4" xfId="42947"/>
    <cellStyle name="Output 2 6 3 4 2" xfId="42948"/>
    <cellStyle name="Output 2 6 3 5" xfId="42949"/>
    <cellStyle name="Output 2 6 4" xfId="42950"/>
    <cellStyle name="Output 2 6 4 2" xfId="42951"/>
    <cellStyle name="Output 2 6 4 2 2" xfId="42952"/>
    <cellStyle name="Output 2 6 4 2 2 2" xfId="42953"/>
    <cellStyle name="Output 2 6 4 2 3" xfId="42954"/>
    <cellStyle name="Output 2 6 4 3" xfId="42955"/>
    <cellStyle name="Output 2 6 4 3 2" xfId="42956"/>
    <cellStyle name="Output 2 6 4 4" xfId="42957"/>
    <cellStyle name="Output 2 6 5" xfId="42958"/>
    <cellStyle name="Output 2 6 5 2" xfId="42959"/>
    <cellStyle name="Output 2 6 5 2 2" xfId="42960"/>
    <cellStyle name="Output 2 6 5 3" xfId="42961"/>
    <cellStyle name="Output 2 6 6" xfId="42962"/>
    <cellStyle name="Output 2 6 6 2" xfId="42963"/>
    <cellStyle name="Output 2 6 6 2 2" xfId="42964"/>
    <cellStyle name="Output 2 6 6 3" xfId="42965"/>
    <cellStyle name="Output 2 6 7" xfId="42966"/>
    <cellStyle name="Output 2 6 7 2" xfId="42967"/>
    <cellStyle name="Output 2 6 8" xfId="42968"/>
    <cellStyle name="Output 2 7" xfId="42969"/>
    <cellStyle name="Output 2 7 2" xfId="42970"/>
    <cellStyle name="Output 2 7 2 2" xfId="42971"/>
    <cellStyle name="Output 2 7 2 2 2" xfId="42972"/>
    <cellStyle name="Output 2 7 2 3" xfId="42973"/>
    <cellStyle name="Output 2 7 3" xfId="42974"/>
    <cellStyle name="Output 2 7 3 2" xfId="42975"/>
    <cellStyle name="Output 2 7 3 2 2" xfId="42976"/>
    <cellStyle name="Output 2 7 3 3" xfId="42977"/>
    <cellStyle name="Output 2 7 4" xfId="42978"/>
    <cellStyle name="Output 2 7 4 2" xfId="42979"/>
    <cellStyle name="Output 2 7 4 2 2" xfId="42980"/>
    <cellStyle name="Output 2 7 4 3" xfId="42981"/>
    <cellStyle name="Output 2 7 5" xfId="42982"/>
    <cellStyle name="Output 2 7 5 2" xfId="42983"/>
    <cellStyle name="Output 2 7 6" xfId="42984"/>
    <cellStyle name="Output 2 8" xfId="42985"/>
    <cellStyle name="Output 2 8 2" xfId="42986"/>
    <cellStyle name="Output 2 8 2 2" xfId="42987"/>
    <cellStyle name="Output 2 8 2 2 2" xfId="42988"/>
    <cellStyle name="Output 2 8 2 2 2 2" xfId="42989"/>
    <cellStyle name="Output 2 8 2 2 3" xfId="42990"/>
    <cellStyle name="Output 2 8 2 3" xfId="42991"/>
    <cellStyle name="Output 2 8 2 3 2" xfId="42992"/>
    <cellStyle name="Output 2 8 2 3 2 2" xfId="42993"/>
    <cellStyle name="Output 2 8 2 3 3" xfId="42994"/>
    <cellStyle name="Output 2 8 2 4" xfId="42995"/>
    <cellStyle name="Output 2 8 2 4 2" xfId="42996"/>
    <cellStyle name="Output 2 8 2 5" xfId="42997"/>
    <cellStyle name="Output 2 8 3" xfId="42998"/>
    <cellStyle name="Output 2 8 3 2" xfId="42999"/>
    <cellStyle name="Output 2 8 3 2 2" xfId="43000"/>
    <cellStyle name="Output 2 8 3 2 2 2" xfId="43001"/>
    <cellStyle name="Output 2 8 3 2 3" xfId="43002"/>
    <cellStyle name="Output 2 8 3 3" xfId="43003"/>
    <cellStyle name="Output 2 8 3 3 2" xfId="43004"/>
    <cellStyle name="Output 2 8 3 4" xfId="43005"/>
    <cellStyle name="Output 2 8 4" xfId="43006"/>
    <cellStyle name="Output 2 8 4 2" xfId="43007"/>
    <cellStyle name="Output 2 8 4 2 2" xfId="43008"/>
    <cellStyle name="Output 2 8 4 3" xfId="43009"/>
    <cellStyle name="Output 2 8 5" xfId="43010"/>
    <cellStyle name="Output 2 8 5 2" xfId="43011"/>
    <cellStyle name="Output 2 8 5 2 2" xfId="43012"/>
    <cellStyle name="Output 2 8 5 3" xfId="43013"/>
    <cellStyle name="Output 2 8 6" xfId="43014"/>
    <cellStyle name="Output 2 8 6 2" xfId="43015"/>
    <cellStyle name="Output 2 8 7" xfId="43016"/>
    <cellStyle name="Output 2 9" xfId="43017"/>
    <cellStyle name="Output 2 9 2" xfId="43018"/>
    <cellStyle name="Output 2 9 2 2" xfId="43019"/>
    <cellStyle name="Output 2 9 2 2 2" xfId="43020"/>
    <cellStyle name="Output 2 9 2 3" xfId="43021"/>
    <cellStyle name="Output 2 9 3" xfId="43022"/>
    <cellStyle name="Output 2 9 3 2" xfId="43023"/>
    <cellStyle name="Output 2 9 4" xfId="43024"/>
    <cellStyle name="Output 3" xfId="43025"/>
    <cellStyle name="Output 3 2" xfId="43026"/>
    <cellStyle name="Output 3 2 2" xfId="43027"/>
    <cellStyle name="Output 3 2 2 2" xfId="43028"/>
    <cellStyle name="Output 3 2 2 2 2" xfId="43029"/>
    <cellStyle name="Output 3 2 2 3" xfId="43030"/>
    <cellStyle name="Output 3 2 3" xfId="43031"/>
    <cellStyle name="Output 3 2 3 2" xfId="43032"/>
    <cellStyle name="Output 3 2 3 2 2" xfId="43033"/>
    <cellStyle name="Output 3 2 3 3" xfId="43034"/>
    <cellStyle name="Output 3 2 4" xfId="43035"/>
    <cellStyle name="Output 3 2 4 2" xfId="43036"/>
    <cellStyle name="Output 3 2 4 2 2" xfId="43037"/>
    <cellStyle name="Output 3 2 4 3" xfId="43038"/>
    <cellStyle name="Output 3 2 5" xfId="43039"/>
    <cellStyle name="Output 3 2 5 2" xfId="43040"/>
    <cellStyle name="Output 3 2 6" xfId="43041"/>
    <cellStyle name="Output 3 3" xfId="43042"/>
    <cellStyle name="Output 3 3 2" xfId="43043"/>
    <cellStyle name="Output 3 3 2 2" xfId="43044"/>
    <cellStyle name="Output 3 3 3" xfId="43045"/>
    <cellStyle name="Output 3 3 3 2" xfId="43046"/>
    <cellStyle name="Output 3 3 3 2 2" xfId="43047"/>
    <cellStyle name="Output 3 3 3 3" xfId="43048"/>
    <cellStyle name="Output 3 3 4" xfId="43049"/>
    <cellStyle name="Output 3 3 4 2" xfId="43050"/>
    <cellStyle name="Output 3 3 4 2 2" xfId="43051"/>
    <cellStyle name="Output 3 3 4 3" xfId="43052"/>
    <cellStyle name="Output 3 3 5" xfId="43053"/>
    <cellStyle name="Output 3 4" xfId="43054"/>
    <cellStyle name="Output 3 4 2" xfId="43055"/>
    <cellStyle name="Output 3 4 2 2" xfId="43056"/>
    <cellStyle name="Output 3 4 2 2 2" xfId="43057"/>
    <cellStyle name="Output 3 4 2 3" xfId="43058"/>
    <cellStyle name="Output 3 4 2 3 2" xfId="43059"/>
    <cellStyle name="Output 3 4 2 3 2 2" xfId="43060"/>
    <cellStyle name="Output 3 4 2 3 3" xfId="43061"/>
    <cellStyle name="Output 3 4 2 4" xfId="43062"/>
    <cellStyle name="Output 3 4 3" xfId="43063"/>
    <cellStyle name="Output 3 4 3 2" xfId="43064"/>
    <cellStyle name="Output 3 4 3 2 2" xfId="43065"/>
    <cellStyle name="Output 3 4 3 3" xfId="43066"/>
    <cellStyle name="Output 3 4 4" xfId="43067"/>
    <cellStyle name="Output 3 4 4 2" xfId="43068"/>
    <cellStyle name="Output 3 4 4 2 2" xfId="43069"/>
    <cellStyle name="Output 3 4 4 3" xfId="43070"/>
    <cellStyle name="Output 3 4 5" xfId="43071"/>
    <cellStyle name="Output 3 4 5 2" xfId="43072"/>
    <cellStyle name="Output 3 4 5 2 2" xfId="43073"/>
    <cellStyle name="Output 3 4 5 3" xfId="43074"/>
    <cellStyle name="Output 3 4 6" xfId="43075"/>
    <cellStyle name="Output 3 5" xfId="43076"/>
    <cellStyle name="Output 3 5 2" xfId="43077"/>
    <cellStyle name="Output 3 5 2 2" xfId="43078"/>
    <cellStyle name="Output 3 5 3" xfId="43079"/>
    <cellStyle name="Output 3 6" xfId="43080"/>
    <cellStyle name="Output 3 6 2" xfId="43081"/>
    <cellStyle name="Output 3 6 2 2" xfId="43082"/>
    <cellStyle name="Output 3 6 3" xfId="43083"/>
    <cellStyle name="Output 3 7" xfId="43084"/>
    <cellStyle name="Output 3 7 2" xfId="43085"/>
    <cellStyle name="Output 3 7 2 2" xfId="43086"/>
    <cellStyle name="Output 3 7 3" xfId="43087"/>
    <cellStyle name="Output 3 8" xfId="43088"/>
    <cellStyle name="Output 4" xfId="43089"/>
    <cellStyle name="Output 4 2" xfId="43090"/>
    <cellStyle name="Output 4 2 2" xfId="43091"/>
    <cellStyle name="Output 4 2 2 2" xfId="43092"/>
    <cellStyle name="Output 4 2 3" xfId="43093"/>
    <cellStyle name="Output 4 2 3 2" xfId="43094"/>
    <cellStyle name="Output 4 2 3 2 2" xfId="43095"/>
    <cellStyle name="Output 4 2 3 3" xfId="43096"/>
    <cellStyle name="Output 4 2 4" xfId="43097"/>
    <cellStyle name="Output 4 2 4 2" xfId="43098"/>
    <cellStyle name="Output 4 2 4 2 2" xfId="43099"/>
    <cellStyle name="Output 4 2 4 3" xfId="43100"/>
    <cellStyle name="Output 4 2 5" xfId="43101"/>
    <cellStyle name="Output 4 3" xfId="43102"/>
    <cellStyle name="Output 4 3 2" xfId="43103"/>
    <cellStyle name="Output 4 3 2 2" xfId="43104"/>
    <cellStyle name="Output 4 3 2 2 2" xfId="43105"/>
    <cellStyle name="Output 4 3 2 3" xfId="43106"/>
    <cellStyle name="Output 4 3 2 3 2" xfId="43107"/>
    <cellStyle name="Output 4 3 2 3 2 2" xfId="43108"/>
    <cellStyle name="Output 4 3 2 3 3" xfId="43109"/>
    <cellStyle name="Output 4 3 2 4" xfId="43110"/>
    <cellStyle name="Output 4 3 3" xfId="43111"/>
    <cellStyle name="Output 4 3 3 2" xfId="43112"/>
    <cellStyle name="Output 4 3 3 2 2" xfId="43113"/>
    <cellStyle name="Output 4 3 3 3" xfId="43114"/>
    <cellStyle name="Output 4 3 4" xfId="43115"/>
    <cellStyle name="Output 4 3 4 2" xfId="43116"/>
    <cellStyle name="Output 4 3 4 2 2" xfId="43117"/>
    <cellStyle name="Output 4 3 4 3" xfId="43118"/>
    <cellStyle name="Output 4 3 5" xfId="43119"/>
    <cellStyle name="Output 4 3 5 2" xfId="43120"/>
    <cellStyle name="Output 4 3 5 2 2" xfId="43121"/>
    <cellStyle name="Output 4 3 5 3" xfId="43122"/>
    <cellStyle name="Output 4 3 6" xfId="43123"/>
    <cellStyle name="Output 4 4" xfId="43124"/>
    <cellStyle name="Output 4 4 2" xfId="43125"/>
    <cellStyle name="Output 4 4 2 2" xfId="43126"/>
    <cellStyle name="Output 4 4 3" xfId="43127"/>
    <cellStyle name="Output 4 5" xfId="43128"/>
    <cellStyle name="Output 4 5 2" xfId="43129"/>
    <cellStyle name="Output 4 5 2 2" xfId="43130"/>
    <cellStyle name="Output 4 5 3" xfId="43131"/>
    <cellStyle name="Output 4 6" xfId="43132"/>
    <cellStyle name="Output 4 6 2" xfId="43133"/>
    <cellStyle name="Output 4 6 2 2" xfId="43134"/>
    <cellStyle name="Output 4 6 3" xfId="43135"/>
    <cellStyle name="Output 4 7" xfId="43136"/>
    <cellStyle name="Output 5" xfId="43137"/>
    <cellStyle name="Output 5 2" xfId="43138"/>
    <cellStyle name="Output 5 2 2" xfId="43139"/>
    <cellStyle name="Output 5 2 2 2" xfId="43140"/>
    <cellStyle name="Output 5 2 2 2 2" xfId="43141"/>
    <cellStyle name="Output 5 2 2 3" xfId="43142"/>
    <cellStyle name="Output 5 2 3" xfId="43143"/>
    <cellStyle name="Output 5 2 3 2" xfId="43144"/>
    <cellStyle name="Output 5 2 3 2 2" xfId="43145"/>
    <cellStyle name="Output 5 2 3 3" xfId="43146"/>
    <cellStyle name="Output 5 2 4" xfId="43147"/>
    <cellStyle name="Output 5 2 4 2" xfId="43148"/>
    <cellStyle name="Output 5 2 4 2 2" xfId="43149"/>
    <cellStyle name="Output 5 2 4 3" xfId="43150"/>
    <cellStyle name="Output 5 2 5" xfId="43151"/>
    <cellStyle name="Output 5 2 5 2" xfId="43152"/>
    <cellStyle name="Output 5 2 6" xfId="43153"/>
    <cellStyle name="Output 5 3" xfId="43154"/>
    <cellStyle name="Output 5 3 2" xfId="43155"/>
    <cellStyle name="Output 5 3 2 2" xfId="43156"/>
    <cellStyle name="Output 5 3 2 2 2" xfId="43157"/>
    <cellStyle name="Output 5 3 2 2 2 2" xfId="43158"/>
    <cellStyle name="Output 5 3 2 2 3" xfId="43159"/>
    <cellStyle name="Output 5 3 2 3" xfId="43160"/>
    <cellStyle name="Output 5 3 2 3 2" xfId="43161"/>
    <cellStyle name="Output 5 3 2 3 2 2" xfId="43162"/>
    <cellStyle name="Output 5 3 2 3 3" xfId="43163"/>
    <cellStyle name="Output 5 3 2 4" xfId="43164"/>
    <cellStyle name="Output 5 3 2 4 2" xfId="43165"/>
    <cellStyle name="Output 5 3 2 5" xfId="43166"/>
    <cellStyle name="Output 5 3 3" xfId="43167"/>
    <cellStyle name="Output 5 3 3 2" xfId="43168"/>
    <cellStyle name="Output 5 3 3 2 2" xfId="43169"/>
    <cellStyle name="Output 5 3 3 2 2 2" xfId="43170"/>
    <cellStyle name="Output 5 3 3 2 3" xfId="43171"/>
    <cellStyle name="Output 5 3 3 3" xfId="43172"/>
    <cellStyle name="Output 5 3 3 3 2" xfId="43173"/>
    <cellStyle name="Output 5 3 3 4" xfId="43174"/>
    <cellStyle name="Output 5 3 4" xfId="43175"/>
    <cellStyle name="Output 5 3 4 2" xfId="43176"/>
    <cellStyle name="Output 5 3 4 2 2" xfId="43177"/>
    <cellStyle name="Output 5 3 4 3" xfId="43178"/>
    <cellStyle name="Output 5 3 5" xfId="43179"/>
    <cellStyle name="Output 5 3 5 2" xfId="43180"/>
    <cellStyle name="Output 5 3 5 2 2" xfId="43181"/>
    <cellStyle name="Output 5 3 5 3" xfId="43182"/>
    <cellStyle name="Output 5 3 6" xfId="43183"/>
    <cellStyle name="Output 5 3 6 2" xfId="43184"/>
    <cellStyle name="Output 5 3 7" xfId="43185"/>
    <cellStyle name="Output 5 4" xfId="43186"/>
    <cellStyle name="Output 5 4 2" xfId="43187"/>
    <cellStyle name="Output 5 4 2 2" xfId="43188"/>
    <cellStyle name="Output 5 4 2 2 2" xfId="43189"/>
    <cellStyle name="Output 5 4 2 3" xfId="43190"/>
    <cellStyle name="Output 5 4 3" xfId="43191"/>
    <cellStyle name="Output 5 4 3 2" xfId="43192"/>
    <cellStyle name="Output 5 4 4" xfId="43193"/>
    <cellStyle name="Output 5 5" xfId="43194"/>
    <cellStyle name="Output 5 5 2" xfId="43195"/>
    <cellStyle name="Output 5 5 2 2" xfId="43196"/>
    <cellStyle name="Output 5 5 3" xfId="43197"/>
    <cellStyle name="Output 5 6" xfId="43198"/>
    <cellStyle name="Output 5 6 2" xfId="43199"/>
    <cellStyle name="Output 5 6 2 2" xfId="43200"/>
    <cellStyle name="Output 5 6 3" xfId="43201"/>
    <cellStyle name="Output 5 7" xfId="43202"/>
    <cellStyle name="Output 5 7 2" xfId="43203"/>
    <cellStyle name="Output 5 8" xfId="43204"/>
    <cellStyle name="Output 6" xfId="43205"/>
    <cellStyle name="Output 6 2" xfId="43206"/>
    <cellStyle name="Output 6 2 2" xfId="43207"/>
    <cellStyle name="Output 6 2 2 2" xfId="43208"/>
    <cellStyle name="Output 6 2 2 2 2" xfId="43209"/>
    <cellStyle name="Output 6 2 2 3" xfId="43210"/>
    <cellStyle name="Output 6 2 3" xfId="43211"/>
    <cellStyle name="Output 6 2 3 2" xfId="43212"/>
    <cellStyle name="Output 6 2 3 2 2" xfId="43213"/>
    <cellStyle name="Output 6 2 3 3" xfId="43214"/>
    <cellStyle name="Output 6 2 4" xfId="43215"/>
    <cellStyle name="Output 6 2 4 2" xfId="43216"/>
    <cellStyle name="Output 6 2 4 2 2" xfId="43217"/>
    <cellStyle name="Output 6 2 4 3" xfId="43218"/>
    <cellStyle name="Output 6 2 5" xfId="43219"/>
    <cellStyle name="Output 6 2 5 2" xfId="43220"/>
    <cellStyle name="Output 6 2 6" xfId="43221"/>
    <cellStyle name="Output 6 3" xfId="43222"/>
    <cellStyle name="Output 6 3 2" xfId="43223"/>
    <cellStyle name="Output 6 3 2 2" xfId="43224"/>
    <cellStyle name="Output 6 3 2 2 2" xfId="43225"/>
    <cellStyle name="Output 6 3 2 3" xfId="43226"/>
    <cellStyle name="Output 6 3 3" xfId="43227"/>
    <cellStyle name="Output 6 3 3 2" xfId="43228"/>
    <cellStyle name="Output 6 3 4" xfId="43229"/>
    <cellStyle name="Output 6 4" xfId="43230"/>
    <cellStyle name="Output 6 4 2" xfId="43231"/>
    <cellStyle name="Output 6 4 2 2" xfId="43232"/>
    <cellStyle name="Output 6 4 3" xfId="43233"/>
    <cellStyle name="Output 6 5" xfId="43234"/>
    <cellStyle name="Output 6 5 2" xfId="43235"/>
    <cellStyle name="Output 6 5 2 2" xfId="43236"/>
    <cellStyle name="Output 6 5 3" xfId="43237"/>
    <cellStyle name="Output 6 6" xfId="43238"/>
    <cellStyle name="Output 6 6 2" xfId="43239"/>
    <cellStyle name="Output 6 7" xfId="43240"/>
    <cellStyle name="Output 7" xfId="43241"/>
    <cellStyle name="Output 7 2" xfId="43242"/>
    <cellStyle name="Output 8" xfId="43243"/>
    <cellStyle name="Output 8 2" xfId="43244"/>
    <cellStyle name="Output 9" xfId="43245"/>
    <cellStyle name="pct2" xfId="43246"/>
    <cellStyle name="pct2 2" xfId="43247"/>
    <cellStyle name="pct2 3" xfId="43248"/>
    <cellStyle name="pct2 3 2" xfId="43249"/>
    <cellStyle name="pct2 3 2 2" xfId="43250"/>
    <cellStyle name="pct2 3 3" xfId="43251"/>
    <cellStyle name="pct2 4" xfId="43252"/>
    <cellStyle name="pct2 4 2" xfId="43253"/>
    <cellStyle name="pct2 4 2 2" xfId="43254"/>
    <cellStyle name="pct2 4 3" xfId="43255"/>
    <cellStyle name="PctNoZero" xfId="43256"/>
    <cellStyle name="PctNoZero 2" xfId="43257"/>
    <cellStyle name="PctNoZero 3" xfId="43258"/>
    <cellStyle name="PctNoZero 3 2" xfId="43259"/>
    <cellStyle name="PctNoZero 3 2 2" xfId="43260"/>
    <cellStyle name="PctNoZero 3 3" xfId="43261"/>
    <cellStyle name="PctNoZero 4" xfId="43262"/>
    <cellStyle name="PctNoZero 4 2" xfId="43263"/>
    <cellStyle name="PctNoZero 4 2 2" xfId="43264"/>
    <cellStyle name="PctNoZero 4 3" xfId="43265"/>
    <cellStyle name="per.style" xfId="43266"/>
    <cellStyle name="per.style 2" xfId="43267"/>
    <cellStyle name="per.style 2 2" xfId="43268"/>
    <cellStyle name="per.style 2 3" xfId="43269"/>
    <cellStyle name="per.style 2 3 2" xfId="43270"/>
    <cellStyle name="per.style 2 3 2 2" xfId="43271"/>
    <cellStyle name="per.style 2 3 3" xfId="43272"/>
    <cellStyle name="per.style 2 4" xfId="43273"/>
    <cellStyle name="per.style 2 4 2" xfId="43274"/>
    <cellStyle name="per.style 2 4 2 2" xfId="43275"/>
    <cellStyle name="per.style 2 4 3" xfId="43276"/>
    <cellStyle name="per.style 3" xfId="43277"/>
    <cellStyle name="per.style 4" xfId="43278"/>
    <cellStyle name="per.style 4 2" xfId="43279"/>
    <cellStyle name="per.style 4 2 2" xfId="43280"/>
    <cellStyle name="per.style 4 3" xfId="43281"/>
    <cellStyle name="per.style 5" xfId="43282"/>
    <cellStyle name="per.style 5 2" xfId="43283"/>
    <cellStyle name="per.style 5 2 2" xfId="43284"/>
    <cellStyle name="per.style 5 3" xfId="43285"/>
    <cellStyle name="Percent" xfId="37" builtinId="5"/>
    <cellStyle name="Percent (0.0%)" xfId="43286"/>
    <cellStyle name="Percent (0.0%) 2" xfId="43287"/>
    <cellStyle name="Percent (0.0%) 3" xfId="43288"/>
    <cellStyle name="Percent (0.0%) 3 2" xfId="43289"/>
    <cellStyle name="Percent (0.0%) 3 2 2" xfId="43290"/>
    <cellStyle name="Percent (0.0%) 3 3" xfId="43291"/>
    <cellStyle name="Percent (0.0%) 4" xfId="43292"/>
    <cellStyle name="Percent (0.0%) 4 2" xfId="43293"/>
    <cellStyle name="Percent (0.0%) 4 2 2" xfId="43294"/>
    <cellStyle name="Percent (0.0%) 4 3" xfId="43295"/>
    <cellStyle name="Percent [2]" xfId="43296"/>
    <cellStyle name="Percent [2] 2" xfId="43297"/>
    <cellStyle name="Percent [2] 2 2" xfId="43298"/>
    <cellStyle name="Percent [2] 2 3" xfId="43299"/>
    <cellStyle name="Percent [2] 2 3 2" xfId="43300"/>
    <cellStyle name="Percent [2] 2 3 2 2" xfId="43301"/>
    <cellStyle name="Percent [2] 2 3 3" xfId="43302"/>
    <cellStyle name="Percent [2] 2 4" xfId="43303"/>
    <cellStyle name="Percent [2] 2 4 2" xfId="43304"/>
    <cellStyle name="Percent [2] 2 4 2 2" xfId="43305"/>
    <cellStyle name="Percent [2] 2 4 3" xfId="43306"/>
    <cellStyle name="Percent [2] 3" xfId="43307"/>
    <cellStyle name="Percent [2] 4" xfId="43308"/>
    <cellStyle name="Percent [2] 4 2" xfId="43309"/>
    <cellStyle name="Percent [2] 4 2 2" xfId="43310"/>
    <cellStyle name="Percent [2] 4 3" xfId="43311"/>
    <cellStyle name="Percent [2] 5" xfId="43312"/>
    <cellStyle name="Percent [2] 5 2" xfId="43313"/>
    <cellStyle name="Percent [2] 5 2 2" xfId="43314"/>
    <cellStyle name="Percent [2] 5 3" xfId="43315"/>
    <cellStyle name="Percent 10" xfId="43316"/>
    <cellStyle name="Percent 10 2" xfId="43317"/>
    <cellStyle name="Percent 10 3" xfId="43318"/>
    <cellStyle name="Percent 10 3 2" xfId="43319"/>
    <cellStyle name="Percent 10 3 2 2" xfId="43320"/>
    <cellStyle name="Percent 10 3 3" xfId="43321"/>
    <cellStyle name="Percent 10 4" xfId="43322"/>
    <cellStyle name="Percent 10 4 2" xfId="43323"/>
    <cellStyle name="Percent 10 4 2 2" xfId="43324"/>
    <cellStyle name="Percent 10 4 3" xfId="43325"/>
    <cellStyle name="Percent 100" xfId="43326"/>
    <cellStyle name="Percent 100 2" xfId="43327"/>
    <cellStyle name="Percent 100 3" xfId="43328"/>
    <cellStyle name="Percent 100 3 2" xfId="43329"/>
    <cellStyle name="Percent 100 3 2 2" xfId="43330"/>
    <cellStyle name="Percent 100 3 3" xfId="43331"/>
    <cellStyle name="Percent 100 4" xfId="43332"/>
    <cellStyle name="Percent 100 4 2" xfId="43333"/>
    <cellStyle name="Percent 100 4 2 2" xfId="43334"/>
    <cellStyle name="Percent 100 4 3" xfId="43335"/>
    <cellStyle name="Percent 101" xfId="43336"/>
    <cellStyle name="Percent 101 2" xfId="43337"/>
    <cellStyle name="Percent 101 3" xfId="43338"/>
    <cellStyle name="Percent 101 3 2" xfId="43339"/>
    <cellStyle name="Percent 101 3 2 2" xfId="43340"/>
    <cellStyle name="Percent 101 3 3" xfId="43341"/>
    <cellStyle name="Percent 101 4" xfId="43342"/>
    <cellStyle name="Percent 101 4 2" xfId="43343"/>
    <cellStyle name="Percent 101 4 2 2" xfId="43344"/>
    <cellStyle name="Percent 101 4 3" xfId="43345"/>
    <cellStyle name="Percent 102" xfId="43346"/>
    <cellStyle name="Percent 102 2" xfId="43347"/>
    <cellStyle name="Percent 102 3" xfId="43348"/>
    <cellStyle name="Percent 102 3 2" xfId="43349"/>
    <cellStyle name="Percent 102 3 2 2" xfId="43350"/>
    <cellStyle name="Percent 102 3 3" xfId="43351"/>
    <cellStyle name="Percent 102 4" xfId="43352"/>
    <cellStyle name="Percent 102 4 2" xfId="43353"/>
    <cellStyle name="Percent 102 4 2 2" xfId="43354"/>
    <cellStyle name="Percent 102 4 3" xfId="43355"/>
    <cellStyle name="Percent 103" xfId="43356"/>
    <cellStyle name="Percent 103 2" xfId="43357"/>
    <cellStyle name="Percent 103 3" xfId="43358"/>
    <cellStyle name="Percent 103 3 2" xfId="43359"/>
    <cellStyle name="Percent 103 3 2 2" xfId="43360"/>
    <cellStyle name="Percent 103 3 3" xfId="43361"/>
    <cellStyle name="Percent 103 4" xfId="43362"/>
    <cellStyle name="Percent 103 4 2" xfId="43363"/>
    <cellStyle name="Percent 103 4 2 2" xfId="43364"/>
    <cellStyle name="Percent 103 4 3" xfId="43365"/>
    <cellStyle name="Percent 104" xfId="43366"/>
    <cellStyle name="Percent 104 2" xfId="43367"/>
    <cellStyle name="Percent 104 3" xfId="43368"/>
    <cellStyle name="Percent 104 3 2" xfId="43369"/>
    <cellStyle name="Percent 104 3 2 2" xfId="43370"/>
    <cellStyle name="Percent 104 3 3" xfId="43371"/>
    <cellStyle name="Percent 104 4" xfId="43372"/>
    <cellStyle name="Percent 104 4 2" xfId="43373"/>
    <cellStyle name="Percent 104 4 2 2" xfId="43374"/>
    <cellStyle name="Percent 104 4 3" xfId="43375"/>
    <cellStyle name="Percent 105" xfId="43376"/>
    <cellStyle name="Percent 105 2" xfId="43377"/>
    <cellStyle name="Percent 105 3" xfId="43378"/>
    <cellStyle name="Percent 105 3 2" xfId="43379"/>
    <cellStyle name="Percent 105 3 2 2" xfId="43380"/>
    <cellStyle name="Percent 105 3 3" xfId="43381"/>
    <cellStyle name="Percent 105 4" xfId="43382"/>
    <cellStyle name="Percent 105 4 2" xfId="43383"/>
    <cellStyle name="Percent 105 4 2 2" xfId="43384"/>
    <cellStyle name="Percent 105 4 3" xfId="43385"/>
    <cellStyle name="Percent 106" xfId="43386"/>
    <cellStyle name="Percent 106 2" xfId="43387"/>
    <cellStyle name="Percent 106 3" xfId="43388"/>
    <cellStyle name="Percent 106 3 2" xfId="43389"/>
    <cellStyle name="Percent 106 3 2 2" xfId="43390"/>
    <cellStyle name="Percent 106 3 3" xfId="43391"/>
    <cellStyle name="Percent 106 4" xfId="43392"/>
    <cellStyle name="Percent 106 4 2" xfId="43393"/>
    <cellStyle name="Percent 106 4 2 2" xfId="43394"/>
    <cellStyle name="Percent 106 4 3" xfId="43395"/>
    <cellStyle name="Percent 107" xfId="43396"/>
    <cellStyle name="Percent 107 2" xfId="43397"/>
    <cellStyle name="Percent 107 3" xfId="43398"/>
    <cellStyle name="Percent 107 3 2" xfId="43399"/>
    <cellStyle name="Percent 107 3 2 2" xfId="43400"/>
    <cellStyle name="Percent 107 3 3" xfId="43401"/>
    <cellStyle name="Percent 108" xfId="43402"/>
    <cellStyle name="Percent 108 2" xfId="43403"/>
    <cellStyle name="Percent 108 3" xfId="43404"/>
    <cellStyle name="Percent 108 3 2" xfId="43405"/>
    <cellStyle name="Percent 108 3 2 2" xfId="43406"/>
    <cellStyle name="Percent 108 3 3" xfId="43407"/>
    <cellStyle name="Percent 109" xfId="43408"/>
    <cellStyle name="Percent 109 2" xfId="43409"/>
    <cellStyle name="Percent 109 3" xfId="43410"/>
    <cellStyle name="Percent 109 3 2" xfId="43411"/>
    <cellStyle name="Percent 109 3 2 2" xfId="43412"/>
    <cellStyle name="Percent 109 3 3" xfId="43413"/>
    <cellStyle name="Percent 11" xfId="43414"/>
    <cellStyle name="Percent 11 2" xfId="43415"/>
    <cellStyle name="Percent 11 3" xfId="43416"/>
    <cellStyle name="Percent 11 3 2" xfId="43417"/>
    <cellStyle name="Percent 11 3 2 2" xfId="43418"/>
    <cellStyle name="Percent 11 3 3" xfId="43419"/>
    <cellStyle name="Percent 11 4" xfId="43420"/>
    <cellStyle name="Percent 11 4 2" xfId="43421"/>
    <cellStyle name="Percent 11 4 2 2" xfId="43422"/>
    <cellStyle name="Percent 11 4 3" xfId="43423"/>
    <cellStyle name="Percent 110" xfId="43424"/>
    <cellStyle name="Percent 111" xfId="43425"/>
    <cellStyle name="Percent 112" xfId="43426"/>
    <cellStyle name="Percent 113" xfId="43427"/>
    <cellStyle name="Percent 114" xfId="43428"/>
    <cellStyle name="Percent 115" xfId="43429"/>
    <cellStyle name="Percent 116" xfId="43430"/>
    <cellStyle name="Percent 117" xfId="43431"/>
    <cellStyle name="Percent 118" xfId="43432"/>
    <cellStyle name="Percent 119" xfId="43433"/>
    <cellStyle name="Percent 12" xfId="43434"/>
    <cellStyle name="Percent 12 2" xfId="43435"/>
    <cellStyle name="Percent 12 3" xfId="43436"/>
    <cellStyle name="Percent 12 3 2" xfId="43437"/>
    <cellStyle name="Percent 12 3 2 2" xfId="43438"/>
    <cellStyle name="Percent 12 3 3" xfId="43439"/>
    <cellStyle name="Percent 12 4" xfId="43440"/>
    <cellStyle name="Percent 12 4 2" xfId="43441"/>
    <cellStyle name="Percent 12 4 2 2" xfId="43442"/>
    <cellStyle name="Percent 12 4 3" xfId="43443"/>
    <cellStyle name="Percent 120" xfId="43444"/>
    <cellStyle name="Percent 121" xfId="43445"/>
    <cellStyle name="Percent 122" xfId="43446"/>
    <cellStyle name="Percent 123" xfId="43447"/>
    <cellStyle name="Percent 124" xfId="43448"/>
    <cellStyle name="Percent 125" xfId="43449"/>
    <cellStyle name="Percent 126" xfId="43450"/>
    <cellStyle name="Percent 127" xfId="43451"/>
    <cellStyle name="Percent 128" xfId="43452"/>
    <cellStyle name="Percent 129" xfId="43453"/>
    <cellStyle name="Percent 13" xfId="43454"/>
    <cellStyle name="Percent 13 2" xfId="43455"/>
    <cellStyle name="Percent 13 3" xfId="43456"/>
    <cellStyle name="Percent 13 3 2" xfId="43457"/>
    <cellStyle name="Percent 13 3 2 2" xfId="43458"/>
    <cellStyle name="Percent 13 3 3" xfId="43459"/>
    <cellStyle name="Percent 13 4" xfId="43460"/>
    <cellStyle name="Percent 13 4 2" xfId="43461"/>
    <cellStyle name="Percent 13 4 2 2" xfId="43462"/>
    <cellStyle name="Percent 13 4 3" xfId="43463"/>
    <cellStyle name="Percent 130" xfId="43464"/>
    <cellStyle name="Percent 131" xfId="43465"/>
    <cellStyle name="Percent 132" xfId="43466"/>
    <cellStyle name="Percent 133" xfId="43467"/>
    <cellStyle name="Percent 134" xfId="43468"/>
    <cellStyle name="Percent 135" xfId="43469"/>
    <cellStyle name="Percent 136" xfId="43470"/>
    <cellStyle name="Percent 137" xfId="43471"/>
    <cellStyle name="Percent 138" xfId="43472"/>
    <cellStyle name="Percent 139" xfId="43473"/>
    <cellStyle name="Percent 14" xfId="43474"/>
    <cellStyle name="Percent 14 2" xfId="43475"/>
    <cellStyle name="Percent 14 3" xfId="43476"/>
    <cellStyle name="Percent 14 3 2" xfId="43477"/>
    <cellStyle name="Percent 14 3 2 2" xfId="43478"/>
    <cellStyle name="Percent 14 3 3" xfId="43479"/>
    <cellStyle name="Percent 14 4" xfId="43480"/>
    <cellStyle name="Percent 14 4 2" xfId="43481"/>
    <cellStyle name="Percent 14 4 2 2" xfId="43482"/>
    <cellStyle name="Percent 14 4 3" xfId="43483"/>
    <cellStyle name="Percent 140" xfId="43484"/>
    <cellStyle name="Percent 141" xfId="43485"/>
    <cellStyle name="Percent 142" xfId="43486"/>
    <cellStyle name="Percent 143" xfId="43487"/>
    <cellStyle name="Percent 144" xfId="43488"/>
    <cellStyle name="Percent 145" xfId="43489"/>
    <cellStyle name="Percent 146" xfId="43490"/>
    <cellStyle name="Percent 147" xfId="43491"/>
    <cellStyle name="Percent 148" xfId="43492"/>
    <cellStyle name="Percent 149" xfId="43493"/>
    <cellStyle name="Percent 15" xfId="43494"/>
    <cellStyle name="Percent 15 2" xfId="43495"/>
    <cellStyle name="Percent 15 3" xfId="43496"/>
    <cellStyle name="Percent 15 3 2" xfId="43497"/>
    <cellStyle name="Percent 15 3 2 2" xfId="43498"/>
    <cellStyle name="Percent 15 3 3" xfId="43499"/>
    <cellStyle name="Percent 15 4" xfId="43500"/>
    <cellStyle name="Percent 15 4 2" xfId="43501"/>
    <cellStyle name="Percent 15 4 2 2" xfId="43502"/>
    <cellStyle name="Percent 15 4 3" xfId="43503"/>
    <cellStyle name="Percent 150" xfId="669"/>
    <cellStyle name="Percent 151" xfId="53872"/>
    <cellStyle name="Percent 152" xfId="53876"/>
    <cellStyle name="Percent 153" xfId="53879"/>
    <cellStyle name="Percent 154" xfId="53882"/>
    <cellStyle name="Percent 155" xfId="53885"/>
    <cellStyle name="Percent 16" xfId="43504"/>
    <cellStyle name="Percent 16 2" xfId="43505"/>
    <cellStyle name="Percent 16 3" xfId="43506"/>
    <cellStyle name="Percent 16 3 2" xfId="43507"/>
    <cellStyle name="Percent 16 3 2 2" xfId="43508"/>
    <cellStyle name="Percent 16 3 3" xfId="43509"/>
    <cellStyle name="Percent 16 4" xfId="43510"/>
    <cellStyle name="Percent 16 4 2" xfId="43511"/>
    <cellStyle name="Percent 16 4 2 2" xfId="43512"/>
    <cellStyle name="Percent 16 4 3" xfId="43513"/>
    <cellStyle name="Percent 17" xfId="43514"/>
    <cellStyle name="Percent 17 2" xfId="43515"/>
    <cellStyle name="Percent 17 3" xfId="43516"/>
    <cellStyle name="Percent 17 3 2" xfId="43517"/>
    <cellStyle name="Percent 17 3 2 2" xfId="43518"/>
    <cellStyle name="Percent 17 3 3" xfId="43519"/>
    <cellStyle name="Percent 17 4" xfId="43520"/>
    <cellStyle name="Percent 17 4 2" xfId="43521"/>
    <cellStyle name="Percent 17 4 2 2" xfId="43522"/>
    <cellStyle name="Percent 17 4 3" xfId="43523"/>
    <cellStyle name="Percent 18" xfId="43524"/>
    <cellStyle name="Percent 18 2" xfId="43525"/>
    <cellStyle name="Percent 18 3" xfId="43526"/>
    <cellStyle name="Percent 18 3 2" xfId="43527"/>
    <cellStyle name="Percent 18 3 2 2" xfId="43528"/>
    <cellStyle name="Percent 18 3 3" xfId="43529"/>
    <cellStyle name="Percent 18 4" xfId="43530"/>
    <cellStyle name="Percent 18 4 2" xfId="43531"/>
    <cellStyle name="Percent 18 4 2 2" xfId="43532"/>
    <cellStyle name="Percent 18 4 3" xfId="43533"/>
    <cellStyle name="Percent 19" xfId="43534"/>
    <cellStyle name="Percent 19 2" xfId="43535"/>
    <cellStyle name="Percent 19 3" xfId="43536"/>
    <cellStyle name="Percent 19 3 2" xfId="43537"/>
    <cellStyle name="Percent 19 3 2 2" xfId="43538"/>
    <cellStyle name="Percent 19 3 3" xfId="43539"/>
    <cellStyle name="Percent 19 4" xfId="43540"/>
    <cellStyle name="Percent 19 4 2" xfId="43541"/>
    <cellStyle name="Percent 19 4 2 2" xfId="43542"/>
    <cellStyle name="Percent 19 4 3" xfId="43543"/>
    <cellStyle name="Percent 2" xfId="38"/>
    <cellStyle name="Percent 2 2" xfId="43545"/>
    <cellStyle name="Percent 2 2 2" xfId="43546"/>
    <cellStyle name="Percent 2 2 3" xfId="43547"/>
    <cellStyle name="Percent 2 2 3 2" xfId="43548"/>
    <cellStyle name="Percent 2 2 3 2 2" xfId="43549"/>
    <cellStyle name="Percent 2 2 3 3" xfId="43550"/>
    <cellStyle name="Percent 2 2 4" xfId="43551"/>
    <cellStyle name="Percent 2 2 4 2" xfId="43552"/>
    <cellStyle name="Percent 2 2 4 2 2" xfId="43553"/>
    <cellStyle name="Percent 2 2 4 3" xfId="43554"/>
    <cellStyle name="Percent 2 3" xfId="43555"/>
    <cellStyle name="Percent 2 4" xfId="43556"/>
    <cellStyle name="Percent 2 4 2" xfId="43557"/>
    <cellStyle name="Percent 2 4 2 2" xfId="43558"/>
    <cellStyle name="Percent 2 4 3" xfId="43559"/>
    <cellStyle name="Percent 2 5" xfId="43560"/>
    <cellStyle name="Percent 2 5 2" xfId="43561"/>
    <cellStyle name="Percent 2 5 2 2" xfId="43562"/>
    <cellStyle name="Percent 2 5 3" xfId="43563"/>
    <cellStyle name="Percent 2 6" xfId="43544"/>
    <cellStyle name="Percent 20" xfId="43564"/>
    <cellStyle name="Percent 20 2" xfId="43565"/>
    <cellStyle name="Percent 20 3" xfId="43566"/>
    <cellStyle name="Percent 20 3 2" xfId="43567"/>
    <cellStyle name="Percent 20 3 2 2" xfId="43568"/>
    <cellStyle name="Percent 20 3 3" xfId="43569"/>
    <cellStyle name="Percent 20 4" xfId="43570"/>
    <cellStyle name="Percent 20 4 2" xfId="43571"/>
    <cellStyle name="Percent 20 4 2 2" xfId="43572"/>
    <cellStyle name="Percent 20 4 3" xfId="43573"/>
    <cellStyle name="Percent 21" xfId="43574"/>
    <cellStyle name="Percent 21 2" xfId="43575"/>
    <cellStyle name="Percent 21 3" xfId="43576"/>
    <cellStyle name="Percent 21 3 2" xfId="43577"/>
    <cellStyle name="Percent 21 3 2 2" xfId="43578"/>
    <cellStyle name="Percent 21 3 3" xfId="43579"/>
    <cellStyle name="Percent 21 4" xfId="43580"/>
    <cellStyle name="Percent 21 4 2" xfId="43581"/>
    <cellStyle name="Percent 21 4 2 2" xfId="43582"/>
    <cellStyle name="Percent 21 4 3" xfId="43583"/>
    <cellStyle name="Percent 22" xfId="43584"/>
    <cellStyle name="Percent 22 2" xfId="43585"/>
    <cellStyle name="Percent 22 3" xfId="43586"/>
    <cellStyle name="Percent 22 3 2" xfId="43587"/>
    <cellStyle name="Percent 22 3 2 2" xfId="43588"/>
    <cellStyle name="Percent 22 3 3" xfId="43589"/>
    <cellStyle name="Percent 22 4" xfId="43590"/>
    <cellStyle name="Percent 22 4 2" xfId="43591"/>
    <cellStyle name="Percent 22 4 2 2" xfId="43592"/>
    <cellStyle name="Percent 22 4 3" xfId="43593"/>
    <cellStyle name="Percent 23" xfId="43594"/>
    <cellStyle name="Percent 23 2" xfId="43595"/>
    <cellStyle name="Percent 23 3" xfId="43596"/>
    <cellStyle name="Percent 23 3 2" xfId="43597"/>
    <cellStyle name="Percent 23 3 2 2" xfId="43598"/>
    <cellStyle name="Percent 23 3 3" xfId="43599"/>
    <cellStyle name="Percent 23 4" xfId="43600"/>
    <cellStyle name="Percent 23 4 2" xfId="43601"/>
    <cellStyle name="Percent 23 4 2 2" xfId="43602"/>
    <cellStyle name="Percent 23 4 3" xfId="43603"/>
    <cellStyle name="Percent 24" xfId="43604"/>
    <cellStyle name="Percent 24 2" xfId="43605"/>
    <cellStyle name="Percent 24 3" xfId="43606"/>
    <cellStyle name="Percent 24 3 2" xfId="43607"/>
    <cellStyle name="Percent 24 3 2 2" xfId="43608"/>
    <cellStyle name="Percent 24 3 3" xfId="43609"/>
    <cellStyle name="Percent 24 4" xfId="43610"/>
    <cellStyle name="Percent 24 4 2" xfId="43611"/>
    <cellStyle name="Percent 24 4 2 2" xfId="43612"/>
    <cellStyle name="Percent 24 4 3" xfId="43613"/>
    <cellStyle name="Percent 25" xfId="43614"/>
    <cellStyle name="Percent 25 2" xfId="43615"/>
    <cellStyle name="Percent 25 3" xfId="43616"/>
    <cellStyle name="Percent 25 3 2" xfId="43617"/>
    <cellStyle name="Percent 25 3 2 2" xfId="43618"/>
    <cellStyle name="Percent 25 3 3" xfId="43619"/>
    <cellStyle name="Percent 25 4" xfId="43620"/>
    <cellStyle name="Percent 25 4 2" xfId="43621"/>
    <cellStyle name="Percent 25 4 2 2" xfId="43622"/>
    <cellStyle name="Percent 25 4 3" xfId="43623"/>
    <cellStyle name="Percent 26" xfId="43624"/>
    <cellStyle name="Percent 26 2" xfId="43625"/>
    <cellStyle name="Percent 26 3" xfId="43626"/>
    <cellStyle name="Percent 26 3 2" xfId="43627"/>
    <cellStyle name="Percent 26 3 2 2" xfId="43628"/>
    <cellStyle name="Percent 26 3 3" xfId="43629"/>
    <cellStyle name="Percent 26 4" xfId="43630"/>
    <cellStyle name="Percent 26 4 2" xfId="43631"/>
    <cellStyle name="Percent 26 4 2 2" xfId="43632"/>
    <cellStyle name="Percent 26 4 3" xfId="43633"/>
    <cellStyle name="Percent 27" xfId="43634"/>
    <cellStyle name="Percent 27 2" xfId="43635"/>
    <cellStyle name="Percent 27 3" xfId="43636"/>
    <cellStyle name="Percent 27 3 2" xfId="43637"/>
    <cellStyle name="Percent 27 3 2 2" xfId="43638"/>
    <cellStyle name="Percent 27 3 3" xfId="43639"/>
    <cellStyle name="Percent 27 4" xfId="43640"/>
    <cellStyle name="Percent 27 4 2" xfId="43641"/>
    <cellStyle name="Percent 27 4 2 2" xfId="43642"/>
    <cellStyle name="Percent 27 4 3" xfId="43643"/>
    <cellStyle name="Percent 28" xfId="43644"/>
    <cellStyle name="Percent 28 2" xfId="43645"/>
    <cellStyle name="Percent 28 3" xfId="43646"/>
    <cellStyle name="Percent 28 3 2" xfId="43647"/>
    <cellStyle name="Percent 28 3 2 2" xfId="43648"/>
    <cellStyle name="Percent 28 3 3" xfId="43649"/>
    <cellStyle name="Percent 28 4" xfId="43650"/>
    <cellStyle name="Percent 28 4 2" xfId="43651"/>
    <cellStyle name="Percent 28 4 2 2" xfId="43652"/>
    <cellStyle name="Percent 28 4 3" xfId="43653"/>
    <cellStyle name="Percent 29" xfId="43654"/>
    <cellStyle name="Percent 29 2" xfId="43655"/>
    <cellStyle name="Percent 29 3" xfId="43656"/>
    <cellStyle name="Percent 29 3 2" xfId="43657"/>
    <cellStyle name="Percent 29 3 2 2" xfId="43658"/>
    <cellStyle name="Percent 29 3 3" xfId="43659"/>
    <cellStyle name="Percent 29 4" xfId="43660"/>
    <cellStyle name="Percent 29 4 2" xfId="43661"/>
    <cellStyle name="Percent 29 4 2 2" xfId="43662"/>
    <cellStyle name="Percent 29 4 3" xfId="43663"/>
    <cellStyle name="Percent 3" xfId="39"/>
    <cellStyle name="Percent 3 2" xfId="106"/>
    <cellStyle name="Percent 3 2 2" xfId="43665"/>
    <cellStyle name="Percent 3 2 3" xfId="43666"/>
    <cellStyle name="Percent 3 2 3 2" xfId="43667"/>
    <cellStyle name="Percent 3 2 3 2 2" xfId="43668"/>
    <cellStyle name="Percent 3 2 3 3" xfId="43669"/>
    <cellStyle name="Percent 3 2 4" xfId="43670"/>
    <cellStyle name="Percent 3 2 4 2" xfId="43671"/>
    <cellStyle name="Percent 3 2 4 2 2" xfId="43672"/>
    <cellStyle name="Percent 3 2 4 3" xfId="43673"/>
    <cellStyle name="Percent 3 3" xfId="134"/>
    <cellStyle name="Percent 3 3 2" xfId="43675"/>
    <cellStyle name="Percent 3 3 2 2" xfId="43676"/>
    <cellStyle name="Percent 3 3 3" xfId="43677"/>
    <cellStyle name="Percent 3 3 3 2" xfId="43678"/>
    <cellStyle name="Percent 3 3 3 2 2" xfId="43679"/>
    <cellStyle name="Percent 3 3 3 3" xfId="43680"/>
    <cellStyle name="Percent 3 3 4" xfId="43681"/>
    <cellStyle name="Percent 3 3 4 2" xfId="43682"/>
    <cellStyle name="Percent 3 3 4 2 2" xfId="43683"/>
    <cellStyle name="Percent 3 3 4 3" xfId="43684"/>
    <cellStyle name="Percent 3 3 5" xfId="43685"/>
    <cellStyle name="Percent 3 3 6" xfId="43674"/>
    <cellStyle name="Percent 3 4" xfId="43686"/>
    <cellStyle name="Percent 3 5" xfId="43687"/>
    <cellStyle name="Percent 3 5 2" xfId="43688"/>
    <cellStyle name="Percent 3 5 2 2" xfId="43689"/>
    <cellStyle name="Percent 3 5 3" xfId="43690"/>
    <cellStyle name="Percent 3 6" xfId="43691"/>
    <cellStyle name="Percent 3 6 2" xfId="43692"/>
    <cellStyle name="Percent 3 6 2 2" xfId="43693"/>
    <cellStyle name="Percent 3 6 3" xfId="43694"/>
    <cellStyle name="Percent 3 7" xfId="43664"/>
    <cellStyle name="Percent 30" xfId="43695"/>
    <cellStyle name="Percent 30 2" xfId="43696"/>
    <cellStyle name="Percent 30 3" xfId="43697"/>
    <cellStyle name="Percent 30 3 2" xfId="43698"/>
    <cellStyle name="Percent 30 3 2 2" xfId="43699"/>
    <cellStyle name="Percent 30 3 3" xfId="43700"/>
    <cellStyle name="Percent 30 4" xfId="43701"/>
    <cellStyle name="Percent 30 4 2" xfId="43702"/>
    <cellStyle name="Percent 30 4 2 2" xfId="43703"/>
    <cellStyle name="Percent 30 4 3" xfId="43704"/>
    <cellStyle name="Percent 31" xfId="43705"/>
    <cellStyle name="Percent 31 2" xfId="43706"/>
    <cellStyle name="Percent 31 3" xfId="43707"/>
    <cellStyle name="Percent 31 3 2" xfId="43708"/>
    <cellStyle name="Percent 31 3 2 2" xfId="43709"/>
    <cellStyle name="Percent 31 3 3" xfId="43710"/>
    <cellStyle name="Percent 31 4" xfId="43711"/>
    <cellStyle name="Percent 31 4 2" xfId="43712"/>
    <cellStyle name="Percent 31 4 2 2" xfId="43713"/>
    <cellStyle name="Percent 31 4 3" xfId="43714"/>
    <cellStyle name="Percent 32" xfId="43715"/>
    <cellStyle name="Percent 32 2" xfId="43716"/>
    <cellStyle name="Percent 32 3" xfId="43717"/>
    <cellStyle name="Percent 32 3 2" xfId="43718"/>
    <cellStyle name="Percent 32 3 2 2" xfId="43719"/>
    <cellStyle name="Percent 32 3 3" xfId="43720"/>
    <cellStyle name="Percent 32 4" xfId="43721"/>
    <cellStyle name="Percent 32 4 2" xfId="43722"/>
    <cellStyle name="Percent 32 4 2 2" xfId="43723"/>
    <cellStyle name="Percent 32 4 3" xfId="43724"/>
    <cellStyle name="Percent 33" xfId="43725"/>
    <cellStyle name="Percent 33 2" xfId="43726"/>
    <cellStyle name="Percent 33 3" xfId="43727"/>
    <cellStyle name="Percent 33 3 2" xfId="43728"/>
    <cellStyle name="Percent 33 3 2 2" xfId="43729"/>
    <cellStyle name="Percent 33 3 3" xfId="43730"/>
    <cellStyle name="Percent 33 4" xfId="43731"/>
    <cellStyle name="Percent 33 4 2" xfId="43732"/>
    <cellStyle name="Percent 33 4 2 2" xfId="43733"/>
    <cellStyle name="Percent 33 4 3" xfId="43734"/>
    <cellStyle name="Percent 34" xfId="43735"/>
    <cellStyle name="Percent 34 2" xfId="43736"/>
    <cellStyle name="Percent 34 3" xfId="43737"/>
    <cellStyle name="Percent 34 3 2" xfId="43738"/>
    <cellStyle name="Percent 34 3 2 2" xfId="43739"/>
    <cellStyle name="Percent 34 3 3" xfId="43740"/>
    <cellStyle name="Percent 34 4" xfId="43741"/>
    <cellStyle name="Percent 34 4 2" xfId="43742"/>
    <cellStyle name="Percent 34 4 2 2" xfId="43743"/>
    <cellStyle name="Percent 34 4 3" xfId="43744"/>
    <cellStyle name="Percent 35" xfId="43745"/>
    <cellStyle name="Percent 35 2" xfId="43746"/>
    <cellStyle name="Percent 35 3" xfId="43747"/>
    <cellStyle name="Percent 35 3 2" xfId="43748"/>
    <cellStyle name="Percent 35 3 2 2" xfId="43749"/>
    <cellStyle name="Percent 35 3 3" xfId="43750"/>
    <cellStyle name="Percent 35 4" xfId="43751"/>
    <cellStyle name="Percent 35 4 2" xfId="43752"/>
    <cellStyle name="Percent 35 4 2 2" xfId="43753"/>
    <cellStyle name="Percent 35 4 3" xfId="43754"/>
    <cellStyle name="Percent 36" xfId="43755"/>
    <cellStyle name="Percent 36 2" xfId="43756"/>
    <cellStyle name="Percent 36 3" xfId="43757"/>
    <cellStyle name="Percent 36 3 2" xfId="43758"/>
    <cellStyle name="Percent 36 3 2 2" xfId="43759"/>
    <cellStyle name="Percent 36 3 3" xfId="43760"/>
    <cellStyle name="Percent 36 4" xfId="43761"/>
    <cellStyle name="Percent 36 4 2" xfId="43762"/>
    <cellStyle name="Percent 36 4 2 2" xfId="43763"/>
    <cellStyle name="Percent 36 4 3" xfId="43764"/>
    <cellStyle name="Percent 37" xfId="43765"/>
    <cellStyle name="Percent 37 2" xfId="43766"/>
    <cellStyle name="Percent 37 3" xfId="43767"/>
    <cellStyle name="Percent 37 3 2" xfId="43768"/>
    <cellStyle name="Percent 37 3 2 2" xfId="43769"/>
    <cellStyle name="Percent 37 3 3" xfId="43770"/>
    <cellStyle name="Percent 37 4" xfId="43771"/>
    <cellStyle name="Percent 37 4 2" xfId="43772"/>
    <cellStyle name="Percent 37 4 2 2" xfId="43773"/>
    <cellStyle name="Percent 37 4 3" xfId="43774"/>
    <cellStyle name="Percent 38" xfId="43775"/>
    <cellStyle name="Percent 38 2" xfId="43776"/>
    <cellStyle name="Percent 38 3" xfId="43777"/>
    <cellStyle name="Percent 38 3 2" xfId="43778"/>
    <cellStyle name="Percent 38 3 2 2" xfId="43779"/>
    <cellStyle name="Percent 38 3 3" xfId="43780"/>
    <cellStyle name="Percent 38 4" xfId="43781"/>
    <cellStyle name="Percent 38 4 2" xfId="43782"/>
    <cellStyle name="Percent 38 4 2 2" xfId="43783"/>
    <cellStyle name="Percent 38 4 3" xfId="43784"/>
    <cellStyle name="Percent 39" xfId="43785"/>
    <cellStyle name="Percent 39 2" xfId="43786"/>
    <cellStyle name="Percent 39 3" xfId="43787"/>
    <cellStyle name="Percent 39 3 2" xfId="43788"/>
    <cellStyle name="Percent 39 3 2 2" xfId="43789"/>
    <cellStyle name="Percent 39 3 3" xfId="43790"/>
    <cellStyle name="Percent 39 4" xfId="43791"/>
    <cellStyle name="Percent 39 4 2" xfId="43792"/>
    <cellStyle name="Percent 39 4 2 2" xfId="43793"/>
    <cellStyle name="Percent 39 4 3" xfId="43794"/>
    <cellStyle name="Percent 4" xfId="105"/>
    <cellStyle name="Percent 4 2" xfId="43796"/>
    <cellStyle name="Percent 4 2 2" xfId="43797"/>
    <cellStyle name="Percent 4 2 3" xfId="43798"/>
    <cellStyle name="Percent 4 2 3 2" xfId="43799"/>
    <cellStyle name="Percent 4 2 3 2 2" xfId="43800"/>
    <cellStyle name="Percent 4 2 3 3" xfId="43801"/>
    <cellStyle name="Percent 4 2 4" xfId="43802"/>
    <cellStyle name="Percent 4 2 4 2" xfId="43803"/>
    <cellStyle name="Percent 4 2 4 2 2" xfId="43804"/>
    <cellStyle name="Percent 4 2 4 3" xfId="43805"/>
    <cellStyle name="Percent 4 3" xfId="43806"/>
    <cellStyle name="Percent 4 3 2" xfId="43807"/>
    <cellStyle name="Percent 4 3 3" xfId="43808"/>
    <cellStyle name="Percent 4 3 3 2" xfId="43809"/>
    <cellStyle name="Percent 4 3 3 2 2" xfId="43810"/>
    <cellStyle name="Percent 4 3 3 3" xfId="43811"/>
    <cellStyle name="Percent 4 3 4" xfId="43812"/>
    <cellStyle name="Percent 4 3 4 2" xfId="43813"/>
    <cellStyle name="Percent 4 3 4 2 2" xfId="43814"/>
    <cellStyle name="Percent 4 3 4 3" xfId="43815"/>
    <cellStyle name="Percent 4 4" xfId="43816"/>
    <cellStyle name="Percent 4 5" xfId="43817"/>
    <cellStyle name="Percent 4 5 2" xfId="43818"/>
    <cellStyle name="Percent 4 5 2 2" xfId="43819"/>
    <cellStyle name="Percent 4 5 3" xfId="43820"/>
    <cellStyle name="Percent 4 6" xfId="43821"/>
    <cellStyle name="Percent 4 6 2" xfId="43822"/>
    <cellStyle name="Percent 4 6 2 2" xfId="43823"/>
    <cellStyle name="Percent 4 6 3" xfId="43824"/>
    <cellStyle name="Percent 4 7" xfId="43795"/>
    <cellStyle name="Percent 40" xfId="43825"/>
    <cellStyle name="Percent 40 2" xfId="43826"/>
    <cellStyle name="Percent 40 3" xfId="43827"/>
    <cellStyle name="Percent 40 3 2" xfId="43828"/>
    <cellStyle name="Percent 40 3 2 2" xfId="43829"/>
    <cellStyle name="Percent 40 3 3" xfId="43830"/>
    <cellStyle name="Percent 40 4" xfId="43831"/>
    <cellStyle name="Percent 40 4 2" xfId="43832"/>
    <cellStyle name="Percent 40 4 2 2" xfId="43833"/>
    <cellStyle name="Percent 40 4 3" xfId="43834"/>
    <cellStyle name="Percent 41" xfId="43835"/>
    <cellStyle name="Percent 41 2" xfId="43836"/>
    <cellStyle name="Percent 41 3" xfId="43837"/>
    <cellStyle name="Percent 41 3 2" xfId="43838"/>
    <cellStyle name="Percent 41 3 2 2" xfId="43839"/>
    <cellStyle name="Percent 41 3 3" xfId="43840"/>
    <cellStyle name="Percent 41 4" xfId="43841"/>
    <cellStyle name="Percent 41 4 2" xfId="43842"/>
    <cellStyle name="Percent 41 4 2 2" xfId="43843"/>
    <cellStyle name="Percent 41 4 3" xfId="43844"/>
    <cellStyle name="Percent 42" xfId="43845"/>
    <cellStyle name="Percent 42 2" xfId="43846"/>
    <cellStyle name="Percent 42 3" xfId="43847"/>
    <cellStyle name="Percent 42 3 2" xfId="43848"/>
    <cellStyle name="Percent 42 3 2 2" xfId="43849"/>
    <cellStyle name="Percent 42 3 3" xfId="43850"/>
    <cellStyle name="Percent 42 4" xfId="43851"/>
    <cellStyle name="Percent 42 4 2" xfId="43852"/>
    <cellStyle name="Percent 42 4 2 2" xfId="43853"/>
    <cellStyle name="Percent 42 4 3" xfId="43854"/>
    <cellStyle name="Percent 43" xfId="43855"/>
    <cellStyle name="Percent 43 2" xfId="43856"/>
    <cellStyle name="Percent 43 3" xfId="43857"/>
    <cellStyle name="Percent 43 3 2" xfId="43858"/>
    <cellStyle name="Percent 43 3 2 2" xfId="43859"/>
    <cellStyle name="Percent 43 3 3" xfId="43860"/>
    <cellStyle name="Percent 43 4" xfId="43861"/>
    <cellStyle name="Percent 43 4 2" xfId="43862"/>
    <cellStyle name="Percent 43 4 2 2" xfId="43863"/>
    <cellStyle name="Percent 43 4 3" xfId="43864"/>
    <cellStyle name="Percent 44" xfId="43865"/>
    <cellStyle name="Percent 44 2" xfId="43866"/>
    <cellStyle name="Percent 44 3" xfId="43867"/>
    <cellStyle name="Percent 44 3 2" xfId="43868"/>
    <cellStyle name="Percent 44 3 2 2" xfId="43869"/>
    <cellStyle name="Percent 44 3 3" xfId="43870"/>
    <cellStyle name="Percent 44 4" xfId="43871"/>
    <cellStyle name="Percent 44 4 2" xfId="43872"/>
    <cellStyle name="Percent 44 4 2 2" xfId="43873"/>
    <cellStyle name="Percent 44 4 3" xfId="43874"/>
    <cellStyle name="Percent 45" xfId="43875"/>
    <cellStyle name="Percent 45 2" xfId="43876"/>
    <cellStyle name="Percent 45 3" xfId="43877"/>
    <cellStyle name="Percent 45 3 2" xfId="43878"/>
    <cellStyle name="Percent 45 3 2 2" xfId="43879"/>
    <cellStyle name="Percent 45 3 3" xfId="43880"/>
    <cellStyle name="Percent 45 4" xfId="43881"/>
    <cellStyle name="Percent 45 4 2" xfId="43882"/>
    <cellStyle name="Percent 45 4 2 2" xfId="43883"/>
    <cellStyle name="Percent 45 4 3" xfId="43884"/>
    <cellStyle name="Percent 46" xfId="43885"/>
    <cellStyle name="Percent 46 2" xfId="43886"/>
    <cellStyle name="Percent 46 3" xfId="43887"/>
    <cellStyle name="Percent 46 3 2" xfId="43888"/>
    <cellStyle name="Percent 46 3 2 2" xfId="43889"/>
    <cellStyle name="Percent 46 3 3" xfId="43890"/>
    <cellStyle name="Percent 46 4" xfId="43891"/>
    <cellStyle name="Percent 46 4 2" xfId="43892"/>
    <cellStyle name="Percent 46 4 2 2" xfId="43893"/>
    <cellStyle name="Percent 46 4 3" xfId="43894"/>
    <cellStyle name="Percent 47" xfId="43895"/>
    <cellStyle name="Percent 47 2" xfId="43896"/>
    <cellStyle name="Percent 47 3" xfId="43897"/>
    <cellStyle name="Percent 47 3 2" xfId="43898"/>
    <cellStyle name="Percent 47 3 2 2" xfId="43899"/>
    <cellStyle name="Percent 47 3 3" xfId="43900"/>
    <cellStyle name="Percent 47 4" xfId="43901"/>
    <cellStyle name="Percent 47 4 2" xfId="43902"/>
    <cellStyle name="Percent 47 4 2 2" xfId="43903"/>
    <cellStyle name="Percent 47 4 3" xfId="43904"/>
    <cellStyle name="Percent 48" xfId="43905"/>
    <cellStyle name="Percent 48 2" xfId="43906"/>
    <cellStyle name="Percent 48 3" xfId="43907"/>
    <cellStyle name="Percent 48 3 2" xfId="43908"/>
    <cellStyle name="Percent 48 3 2 2" xfId="43909"/>
    <cellStyle name="Percent 48 3 3" xfId="43910"/>
    <cellStyle name="Percent 48 4" xfId="43911"/>
    <cellStyle name="Percent 48 4 2" xfId="43912"/>
    <cellStyle name="Percent 48 4 2 2" xfId="43913"/>
    <cellStyle name="Percent 48 4 3" xfId="43914"/>
    <cellStyle name="Percent 49" xfId="43915"/>
    <cellStyle name="Percent 49 2" xfId="43916"/>
    <cellStyle name="Percent 49 3" xfId="43917"/>
    <cellStyle name="Percent 49 3 2" xfId="43918"/>
    <cellStyle name="Percent 49 3 2 2" xfId="43919"/>
    <cellStyle name="Percent 49 3 3" xfId="43920"/>
    <cellStyle name="Percent 49 4" xfId="43921"/>
    <cellStyle name="Percent 49 4 2" xfId="43922"/>
    <cellStyle name="Percent 49 4 2 2" xfId="43923"/>
    <cellStyle name="Percent 49 4 3" xfId="43924"/>
    <cellStyle name="Percent 5" xfId="141"/>
    <cellStyle name="Percent 5 2" xfId="43926"/>
    <cellStyle name="Percent 5 3" xfId="43927"/>
    <cellStyle name="Percent 5 3 2" xfId="43928"/>
    <cellStyle name="Percent 5 3 2 2" xfId="43929"/>
    <cellStyle name="Percent 5 3 3" xfId="43930"/>
    <cellStyle name="Percent 5 4" xfId="43931"/>
    <cellStyle name="Percent 5 4 2" xfId="43932"/>
    <cellStyle name="Percent 5 4 2 2" xfId="43933"/>
    <cellStyle name="Percent 5 4 3" xfId="43934"/>
    <cellStyle name="Percent 5 5" xfId="43925"/>
    <cellStyle name="Percent 50" xfId="43935"/>
    <cellStyle name="Percent 50 2" xfId="43936"/>
    <cellStyle name="Percent 50 3" xfId="43937"/>
    <cellStyle name="Percent 50 3 2" xfId="43938"/>
    <cellStyle name="Percent 50 3 2 2" xfId="43939"/>
    <cellStyle name="Percent 50 3 3" xfId="43940"/>
    <cellStyle name="Percent 50 4" xfId="43941"/>
    <cellStyle name="Percent 50 4 2" xfId="43942"/>
    <cellStyle name="Percent 50 4 2 2" xfId="43943"/>
    <cellStyle name="Percent 50 4 3" xfId="43944"/>
    <cellStyle name="Percent 51" xfId="43945"/>
    <cellStyle name="Percent 51 2" xfId="43946"/>
    <cellStyle name="Percent 51 3" xfId="43947"/>
    <cellStyle name="Percent 51 3 2" xfId="43948"/>
    <cellStyle name="Percent 51 3 2 2" xfId="43949"/>
    <cellStyle name="Percent 51 3 3" xfId="43950"/>
    <cellStyle name="Percent 51 4" xfId="43951"/>
    <cellStyle name="Percent 51 4 2" xfId="43952"/>
    <cellStyle name="Percent 51 4 2 2" xfId="43953"/>
    <cellStyle name="Percent 51 4 3" xfId="43954"/>
    <cellStyle name="Percent 52" xfId="43955"/>
    <cellStyle name="Percent 52 2" xfId="43956"/>
    <cellStyle name="Percent 52 3" xfId="43957"/>
    <cellStyle name="Percent 52 3 2" xfId="43958"/>
    <cellStyle name="Percent 52 3 2 2" xfId="43959"/>
    <cellStyle name="Percent 52 3 3" xfId="43960"/>
    <cellStyle name="Percent 52 4" xfId="43961"/>
    <cellStyle name="Percent 52 4 2" xfId="43962"/>
    <cellStyle name="Percent 52 4 2 2" xfId="43963"/>
    <cellStyle name="Percent 52 4 3" xfId="43964"/>
    <cellStyle name="Percent 53" xfId="43965"/>
    <cellStyle name="Percent 53 2" xfId="43966"/>
    <cellStyle name="Percent 53 3" xfId="43967"/>
    <cellStyle name="Percent 53 3 2" xfId="43968"/>
    <cellStyle name="Percent 53 3 2 2" xfId="43969"/>
    <cellStyle name="Percent 53 3 3" xfId="43970"/>
    <cellStyle name="Percent 53 4" xfId="43971"/>
    <cellStyle name="Percent 53 4 2" xfId="43972"/>
    <cellStyle name="Percent 53 4 2 2" xfId="43973"/>
    <cellStyle name="Percent 53 4 3" xfId="43974"/>
    <cellStyle name="Percent 54" xfId="43975"/>
    <cellStyle name="Percent 54 2" xfId="43976"/>
    <cellStyle name="Percent 54 3" xfId="43977"/>
    <cellStyle name="Percent 54 3 2" xfId="43978"/>
    <cellStyle name="Percent 54 3 2 2" xfId="43979"/>
    <cellStyle name="Percent 54 3 3" xfId="43980"/>
    <cellStyle name="Percent 54 4" xfId="43981"/>
    <cellStyle name="Percent 54 4 2" xfId="43982"/>
    <cellStyle name="Percent 54 4 2 2" xfId="43983"/>
    <cellStyle name="Percent 54 4 3" xfId="43984"/>
    <cellStyle name="Percent 55" xfId="43985"/>
    <cellStyle name="Percent 55 2" xfId="43986"/>
    <cellStyle name="Percent 55 3" xfId="43987"/>
    <cellStyle name="Percent 55 3 2" xfId="43988"/>
    <cellStyle name="Percent 55 3 2 2" xfId="43989"/>
    <cellStyle name="Percent 55 3 3" xfId="43990"/>
    <cellStyle name="Percent 55 4" xfId="43991"/>
    <cellStyle name="Percent 55 4 2" xfId="43992"/>
    <cellStyle name="Percent 55 4 2 2" xfId="43993"/>
    <cellStyle name="Percent 55 4 3" xfId="43994"/>
    <cellStyle name="Percent 56" xfId="43995"/>
    <cellStyle name="Percent 56 2" xfId="43996"/>
    <cellStyle name="Percent 56 3" xfId="43997"/>
    <cellStyle name="Percent 56 3 2" xfId="43998"/>
    <cellStyle name="Percent 56 3 2 2" xfId="43999"/>
    <cellStyle name="Percent 56 3 3" xfId="44000"/>
    <cellStyle name="Percent 56 4" xfId="44001"/>
    <cellStyle name="Percent 56 4 2" xfId="44002"/>
    <cellStyle name="Percent 56 4 2 2" xfId="44003"/>
    <cellStyle name="Percent 56 4 3" xfId="44004"/>
    <cellStyle name="Percent 57" xfId="44005"/>
    <cellStyle name="Percent 57 2" xfId="44006"/>
    <cellStyle name="Percent 57 3" xfId="44007"/>
    <cellStyle name="Percent 57 3 2" xfId="44008"/>
    <cellStyle name="Percent 57 3 2 2" xfId="44009"/>
    <cellStyle name="Percent 57 3 3" xfId="44010"/>
    <cellStyle name="Percent 57 4" xfId="44011"/>
    <cellStyle name="Percent 57 4 2" xfId="44012"/>
    <cellStyle name="Percent 57 4 2 2" xfId="44013"/>
    <cellStyle name="Percent 57 4 3" xfId="44014"/>
    <cellStyle name="Percent 58" xfId="44015"/>
    <cellStyle name="Percent 58 2" xfId="44016"/>
    <cellStyle name="Percent 58 3" xfId="44017"/>
    <cellStyle name="Percent 58 3 2" xfId="44018"/>
    <cellStyle name="Percent 58 3 2 2" xfId="44019"/>
    <cellStyle name="Percent 58 3 3" xfId="44020"/>
    <cellStyle name="Percent 58 4" xfId="44021"/>
    <cellStyle name="Percent 58 4 2" xfId="44022"/>
    <cellStyle name="Percent 58 4 2 2" xfId="44023"/>
    <cellStyle name="Percent 58 4 3" xfId="44024"/>
    <cellStyle name="Percent 59" xfId="44025"/>
    <cellStyle name="Percent 59 2" xfId="44026"/>
    <cellStyle name="Percent 59 3" xfId="44027"/>
    <cellStyle name="Percent 59 3 2" xfId="44028"/>
    <cellStyle name="Percent 59 3 2 2" xfId="44029"/>
    <cellStyle name="Percent 59 3 3" xfId="44030"/>
    <cellStyle name="Percent 59 4" xfId="44031"/>
    <cellStyle name="Percent 59 4 2" xfId="44032"/>
    <cellStyle name="Percent 59 4 2 2" xfId="44033"/>
    <cellStyle name="Percent 59 4 3" xfId="44034"/>
    <cellStyle name="Percent 6" xfId="246"/>
    <cellStyle name="Percent 6 2" xfId="256"/>
    <cellStyle name="Percent 6 3" xfId="44036"/>
    <cellStyle name="Percent 6 3 2" xfId="44037"/>
    <cellStyle name="Percent 6 3 2 2" xfId="44038"/>
    <cellStyle name="Percent 6 3 3" xfId="44039"/>
    <cellStyle name="Percent 6 4" xfId="44040"/>
    <cellStyle name="Percent 6 4 2" xfId="44041"/>
    <cellStyle name="Percent 6 4 2 2" xfId="44042"/>
    <cellStyle name="Percent 6 4 3" xfId="44043"/>
    <cellStyle name="Percent 6 5" xfId="44035"/>
    <cellStyle name="Percent 60" xfId="44044"/>
    <cellStyle name="Percent 60 2" xfId="44045"/>
    <cellStyle name="Percent 60 3" xfId="44046"/>
    <cellStyle name="Percent 60 3 2" xfId="44047"/>
    <cellStyle name="Percent 60 3 2 2" xfId="44048"/>
    <cellStyle name="Percent 60 3 3" xfId="44049"/>
    <cellStyle name="Percent 60 4" xfId="44050"/>
    <cellStyle name="Percent 60 4 2" xfId="44051"/>
    <cellStyle name="Percent 60 4 2 2" xfId="44052"/>
    <cellStyle name="Percent 60 4 3" xfId="44053"/>
    <cellStyle name="Percent 61" xfId="44054"/>
    <cellStyle name="Percent 61 2" xfId="44055"/>
    <cellStyle name="Percent 61 3" xfId="44056"/>
    <cellStyle name="Percent 61 3 2" xfId="44057"/>
    <cellStyle name="Percent 61 3 2 2" xfId="44058"/>
    <cellStyle name="Percent 61 3 3" xfId="44059"/>
    <cellStyle name="Percent 61 4" xfId="44060"/>
    <cellStyle name="Percent 61 4 2" xfId="44061"/>
    <cellStyle name="Percent 61 4 2 2" xfId="44062"/>
    <cellStyle name="Percent 61 4 3" xfId="44063"/>
    <cellStyle name="Percent 62" xfId="44064"/>
    <cellStyle name="Percent 62 2" xfId="44065"/>
    <cellStyle name="Percent 62 3" xfId="44066"/>
    <cellStyle name="Percent 62 3 2" xfId="44067"/>
    <cellStyle name="Percent 62 3 2 2" xfId="44068"/>
    <cellStyle name="Percent 62 3 3" xfId="44069"/>
    <cellStyle name="Percent 62 4" xfId="44070"/>
    <cellStyle name="Percent 62 4 2" xfId="44071"/>
    <cellStyle name="Percent 62 4 2 2" xfId="44072"/>
    <cellStyle name="Percent 62 4 3" xfId="44073"/>
    <cellStyle name="Percent 63" xfId="44074"/>
    <cellStyle name="Percent 63 2" xfId="44075"/>
    <cellStyle name="Percent 63 3" xfId="44076"/>
    <cellStyle name="Percent 63 3 2" xfId="44077"/>
    <cellStyle name="Percent 63 3 2 2" xfId="44078"/>
    <cellStyle name="Percent 63 3 3" xfId="44079"/>
    <cellStyle name="Percent 63 4" xfId="44080"/>
    <cellStyle name="Percent 63 4 2" xfId="44081"/>
    <cellStyle name="Percent 63 4 2 2" xfId="44082"/>
    <cellStyle name="Percent 63 4 3" xfId="44083"/>
    <cellStyle name="Percent 64" xfId="44084"/>
    <cellStyle name="Percent 64 2" xfId="44085"/>
    <cellStyle name="Percent 64 3" xfId="44086"/>
    <cellStyle name="Percent 64 3 2" xfId="44087"/>
    <cellStyle name="Percent 64 3 2 2" xfId="44088"/>
    <cellStyle name="Percent 64 3 3" xfId="44089"/>
    <cellStyle name="Percent 64 4" xfId="44090"/>
    <cellStyle name="Percent 64 4 2" xfId="44091"/>
    <cellStyle name="Percent 64 4 2 2" xfId="44092"/>
    <cellStyle name="Percent 64 4 3" xfId="44093"/>
    <cellStyle name="Percent 65" xfId="44094"/>
    <cellStyle name="Percent 65 2" xfId="44095"/>
    <cellStyle name="Percent 65 3" xfId="44096"/>
    <cellStyle name="Percent 65 3 2" xfId="44097"/>
    <cellStyle name="Percent 65 3 2 2" xfId="44098"/>
    <cellStyle name="Percent 65 3 3" xfId="44099"/>
    <cellStyle name="Percent 65 4" xfId="44100"/>
    <cellStyle name="Percent 65 4 2" xfId="44101"/>
    <cellStyle name="Percent 65 4 2 2" xfId="44102"/>
    <cellStyle name="Percent 65 4 3" xfId="44103"/>
    <cellStyle name="Percent 66" xfId="44104"/>
    <cellStyle name="Percent 66 2" xfId="44105"/>
    <cellStyle name="Percent 66 3" xfId="44106"/>
    <cellStyle name="Percent 66 3 2" xfId="44107"/>
    <cellStyle name="Percent 66 3 2 2" xfId="44108"/>
    <cellStyle name="Percent 66 3 3" xfId="44109"/>
    <cellStyle name="Percent 66 4" xfId="44110"/>
    <cellStyle name="Percent 66 4 2" xfId="44111"/>
    <cellStyle name="Percent 66 4 2 2" xfId="44112"/>
    <cellStyle name="Percent 66 4 3" xfId="44113"/>
    <cellStyle name="Percent 67" xfId="44114"/>
    <cellStyle name="Percent 67 2" xfId="44115"/>
    <cellStyle name="Percent 67 3" xfId="44116"/>
    <cellStyle name="Percent 67 3 2" xfId="44117"/>
    <cellStyle name="Percent 67 3 2 2" xfId="44118"/>
    <cellStyle name="Percent 67 3 3" xfId="44119"/>
    <cellStyle name="Percent 67 4" xfId="44120"/>
    <cellStyle name="Percent 67 4 2" xfId="44121"/>
    <cellStyle name="Percent 67 4 2 2" xfId="44122"/>
    <cellStyle name="Percent 67 4 3" xfId="44123"/>
    <cellStyle name="Percent 68" xfId="44124"/>
    <cellStyle name="Percent 68 2" xfId="44125"/>
    <cellStyle name="Percent 68 3" xfId="44126"/>
    <cellStyle name="Percent 68 3 2" xfId="44127"/>
    <cellStyle name="Percent 68 3 2 2" xfId="44128"/>
    <cellStyle name="Percent 68 3 3" xfId="44129"/>
    <cellStyle name="Percent 68 4" xfId="44130"/>
    <cellStyle name="Percent 68 4 2" xfId="44131"/>
    <cellStyle name="Percent 68 4 2 2" xfId="44132"/>
    <cellStyle name="Percent 68 4 3" xfId="44133"/>
    <cellStyle name="Percent 69" xfId="44134"/>
    <cellStyle name="Percent 69 2" xfId="44135"/>
    <cellStyle name="Percent 69 3" xfId="44136"/>
    <cellStyle name="Percent 69 3 2" xfId="44137"/>
    <cellStyle name="Percent 69 3 2 2" xfId="44138"/>
    <cellStyle name="Percent 69 3 3" xfId="44139"/>
    <cellStyle name="Percent 69 4" xfId="44140"/>
    <cellStyle name="Percent 69 4 2" xfId="44141"/>
    <cellStyle name="Percent 69 4 2 2" xfId="44142"/>
    <cellStyle name="Percent 69 4 3" xfId="44143"/>
    <cellStyle name="Percent 7" xfId="44144"/>
    <cellStyle name="Percent 7 2" xfId="44145"/>
    <cellStyle name="Percent 7 2 2" xfId="44146"/>
    <cellStyle name="Percent 7 2 2 2" xfId="44147"/>
    <cellStyle name="Percent 7 2 3" xfId="44148"/>
    <cellStyle name="Percent 7 2 3 2" xfId="44149"/>
    <cellStyle name="Percent 7 2 3 2 2" xfId="44150"/>
    <cellStyle name="Percent 7 2 3 3" xfId="44151"/>
    <cellStyle name="Percent 7 2 4" xfId="44152"/>
    <cellStyle name="Percent 7 3" xfId="44153"/>
    <cellStyle name="Percent 7 4" xfId="44154"/>
    <cellStyle name="Percent 7 4 2" xfId="44155"/>
    <cellStyle name="Percent 7 4 2 2" xfId="44156"/>
    <cellStyle name="Percent 7 4 3" xfId="44157"/>
    <cellStyle name="Percent 7 5" xfId="44158"/>
    <cellStyle name="Percent 7 5 2" xfId="44159"/>
    <cellStyle name="Percent 7 5 2 2" xfId="44160"/>
    <cellStyle name="Percent 7 5 3" xfId="44161"/>
    <cellStyle name="Percent 70" xfId="44162"/>
    <cellStyle name="Percent 70 2" xfId="44163"/>
    <cellStyle name="Percent 70 3" xfId="44164"/>
    <cellStyle name="Percent 70 3 2" xfId="44165"/>
    <cellStyle name="Percent 70 3 2 2" xfId="44166"/>
    <cellStyle name="Percent 70 3 3" xfId="44167"/>
    <cellStyle name="Percent 70 4" xfId="44168"/>
    <cellStyle name="Percent 70 4 2" xfId="44169"/>
    <cellStyle name="Percent 70 4 2 2" xfId="44170"/>
    <cellStyle name="Percent 70 4 3" xfId="44171"/>
    <cellStyle name="Percent 71" xfId="44172"/>
    <cellStyle name="Percent 71 2" xfId="44173"/>
    <cellStyle name="Percent 71 3" xfId="44174"/>
    <cellStyle name="Percent 71 3 2" xfId="44175"/>
    <cellStyle name="Percent 71 3 2 2" xfId="44176"/>
    <cellStyle name="Percent 71 3 3" xfId="44177"/>
    <cellStyle name="Percent 71 4" xfId="44178"/>
    <cellStyle name="Percent 71 4 2" xfId="44179"/>
    <cellStyle name="Percent 71 4 2 2" xfId="44180"/>
    <cellStyle name="Percent 71 4 3" xfId="44181"/>
    <cellStyle name="Percent 72" xfId="44182"/>
    <cellStyle name="Percent 72 2" xfId="44183"/>
    <cellStyle name="Percent 72 3" xfId="44184"/>
    <cellStyle name="Percent 72 3 2" xfId="44185"/>
    <cellStyle name="Percent 72 3 2 2" xfId="44186"/>
    <cellStyle name="Percent 72 3 3" xfId="44187"/>
    <cellStyle name="Percent 72 4" xfId="44188"/>
    <cellStyle name="Percent 72 4 2" xfId="44189"/>
    <cellStyle name="Percent 72 4 2 2" xfId="44190"/>
    <cellStyle name="Percent 72 4 3" xfId="44191"/>
    <cellStyle name="Percent 73" xfId="44192"/>
    <cellStyle name="Percent 73 2" xfId="44193"/>
    <cellStyle name="Percent 73 3" xfId="44194"/>
    <cellStyle name="Percent 73 3 2" xfId="44195"/>
    <cellStyle name="Percent 73 3 2 2" xfId="44196"/>
    <cellStyle name="Percent 73 3 3" xfId="44197"/>
    <cellStyle name="Percent 73 4" xfId="44198"/>
    <cellStyle name="Percent 73 4 2" xfId="44199"/>
    <cellStyle name="Percent 73 4 2 2" xfId="44200"/>
    <cellStyle name="Percent 73 4 3" xfId="44201"/>
    <cellStyle name="Percent 74" xfId="44202"/>
    <cellStyle name="Percent 74 2" xfId="44203"/>
    <cellStyle name="Percent 74 3" xfId="44204"/>
    <cellStyle name="Percent 74 3 2" xfId="44205"/>
    <cellStyle name="Percent 74 3 2 2" xfId="44206"/>
    <cellStyle name="Percent 74 3 3" xfId="44207"/>
    <cellStyle name="Percent 74 4" xfId="44208"/>
    <cellStyle name="Percent 74 4 2" xfId="44209"/>
    <cellStyle name="Percent 74 4 2 2" xfId="44210"/>
    <cellStyle name="Percent 74 4 3" xfId="44211"/>
    <cellStyle name="Percent 75" xfId="44212"/>
    <cellStyle name="Percent 75 2" xfId="44213"/>
    <cellStyle name="Percent 75 3" xfId="44214"/>
    <cellStyle name="Percent 75 3 2" xfId="44215"/>
    <cellStyle name="Percent 75 3 2 2" xfId="44216"/>
    <cellStyle name="Percent 75 3 3" xfId="44217"/>
    <cellStyle name="Percent 75 4" xfId="44218"/>
    <cellStyle name="Percent 75 4 2" xfId="44219"/>
    <cellStyle name="Percent 75 4 2 2" xfId="44220"/>
    <cellStyle name="Percent 75 4 3" xfId="44221"/>
    <cellStyle name="Percent 76" xfId="44222"/>
    <cellStyle name="Percent 76 2" xfId="44223"/>
    <cellStyle name="Percent 76 3" xfId="44224"/>
    <cellStyle name="Percent 76 3 2" xfId="44225"/>
    <cellStyle name="Percent 76 3 2 2" xfId="44226"/>
    <cellStyle name="Percent 76 3 3" xfId="44227"/>
    <cellStyle name="Percent 76 4" xfId="44228"/>
    <cellStyle name="Percent 76 4 2" xfId="44229"/>
    <cellStyle name="Percent 76 4 2 2" xfId="44230"/>
    <cellStyle name="Percent 76 4 3" xfId="44231"/>
    <cellStyle name="Percent 77" xfId="44232"/>
    <cellStyle name="Percent 77 2" xfId="44233"/>
    <cellStyle name="Percent 77 3" xfId="44234"/>
    <cellStyle name="Percent 77 3 2" xfId="44235"/>
    <cellStyle name="Percent 77 3 2 2" xfId="44236"/>
    <cellStyle name="Percent 77 3 3" xfId="44237"/>
    <cellStyle name="Percent 77 4" xfId="44238"/>
    <cellStyle name="Percent 77 4 2" xfId="44239"/>
    <cellStyle name="Percent 77 4 2 2" xfId="44240"/>
    <cellStyle name="Percent 77 4 3" xfId="44241"/>
    <cellStyle name="Percent 78" xfId="44242"/>
    <cellStyle name="Percent 78 2" xfId="44243"/>
    <cellStyle name="Percent 78 3" xfId="44244"/>
    <cellStyle name="Percent 78 3 2" xfId="44245"/>
    <cellStyle name="Percent 78 3 2 2" xfId="44246"/>
    <cellStyle name="Percent 78 3 3" xfId="44247"/>
    <cellStyle name="Percent 78 4" xfId="44248"/>
    <cellStyle name="Percent 78 4 2" xfId="44249"/>
    <cellStyle name="Percent 78 4 2 2" xfId="44250"/>
    <cellStyle name="Percent 78 4 3" xfId="44251"/>
    <cellStyle name="Percent 79" xfId="44252"/>
    <cellStyle name="Percent 79 2" xfId="44253"/>
    <cellStyle name="Percent 79 3" xfId="44254"/>
    <cellStyle name="Percent 79 3 2" xfId="44255"/>
    <cellStyle name="Percent 79 3 2 2" xfId="44256"/>
    <cellStyle name="Percent 79 3 3" xfId="44257"/>
    <cellStyle name="Percent 79 4" xfId="44258"/>
    <cellStyle name="Percent 79 4 2" xfId="44259"/>
    <cellStyle name="Percent 79 4 2 2" xfId="44260"/>
    <cellStyle name="Percent 79 4 3" xfId="44261"/>
    <cellStyle name="Percent 8" xfId="44262"/>
    <cellStyle name="Percent 8 2" xfId="44263"/>
    <cellStyle name="Percent 8 2 2" xfId="44264"/>
    <cellStyle name="Percent 8 2 2 2" xfId="44265"/>
    <cellStyle name="Percent 8 2 3" xfId="44266"/>
    <cellStyle name="Percent 8 2 3 2" xfId="44267"/>
    <cellStyle name="Percent 8 2 3 2 2" xfId="44268"/>
    <cellStyle name="Percent 8 2 3 3" xfId="44269"/>
    <cellStyle name="Percent 8 2 4" xfId="44270"/>
    <cellStyle name="Percent 8 2 4 2" xfId="44271"/>
    <cellStyle name="Percent 8 2 4 2 2" xfId="44272"/>
    <cellStyle name="Percent 8 2 4 3" xfId="44273"/>
    <cellStyle name="Percent 8 2 5" xfId="44274"/>
    <cellStyle name="Percent 8 3" xfId="44275"/>
    <cellStyle name="Percent 8 3 2" xfId="44276"/>
    <cellStyle name="Percent 8 3 2 2" xfId="44277"/>
    <cellStyle name="Percent 8 3 3" xfId="44278"/>
    <cellStyle name="Percent 8 3 3 2" xfId="44279"/>
    <cellStyle name="Percent 8 3 3 2 2" xfId="44280"/>
    <cellStyle name="Percent 8 3 3 3" xfId="44281"/>
    <cellStyle name="Percent 8 3 4" xfId="44282"/>
    <cellStyle name="Percent 8 4" xfId="44283"/>
    <cellStyle name="Percent 8 5" xfId="44284"/>
    <cellStyle name="Percent 8 5 2" xfId="44285"/>
    <cellStyle name="Percent 8 5 2 2" xfId="44286"/>
    <cellStyle name="Percent 8 5 3" xfId="44287"/>
    <cellStyle name="Percent 8 6" xfId="44288"/>
    <cellStyle name="Percent 8 6 2" xfId="44289"/>
    <cellStyle name="Percent 8 6 2 2" xfId="44290"/>
    <cellStyle name="Percent 8 6 3" xfId="44291"/>
    <cellStyle name="Percent 80" xfId="44292"/>
    <cellStyle name="Percent 80 2" xfId="44293"/>
    <cellStyle name="Percent 80 3" xfId="44294"/>
    <cellStyle name="Percent 80 3 2" xfId="44295"/>
    <cellStyle name="Percent 80 3 2 2" xfId="44296"/>
    <cellStyle name="Percent 80 3 3" xfId="44297"/>
    <cellStyle name="Percent 80 4" xfId="44298"/>
    <cellStyle name="Percent 80 4 2" xfId="44299"/>
    <cellStyle name="Percent 80 4 2 2" xfId="44300"/>
    <cellStyle name="Percent 80 4 3" xfId="44301"/>
    <cellStyle name="Percent 81" xfId="44302"/>
    <cellStyle name="Percent 81 2" xfId="44303"/>
    <cellStyle name="Percent 81 3" xfId="44304"/>
    <cellStyle name="Percent 81 3 2" xfId="44305"/>
    <cellStyle name="Percent 81 3 2 2" xfId="44306"/>
    <cellStyle name="Percent 81 3 3" xfId="44307"/>
    <cellStyle name="Percent 81 4" xfId="44308"/>
    <cellStyle name="Percent 81 4 2" xfId="44309"/>
    <cellStyle name="Percent 81 4 2 2" xfId="44310"/>
    <cellStyle name="Percent 81 4 3" xfId="44311"/>
    <cellStyle name="Percent 82" xfId="44312"/>
    <cellStyle name="Percent 82 2" xfId="44313"/>
    <cellStyle name="Percent 82 3" xfId="44314"/>
    <cellStyle name="Percent 82 3 2" xfId="44315"/>
    <cellStyle name="Percent 82 3 2 2" xfId="44316"/>
    <cellStyle name="Percent 82 3 3" xfId="44317"/>
    <cellStyle name="Percent 82 4" xfId="44318"/>
    <cellStyle name="Percent 82 4 2" xfId="44319"/>
    <cellStyle name="Percent 82 4 2 2" xfId="44320"/>
    <cellStyle name="Percent 82 4 3" xfId="44321"/>
    <cellStyle name="Percent 83" xfId="44322"/>
    <cellStyle name="Percent 83 2" xfId="44323"/>
    <cellStyle name="Percent 83 3" xfId="44324"/>
    <cellStyle name="Percent 83 3 2" xfId="44325"/>
    <cellStyle name="Percent 83 3 2 2" xfId="44326"/>
    <cellStyle name="Percent 83 3 3" xfId="44327"/>
    <cellStyle name="Percent 83 4" xfId="44328"/>
    <cellStyle name="Percent 83 4 2" xfId="44329"/>
    <cellStyle name="Percent 83 4 2 2" xfId="44330"/>
    <cellStyle name="Percent 83 4 3" xfId="44331"/>
    <cellStyle name="Percent 84" xfId="44332"/>
    <cellStyle name="Percent 84 2" xfId="44333"/>
    <cellStyle name="Percent 84 3" xfId="44334"/>
    <cellStyle name="Percent 84 3 2" xfId="44335"/>
    <cellStyle name="Percent 84 3 2 2" xfId="44336"/>
    <cellStyle name="Percent 84 3 3" xfId="44337"/>
    <cellStyle name="Percent 84 4" xfId="44338"/>
    <cellStyle name="Percent 84 4 2" xfId="44339"/>
    <cellStyle name="Percent 84 4 2 2" xfId="44340"/>
    <cellStyle name="Percent 84 4 3" xfId="44341"/>
    <cellStyle name="Percent 85" xfId="44342"/>
    <cellStyle name="Percent 85 2" xfId="44343"/>
    <cellStyle name="Percent 85 3" xfId="44344"/>
    <cellStyle name="Percent 85 3 2" xfId="44345"/>
    <cellStyle name="Percent 85 3 2 2" xfId="44346"/>
    <cellStyle name="Percent 85 3 3" xfId="44347"/>
    <cellStyle name="Percent 85 4" xfId="44348"/>
    <cellStyle name="Percent 85 4 2" xfId="44349"/>
    <cellStyle name="Percent 85 4 2 2" xfId="44350"/>
    <cellStyle name="Percent 85 4 3" xfId="44351"/>
    <cellStyle name="Percent 86" xfId="44352"/>
    <cellStyle name="Percent 86 2" xfId="44353"/>
    <cellStyle name="Percent 86 3" xfId="44354"/>
    <cellStyle name="Percent 86 3 2" xfId="44355"/>
    <cellStyle name="Percent 86 3 2 2" xfId="44356"/>
    <cellStyle name="Percent 86 3 3" xfId="44357"/>
    <cellStyle name="Percent 86 4" xfId="44358"/>
    <cellStyle name="Percent 86 4 2" xfId="44359"/>
    <cellStyle name="Percent 86 4 2 2" xfId="44360"/>
    <cellStyle name="Percent 86 4 3" xfId="44361"/>
    <cellStyle name="Percent 87" xfId="44362"/>
    <cellStyle name="Percent 87 2" xfId="44363"/>
    <cellStyle name="Percent 87 3" xfId="44364"/>
    <cellStyle name="Percent 87 3 2" xfId="44365"/>
    <cellStyle name="Percent 87 3 2 2" xfId="44366"/>
    <cellStyle name="Percent 87 3 3" xfId="44367"/>
    <cellStyle name="Percent 87 4" xfId="44368"/>
    <cellStyle name="Percent 87 4 2" xfId="44369"/>
    <cellStyle name="Percent 87 4 2 2" xfId="44370"/>
    <cellStyle name="Percent 87 4 3" xfId="44371"/>
    <cellStyle name="Percent 88" xfId="44372"/>
    <cellStyle name="Percent 88 2" xfId="44373"/>
    <cellStyle name="Percent 88 3" xfId="44374"/>
    <cellStyle name="Percent 88 3 2" xfId="44375"/>
    <cellStyle name="Percent 88 3 2 2" xfId="44376"/>
    <cellStyle name="Percent 88 3 3" xfId="44377"/>
    <cellStyle name="Percent 88 4" xfId="44378"/>
    <cellStyle name="Percent 88 4 2" xfId="44379"/>
    <cellStyle name="Percent 88 4 2 2" xfId="44380"/>
    <cellStyle name="Percent 88 4 3" xfId="44381"/>
    <cellStyle name="Percent 89" xfId="44382"/>
    <cellStyle name="Percent 89 2" xfId="44383"/>
    <cellStyle name="Percent 89 3" xfId="44384"/>
    <cellStyle name="Percent 89 3 2" xfId="44385"/>
    <cellStyle name="Percent 89 3 2 2" xfId="44386"/>
    <cellStyle name="Percent 89 3 3" xfId="44387"/>
    <cellStyle name="Percent 89 4" xfId="44388"/>
    <cellStyle name="Percent 89 4 2" xfId="44389"/>
    <cellStyle name="Percent 89 4 2 2" xfId="44390"/>
    <cellStyle name="Percent 89 4 3" xfId="44391"/>
    <cellStyle name="Percent 9" xfId="44392"/>
    <cellStyle name="Percent 9 2" xfId="44393"/>
    <cellStyle name="Percent 9 3" xfId="44394"/>
    <cellStyle name="Percent 9 3 2" xfId="44395"/>
    <cellStyle name="Percent 9 3 2 2" xfId="44396"/>
    <cellStyle name="Percent 9 3 3" xfId="44397"/>
    <cellStyle name="Percent 9 4" xfId="44398"/>
    <cellStyle name="Percent 9 4 2" xfId="44399"/>
    <cellStyle name="Percent 9 4 2 2" xfId="44400"/>
    <cellStyle name="Percent 9 4 3" xfId="44401"/>
    <cellStyle name="Percent 90" xfId="44402"/>
    <cellStyle name="Percent 90 2" xfId="44403"/>
    <cellStyle name="Percent 90 3" xfId="44404"/>
    <cellStyle name="Percent 90 3 2" xfId="44405"/>
    <cellStyle name="Percent 90 3 2 2" xfId="44406"/>
    <cellStyle name="Percent 90 3 3" xfId="44407"/>
    <cellStyle name="Percent 90 4" xfId="44408"/>
    <cellStyle name="Percent 90 4 2" xfId="44409"/>
    <cellStyle name="Percent 90 4 2 2" xfId="44410"/>
    <cellStyle name="Percent 90 4 3" xfId="44411"/>
    <cellStyle name="Percent 91" xfId="44412"/>
    <cellStyle name="Percent 91 2" xfId="44413"/>
    <cellStyle name="Percent 91 3" xfId="44414"/>
    <cellStyle name="Percent 91 3 2" xfId="44415"/>
    <cellStyle name="Percent 91 3 2 2" xfId="44416"/>
    <cellStyle name="Percent 91 3 3" xfId="44417"/>
    <cellStyle name="Percent 91 4" xfId="44418"/>
    <cellStyle name="Percent 91 4 2" xfId="44419"/>
    <cellStyle name="Percent 91 4 2 2" xfId="44420"/>
    <cellStyle name="Percent 91 4 3" xfId="44421"/>
    <cellStyle name="Percent 92" xfId="44422"/>
    <cellStyle name="Percent 92 2" xfId="44423"/>
    <cellStyle name="Percent 92 3" xfId="44424"/>
    <cellStyle name="Percent 92 3 2" xfId="44425"/>
    <cellStyle name="Percent 92 3 2 2" xfId="44426"/>
    <cellStyle name="Percent 92 3 3" xfId="44427"/>
    <cellStyle name="Percent 92 4" xfId="44428"/>
    <cellStyle name="Percent 92 4 2" xfId="44429"/>
    <cellStyle name="Percent 92 4 2 2" xfId="44430"/>
    <cellStyle name="Percent 92 4 3" xfId="44431"/>
    <cellStyle name="Percent 93" xfId="44432"/>
    <cellStyle name="Percent 93 2" xfId="44433"/>
    <cellStyle name="Percent 93 3" xfId="44434"/>
    <cellStyle name="Percent 93 3 2" xfId="44435"/>
    <cellStyle name="Percent 93 3 2 2" xfId="44436"/>
    <cellStyle name="Percent 93 3 3" xfId="44437"/>
    <cellStyle name="Percent 93 4" xfId="44438"/>
    <cellStyle name="Percent 93 4 2" xfId="44439"/>
    <cellStyle name="Percent 93 4 2 2" xfId="44440"/>
    <cellStyle name="Percent 93 4 3" xfId="44441"/>
    <cellStyle name="Percent 94" xfId="44442"/>
    <cellStyle name="Percent 94 2" xfId="44443"/>
    <cellStyle name="Percent 94 3" xfId="44444"/>
    <cellStyle name="Percent 94 3 2" xfId="44445"/>
    <cellStyle name="Percent 94 3 2 2" xfId="44446"/>
    <cellStyle name="Percent 94 3 3" xfId="44447"/>
    <cellStyle name="Percent 94 4" xfId="44448"/>
    <cellStyle name="Percent 94 4 2" xfId="44449"/>
    <cellStyle name="Percent 94 4 2 2" xfId="44450"/>
    <cellStyle name="Percent 94 4 3" xfId="44451"/>
    <cellStyle name="Percent 95" xfId="44452"/>
    <cellStyle name="Percent 95 2" xfId="44453"/>
    <cellStyle name="Percent 95 3" xfId="44454"/>
    <cellStyle name="Percent 95 3 2" xfId="44455"/>
    <cellStyle name="Percent 95 3 2 2" xfId="44456"/>
    <cellStyle name="Percent 95 3 3" xfId="44457"/>
    <cellStyle name="Percent 95 4" xfId="44458"/>
    <cellStyle name="Percent 95 4 2" xfId="44459"/>
    <cellStyle name="Percent 95 4 2 2" xfId="44460"/>
    <cellStyle name="Percent 95 4 3" xfId="44461"/>
    <cellStyle name="Percent 96" xfId="44462"/>
    <cellStyle name="Percent 96 2" xfId="44463"/>
    <cellStyle name="Percent 96 3" xfId="44464"/>
    <cellStyle name="Percent 96 3 2" xfId="44465"/>
    <cellStyle name="Percent 96 3 2 2" xfId="44466"/>
    <cellStyle name="Percent 96 3 3" xfId="44467"/>
    <cellStyle name="Percent 96 4" xfId="44468"/>
    <cellStyle name="Percent 96 4 2" xfId="44469"/>
    <cellStyle name="Percent 96 4 2 2" xfId="44470"/>
    <cellStyle name="Percent 96 4 3" xfId="44471"/>
    <cellStyle name="Percent 97" xfId="44472"/>
    <cellStyle name="Percent 97 2" xfId="44473"/>
    <cellStyle name="Percent 97 3" xfId="44474"/>
    <cellStyle name="Percent 97 3 2" xfId="44475"/>
    <cellStyle name="Percent 97 3 2 2" xfId="44476"/>
    <cellStyle name="Percent 97 3 3" xfId="44477"/>
    <cellStyle name="Percent 97 4" xfId="44478"/>
    <cellStyle name="Percent 97 4 2" xfId="44479"/>
    <cellStyle name="Percent 97 4 2 2" xfId="44480"/>
    <cellStyle name="Percent 97 4 3" xfId="44481"/>
    <cellStyle name="Percent 98" xfId="44482"/>
    <cellStyle name="Percent 98 2" xfId="44483"/>
    <cellStyle name="Percent 98 3" xfId="44484"/>
    <cellStyle name="Percent 98 3 2" xfId="44485"/>
    <cellStyle name="Percent 98 3 2 2" xfId="44486"/>
    <cellStyle name="Percent 98 3 3" xfId="44487"/>
    <cellStyle name="Percent 98 4" xfId="44488"/>
    <cellStyle name="Percent 98 4 2" xfId="44489"/>
    <cellStyle name="Percent 98 4 2 2" xfId="44490"/>
    <cellStyle name="Percent 98 4 3" xfId="44491"/>
    <cellStyle name="Percent 99" xfId="44492"/>
    <cellStyle name="Percent 99 2" xfId="44493"/>
    <cellStyle name="Percent 99 3" xfId="44494"/>
    <cellStyle name="Percent 99 3 2" xfId="44495"/>
    <cellStyle name="Percent 99 3 2 2" xfId="44496"/>
    <cellStyle name="Percent 99 3 3" xfId="44497"/>
    <cellStyle name="Percent 99 4" xfId="44498"/>
    <cellStyle name="Percent 99 4 2" xfId="44499"/>
    <cellStyle name="Percent 99 4 2 2" xfId="44500"/>
    <cellStyle name="Percent 99 4 3" xfId="44501"/>
    <cellStyle name="Percent[0]" xfId="44502"/>
    <cellStyle name="Percent[00]" xfId="44503"/>
    <cellStyle name="Percent[00] 2" xfId="44504"/>
    <cellStyle name="Percent[00] 3" xfId="44505"/>
    <cellStyle name="Percent[00] 3 2" xfId="44506"/>
    <cellStyle name="Percent[00] 3 2 2" xfId="44507"/>
    <cellStyle name="Percent[00] 3 3" xfId="44508"/>
    <cellStyle name="Percent[00] 4" xfId="44509"/>
    <cellStyle name="Percent[00] 4 2" xfId="44510"/>
    <cellStyle name="Percent[00] 4 2 2" xfId="44511"/>
    <cellStyle name="Percent[00] 4 3" xfId="44512"/>
    <cellStyle name="Percent1" xfId="44513"/>
    <cellStyle name="Percent1 2" xfId="44514"/>
    <cellStyle name="Percent1 3" xfId="44515"/>
    <cellStyle name="Percent1 3 2" xfId="44516"/>
    <cellStyle name="Percent1 3 2 2" xfId="44517"/>
    <cellStyle name="Percent1 3 3" xfId="44518"/>
    <cellStyle name="Percent1 4" xfId="44519"/>
    <cellStyle name="Percent1 4 2" xfId="44520"/>
    <cellStyle name="Percent1 4 2 2" xfId="44521"/>
    <cellStyle name="Percent1 4 3" xfId="44522"/>
    <cellStyle name="Placeholder" xfId="44523"/>
    <cellStyle name="Placeholder 2" xfId="44524"/>
    <cellStyle name="Placeholder 3" xfId="44525"/>
    <cellStyle name="Placeholder 3 2" xfId="44526"/>
    <cellStyle name="Placeholder 3 2 2" xfId="44527"/>
    <cellStyle name="Placeholder 3 3" xfId="44528"/>
    <cellStyle name="Placeholder 4" xfId="44529"/>
    <cellStyle name="Placeholder 4 2" xfId="44530"/>
    <cellStyle name="Placeholder 4 2 2" xfId="44531"/>
    <cellStyle name="Placeholder 4 3" xfId="44532"/>
    <cellStyle name="PSChar" xfId="44533"/>
    <cellStyle name="PSChar 10" xfId="44534"/>
    <cellStyle name="PSChar 2" xfId="44535"/>
    <cellStyle name="PSChar 2 2" xfId="44536"/>
    <cellStyle name="PSChar 2 2 2" xfId="44537"/>
    <cellStyle name="PSChar 2 2 2 2" xfId="44538"/>
    <cellStyle name="PSChar 2 2 3" xfId="44539"/>
    <cellStyle name="PSChar 2 2 3 2" xfId="44540"/>
    <cellStyle name="PSChar 2 2 3 2 2" xfId="44541"/>
    <cellStyle name="PSChar 2 2 3 3" xfId="44542"/>
    <cellStyle name="PSChar 2 2 4" xfId="44543"/>
    <cellStyle name="PSChar 2 2 4 2" xfId="44544"/>
    <cellStyle name="PSChar 2 2 4 2 2" xfId="44545"/>
    <cellStyle name="PSChar 2 2 4 3" xfId="44546"/>
    <cellStyle name="PSChar 2 2 5" xfId="44547"/>
    <cellStyle name="PSChar 2 3" xfId="44548"/>
    <cellStyle name="PSChar 2 3 2" xfId="44549"/>
    <cellStyle name="PSChar 2 3 2 2" xfId="44550"/>
    <cellStyle name="PSChar 2 3 2 2 2" xfId="44551"/>
    <cellStyle name="PSChar 2 3 2 3" xfId="44552"/>
    <cellStyle name="PSChar 2 3 2 3 2" xfId="44553"/>
    <cellStyle name="PSChar 2 3 2 3 2 2" xfId="44554"/>
    <cellStyle name="PSChar 2 3 2 3 3" xfId="44555"/>
    <cellStyle name="PSChar 2 3 2 4" xfId="44556"/>
    <cellStyle name="PSChar 2 3 3" xfId="44557"/>
    <cellStyle name="PSChar 2 3 3 2" xfId="44558"/>
    <cellStyle name="PSChar 2 3 3 2 2" xfId="44559"/>
    <cellStyle name="PSChar 2 3 3 3" xfId="44560"/>
    <cellStyle name="PSChar 2 3 4" xfId="44561"/>
    <cellStyle name="PSChar 2 3 4 2" xfId="44562"/>
    <cellStyle name="PSChar 2 3 4 2 2" xfId="44563"/>
    <cellStyle name="PSChar 2 3 4 3" xfId="44564"/>
    <cellStyle name="PSChar 2 3 5" xfId="44565"/>
    <cellStyle name="PSChar 2 3 5 2" xfId="44566"/>
    <cellStyle name="PSChar 2 3 5 2 2" xfId="44567"/>
    <cellStyle name="PSChar 2 3 5 3" xfId="44568"/>
    <cellStyle name="PSChar 2 3 6" xfId="44569"/>
    <cellStyle name="PSChar 2 4" xfId="44570"/>
    <cellStyle name="PSChar 2 4 2" xfId="44571"/>
    <cellStyle name="PSChar 2 4 2 2" xfId="44572"/>
    <cellStyle name="PSChar 2 4 3" xfId="44573"/>
    <cellStyle name="PSChar 2 5" xfId="44574"/>
    <cellStyle name="PSChar 2 5 2" xfId="44575"/>
    <cellStyle name="PSChar 2 5 2 2" xfId="44576"/>
    <cellStyle name="PSChar 2 5 3" xfId="44577"/>
    <cellStyle name="PSChar 2 6" xfId="44578"/>
    <cellStyle name="PSChar 2 6 2" xfId="44579"/>
    <cellStyle name="PSChar 2 6 2 2" xfId="44580"/>
    <cellStyle name="PSChar 2 6 3" xfId="44581"/>
    <cellStyle name="PSChar 2 7" xfId="44582"/>
    <cellStyle name="PSChar 3" xfId="44583"/>
    <cellStyle name="PSChar 3 2" xfId="44584"/>
    <cellStyle name="PSChar 3 2 2" xfId="44585"/>
    <cellStyle name="PSChar 3 2 2 2" xfId="44586"/>
    <cellStyle name="PSChar 3 2 3" xfId="44587"/>
    <cellStyle name="PSChar 3 2 3 2" xfId="44588"/>
    <cellStyle name="PSChar 3 2 3 2 2" xfId="44589"/>
    <cellStyle name="PSChar 3 2 3 3" xfId="44590"/>
    <cellStyle name="PSChar 3 2 4" xfId="44591"/>
    <cellStyle name="PSChar 3 2 4 2" xfId="44592"/>
    <cellStyle name="PSChar 3 2 4 2 2" xfId="44593"/>
    <cellStyle name="PSChar 3 2 4 3" xfId="44594"/>
    <cellStyle name="PSChar 3 2 5" xfId="44595"/>
    <cellStyle name="PSChar 3 3" xfId="44596"/>
    <cellStyle name="PSChar 3 3 2" xfId="44597"/>
    <cellStyle name="PSChar 3 3 2 2" xfId="44598"/>
    <cellStyle name="PSChar 3 3 3" xfId="44599"/>
    <cellStyle name="PSChar 3 4" xfId="44600"/>
    <cellStyle name="PSChar 3 4 2" xfId="44601"/>
    <cellStyle name="PSChar 3 4 2 2" xfId="44602"/>
    <cellStyle name="PSChar 3 4 3" xfId="44603"/>
    <cellStyle name="PSChar 3 5" xfId="44604"/>
    <cellStyle name="PSChar 3 5 2" xfId="44605"/>
    <cellStyle name="PSChar 3 5 2 2" xfId="44606"/>
    <cellStyle name="PSChar 3 5 3" xfId="44607"/>
    <cellStyle name="PSChar 3 6" xfId="44608"/>
    <cellStyle name="PSChar 4" xfId="44609"/>
    <cellStyle name="PSChar 4 2" xfId="44610"/>
    <cellStyle name="PSChar 4 2 2" xfId="44611"/>
    <cellStyle name="PSChar 4 2 2 2" xfId="44612"/>
    <cellStyle name="PSChar 4 2 3" xfId="44613"/>
    <cellStyle name="PSChar 4 2 3 2" xfId="44614"/>
    <cellStyle name="PSChar 4 2 3 2 2" xfId="44615"/>
    <cellStyle name="PSChar 4 2 3 3" xfId="44616"/>
    <cellStyle name="PSChar 4 2 4" xfId="44617"/>
    <cellStyle name="PSChar 4 2 4 2" xfId="44618"/>
    <cellStyle name="PSChar 4 2 4 2 2" xfId="44619"/>
    <cellStyle name="PSChar 4 2 4 3" xfId="44620"/>
    <cellStyle name="PSChar 4 2 5" xfId="44621"/>
    <cellStyle name="PSChar 4 3" xfId="44622"/>
    <cellStyle name="PSChar 4 3 2" xfId="44623"/>
    <cellStyle name="PSChar 4 3 2 2" xfId="44624"/>
    <cellStyle name="PSChar 4 3 3" xfId="44625"/>
    <cellStyle name="PSChar 4 4" xfId="44626"/>
    <cellStyle name="PSChar 4 4 2" xfId="44627"/>
    <cellStyle name="PSChar 4 4 2 2" xfId="44628"/>
    <cellStyle name="PSChar 4 4 3" xfId="44629"/>
    <cellStyle name="PSChar 4 5" xfId="44630"/>
    <cellStyle name="PSChar 4 5 2" xfId="44631"/>
    <cellStyle name="PSChar 4 5 2 2" xfId="44632"/>
    <cellStyle name="PSChar 4 5 3" xfId="44633"/>
    <cellStyle name="PSChar 4 6" xfId="44634"/>
    <cellStyle name="PSChar 5" xfId="44635"/>
    <cellStyle name="PSChar 5 2" xfId="44636"/>
    <cellStyle name="PSChar 5 2 2" xfId="44637"/>
    <cellStyle name="PSChar 5 3" xfId="44638"/>
    <cellStyle name="PSChar 5 3 2" xfId="44639"/>
    <cellStyle name="PSChar 5 3 2 2" xfId="44640"/>
    <cellStyle name="PSChar 5 3 3" xfId="44641"/>
    <cellStyle name="PSChar 5 4" xfId="44642"/>
    <cellStyle name="PSChar 5 4 2" xfId="44643"/>
    <cellStyle name="PSChar 5 4 2 2" xfId="44644"/>
    <cellStyle name="PSChar 5 4 3" xfId="44645"/>
    <cellStyle name="PSChar 5 5" xfId="44646"/>
    <cellStyle name="PSChar 6" xfId="44647"/>
    <cellStyle name="PSChar 6 2" xfId="44648"/>
    <cellStyle name="PSChar 6 2 2" xfId="44649"/>
    <cellStyle name="PSChar 6 3" xfId="44650"/>
    <cellStyle name="PSChar 7" xfId="44651"/>
    <cellStyle name="PSChar 7 2" xfId="44652"/>
    <cellStyle name="PSChar 7 2 2" xfId="44653"/>
    <cellStyle name="PSChar 7 3" xfId="44654"/>
    <cellStyle name="PSChar 8" xfId="44655"/>
    <cellStyle name="PSChar 8 2" xfId="44656"/>
    <cellStyle name="PSChar 8 2 2" xfId="44657"/>
    <cellStyle name="PSChar 8 3" xfId="44658"/>
    <cellStyle name="PSChar 9" xfId="44659"/>
    <cellStyle name="PSChar 9 2" xfId="44660"/>
    <cellStyle name="PSDate" xfId="44661"/>
    <cellStyle name="PSDate 2" xfId="44662"/>
    <cellStyle name="PSDate 2 2" xfId="44663"/>
    <cellStyle name="PSDate 2 3" xfId="44664"/>
    <cellStyle name="PSDate 2 3 2" xfId="44665"/>
    <cellStyle name="PSDate 2 3 2 2" xfId="44666"/>
    <cellStyle name="PSDate 2 3 3" xfId="44667"/>
    <cellStyle name="PSDate 2 4" xfId="44668"/>
    <cellStyle name="PSDate 2 4 2" xfId="44669"/>
    <cellStyle name="PSDate 2 4 2 2" xfId="44670"/>
    <cellStyle name="PSDate 2 4 3" xfId="44671"/>
    <cellStyle name="PSDate 3" xfId="44672"/>
    <cellStyle name="PSDate 4" xfId="44673"/>
    <cellStyle name="PSDate 4 2" xfId="44674"/>
    <cellStyle name="PSDate 4 2 2" xfId="44675"/>
    <cellStyle name="PSDate 4 3" xfId="44676"/>
    <cellStyle name="PSDate 5" xfId="44677"/>
    <cellStyle name="PSDate 5 2" xfId="44678"/>
    <cellStyle name="PSDate 5 2 2" xfId="44679"/>
    <cellStyle name="PSDate 5 3" xfId="44680"/>
    <cellStyle name="PSDec" xfId="44681"/>
    <cellStyle name="PSDec 2" xfId="44682"/>
    <cellStyle name="PSDec 2 2" xfId="44683"/>
    <cellStyle name="PSDec 2 3" xfId="44684"/>
    <cellStyle name="PSDec 2 3 2" xfId="44685"/>
    <cellStyle name="PSDec 2 3 2 2" xfId="44686"/>
    <cellStyle name="PSDec 2 3 3" xfId="44687"/>
    <cellStyle name="PSDec 2 4" xfId="44688"/>
    <cellStyle name="PSDec 2 4 2" xfId="44689"/>
    <cellStyle name="PSDec 2 4 2 2" xfId="44690"/>
    <cellStyle name="PSDec 2 4 3" xfId="44691"/>
    <cellStyle name="PSDec 3" xfId="44692"/>
    <cellStyle name="PSDec 4" xfId="44693"/>
    <cellStyle name="PSDec 4 2" xfId="44694"/>
    <cellStyle name="PSDec 4 2 2" xfId="44695"/>
    <cellStyle name="PSDec 4 3" xfId="44696"/>
    <cellStyle name="PSDec 5" xfId="44697"/>
    <cellStyle name="PSDec 5 2" xfId="44698"/>
    <cellStyle name="PSDec 5 2 2" xfId="44699"/>
    <cellStyle name="PSDec 5 3" xfId="44700"/>
    <cellStyle name="PSInt" xfId="44701"/>
    <cellStyle name="PSInt 2" xfId="44702"/>
    <cellStyle name="PSInt 2 2" xfId="44703"/>
    <cellStyle name="PSInt 2 3" xfId="44704"/>
    <cellStyle name="PSInt 2 3 2" xfId="44705"/>
    <cellStyle name="PSInt 2 3 2 2" xfId="44706"/>
    <cellStyle name="PSInt 2 3 3" xfId="44707"/>
    <cellStyle name="PSInt 2 4" xfId="44708"/>
    <cellStyle name="PSInt 2 4 2" xfId="44709"/>
    <cellStyle name="PSInt 2 4 2 2" xfId="44710"/>
    <cellStyle name="PSInt 2 4 3" xfId="44711"/>
    <cellStyle name="PSInt 3" xfId="44712"/>
    <cellStyle name="PSInt 4" xfId="44713"/>
    <cellStyle name="PSInt 4 2" xfId="44714"/>
    <cellStyle name="PSInt 4 2 2" xfId="44715"/>
    <cellStyle name="PSInt 4 3" xfId="44716"/>
    <cellStyle name="PSInt 5" xfId="44717"/>
    <cellStyle name="PSInt 5 2" xfId="44718"/>
    <cellStyle name="PSInt 5 2 2" xfId="44719"/>
    <cellStyle name="PSInt 5 3" xfId="44720"/>
    <cellStyle name="regstoresfromspecstores" xfId="44721"/>
    <cellStyle name="regstoresfromspecstores 10" xfId="44722"/>
    <cellStyle name="regstoresfromspecstores 2" xfId="44723"/>
    <cellStyle name="regstoresfromspecstores 2 2" xfId="44724"/>
    <cellStyle name="regstoresfromspecstores 2 2 2" xfId="44725"/>
    <cellStyle name="regstoresfromspecstores 2 2 2 2" xfId="44726"/>
    <cellStyle name="regstoresfromspecstores 2 2 3" xfId="44727"/>
    <cellStyle name="regstoresfromspecstores 2 2 3 2" xfId="44728"/>
    <cellStyle name="regstoresfromspecstores 2 2 3 2 2" xfId="44729"/>
    <cellStyle name="regstoresfromspecstores 2 2 3 3" xfId="44730"/>
    <cellStyle name="regstoresfromspecstores 2 2 4" xfId="44731"/>
    <cellStyle name="regstoresfromspecstores 2 2 4 2" xfId="44732"/>
    <cellStyle name="regstoresfromspecstores 2 2 4 2 2" xfId="44733"/>
    <cellStyle name="regstoresfromspecstores 2 2 4 3" xfId="44734"/>
    <cellStyle name="regstoresfromspecstores 2 2 5" xfId="44735"/>
    <cellStyle name="regstoresfromspecstores 2 3" xfId="44736"/>
    <cellStyle name="regstoresfromspecstores 2 3 2" xfId="44737"/>
    <cellStyle name="regstoresfromspecstores 2 3 2 2" xfId="44738"/>
    <cellStyle name="regstoresfromspecstores 2 3 2 2 2" xfId="44739"/>
    <cellStyle name="regstoresfromspecstores 2 3 2 3" xfId="44740"/>
    <cellStyle name="regstoresfromspecstores 2 3 2 3 2" xfId="44741"/>
    <cellStyle name="regstoresfromspecstores 2 3 2 3 2 2" xfId="44742"/>
    <cellStyle name="regstoresfromspecstores 2 3 2 3 3" xfId="44743"/>
    <cellStyle name="regstoresfromspecstores 2 3 2 4" xfId="44744"/>
    <cellStyle name="regstoresfromspecstores 2 3 3" xfId="44745"/>
    <cellStyle name="regstoresfromspecstores 2 3 3 2" xfId="44746"/>
    <cellStyle name="regstoresfromspecstores 2 3 3 2 2" xfId="44747"/>
    <cellStyle name="regstoresfromspecstores 2 3 3 3" xfId="44748"/>
    <cellStyle name="regstoresfromspecstores 2 3 4" xfId="44749"/>
    <cellStyle name="regstoresfromspecstores 2 3 4 2" xfId="44750"/>
    <cellStyle name="regstoresfromspecstores 2 3 4 2 2" xfId="44751"/>
    <cellStyle name="regstoresfromspecstores 2 3 4 3" xfId="44752"/>
    <cellStyle name="regstoresfromspecstores 2 3 5" xfId="44753"/>
    <cellStyle name="regstoresfromspecstores 2 3 5 2" xfId="44754"/>
    <cellStyle name="regstoresfromspecstores 2 3 5 2 2" xfId="44755"/>
    <cellStyle name="regstoresfromspecstores 2 3 5 3" xfId="44756"/>
    <cellStyle name="regstoresfromspecstores 2 3 6" xfId="44757"/>
    <cellStyle name="regstoresfromspecstores 2 4" xfId="44758"/>
    <cellStyle name="regstoresfromspecstores 2 4 2" xfId="44759"/>
    <cellStyle name="regstoresfromspecstores 2 4 2 2" xfId="44760"/>
    <cellStyle name="regstoresfromspecstores 2 4 3" xfId="44761"/>
    <cellStyle name="regstoresfromspecstores 2 5" xfId="44762"/>
    <cellStyle name="regstoresfromspecstores 2 5 2" xfId="44763"/>
    <cellStyle name="regstoresfromspecstores 2 5 2 2" xfId="44764"/>
    <cellStyle name="regstoresfromspecstores 2 5 3" xfId="44765"/>
    <cellStyle name="regstoresfromspecstores 2 6" xfId="44766"/>
    <cellStyle name="regstoresfromspecstores 2 6 2" xfId="44767"/>
    <cellStyle name="regstoresfromspecstores 2 6 2 2" xfId="44768"/>
    <cellStyle name="regstoresfromspecstores 2 6 3" xfId="44769"/>
    <cellStyle name="regstoresfromspecstores 2 7" xfId="44770"/>
    <cellStyle name="regstoresfromspecstores 3" xfId="44771"/>
    <cellStyle name="regstoresfromspecstores 3 2" xfId="44772"/>
    <cellStyle name="regstoresfromspecstores 3 2 2" xfId="44773"/>
    <cellStyle name="regstoresfromspecstores 3 2 2 2" xfId="44774"/>
    <cellStyle name="regstoresfromspecstores 3 2 3" xfId="44775"/>
    <cellStyle name="regstoresfromspecstores 3 2 3 2" xfId="44776"/>
    <cellStyle name="regstoresfromspecstores 3 2 3 2 2" xfId="44777"/>
    <cellStyle name="regstoresfromspecstores 3 2 3 3" xfId="44778"/>
    <cellStyle name="regstoresfromspecstores 3 2 4" xfId="44779"/>
    <cellStyle name="regstoresfromspecstores 3 2 4 2" xfId="44780"/>
    <cellStyle name="regstoresfromspecstores 3 2 4 2 2" xfId="44781"/>
    <cellStyle name="regstoresfromspecstores 3 2 4 3" xfId="44782"/>
    <cellStyle name="regstoresfromspecstores 3 2 5" xfId="44783"/>
    <cellStyle name="regstoresfromspecstores 3 3" xfId="44784"/>
    <cellStyle name="regstoresfromspecstores 3 3 2" xfId="44785"/>
    <cellStyle name="regstoresfromspecstores 3 3 2 2" xfId="44786"/>
    <cellStyle name="regstoresfromspecstores 3 3 3" xfId="44787"/>
    <cellStyle name="regstoresfromspecstores 3 4" xfId="44788"/>
    <cellStyle name="regstoresfromspecstores 3 4 2" xfId="44789"/>
    <cellStyle name="regstoresfromspecstores 3 4 2 2" xfId="44790"/>
    <cellStyle name="regstoresfromspecstores 3 4 3" xfId="44791"/>
    <cellStyle name="regstoresfromspecstores 3 5" xfId="44792"/>
    <cellStyle name="regstoresfromspecstores 3 5 2" xfId="44793"/>
    <cellStyle name="regstoresfromspecstores 3 5 2 2" xfId="44794"/>
    <cellStyle name="regstoresfromspecstores 3 5 3" xfId="44795"/>
    <cellStyle name="regstoresfromspecstores 3 6" xfId="44796"/>
    <cellStyle name="regstoresfromspecstores 4" xfId="44797"/>
    <cellStyle name="regstoresfromspecstores 4 2" xfId="44798"/>
    <cellStyle name="regstoresfromspecstores 4 2 2" xfId="44799"/>
    <cellStyle name="regstoresfromspecstores 4 2 2 2" xfId="44800"/>
    <cellStyle name="regstoresfromspecstores 4 2 3" xfId="44801"/>
    <cellStyle name="regstoresfromspecstores 4 2 3 2" xfId="44802"/>
    <cellStyle name="regstoresfromspecstores 4 2 3 2 2" xfId="44803"/>
    <cellStyle name="regstoresfromspecstores 4 2 3 3" xfId="44804"/>
    <cellStyle name="regstoresfromspecstores 4 2 4" xfId="44805"/>
    <cellStyle name="regstoresfromspecstores 4 2 4 2" xfId="44806"/>
    <cellStyle name="regstoresfromspecstores 4 2 4 2 2" xfId="44807"/>
    <cellStyle name="regstoresfromspecstores 4 2 4 3" xfId="44808"/>
    <cellStyle name="regstoresfromspecstores 4 2 5" xfId="44809"/>
    <cellStyle name="regstoresfromspecstores 4 3" xfId="44810"/>
    <cellStyle name="regstoresfromspecstores 4 3 2" xfId="44811"/>
    <cellStyle name="regstoresfromspecstores 4 3 2 2" xfId="44812"/>
    <cellStyle name="regstoresfromspecstores 4 3 3" xfId="44813"/>
    <cellStyle name="regstoresfromspecstores 4 4" xfId="44814"/>
    <cellStyle name="regstoresfromspecstores 4 4 2" xfId="44815"/>
    <cellStyle name="regstoresfromspecstores 4 4 2 2" xfId="44816"/>
    <cellStyle name="regstoresfromspecstores 4 4 3" xfId="44817"/>
    <cellStyle name="regstoresfromspecstores 4 5" xfId="44818"/>
    <cellStyle name="regstoresfromspecstores 4 5 2" xfId="44819"/>
    <cellStyle name="regstoresfromspecstores 4 5 2 2" xfId="44820"/>
    <cellStyle name="regstoresfromspecstores 4 5 3" xfId="44821"/>
    <cellStyle name="regstoresfromspecstores 4 6" xfId="44822"/>
    <cellStyle name="regstoresfromspecstores 5" xfId="44823"/>
    <cellStyle name="regstoresfromspecstores 5 2" xfId="44824"/>
    <cellStyle name="regstoresfromspecstores 5 2 2" xfId="44825"/>
    <cellStyle name="regstoresfromspecstores 5 3" xfId="44826"/>
    <cellStyle name="regstoresfromspecstores 5 3 2" xfId="44827"/>
    <cellStyle name="regstoresfromspecstores 5 3 2 2" xfId="44828"/>
    <cellStyle name="regstoresfromspecstores 5 3 3" xfId="44829"/>
    <cellStyle name="regstoresfromspecstores 5 4" xfId="44830"/>
    <cellStyle name="regstoresfromspecstores 5 4 2" xfId="44831"/>
    <cellStyle name="regstoresfromspecstores 5 4 2 2" xfId="44832"/>
    <cellStyle name="regstoresfromspecstores 5 4 3" xfId="44833"/>
    <cellStyle name="regstoresfromspecstores 5 5" xfId="44834"/>
    <cellStyle name="regstoresfromspecstores 6" xfId="44835"/>
    <cellStyle name="regstoresfromspecstores 6 2" xfId="44836"/>
    <cellStyle name="regstoresfromspecstores 6 2 2" xfId="44837"/>
    <cellStyle name="regstoresfromspecstores 6 3" xfId="44838"/>
    <cellStyle name="regstoresfromspecstores 7" xfId="44839"/>
    <cellStyle name="regstoresfromspecstores 7 2" xfId="44840"/>
    <cellStyle name="regstoresfromspecstores 7 2 2" xfId="44841"/>
    <cellStyle name="regstoresfromspecstores 7 3" xfId="44842"/>
    <cellStyle name="regstoresfromspecstores 8" xfId="44843"/>
    <cellStyle name="regstoresfromspecstores 8 2" xfId="44844"/>
    <cellStyle name="regstoresfromspecstores 8 2 2" xfId="44845"/>
    <cellStyle name="regstoresfromspecstores 8 3" xfId="44846"/>
    <cellStyle name="regstoresfromspecstores 9" xfId="44847"/>
    <cellStyle name="regstoresfromspecstores 9 2" xfId="44848"/>
    <cellStyle name="RevList" xfId="44849"/>
    <cellStyle name="RevList 2" xfId="44850"/>
    <cellStyle name="RevList 3" xfId="44851"/>
    <cellStyle name="RevList 3 2" xfId="44852"/>
    <cellStyle name="RevList 3 2 2" xfId="44853"/>
    <cellStyle name="RevList 3 3" xfId="44854"/>
    <cellStyle name="RevList 4" xfId="44855"/>
    <cellStyle name="RevList 4 2" xfId="44856"/>
    <cellStyle name="RevList 4 2 2" xfId="44857"/>
    <cellStyle name="RevList 4 3" xfId="44858"/>
    <cellStyle name="SAPBEXaggData" xfId="40"/>
    <cellStyle name="SAPBEXaggData 10" xfId="44859"/>
    <cellStyle name="SAPBEXaggData 10 2" xfId="44860"/>
    <cellStyle name="SAPBEXaggData 11" xfId="44861"/>
    <cellStyle name="SAPBEXaggData 11 2" xfId="44862"/>
    <cellStyle name="SAPBEXaggData 12" xfId="44863"/>
    <cellStyle name="SAPBEXaggData 12 2" xfId="44864"/>
    <cellStyle name="SAPBEXaggData 13" xfId="44865"/>
    <cellStyle name="SAPBEXaggData 14" xfId="44866"/>
    <cellStyle name="SAPBEXaggData 2" xfId="44867"/>
    <cellStyle name="SAPBEXaggData 2 2" xfId="44868"/>
    <cellStyle name="SAPBEXaggData 2 2 2" xfId="44869"/>
    <cellStyle name="SAPBEXaggData 2 2 2 2" xfId="44870"/>
    <cellStyle name="SAPBEXaggData 2 2 2 2 2" xfId="44871"/>
    <cellStyle name="SAPBEXaggData 2 2 2 2 2 2" xfId="44872"/>
    <cellStyle name="SAPBEXaggData 2 2 2 2 3" xfId="44873"/>
    <cellStyle name="SAPBEXaggData 2 2 2 3" xfId="44874"/>
    <cellStyle name="SAPBEXaggData 2 2 2 3 2" xfId="44875"/>
    <cellStyle name="SAPBEXaggData 2 2 2 4" xfId="44876"/>
    <cellStyle name="SAPBEXaggData 2 2 3" xfId="44877"/>
    <cellStyle name="SAPBEXaggData 2 2 3 2" xfId="44878"/>
    <cellStyle name="SAPBEXaggData 2 2 3 2 2" xfId="44879"/>
    <cellStyle name="SAPBEXaggData 2 2 3 3" xfId="44880"/>
    <cellStyle name="SAPBEXaggData 2 2 4" xfId="44881"/>
    <cellStyle name="SAPBEXaggData 2 2 4 2" xfId="44882"/>
    <cellStyle name="SAPBEXaggData 2 2 4 2 2" xfId="44883"/>
    <cellStyle name="SAPBEXaggData 2 2 4 3" xfId="44884"/>
    <cellStyle name="SAPBEXaggData 2 2 5" xfId="44885"/>
    <cellStyle name="SAPBEXaggData 2 2 5 2" xfId="44886"/>
    <cellStyle name="SAPBEXaggData 2 2 6" xfId="44887"/>
    <cellStyle name="SAPBEXaggData 2 3" xfId="44888"/>
    <cellStyle name="SAPBEXaggData 2 3 2" xfId="44889"/>
    <cellStyle name="SAPBEXaggData 2 4" xfId="44890"/>
    <cellStyle name="SAPBEXaggData 2 4 2" xfId="44891"/>
    <cellStyle name="SAPBEXaggData 2 4 2 2" xfId="44892"/>
    <cellStyle name="SAPBEXaggData 2 4 3" xfId="44893"/>
    <cellStyle name="SAPBEXaggData 2 5" xfId="44894"/>
    <cellStyle name="SAPBEXaggData 2 5 2" xfId="44895"/>
    <cellStyle name="SAPBEXaggData 2 5 2 2" xfId="44896"/>
    <cellStyle name="SAPBEXaggData 2 5 3" xfId="44897"/>
    <cellStyle name="SAPBEXaggData 2 6" xfId="44898"/>
    <cellStyle name="SAPBEXaggData 3" xfId="44899"/>
    <cellStyle name="SAPBEXaggData 3 2" xfId="44900"/>
    <cellStyle name="SAPBEXaggData 3 2 2" xfId="44901"/>
    <cellStyle name="SAPBEXaggData 3 3" xfId="44902"/>
    <cellStyle name="SAPBEXaggData 3 3 2" xfId="44903"/>
    <cellStyle name="SAPBEXaggData 3 3 2 2" xfId="44904"/>
    <cellStyle name="SAPBEXaggData 3 3 3" xfId="44905"/>
    <cellStyle name="SAPBEXaggData 3 4" xfId="44906"/>
    <cellStyle name="SAPBEXaggData 3 4 2" xfId="44907"/>
    <cellStyle name="SAPBEXaggData 3 4 2 2" xfId="44908"/>
    <cellStyle name="SAPBEXaggData 3 4 3" xfId="44909"/>
    <cellStyle name="SAPBEXaggData 3 5" xfId="44910"/>
    <cellStyle name="SAPBEXaggData 4" xfId="44911"/>
    <cellStyle name="SAPBEXaggData 4 2" xfId="44912"/>
    <cellStyle name="SAPBEXaggData 4 2 2" xfId="44913"/>
    <cellStyle name="SAPBEXaggData 4 2 2 2" xfId="44914"/>
    <cellStyle name="SAPBEXaggData 4 2 3" xfId="44915"/>
    <cellStyle name="SAPBEXaggData 4 2 3 2" xfId="44916"/>
    <cellStyle name="SAPBEXaggData 4 2 3 2 2" xfId="44917"/>
    <cellStyle name="SAPBEXaggData 4 2 3 3" xfId="44918"/>
    <cellStyle name="SAPBEXaggData 4 2 4" xfId="44919"/>
    <cellStyle name="SAPBEXaggData 4 3" xfId="44920"/>
    <cellStyle name="SAPBEXaggData 4 3 2" xfId="44921"/>
    <cellStyle name="SAPBEXaggData 4 3 2 2" xfId="44922"/>
    <cellStyle name="SAPBEXaggData 4 3 3" xfId="44923"/>
    <cellStyle name="SAPBEXaggData 4 4" xfId="44924"/>
    <cellStyle name="SAPBEXaggData 4 4 2" xfId="44925"/>
    <cellStyle name="SAPBEXaggData 4 4 2 2" xfId="44926"/>
    <cellStyle name="SAPBEXaggData 4 4 3" xfId="44927"/>
    <cellStyle name="SAPBEXaggData 4 5" xfId="44928"/>
    <cellStyle name="SAPBEXaggData 4 5 2" xfId="44929"/>
    <cellStyle name="SAPBEXaggData 4 5 2 2" xfId="44930"/>
    <cellStyle name="SAPBEXaggData 4 5 3" xfId="44931"/>
    <cellStyle name="SAPBEXaggData 4 6" xfId="44932"/>
    <cellStyle name="SAPBEXaggData 5" xfId="44933"/>
    <cellStyle name="SAPBEXaggData 5 2" xfId="44934"/>
    <cellStyle name="SAPBEXaggData 5 2 2" xfId="44935"/>
    <cellStyle name="SAPBEXaggData 5 3" xfId="44936"/>
    <cellStyle name="SAPBEXaggData 6" xfId="44937"/>
    <cellStyle name="SAPBEXaggData 6 2" xfId="44938"/>
    <cellStyle name="SAPBEXaggData 6 2 2" xfId="44939"/>
    <cellStyle name="SAPBEXaggData 6 3" xfId="44940"/>
    <cellStyle name="SAPBEXaggData 7" xfId="44941"/>
    <cellStyle name="SAPBEXaggData 7 2" xfId="44942"/>
    <cellStyle name="SAPBEXaggData 7 2 2" xfId="44943"/>
    <cellStyle name="SAPBEXaggData 7 3" xfId="44944"/>
    <cellStyle name="SAPBEXaggData 8" xfId="44945"/>
    <cellStyle name="SAPBEXaggData 8 2" xfId="44946"/>
    <cellStyle name="SAPBEXaggData 9" xfId="44947"/>
    <cellStyle name="SAPBEXaggData 9 2" xfId="44948"/>
    <cellStyle name="SAPBEXaggDataEmph" xfId="41"/>
    <cellStyle name="SAPBEXaggDataEmph 10" xfId="44949"/>
    <cellStyle name="SAPBEXaggDataEmph 10 2" xfId="44950"/>
    <cellStyle name="SAPBEXaggDataEmph 11" xfId="44951"/>
    <cellStyle name="SAPBEXaggDataEmph 11 2" xfId="44952"/>
    <cellStyle name="SAPBEXaggDataEmph 12" xfId="44953"/>
    <cellStyle name="SAPBEXaggDataEmph 13" xfId="44954"/>
    <cellStyle name="SAPBEXaggDataEmph 2" xfId="44955"/>
    <cellStyle name="SAPBEXaggDataEmph 2 2" xfId="44956"/>
    <cellStyle name="SAPBEXaggDataEmph 2 2 2" xfId="44957"/>
    <cellStyle name="SAPBEXaggDataEmph 2 2 2 2" xfId="44958"/>
    <cellStyle name="SAPBEXaggDataEmph 2 2 2 2 2" xfId="44959"/>
    <cellStyle name="SAPBEXaggDataEmph 2 2 2 2 2 2" xfId="44960"/>
    <cellStyle name="SAPBEXaggDataEmph 2 2 2 2 3" xfId="44961"/>
    <cellStyle name="SAPBEXaggDataEmph 2 2 2 3" xfId="44962"/>
    <cellStyle name="SAPBEXaggDataEmph 2 2 2 3 2" xfId="44963"/>
    <cellStyle name="SAPBEXaggDataEmph 2 2 2 4" xfId="44964"/>
    <cellStyle name="SAPBEXaggDataEmph 2 2 3" xfId="44965"/>
    <cellStyle name="SAPBEXaggDataEmph 2 2 3 2" xfId="44966"/>
    <cellStyle name="SAPBEXaggDataEmph 2 2 3 2 2" xfId="44967"/>
    <cellStyle name="SAPBEXaggDataEmph 2 2 3 3" xfId="44968"/>
    <cellStyle name="SAPBEXaggDataEmph 2 2 4" xfId="44969"/>
    <cellStyle name="SAPBEXaggDataEmph 2 2 4 2" xfId="44970"/>
    <cellStyle name="SAPBEXaggDataEmph 2 2 4 2 2" xfId="44971"/>
    <cellStyle name="SAPBEXaggDataEmph 2 2 4 3" xfId="44972"/>
    <cellStyle name="SAPBEXaggDataEmph 2 2 5" xfId="44973"/>
    <cellStyle name="SAPBEXaggDataEmph 2 2 5 2" xfId="44974"/>
    <cellStyle name="SAPBEXaggDataEmph 2 2 6" xfId="44975"/>
    <cellStyle name="SAPBEXaggDataEmph 2 3" xfId="44976"/>
    <cellStyle name="SAPBEXaggDataEmph 2 3 2" xfId="44977"/>
    <cellStyle name="SAPBEXaggDataEmph 2 4" xfId="44978"/>
    <cellStyle name="SAPBEXaggDataEmph 2 4 2" xfId="44979"/>
    <cellStyle name="SAPBEXaggDataEmph 2 4 2 2" xfId="44980"/>
    <cellStyle name="SAPBEXaggDataEmph 2 4 3" xfId="44981"/>
    <cellStyle name="SAPBEXaggDataEmph 2 5" xfId="44982"/>
    <cellStyle name="SAPBEXaggDataEmph 2 5 2" xfId="44983"/>
    <cellStyle name="SAPBEXaggDataEmph 2 5 2 2" xfId="44984"/>
    <cellStyle name="SAPBEXaggDataEmph 2 5 3" xfId="44985"/>
    <cellStyle name="SAPBEXaggDataEmph 2 6" xfId="44986"/>
    <cellStyle name="SAPBEXaggDataEmph 3" xfId="44987"/>
    <cellStyle name="SAPBEXaggDataEmph 3 2" xfId="44988"/>
    <cellStyle name="SAPBEXaggDataEmph 3 2 2" xfId="44989"/>
    <cellStyle name="SAPBEXaggDataEmph 3 3" xfId="44990"/>
    <cellStyle name="SAPBEXaggDataEmph 3 3 2" xfId="44991"/>
    <cellStyle name="SAPBEXaggDataEmph 3 3 2 2" xfId="44992"/>
    <cellStyle name="SAPBEXaggDataEmph 3 3 3" xfId="44993"/>
    <cellStyle name="SAPBEXaggDataEmph 3 4" xfId="44994"/>
    <cellStyle name="SAPBEXaggDataEmph 3 4 2" xfId="44995"/>
    <cellStyle name="SAPBEXaggDataEmph 3 4 2 2" xfId="44996"/>
    <cellStyle name="SAPBEXaggDataEmph 3 4 3" xfId="44997"/>
    <cellStyle name="SAPBEXaggDataEmph 3 5" xfId="44998"/>
    <cellStyle name="SAPBEXaggDataEmph 4" xfId="44999"/>
    <cellStyle name="SAPBEXaggDataEmph 4 2" xfId="45000"/>
    <cellStyle name="SAPBEXaggDataEmph 4 2 2" xfId="45001"/>
    <cellStyle name="SAPBEXaggDataEmph 4 2 2 2" xfId="45002"/>
    <cellStyle name="SAPBEXaggDataEmph 4 2 3" xfId="45003"/>
    <cellStyle name="SAPBEXaggDataEmph 4 2 3 2" xfId="45004"/>
    <cellStyle name="SAPBEXaggDataEmph 4 2 3 2 2" xfId="45005"/>
    <cellStyle name="SAPBEXaggDataEmph 4 2 3 3" xfId="45006"/>
    <cellStyle name="SAPBEXaggDataEmph 4 2 4" xfId="45007"/>
    <cellStyle name="SAPBEXaggDataEmph 4 3" xfId="45008"/>
    <cellStyle name="SAPBEXaggDataEmph 4 3 2" xfId="45009"/>
    <cellStyle name="SAPBEXaggDataEmph 4 3 2 2" xfId="45010"/>
    <cellStyle name="SAPBEXaggDataEmph 4 3 3" xfId="45011"/>
    <cellStyle name="SAPBEXaggDataEmph 4 4" xfId="45012"/>
    <cellStyle name="SAPBEXaggDataEmph 4 4 2" xfId="45013"/>
    <cellStyle name="SAPBEXaggDataEmph 4 4 2 2" xfId="45014"/>
    <cellStyle name="SAPBEXaggDataEmph 4 4 3" xfId="45015"/>
    <cellStyle name="SAPBEXaggDataEmph 4 5" xfId="45016"/>
    <cellStyle name="SAPBEXaggDataEmph 4 5 2" xfId="45017"/>
    <cellStyle name="SAPBEXaggDataEmph 4 5 2 2" xfId="45018"/>
    <cellStyle name="SAPBEXaggDataEmph 4 5 3" xfId="45019"/>
    <cellStyle name="SAPBEXaggDataEmph 4 6" xfId="45020"/>
    <cellStyle name="SAPBEXaggDataEmph 5" xfId="45021"/>
    <cellStyle name="SAPBEXaggDataEmph 5 2" xfId="45022"/>
    <cellStyle name="SAPBEXaggDataEmph 5 2 2" xfId="45023"/>
    <cellStyle name="SAPBEXaggDataEmph 5 3" xfId="45024"/>
    <cellStyle name="SAPBEXaggDataEmph 6" xfId="45025"/>
    <cellStyle name="SAPBEXaggDataEmph 6 2" xfId="45026"/>
    <cellStyle name="SAPBEXaggDataEmph 6 2 2" xfId="45027"/>
    <cellStyle name="SAPBEXaggDataEmph 6 3" xfId="45028"/>
    <cellStyle name="SAPBEXaggDataEmph 7" xfId="45029"/>
    <cellStyle name="SAPBEXaggDataEmph 7 2" xfId="45030"/>
    <cellStyle name="SAPBEXaggDataEmph 7 2 2" xfId="45031"/>
    <cellStyle name="SAPBEXaggDataEmph 7 3" xfId="45032"/>
    <cellStyle name="SAPBEXaggDataEmph 8" xfId="45033"/>
    <cellStyle name="SAPBEXaggDataEmph 8 2" xfId="45034"/>
    <cellStyle name="SAPBEXaggDataEmph 9" xfId="45035"/>
    <cellStyle name="SAPBEXaggDataEmph 9 2" xfId="45036"/>
    <cellStyle name="SAPBEXaggItem" xfId="42"/>
    <cellStyle name="SAPBEXaggItem 10" xfId="45037"/>
    <cellStyle name="SAPBEXaggItem 10 2" xfId="45038"/>
    <cellStyle name="SAPBEXaggItem 11" xfId="45039"/>
    <cellStyle name="SAPBEXaggItem 11 2" xfId="45040"/>
    <cellStyle name="SAPBEXaggItem 12" xfId="45041"/>
    <cellStyle name="SAPBEXaggItem 12 2" xfId="45042"/>
    <cellStyle name="SAPBEXaggItem 13" xfId="45043"/>
    <cellStyle name="SAPBEXaggItem 14" xfId="45044"/>
    <cellStyle name="SAPBEXaggItem 2" xfId="45045"/>
    <cellStyle name="SAPBEXaggItem 2 2" xfId="45046"/>
    <cellStyle name="SAPBEXaggItem 2 2 2" xfId="45047"/>
    <cellStyle name="SAPBEXaggItem 2 2 2 2" xfId="45048"/>
    <cellStyle name="SAPBEXaggItem 2 2 2 2 2" xfId="45049"/>
    <cellStyle name="SAPBEXaggItem 2 2 2 2 2 2" xfId="45050"/>
    <cellStyle name="SAPBEXaggItem 2 2 2 2 3" xfId="45051"/>
    <cellStyle name="SAPBEXaggItem 2 2 2 3" xfId="45052"/>
    <cellStyle name="SAPBEXaggItem 2 2 2 3 2" xfId="45053"/>
    <cellStyle name="SAPBEXaggItem 2 2 2 4" xfId="45054"/>
    <cellStyle name="SAPBEXaggItem 2 2 3" xfId="45055"/>
    <cellStyle name="SAPBEXaggItem 2 2 3 2" xfId="45056"/>
    <cellStyle name="SAPBEXaggItem 2 2 3 2 2" xfId="45057"/>
    <cellStyle name="SAPBEXaggItem 2 2 3 3" xfId="45058"/>
    <cellStyle name="SAPBEXaggItem 2 2 4" xfId="45059"/>
    <cellStyle name="SAPBEXaggItem 2 2 4 2" xfId="45060"/>
    <cellStyle name="SAPBEXaggItem 2 2 4 2 2" xfId="45061"/>
    <cellStyle name="SAPBEXaggItem 2 2 4 3" xfId="45062"/>
    <cellStyle name="SAPBEXaggItem 2 2 5" xfId="45063"/>
    <cellStyle name="SAPBEXaggItem 2 2 5 2" xfId="45064"/>
    <cellStyle name="SAPBEXaggItem 2 2 6" xfId="45065"/>
    <cellStyle name="SAPBEXaggItem 2 3" xfId="45066"/>
    <cellStyle name="SAPBEXaggItem 2 3 2" xfId="45067"/>
    <cellStyle name="SAPBEXaggItem 2 4" xfId="45068"/>
    <cellStyle name="SAPBEXaggItem 2 4 2" xfId="45069"/>
    <cellStyle name="SAPBEXaggItem 2 4 2 2" xfId="45070"/>
    <cellStyle name="SAPBEXaggItem 2 4 3" xfId="45071"/>
    <cellStyle name="SAPBEXaggItem 2 5" xfId="45072"/>
    <cellStyle name="SAPBEXaggItem 2 5 2" xfId="45073"/>
    <cellStyle name="SAPBEXaggItem 2 5 2 2" xfId="45074"/>
    <cellStyle name="SAPBEXaggItem 2 5 3" xfId="45075"/>
    <cellStyle name="SAPBEXaggItem 2 6" xfId="45076"/>
    <cellStyle name="SAPBEXaggItem 3" xfId="45077"/>
    <cellStyle name="SAPBEXaggItem 3 2" xfId="45078"/>
    <cellStyle name="SAPBEXaggItem 3 2 2" xfId="45079"/>
    <cellStyle name="SAPBEXaggItem 3 3" xfId="45080"/>
    <cellStyle name="SAPBEXaggItem 3 3 2" xfId="45081"/>
    <cellStyle name="SAPBEXaggItem 3 3 2 2" xfId="45082"/>
    <cellStyle name="SAPBEXaggItem 3 3 3" xfId="45083"/>
    <cellStyle name="SAPBEXaggItem 3 4" xfId="45084"/>
    <cellStyle name="SAPBEXaggItem 3 4 2" xfId="45085"/>
    <cellStyle name="SAPBEXaggItem 3 4 2 2" xfId="45086"/>
    <cellStyle name="SAPBEXaggItem 3 4 3" xfId="45087"/>
    <cellStyle name="SAPBEXaggItem 3 5" xfId="45088"/>
    <cellStyle name="SAPBEXaggItem 4" xfId="45089"/>
    <cellStyle name="SAPBEXaggItem 4 2" xfId="45090"/>
    <cellStyle name="SAPBEXaggItem 4 2 2" xfId="45091"/>
    <cellStyle name="SAPBEXaggItem 4 2 2 2" xfId="45092"/>
    <cellStyle name="SAPBEXaggItem 4 2 3" xfId="45093"/>
    <cellStyle name="SAPBEXaggItem 4 2 3 2" xfId="45094"/>
    <cellStyle name="SAPBEXaggItem 4 2 3 2 2" xfId="45095"/>
    <cellStyle name="SAPBEXaggItem 4 2 3 3" xfId="45096"/>
    <cellStyle name="SAPBEXaggItem 4 2 4" xfId="45097"/>
    <cellStyle name="SAPBEXaggItem 4 3" xfId="45098"/>
    <cellStyle name="SAPBEXaggItem 4 3 2" xfId="45099"/>
    <cellStyle name="SAPBEXaggItem 4 3 2 2" xfId="45100"/>
    <cellStyle name="SAPBEXaggItem 4 3 3" xfId="45101"/>
    <cellStyle name="SAPBEXaggItem 4 4" xfId="45102"/>
    <cellStyle name="SAPBEXaggItem 4 4 2" xfId="45103"/>
    <cellStyle name="SAPBEXaggItem 4 4 2 2" xfId="45104"/>
    <cellStyle name="SAPBEXaggItem 4 4 3" xfId="45105"/>
    <cellStyle name="SAPBEXaggItem 4 5" xfId="45106"/>
    <cellStyle name="SAPBEXaggItem 4 5 2" xfId="45107"/>
    <cellStyle name="SAPBEXaggItem 4 5 2 2" xfId="45108"/>
    <cellStyle name="SAPBEXaggItem 4 5 3" xfId="45109"/>
    <cellStyle name="SAPBEXaggItem 4 6" xfId="45110"/>
    <cellStyle name="SAPBEXaggItem 5" xfId="45111"/>
    <cellStyle name="SAPBEXaggItem 5 2" xfId="45112"/>
    <cellStyle name="SAPBEXaggItem 5 2 2" xfId="45113"/>
    <cellStyle name="SAPBEXaggItem 5 3" xfId="45114"/>
    <cellStyle name="SAPBEXaggItem 6" xfId="45115"/>
    <cellStyle name="SAPBEXaggItem 6 2" xfId="45116"/>
    <cellStyle name="SAPBEXaggItem 6 2 2" xfId="45117"/>
    <cellStyle name="SAPBEXaggItem 6 3" xfId="45118"/>
    <cellStyle name="SAPBEXaggItem 7" xfId="45119"/>
    <cellStyle name="SAPBEXaggItem 7 2" xfId="45120"/>
    <cellStyle name="SAPBEXaggItem 7 2 2" xfId="45121"/>
    <cellStyle name="SAPBEXaggItem 7 3" xfId="45122"/>
    <cellStyle name="SAPBEXaggItem 8" xfId="45123"/>
    <cellStyle name="SAPBEXaggItem 8 2" xfId="45124"/>
    <cellStyle name="SAPBEXaggItem 9" xfId="45125"/>
    <cellStyle name="SAPBEXaggItem 9 2" xfId="45126"/>
    <cellStyle name="SAPBEXaggItemX" xfId="43"/>
    <cellStyle name="SAPBEXaggItemX 10" xfId="45127"/>
    <cellStyle name="SAPBEXaggItemX 10 2" xfId="45128"/>
    <cellStyle name="SAPBEXaggItemX 10 2 2" xfId="45129"/>
    <cellStyle name="SAPBEXaggItemX 10 3" xfId="45130"/>
    <cellStyle name="SAPBEXaggItemX 11" xfId="45131"/>
    <cellStyle name="SAPBEXaggItemX 11 2" xfId="45132"/>
    <cellStyle name="SAPBEXaggItemX 12" xfId="45133"/>
    <cellStyle name="SAPBEXaggItemX 12 2" xfId="45134"/>
    <cellStyle name="SAPBEXaggItemX 12 2 2" xfId="45135"/>
    <cellStyle name="SAPBEXaggItemX 12 3" xfId="45136"/>
    <cellStyle name="SAPBEXaggItemX 12 3 2" xfId="45137"/>
    <cellStyle name="SAPBEXaggItemX 12 4" xfId="45138"/>
    <cellStyle name="SAPBEXaggItemX 13" xfId="45139"/>
    <cellStyle name="SAPBEXaggItemX 13 2" xfId="45140"/>
    <cellStyle name="SAPBEXaggItemX 14" xfId="45141"/>
    <cellStyle name="SAPBEXaggItemX 14 2" xfId="45142"/>
    <cellStyle name="SAPBEXaggItemX 15" xfId="45143"/>
    <cellStyle name="SAPBEXaggItemX 15 2" xfId="45144"/>
    <cellStyle name="SAPBEXaggItemX 16" xfId="45145"/>
    <cellStyle name="SAPBEXaggItemX 17" xfId="45146"/>
    <cellStyle name="SAPBEXaggItemX 2" xfId="45147"/>
    <cellStyle name="SAPBEXaggItemX 2 2" xfId="45148"/>
    <cellStyle name="SAPBEXaggItemX 2 2 2" xfId="45149"/>
    <cellStyle name="SAPBEXaggItemX 2 2 2 2" xfId="45150"/>
    <cellStyle name="SAPBEXaggItemX 2 2 2 2 2" xfId="45151"/>
    <cellStyle name="SAPBEXaggItemX 2 2 2 3" xfId="45152"/>
    <cellStyle name="SAPBEXaggItemX 2 2 3" xfId="45153"/>
    <cellStyle name="SAPBEXaggItemX 2 2 3 2" xfId="45154"/>
    <cellStyle name="SAPBEXaggItemX 2 2 3 2 2" xfId="45155"/>
    <cellStyle name="SAPBEXaggItemX 2 2 3 3" xfId="45156"/>
    <cellStyle name="SAPBEXaggItemX 2 2 4" xfId="45157"/>
    <cellStyle name="SAPBEXaggItemX 2 2 4 2" xfId="45158"/>
    <cellStyle name="SAPBEXaggItemX 2 2 4 2 2" xfId="45159"/>
    <cellStyle name="SAPBEXaggItemX 2 2 4 3" xfId="45160"/>
    <cellStyle name="SAPBEXaggItemX 2 2 5" xfId="45161"/>
    <cellStyle name="SAPBEXaggItemX 2 2 5 2" xfId="45162"/>
    <cellStyle name="SAPBEXaggItemX 2 2 6" xfId="45163"/>
    <cellStyle name="SAPBEXaggItemX 2 3" xfId="45164"/>
    <cellStyle name="SAPBEXaggItemX 2 3 2" xfId="45165"/>
    <cellStyle name="SAPBEXaggItemX 2 3 2 2" xfId="45166"/>
    <cellStyle name="SAPBEXaggItemX 2 3 2 2 2" xfId="45167"/>
    <cellStyle name="SAPBEXaggItemX 2 3 2 2 2 2" xfId="45168"/>
    <cellStyle name="SAPBEXaggItemX 2 3 2 2 3" xfId="45169"/>
    <cellStyle name="SAPBEXaggItemX 2 3 2 3" xfId="45170"/>
    <cellStyle name="SAPBEXaggItemX 2 3 2 3 2" xfId="45171"/>
    <cellStyle name="SAPBEXaggItemX 2 3 2 3 2 2" xfId="45172"/>
    <cellStyle name="SAPBEXaggItemX 2 3 2 3 3" xfId="45173"/>
    <cellStyle name="SAPBEXaggItemX 2 3 2 4" xfId="45174"/>
    <cellStyle name="SAPBEXaggItemX 2 3 2 4 2" xfId="45175"/>
    <cellStyle name="SAPBEXaggItemX 2 3 2 5" xfId="45176"/>
    <cellStyle name="SAPBEXaggItemX 2 3 3" xfId="45177"/>
    <cellStyle name="SAPBEXaggItemX 2 3 3 2" xfId="45178"/>
    <cellStyle name="SAPBEXaggItemX 2 3 3 2 2" xfId="45179"/>
    <cellStyle name="SAPBEXaggItemX 2 3 3 2 2 2" xfId="45180"/>
    <cellStyle name="SAPBEXaggItemX 2 3 3 2 3" xfId="45181"/>
    <cellStyle name="SAPBEXaggItemX 2 3 3 3" xfId="45182"/>
    <cellStyle name="SAPBEXaggItemX 2 3 3 3 2" xfId="45183"/>
    <cellStyle name="SAPBEXaggItemX 2 3 3 4" xfId="45184"/>
    <cellStyle name="SAPBEXaggItemX 2 3 4" xfId="45185"/>
    <cellStyle name="SAPBEXaggItemX 2 3 4 2" xfId="45186"/>
    <cellStyle name="SAPBEXaggItemX 2 3 4 2 2" xfId="45187"/>
    <cellStyle name="SAPBEXaggItemX 2 3 4 3" xfId="45188"/>
    <cellStyle name="SAPBEXaggItemX 2 3 5" xfId="45189"/>
    <cellStyle name="SAPBEXaggItemX 2 3 5 2" xfId="45190"/>
    <cellStyle name="SAPBEXaggItemX 2 3 5 2 2" xfId="45191"/>
    <cellStyle name="SAPBEXaggItemX 2 3 5 3" xfId="45192"/>
    <cellStyle name="SAPBEXaggItemX 2 3 6" xfId="45193"/>
    <cellStyle name="SAPBEXaggItemX 2 3 6 2" xfId="45194"/>
    <cellStyle name="SAPBEXaggItemX 2 3 7" xfId="45195"/>
    <cellStyle name="SAPBEXaggItemX 2 4" xfId="45196"/>
    <cellStyle name="SAPBEXaggItemX 2 4 2" xfId="45197"/>
    <cellStyle name="SAPBEXaggItemX 2 4 2 2" xfId="45198"/>
    <cellStyle name="SAPBEXaggItemX 2 4 2 2 2" xfId="45199"/>
    <cellStyle name="SAPBEXaggItemX 2 4 2 2 2 2" xfId="45200"/>
    <cellStyle name="SAPBEXaggItemX 2 4 2 2 3" xfId="45201"/>
    <cellStyle name="SAPBEXaggItemX 2 4 2 3" xfId="45202"/>
    <cellStyle name="SAPBEXaggItemX 2 4 2 3 2" xfId="45203"/>
    <cellStyle name="SAPBEXaggItemX 2 4 2 3 2 2" xfId="45204"/>
    <cellStyle name="SAPBEXaggItemX 2 4 2 3 3" xfId="45205"/>
    <cellStyle name="SAPBEXaggItemX 2 4 2 4" xfId="45206"/>
    <cellStyle name="SAPBEXaggItemX 2 4 2 4 2" xfId="45207"/>
    <cellStyle name="SAPBEXaggItemX 2 4 2 5" xfId="45208"/>
    <cellStyle name="SAPBEXaggItemX 2 4 3" xfId="45209"/>
    <cellStyle name="SAPBEXaggItemX 2 4 3 2" xfId="45210"/>
    <cellStyle name="SAPBEXaggItemX 2 4 3 2 2" xfId="45211"/>
    <cellStyle name="SAPBEXaggItemX 2 4 3 2 2 2" xfId="45212"/>
    <cellStyle name="SAPBEXaggItemX 2 4 3 2 3" xfId="45213"/>
    <cellStyle name="SAPBEXaggItemX 2 4 3 3" xfId="45214"/>
    <cellStyle name="SAPBEXaggItemX 2 4 3 3 2" xfId="45215"/>
    <cellStyle name="SAPBEXaggItemX 2 4 3 4" xfId="45216"/>
    <cellStyle name="SAPBEXaggItemX 2 4 4" xfId="45217"/>
    <cellStyle name="SAPBEXaggItemX 2 4 4 2" xfId="45218"/>
    <cellStyle name="SAPBEXaggItemX 2 4 4 2 2" xfId="45219"/>
    <cellStyle name="SAPBEXaggItemX 2 4 4 3" xfId="45220"/>
    <cellStyle name="SAPBEXaggItemX 2 4 5" xfId="45221"/>
    <cellStyle name="SAPBEXaggItemX 2 4 5 2" xfId="45222"/>
    <cellStyle name="SAPBEXaggItemX 2 4 6" xfId="45223"/>
    <cellStyle name="SAPBEXaggItemX 2 5" xfId="45224"/>
    <cellStyle name="SAPBEXaggItemX 2 5 2" xfId="45225"/>
    <cellStyle name="SAPBEXaggItemX 2 5 2 2" xfId="45226"/>
    <cellStyle name="SAPBEXaggItemX 2 5 2 2 2" xfId="45227"/>
    <cellStyle name="SAPBEXaggItemX 2 5 2 3" xfId="45228"/>
    <cellStyle name="SAPBEXaggItemX 2 5 3" xfId="45229"/>
    <cellStyle name="SAPBEXaggItemX 2 5 3 2" xfId="45230"/>
    <cellStyle name="SAPBEXaggItemX 2 5 4" xfId="45231"/>
    <cellStyle name="SAPBEXaggItemX 2 6" xfId="45232"/>
    <cellStyle name="SAPBEXaggItemX 2 6 2" xfId="45233"/>
    <cellStyle name="SAPBEXaggItemX 2 6 2 2" xfId="45234"/>
    <cellStyle name="SAPBEXaggItemX 2 6 3" xfId="45235"/>
    <cellStyle name="SAPBEXaggItemX 2 7" xfId="45236"/>
    <cellStyle name="SAPBEXaggItemX 2 7 2" xfId="45237"/>
    <cellStyle name="SAPBEXaggItemX 2 7 2 2" xfId="45238"/>
    <cellStyle name="SAPBEXaggItemX 2 7 3" xfId="45239"/>
    <cellStyle name="SAPBEXaggItemX 2 8" xfId="45240"/>
    <cellStyle name="SAPBEXaggItemX 2 8 2" xfId="45241"/>
    <cellStyle name="SAPBEXaggItemX 2 9" xfId="45242"/>
    <cellStyle name="SAPBEXaggItemX 3" xfId="45243"/>
    <cellStyle name="SAPBEXaggItemX 3 2" xfId="45244"/>
    <cellStyle name="SAPBEXaggItemX 3 2 2" xfId="45245"/>
    <cellStyle name="SAPBEXaggItemX 3 2 2 2" xfId="45246"/>
    <cellStyle name="SAPBEXaggItemX 3 2 2 2 2" xfId="45247"/>
    <cellStyle name="SAPBEXaggItemX 3 2 2 3" xfId="45248"/>
    <cellStyle name="SAPBEXaggItemX 3 2 3" xfId="45249"/>
    <cellStyle name="SAPBEXaggItemX 3 2 3 2" xfId="45250"/>
    <cellStyle name="SAPBEXaggItemX 3 2 3 2 2" xfId="45251"/>
    <cellStyle name="SAPBEXaggItemX 3 2 3 3" xfId="45252"/>
    <cellStyle name="SAPBEXaggItemX 3 2 4" xfId="45253"/>
    <cellStyle name="SAPBEXaggItemX 3 2 4 2" xfId="45254"/>
    <cellStyle name="SAPBEXaggItemX 3 2 4 2 2" xfId="45255"/>
    <cellStyle name="SAPBEXaggItemX 3 2 4 3" xfId="45256"/>
    <cellStyle name="SAPBEXaggItemX 3 2 5" xfId="45257"/>
    <cellStyle name="SAPBEXaggItemX 3 2 5 2" xfId="45258"/>
    <cellStyle name="SAPBEXaggItemX 3 2 6" xfId="45259"/>
    <cellStyle name="SAPBEXaggItemX 3 3" xfId="45260"/>
    <cellStyle name="SAPBEXaggItemX 3 3 2" xfId="45261"/>
    <cellStyle name="SAPBEXaggItemX 3 3 2 2" xfId="45262"/>
    <cellStyle name="SAPBEXaggItemX 3 3 2 2 2" xfId="45263"/>
    <cellStyle name="SAPBEXaggItemX 3 3 2 3" xfId="45264"/>
    <cellStyle name="SAPBEXaggItemX 3 3 3" xfId="45265"/>
    <cellStyle name="SAPBEXaggItemX 3 3 3 2" xfId="45266"/>
    <cellStyle name="SAPBEXaggItemX 3 3 4" xfId="45267"/>
    <cellStyle name="SAPBEXaggItemX 3 4" xfId="45268"/>
    <cellStyle name="SAPBEXaggItemX 3 4 2" xfId="45269"/>
    <cellStyle name="SAPBEXaggItemX 3 4 2 2" xfId="45270"/>
    <cellStyle name="SAPBEXaggItemX 3 4 3" xfId="45271"/>
    <cellStyle name="SAPBEXaggItemX 3 5" xfId="45272"/>
    <cellStyle name="SAPBEXaggItemX 3 5 2" xfId="45273"/>
    <cellStyle name="SAPBEXaggItemX 3 5 2 2" xfId="45274"/>
    <cellStyle name="SAPBEXaggItemX 3 5 3" xfId="45275"/>
    <cellStyle name="SAPBEXaggItemX 3 6" xfId="45276"/>
    <cellStyle name="SAPBEXaggItemX 3 6 2" xfId="45277"/>
    <cellStyle name="SAPBEXaggItemX 3 7" xfId="45278"/>
    <cellStyle name="SAPBEXaggItemX 4" xfId="45279"/>
    <cellStyle name="SAPBEXaggItemX 4 2" xfId="45280"/>
    <cellStyle name="SAPBEXaggItemX 4 2 2" xfId="45281"/>
    <cellStyle name="SAPBEXaggItemX 4 2 2 2" xfId="45282"/>
    <cellStyle name="SAPBEXaggItemX 4 2 2 2 2" xfId="45283"/>
    <cellStyle name="SAPBEXaggItemX 4 2 2 3" xfId="45284"/>
    <cellStyle name="SAPBEXaggItemX 4 2 3" xfId="45285"/>
    <cellStyle name="SAPBEXaggItemX 4 2 3 2" xfId="45286"/>
    <cellStyle name="SAPBEXaggItemX 4 2 3 2 2" xfId="45287"/>
    <cellStyle name="SAPBEXaggItemX 4 2 3 3" xfId="45288"/>
    <cellStyle name="SAPBEXaggItemX 4 2 4" xfId="45289"/>
    <cellStyle name="SAPBEXaggItemX 4 2 4 2" xfId="45290"/>
    <cellStyle name="SAPBEXaggItemX 4 2 4 2 2" xfId="45291"/>
    <cellStyle name="SAPBEXaggItemX 4 2 4 3" xfId="45292"/>
    <cellStyle name="SAPBEXaggItemX 4 2 5" xfId="45293"/>
    <cellStyle name="SAPBEXaggItemX 4 2 5 2" xfId="45294"/>
    <cellStyle name="SAPBEXaggItemX 4 2 6" xfId="45295"/>
    <cellStyle name="SAPBEXaggItemX 4 3" xfId="45296"/>
    <cellStyle name="SAPBEXaggItemX 4 3 2" xfId="45297"/>
    <cellStyle name="SAPBEXaggItemX 4 3 2 2" xfId="45298"/>
    <cellStyle name="SAPBEXaggItemX 4 3 2 2 2" xfId="45299"/>
    <cellStyle name="SAPBEXaggItemX 4 3 2 2 2 2" xfId="45300"/>
    <cellStyle name="SAPBEXaggItemX 4 3 2 2 3" xfId="45301"/>
    <cellStyle name="SAPBEXaggItemX 4 3 2 3" xfId="45302"/>
    <cellStyle name="SAPBEXaggItemX 4 3 2 3 2" xfId="45303"/>
    <cellStyle name="SAPBEXaggItemX 4 3 2 3 2 2" xfId="45304"/>
    <cellStyle name="SAPBEXaggItemX 4 3 2 3 3" xfId="45305"/>
    <cellStyle name="SAPBEXaggItemX 4 3 2 4" xfId="45306"/>
    <cellStyle name="SAPBEXaggItemX 4 3 2 4 2" xfId="45307"/>
    <cellStyle name="SAPBEXaggItemX 4 3 2 5" xfId="45308"/>
    <cellStyle name="SAPBEXaggItemX 4 3 3" xfId="45309"/>
    <cellStyle name="SAPBEXaggItemX 4 3 3 2" xfId="45310"/>
    <cellStyle name="SAPBEXaggItemX 4 3 3 2 2" xfId="45311"/>
    <cellStyle name="SAPBEXaggItemX 4 3 3 2 2 2" xfId="45312"/>
    <cellStyle name="SAPBEXaggItemX 4 3 3 2 3" xfId="45313"/>
    <cellStyle name="SAPBEXaggItemX 4 3 3 3" xfId="45314"/>
    <cellStyle name="SAPBEXaggItemX 4 3 3 3 2" xfId="45315"/>
    <cellStyle name="SAPBEXaggItemX 4 3 3 4" xfId="45316"/>
    <cellStyle name="SAPBEXaggItemX 4 3 4" xfId="45317"/>
    <cellStyle name="SAPBEXaggItemX 4 3 4 2" xfId="45318"/>
    <cellStyle name="SAPBEXaggItemX 4 3 4 2 2" xfId="45319"/>
    <cellStyle name="SAPBEXaggItemX 4 3 4 3" xfId="45320"/>
    <cellStyle name="SAPBEXaggItemX 4 3 5" xfId="45321"/>
    <cellStyle name="SAPBEXaggItemX 4 3 5 2" xfId="45322"/>
    <cellStyle name="SAPBEXaggItemX 4 3 5 2 2" xfId="45323"/>
    <cellStyle name="SAPBEXaggItemX 4 3 5 3" xfId="45324"/>
    <cellStyle name="SAPBEXaggItemX 4 3 6" xfId="45325"/>
    <cellStyle name="SAPBEXaggItemX 4 3 6 2" xfId="45326"/>
    <cellStyle name="SAPBEXaggItemX 4 3 7" xfId="45327"/>
    <cellStyle name="SAPBEXaggItemX 4 4" xfId="45328"/>
    <cellStyle name="SAPBEXaggItemX 4 4 2" xfId="45329"/>
    <cellStyle name="SAPBEXaggItemX 4 4 2 2" xfId="45330"/>
    <cellStyle name="SAPBEXaggItemX 4 4 2 2 2" xfId="45331"/>
    <cellStyle name="SAPBEXaggItemX 4 4 2 3" xfId="45332"/>
    <cellStyle name="SAPBEXaggItemX 4 4 3" xfId="45333"/>
    <cellStyle name="SAPBEXaggItemX 4 4 3 2" xfId="45334"/>
    <cellStyle name="SAPBEXaggItemX 4 4 4" xfId="45335"/>
    <cellStyle name="SAPBEXaggItemX 4 5" xfId="45336"/>
    <cellStyle name="SAPBEXaggItemX 4 5 2" xfId="45337"/>
    <cellStyle name="SAPBEXaggItemX 4 5 2 2" xfId="45338"/>
    <cellStyle name="SAPBEXaggItemX 4 5 3" xfId="45339"/>
    <cellStyle name="SAPBEXaggItemX 4 6" xfId="45340"/>
    <cellStyle name="SAPBEXaggItemX 4 6 2" xfId="45341"/>
    <cellStyle name="SAPBEXaggItemX 4 6 2 2" xfId="45342"/>
    <cellStyle name="SAPBEXaggItemX 4 6 3" xfId="45343"/>
    <cellStyle name="SAPBEXaggItemX 4 7" xfId="45344"/>
    <cellStyle name="SAPBEXaggItemX 4 7 2" xfId="45345"/>
    <cellStyle name="SAPBEXaggItemX 4 8" xfId="45346"/>
    <cellStyle name="SAPBEXaggItemX 5" xfId="45347"/>
    <cellStyle name="SAPBEXaggItemX 5 2" xfId="45348"/>
    <cellStyle name="SAPBEXaggItemX 5 2 2" xfId="45349"/>
    <cellStyle name="SAPBEXaggItemX 5 2 2 2" xfId="45350"/>
    <cellStyle name="SAPBEXaggItemX 5 2 3" xfId="45351"/>
    <cellStyle name="SAPBEXaggItemX 5 3" xfId="45352"/>
    <cellStyle name="SAPBEXaggItemX 5 3 2" xfId="45353"/>
    <cellStyle name="SAPBEXaggItemX 5 3 2 2" xfId="45354"/>
    <cellStyle name="SAPBEXaggItemX 5 3 3" xfId="45355"/>
    <cellStyle name="SAPBEXaggItemX 5 4" xfId="45356"/>
    <cellStyle name="SAPBEXaggItemX 5 4 2" xfId="45357"/>
    <cellStyle name="SAPBEXaggItemX 5 4 2 2" xfId="45358"/>
    <cellStyle name="SAPBEXaggItemX 5 4 3" xfId="45359"/>
    <cellStyle name="SAPBEXaggItemX 5 5" xfId="45360"/>
    <cellStyle name="SAPBEXaggItemX 5 5 2" xfId="45361"/>
    <cellStyle name="SAPBEXaggItemX 5 6" xfId="45362"/>
    <cellStyle name="SAPBEXaggItemX 6" xfId="45363"/>
    <cellStyle name="SAPBEXaggItemX 6 2" xfId="45364"/>
    <cellStyle name="SAPBEXaggItemX 6 2 2" xfId="45365"/>
    <cellStyle name="SAPBEXaggItemX 6 3" xfId="45366"/>
    <cellStyle name="SAPBEXaggItemX 6 3 2" xfId="45367"/>
    <cellStyle name="SAPBEXaggItemX 6 3 2 2" xfId="45368"/>
    <cellStyle name="SAPBEXaggItemX 6 3 3" xfId="45369"/>
    <cellStyle name="SAPBEXaggItemX 6 4" xfId="45370"/>
    <cellStyle name="SAPBEXaggItemX 6 4 2" xfId="45371"/>
    <cellStyle name="SAPBEXaggItemX 6 4 2 2" xfId="45372"/>
    <cellStyle name="SAPBEXaggItemX 6 4 3" xfId="45373"/>
    <cellStyle name="SAPBEXaggItemX 6 5" xfId="45374"/>
    <cellStyle name="SAPBEXaggItemX 7" xfId="45375"/>
    <cellStyle name="SAPBEXaggItemX 7 2" xfId="45376"/>
    <cellStyle name="SAPBEXaggItemX 7 2 2" xfId="45377"/>
    <cellStyle name="SAPBEXaggItemX 7 2 2 2" xfId="45378"/>
    <cellStyle name="SAPBEXaggItemX 7 2 3" xfId="45379"/>
    <cellStyle name="SAPBEXaggItemX 7 2 3 2" xfId="45380"/>
    <cellStyle name="SAPBEXaggItemX 7 2 3 2 2" xfId="45381"/>
    <cellStyle name="SAPBEXaggItemX 7 2 3 3" xfId="45382"/>
    <cellStyle name="SAPBEXaggItemX 7 2 4" xfId="45383"/>
    <cellStyle name="SAPBEXaggItemX 7 3" xfId="45384"/>
    <cellStyle name="SAPBEXaggItemX 7 3 2" xfId="45385"/>
    <cellStyle name="SAPBEXaggItemX 7 3 2 2" xfId="45386"/>
    <cellStyle name="SAPBEXaggItemX 7 3 3" xfId="45387"/>
    <cellStyle name="SAPBEXaggItemX 7 4" xfId="45388"/>
    <cellStyle name="SAPBEXaggItemX 7 4 2" xfId="45389"/>
    <cellStyle name="SAPBEXaggItemX 7 4 2 2" xfId="45390"/>
    <cellStyle name="SAPBEXaggItemX 7 4 3" xfId="45391"/>
    <cellStyle name="SAPBEXaggItemX 7 5" xfId="45392"/>
    <cellStyle name="SAPBEXaggItemX 7 5 2" xfId="45393"/>
    <cellStyle name="SAPBEXaggItemX 7 5 2 2" xfId="45394"/>
    <cellStyle name="SAPBEXaggItemX 7 5 3" xfId="45395"/>
    <cellStyle name="SAPBEXaggItemX 7 6" xfId="45396"/>
    <cellStyle name="SAPBEXaggItemX 8" xfId="45397"/>
    <cellStyle name="SAPBEXaggItemX 8 2" xfId="45398"/>
    <cellStyle name="SAPBEXaggItemX 8 2 2" xfId="45399"/>
    <cellStyle name="SAPBEXaggItemX 8 3" xfId="45400"/>
    <cellStyle name="SAPBEXaggItemX 9" xfId="45401"/>
    <cellStyle name="SAPBEXaggItemX 9 2" xfId="45402"/>
    <cellStyle name="SAPBEXaggItemX 9 2 2" xfId="45403"/>
    <cellStyle name="SAPBEXaggItemX 9 3" xfId="45404"/>
    <cellStyle name="SAPBEXchaText" xfId="44"/>
    <cellStyle name="SAPBEXchaText 2" xfId="45405"/>
    <cellStyle name="SAPBEXchaText 2 2" xfId="45406"/>
    <cellStyle name="SAPBEXchaText 2 3" xfId="45407"/>
    <cellStyle name="SAPBEXchaText 2 3 2" xfId="45408"/>
    <cellStyle name="SAPBEXchaText 2 3 2 2" xfId="45409"/>
    <cellStyle name="SAPBEXchaText 2 3 3" xfId="45410"/>
    <cellStyle name="SAPBEXchaText 2 4" xfId="45411"/>
    <cellStyle name="SAPBEXchaText 2 4 2" xfId="45412"/>
    <cellStyle name="SAPBEXchaText 2 4 2 2" xfId="45413"/>
    <cellStyle name="SAPBEXchaText 2 4 3" xfId="45414"/>
    <cellStyle name="SAPBEXchaText 2 5" xfId="45415"/>
    <cellStyle name="SAPBEXchaText 2 5 2" xfId="45416"/>
    <cellStyle name="SAPBEXchaText 2 5 2 2" xfId="45417"/>
    <cellStyle name="SAPBEXchaText 2 5 2 2 2" xfId="45418"/>
    <cellStyle name="SAPBEXchaText 2 5 2 3" xfId="45419"/>
    <cellStyle name="SAPBEXchaText 2 5 3" xfId="45420"/>
    <cellStyle name="SAPBEXchaText 2 5 3 2" xfId="45421"/>
    <cellStyle name="SAPBEXchaText 2 5 4" xfId="45422"/>
    <cellStyle name="SAPBEXchaText 3" xfId="45423"/>
    <cellStyle name="SAPBEXchaText 3 2" xfId="45424"/>
    <cellStyle name="SAPBEXchaText 3 2 2" xfId="45425"/>
    <cellStyle name="SAPBEXchaText 3 2 2 2" xfId="45426"/>
    <cellStyle name="SAPBEXchaText 3 2 3" xfId="45427"/>
    <cellStyle name="SAPBEXchaText 3 3" xfId="45428"/>
    <cellStyle name="SAPBEXchaText 3 3 2" xfId="45429"/>
    <cellStyle name="SAPBEXchaText 3 4" xfId="45430"/>
    <cellStyle name="SAPBEXchaText 4" xfId="45431"/>
    <cellStyle name="SAPBEXchaText 4 2" xfId="45432"/>
    <cellStyle name="SAPBEXchaText 4 2 2" xfId="45433"/>
    <cellStyle name="SAPBEXchaText 4 3" xfId="45434"/>
    <cellStyle name="SAPBEXchaText 5" xfId="45435"/>
    <cellStyle name="SAPBEXchaText 5 2" xfId="45436"/>
    <cellStyle name="SAPBEXchaText 5 2 2" xfId="45437"/>
    <cellStyle name="SAPBEXchaText 5 3" xfId="45438"/>
    <cellStyle name="SAPBEXchaText 6" xfId="45439"/>
    <cellStyle name="SAPBEXchaText 6 2" xfId="45440"/>
    <cellStyle name="SAPBEXchaText 6 2 2" xfId="45441"/>
    <cellStyle name="SAPBEXchaText 6 3" xfId="45442"/>
    <cellStyle name="SAPBEXchaText 7" xfId="45443"/>
    <cellStyle name="SAPBEXchaText 7 2" xfId="45444"/>
    <cellStyle name="SAPBEXchaText 8" xfId="45445"/>
    <cellStyle name="SAPBEXchaText 8 2" xfId="45446"/>
    <cellStyle name="SAPBEXchaText 9" xfId="45447"/>
    <cellStyle name="SAPBEXchaText_2010-2019 IP Run March 9, 2010" xfId="45448"/>
    <cellStyle name="SAPBEXexcBad7" xfId="45"/>
    <cellStyle name="SAPBEXexcBad7 10" xfId="45449"/>
    <cellStyle name="SAPBEXexcBad7 10 2" xfId="45450"/>
    <cellStyle name="SAPBEXexcBad7 11" xfId="45451"/>
    <cellStyle name="SAPBEXexcBad7 11 2" xfId="45452"/>
    <cellStyle name="SAPBEXexcBad7 12" xfId="45453"/>
    <cellStyle name="SAPBEXexcBad7 12 2" xfId="45454"/>
    <cellStyle name="SAPBEXexcBad7 13" xfId="45455"/>
    <cellStyle name="SAPBEXexcBad7 14" xfId="45456"/>
    <cellStyle name="SAPBEXexcBad7 2" xfId="45457"/>
    <cellStyle name="SAPBEXexcBad7 2 2" xfId="45458"/>
    <cellStyle name="SAPBEXexcBad7 2 2 2" xfId="45459"/>
    <cellStyle name="SAPBEXexcBad7 2 2 2 2" xfId="45460"/>
    <cellStyle name="SAPBEXexcBad7 2 2 2 2 2" xfId="45461"/>
    <cellStyle name="SAPBEXexcBad7 2 2 2 2 2 2" xfId="45462"/>
    <cellStyle name="SAPBEXexcBad7 2 2 2 2 3" xfId="45463"/>
    <cellStyle name="SAPBEXexcBad7 2 2 2 3" xfId="45464"/>
    <cellStyle name="SAPBEXexcBad7 2 2 2 3 2" xfId="45465"/>
    <cellStyle name="SAPBEXexcBad7 2 2 2 4" xfId="45466"/>
    <cellStyle name="SAPBEXexcBad7 2 2 3" xfId="45467"/>
    <cellStyle name="SAPBEXexcBad7 2 2 3 2" xfId="45468"/>
    <cellStyle name="SAPBEXexcBad7 2 2 3 2 2" xfId="45469"/>
    <cellStyle name="SAPBEXexcBad7 2 2 3 3" xfId="45470"/>
    <cellStyle name="SAPBEXexcBad7 2 2 4" xfId="45471"/>
    <cellStyle name="SAPBEXexcBad7 2 2 4 2" xfId="45472"/>
    <cellStyle name="SAPBEXexcBad7 2 2 4 2 2" xfId="45473"/>
    <cellStyle name="SAPBEXexcBad7 2 2 4 3" xfId="45474"/>
    <cellStyle name="SAPBEXexcBad7 2 2 5" xfId="45475"/>
    <cellStyle name="SAPBEXexcBad7 2 2 5 2" xfId="45476"/>
    <cellStyle name="SAPBEXexcBad7 2 2 6" xfId="45477"/>
    <cellStyle name="SAPBEXexcBad7 2 3" xfId="45478"/>
    <cellStyle name="SAPBEXexcBad7 2 3 2" xfId="45479"/>
    <cellStyle name="SAPBEXexcBad7 2 3 2 2" xfId="45480"/>
    <cellStyle name="SAPBEXexcBad7 2 3 3" xfId="45481"/>
    <cellStyle name="SAPBEXexcBad7 2 4" xfId="45482"/>
    <cellStyle name="SAPBEXexcBad7 2 4 2" xfId="45483"/>
    <cellStyle name="SAPBEXexcBad7 2 4 2 2" xfId="45484"/>
    <cellStyle name="SAPBEXexcBad7 2 4 3" xfId="45485"/>
    <cellStyle name="SAPBEXexcBad7 2 5" xfId="45486"/>
    <cellStyle name="SAPBEXexcBad7 2 5 2" xfId="45487"/>
    <cellStyle name="SAPBEXexcBad7 2 5 2 2" xfId="45488"/>
    <cellStyle name="SAPBEXexcBad7 2 5 3" xfId="45489"/>
    <cellStyle name="SAPBEXexcBad7 2 6" xfId="45490"/>
    <cellStyle name="SAPBEXexcBad7 2 6 2" xfId="45491"/>
    <cellStyle name="SAPBEXexcBad7 2 7" xfId="45492"/>
    <cellStyle name="SAPBEXexcBad7 3" xfId="45493"/>
    <cellStyle name="SAPBEXexcBad7 3 2" xfId="45494"/>
    <cellStyle name="SAPBEXexcBad7 3 2 2" xfId="45495"/>
    <cellStyle name="SAPBEXexcBad7 3 3" xfId="45496"/>
    <cellStyle name="SAPBEXexcBad7 3 3 2" xfId="45497"/>
    <cellStyle name="SAPBEXexcBad7 3 3 2 2" xfId="45498"/>
    <cellStyle name="SAPBEXexcBad7 3 3 3" xfId="45499"/>
    <cellStyle name="SAPBEXexcBad7 3 4" xfId="45500"/>
    <cellStyle name="SAPBEXexcBad7 3 4 2" xfId="45501"/>
    <cellStyle name="SAPBEXexcBad7 3 4 2 2" xfId="45502"/>
    <cellStyle name="SAPBEXexcBad7 3 4 3" xfId="45503"/>
    <cellStyle name="SAPBEXexcBad7 3 5" xfId="45504"/>
    <cellStyle name="SAPBEXexcBad7 4" xfId="45505"/>
    <cellStyle name="SAPBEXexcBad7 4 2" xfId="45506"/>
    <cellStyle name="SAPBEXexcBad7 4 2 2" xfId="45507"/>
    <cellStyle name="SAPBEXexcBad7 4 2 2 2" xfId="45508"/>
    <cellStyle name="SAPBEXexcBad7 4 2 3" xfId="45509"/>
    <cellStyle name="SAPBEXexcBad7 4 2 3 2" xfId="45510"/>
    <cellStyle name="SAPBEXexcBad7 4 2 3 2 2" xfId="45511"/>
    <cellStyle name="SAPBEXexcBad7 4 2 3 3" xfId="45512"/>
    <cellStyle name="SAPBEXexcBad7 4 2 4" xfId="45513"/>
    <cellStyle name="SAPBEXexcBad7 4 3" xfId="45514"/>
    <cellStyle name="SAPBEXexcBad7 4 3 2" xfId="45515"/>
    <cellStyle name="SAPBEXexcBad7 4 3 2 2" xfId="45516"/>
    <cellStyle name="SAPBEXexcBad7 4 3 3" xfId="45517"/>
    <cellStyle name="SAPBEXexcBad7 4 4" xfId="45518"/>
    <cellStyle name="SAPBEXexcBad7 4 4 2" xfId="45519"/>
    <cellStyle name="SAPBEXexcBad7 4 4 2 2" xfId="45520"/>
    <cellStyle name="SAPBEXexcBad7 4 4 3" xfId="45521"/>
    <cellStyle name="SAPBEXexcBad7 4 5" xfId="45522"/>
    <cellStyle name="SAPBEXexcBad7 4 5 2" xfId="45523"/>
    <cellStyle name="SAPBEXexcBad7 4 5 2 2" xfId="45524"/>
    <cellStyle name="SAPBEXexcBad7 4 5 3" xfId="45525"/>
    <cellStyle name="SAPBEXexcBad7 4 6" xfId="45526"/>
    <cellStyle name="SAPBEXexcBad7 5" xfId="45527"/>
    <cellStyle name="SAPBEXexcBad7 5 2" xfId="45528"/>
    <cellStyle name="SAPBEXexcBad7 5 2 2" xfId="45529"/>
    <cellStyle name="SAPBEXexcBad7 5 3" xfId="45530"/>
    <cellStyle name="SAPBEXexcBad7 6" xfId="45531"/>
    <cellStyle name="SAPBEXexcBad7 6 2" xfId="45532"/>
    <cellStyle name="SAPBEXexcBad7 6 2 2" xfId="45533"/>
    <cellStyle name="SAPBEXexcBad7 6 3" xfId="45534"/>
    <cellStyle name="SAPBEXexcBad7 7" xfId="45535"/>
    <cellStyle name="SAPBEXexcBad7 7 2" xfId="45536"/>
    <cellStyle name="SAPBEXexcBad7 7 2 2" xfId="45537"/>
    <cellStyle name="SAPBEXexcBad7 7 3" xfId="45538"/>
    <cellStyle name="SAPBEXexcBad7 8" xfId="45539"/>
    <cellStyle name="SAPBEXexcBad7 8 2" xfId="45540"/>
    <cellStyle name="SAPBEXexcBad7 9" xfId="45541"/>
    <cellStyle name="SAPBEXexcBad7 9 2" xfId="45542"/>
    <cellStyle name="SAPBEXexcBad8" xfId="46"/>
    <cellStyle name="SAPBEXexcBad8 10" xfId="45543"/>
    <cellStyle name="SAPBEXexcBad8 10 2" xfId="45544"/>
    <cellStyle name="SAPBEXexcBad8 11" xfId="45545"/>
    <cellStyle name="SAPBEXexcBad8 11 2" xfId="45546"/>
    <cellStyle name="SAPBEXexcBad8 12" xfId="45547"/>
    <cellStyle name="SAPBEXexcBad8 12 2" xfId="45548"/>
    <cellStyle name="SAPBEXexcBad8 13" xfId="45549"/>
    <cellStyle name="SAPBEXexcBad8 14" xfId="45550"/>
    <cellStyle name="SAPBEXexcBad8 2" xfId="45551"/>
    <cellStyle name="SAPBEXexcBad8 2 2" xfId="45552"/>
    <cellStyle name="SAPBEXexcBad8 2 2 2" xfId="45553"/>
    <cellStyle name="SAPBEXexcBad8 2 2 2 2" xfId="45554"/>
    <cellStyle name="SAPBEXexcBad8 2 2 2 2 2" xfId="45555"/>
    <cellStyle name="SAPBEXexcBad8 2 2 2 2 2 2" xfId="45556"/>
    <cellStyle name="SAPBEXexcBad8 2 2 2 2 3" xfId="45557"/>
    <cellStyle name="SAPBEXexcBad8 2 2 2 3" xfId="45558"/>
    <cellStyle name="SAPBEXexcBad8 2 2 2 3 2" xfId="45559"/>
    <cellStyle name="SAPBEXexcBad8 2 2 2 4" xfId="45560"/>
    <cellStyle name="SAPBEXexcBad8 2 2 3" xfId="45561"/>
    <cellStyle name="SAPBEXexcBad8 2 2 3 2" xfId="45562"/>
    <cellStyle name="SAPBEXexcBad8 2 2 3 2 2" xfId="45563"/>
    <cellStyle name="SAPBEXexcBad8 2 2 3 3" xfId="45564"/>
    <cellStyle name="SAPBEXexcBad8 2 2 4" xfId="45565"/>
    <cellStyle name="SAPBEXexcBad8 2 2 4 2" xfId="45566"/>
    <cellStyle name="SAPBEXexcBad8 2 2 4 2 2" xfId="45567"/>
    <cellStyle name="SAPBEXexcBad8 2 2 4 3" xfId="45568"/>
    <cellStyle name="SAPBEXexcBad8 2 2 5" xfId="45569"/>
    <cellStyle name="SAPBEXexcBad8 2 2 5 2" xfId="45570"/>
    <cellStyle name="SAPBEXexcBad8 2 2 6" xfId="45571"/>
    <cellStyle name="SAPBEXexcBad8 2 3" xfId="45572"/>
    <cellStyle name="SAPBEXexcBad8 2 3 2" xfId="45573"/>
    <cellStyle name="SAPBEXexcBad8 2 3 2 2" xfId="45574"/>
    <cellStyle name="SAPBEXexcBad8 2 3 3" xfId="45575"/>
    <cellStyle name="SAPBEXexcBad8 2 4" xfId="45576"/>
    <cellStyle name="SAPBEXexcBad8 2 4 2" xfId="45577"/>
    <cellStyle name="SAPBEXexcBad8 2 4 2 2" xfId="45578"/>
    <cellStyle name="SAPBEXexcBad8 2 4 3" xfId="45579"/>
    <cellStyle name="SAPBEXexcBad8 2 5" xfId="45580"/>
    <cellStyle name="SAPBEXexcBad8 2 5 2" xfId="45581"/>
    <cellStyle name="SAPBEXexcBad8 2 5 2 2" xfId="45582"/>
    <cellStyle name="SAPBEXexcBad8 2 5 3" xfId="45583"/>
    <cellStyle name="SAPBEXexcBad8 2 6" xfId="45584"/>
    <cellStyle name="SAPBEXexcBad8 2 6 2" xfId="45585"/>
    <cellStyle name="SAPBEXexcBad8 2 7" xfId="45586"/>
    <cellStyle name="SAPBEXexcBad8 3" xfId="45587"/>
    <cellStyle name="SAPBEXexcBad8 3 2" xfId="45588"/>
    <cellStyle name="SAPBEXexcBad8 3 2 2" xfId="45589"/>
    <cellStyle name="SAPBEXexcBad8 3 3" xfId="45590"/>
    <cellStyle name="SAPBEXexcBad8 3 3 2" xfId="45591"/>
    <cellStyle name="SAPBEXexcBad8 3 3 2 2" xfId="45592"/>
    <cellStyle name="SAPBEXexcBad8 3 3 3" xfId="45593"/>
    <cellStyle name="SAPBEXexcBad8 3 4" xfId="45594"/>
    <cellStyle name="SAPBEXexcBad8 3 4 2" xfId="45595"/>
    <cellStyle name="SAPBEXexcBad8 3 4 2 2" xfId="45596"/>
    <cellStyle name="SAPBEXexcBad8 3 4 3" xfId="45597"/>
    <cellStyle name="SAPBEXexcBad8 3 5" xfId="45598"/>
    <cellStyle name="SAPBEXexcBad8 4" xfId="45599"/>
    <cellStyle name="SAPBEXexcBad8 4 2" xfId="45600"/>
    <cellStyle name="SAPBEXexcBad8 4 2 2" xfId="45601"/>
    <cellStyle name="SAPBEXexcBad8 4 2 2 2" xfId="45602"/>
    <cellStyle name="SAPBEXexcBad8 4 2 3" xfId="45603"/>
    <cellStyle name="SAPBEXexcBad8 4 2 3 2" xfId="45604"/>
    <cellStyle name="SAPBEXexcBad8 4 2 3 2 2" xfId="45605"/>
    <cellStyle name="SAPBEXexcBad8 4 2 3 3" xfId="45606"/>
    <cellStyle name="SAPBEXexcBad8 4 2 4" xfId="45607"/>
    <cellStyle name="SAPBEXexcBad8 4 3" xfId="45608"/>
    <cellStyle name="SAPBEXexcBad8 4 3 2" xfId="45609"/>
    <cellStyle name="SAPBEXexcBad8 4 3 2 2" xfId="45610"/>
    <cellStyle name="SAPBEXexcBad8 4 3 3" xfId="45611"/>
    <cellStyle name="SAPBEXexcBad8 4 4" xfId="45612"/>
    <cellStyle name="SAPBEXexcBad8 4 4 2" xfId="45613"/>
    <cellStyle name="SAPBEXexcBad8 4 4 2 2" xfId="45614"/>
    <cellStyle name="SAPBEXexcBad8 4 4 3" xfId="45615"/>
    <cellStyle name="SAPBEXexcBad8 4 5" xfId="45616"/>
    <cellStyle name="SAPBEXexcBad8 4 5 2" xfId="45617"/>
    <cellStyle name="SAPBEXexcBad8 4 5 2 2" xfId="45618"/>
    <cellStyle name="SAPBEXexcBad8 4 5 3" xfId="45619"/>
    <cellStyle name="SAPBEXexcBad8 4 6" xfId="45620"/>
    <cellStyle name="SAPBEXexcBad8 5" xfId="45621"/>
    <cellStyle name="SAPBEXexcBad8 5 2" xfId="45622"/>
    <cellStyle name="SAPBEXexcBad8 5 2 2" xfId="45623"/>
    <cellStyle name="SAPBEXexcBad8 5 3" xfId="45624"/>
    <cellStyle name="SAPBEXexcBad8 6" xfId="45625"/>
    <cellStyle name="SAPBEXexcBad8 6 2" xfId="45626"/>
    <cellStyle name="SAPBEXexcBad8 6 2 2" xfId="45627"/>
    <cellStyle name="SAPBEXexcBad8 6 3" xfId="45628"/>
    <cellStyle name="SAPBEXexcBad8 7" xfId="45629"/>
    <cellStyle name="SAPBEXexcBad8 7 2" xfId="45630"/>
    <cellStyle name="SAPBEXexcBad8 7 2 2" xfId="45631"/>
    <cellStyle name="SAPBEXexcBad8 7 3" xfId="45632"/>
    <cellStyle name="SAPBEXexcBad8 8" xfId="45633"/>
    <cellStyle name="SAPBEXexcBad8 8 2" xfId="45634"/>
    <cellStyle name="SAPBEXexcBad8 9" xfId="45635"/>
    <cellStyle name="SAPBEXexcBad8 9 2" xfId="45636"/>
    <cellStyle name="SAPBEXexcBad9" xfId="47"/>
    <cellStyle name="SAPBEXexcBad9 10" xfId="45637"/>
    <cellStyle name="SAPBEXexcBad9 10 2" xfId="45638"/>
    <cellStyle name="SAPBEXexcBad9 11" xfId="45639"/>
    <cellStyle name="SAPBEXexcBad9 11 2" xfId="45640"/>
    <cellStyle name="SAPBEXexcBad9 12" xfId="45641"/>
    <cellStyle name="SAPBEXexcBad9 12 2" xfId="45642"/>
    <cellStyle name="SAPBEXexcBad9 13" xfId="45643"/>
    <cellStyle name="SAPBEXexcBad9 2" xfId="45644"/>
    <cellStyle name="SAPBEXexcBad9 2 2" xfId="45645"/>
    <cellStyle name="SAPBEXexcBad9 2 2 2" xfId="45646"/>
    <cellStyle name="SAPBEXexcBad9 2 2 2 2" xfId="45647"/>
    <cellStyle name="SAPBEXexcBad9 2 2 2 2 2" xfId="45648"/>
    <cellStyle name="SAPBEXexcBad9 2 2 2 2 2 2" xfId="45649"/>
    <cellStyle name="SAPBEXexcBad9 2 2 2 2 3" xfId="45650"/>
    <cellStyle name="SAPBEXexcBad9 2 2 2 3" xfId="45651"/>
    <cellStyle name="SAPBEXexcBad9 2 2 2 3 2" xfId="45652"/>
    <cellStyle name="SAPBEXexcBad9 2 2 2 4" xfId="45653"/>
    <cellStyle name="SAPBEXexcBad9 2 2 3" xfId="45654"/>
    <cellStyle name="SAPBEXexcBad9 2 2 3 2" xfId="45655"/>
    <cellStyle name="SAPBEXexcBad9 2 2 3 2 2" xfId="45656"/>
    <cellStyle name="SAPBEXexcBad9 2 2 3 3" xfId="45657"/>
    <cellStyle name="SAPBEXexcBad9 2 2 4" xfId="45658"/>
    <cellStyle name="SAPBEXexcBad9 2 2 4 2" xfId="45659"/>
    <cellStyle name="SAPBEXexcBad9 2 2 4 2 2" xfId="45660"/>
    <cellStyle name="SAPBEXexcBad9 2 2 4 3" xfId="45661"/>
    <cellStyle name="SAPBEXexcBad9 2 2 5" xfId="45662"/>
    <cellStyle name="SAPBEXexcBad9 2 2 5 2" xfId="45663"/>
    <cellStyle name="SAPBEXexcBad9 2 2 6" xfId="45664"/>
    <cellStyle name="SAPBEXexcBad9 2 3" xfId="45665"/>
    <cellStyle name="SAPBEXexcBad9 2 3 2" xfId="45666"/>
    <cellStyle name="SAPBEXexcBad9 2 3 2 2" xfId="45667"/>
    <cellStyle name="SAPBEXexcBad9 2 3 3" xfId="45668"/>
    <cellStyle name="SAPBEXexcBad9 2 4" xfId="45669"/>
    <cellStyle name="SAPBEXexcBad9 2 4 2" xfId="45670"/>
    <cellStyle name="SAPBEXexcBad9 2 4 2 2" xfId="45671"/>
    <cellStyle name="SAPBEXexcBad9 2 4 3" xfId="45672"/>
    <cellStyle name="SAPBEXexcBad9 2 5" xfId="45673"/>
    <cellStyle name="SAPBEXexcBad9 2 5 2" xfId="45674"/>
    <cellStyle name="SAPBEXexcBad9 2 5 2 2" xfId="45675"/>
    <cellStyle name="SAPBEXexcBad9 2 5 3" xfId="45676"/>
    <cellStyle name="SAPBEXexcBad9 2 6" xfId="45677"/>
    <cellStyle name="SAPBEXexcBad9 2 6 2" xfId="45678"/>
    <cellStyle name="SAPBEXexcBad9 2 7" xfId="45679"/>
    <cellStyle name="SAPBEXexcBad9 3" xfId="45680"/>
    <cellStyle name="SAPBEXexcBad9 3 2" xfId="45681"/>
    <cellStyle name="SAPBEXexcBad9 3 2 2" xfId="45682"/>
    <cellStyle name="SAPBEXexcBad9 3 3" xfId="45683"/>
    <cellStyle name="SAPBEXexcBad9 3 3 2" xfId="45684"/>
    <cellStyle name="SAPBEXexcBad9 3 3 2 2" xfId="45685"/>
    <cellStyle name="SAPBEXexcBad9 3 3 3" xfId="45686"/>
    <cellStyle name="SAPBEXexcBad9 3 4" xfId="45687"/>
    <cellStyle name="SAPBEXexcBad9 3 4 2" xfId="45688"/>
    <cellStyle name="SAPBEXexcBad9 3 4 2 2" xfId="45689"/>
    <cellStyle name="SAPBEXexcBad9 3 4 3" xfId="45690"/>
    <cellStyle name="SAPBEXexcBad9 3 5" xfId="45691"/>
    <cellStyle name="SAPBEXexcBad9 4" xfId="45692"/>
    <cellStyle name="SAPBEXexcBad9 4 2" xfId="45693"/>
    <cellStyle name="SAPBEXexcBad9 4 2 2" xfId="45694"/>
    <cellStyle name="SAPBEXexcBad9 4 2 2 2" xfId="45695"/>
    <cellStyle name="SAPBEXexcBad9 4 2 3" xfId="45696"/>
    <cellStyle name="SAPBEXexcBad9 4 2 3 2" xfId="45697"/>
    <cellStyle name="SAPBEXexcBad9 4 2 3 2 2" xfId="45698"/>
    <cellStyle name="SAPBEXexcBad9 4 2 3 3" xfId="45699"/>
    <cellStyle name="SAPBEXexcBad9 4 2 4" xfId="45700"/>
    <cellStyle name="SAPBEXexcBad9 4 3" xfId="45701"/>
    <cellStyle name="SAPBEXexcBad9 4 3 2" xfId="45702"/>
    <cellStyle name="SAPBEXexcBad9 4 3 2 2" xfId="45703"/>
    <cellStyle name="SAPBEXexcBad9 4 3 3" xfId="45704"/>
    <cellStyle name="SAPBEXexcBad9 4 4" xfId="45705"/>
    <cellStyle name="SAPBEXexcBad9 4 4 2" xfId="45706"/>
    <cellStyle name="SAPBEXexcBad9 4 4 2 2" xfId="45707"/>
    <cellStyle name="SAPBEXexcBad9 4 4 3" xfId="45708"/>
    <cellStyle name="SAPBEXexcBad9 4 5" xfId="45709"/>
    <cellStyle name="SAPBEXexcBad9 4 5 2" xfId="45710"/>
    <cellStyle name="SAPBEXexcBad9 4 5 2 2" xfId="45711"/>
    <cellStyle name="SAPBEXexcBad9 4 5 3" xfId="45712"/>
    <cellStyle name="SAPBEXexcBad9 4 6" xfId="45713"/>
    <cellStyle name="SAPBEXexcBad9 5" xfId="45714"/>
    <cellStyle name="SAPBEXexcBad9 5 2" xfId="45715"/>
    <cellStyle name="SAPBEXexcBad9 5 2 2" xfId="45716"/>
    <cellStyle name="SAPBEXexcBad9 5 3" xfId="45717"/>
    <cellStyle name="SAPBEXexcBad9 6" xfId="45718"/>
    <cellStyle name="SAPBEXexcBad9 6 2" xfId="45719"/>
    <cellStyle name="SAPBEXexcBad9 6 2 2" xfId="45720"/>
    <cellStyle name="SAPBEXexcBad9 6 3" xfId="45721"/>
    <cellStyle name="SAPBEXexcBad9 7" xfId="45722"/>
    <cellStyle name="SAPBEXexcBad9 7 2" xfId="45723"/>
    <cellStyle name="SAPBEXexcBad9 7 2 2" xfId="45724"/>
    <cellStyle name="SAPBEXexcBad9 7 3" xfId="45725"/>
    <cellStyle name="SAPBEXexcBad9 8" xfId="45726"/>
    <cellStyle name="SAPBEXexcBad9 8 2" xfId="45727"/>
    <cellStyle name="SAPBEXexcBad9 9" xfId="45728"/>
    <cellStyle name="SAPBEXexcBad9 9 2" xfId="45729"/>
    <cellStyle name="SAPBEXexcCritical4" xfId="48"/>
    <cellStyle name="SAPBEXexcCritical4 10" xfId="45730"/>
    <cellStyle name="SAPBEXexcCritical4 10 2" xfId="45731"/>
    <cellStyle name="SAPBEXexcCritical4 11" xfId="45732"/>
    <cellStyle name="SAPBEXexcCritical4 11 2" xfId="45733"/>
    <cellStyle name="SAPBEXexcCritical4 12" xfId="45734"/>
    <cellStyle name="SAPBEXexcCritical4 12 2" xfId="45735"/>
    <cellStyle name="SAPBEXexcCritical4 13" xfId="45736"/>
    <cellStyle name="SAPBEXexcCritical4 14" xfId="45737"/>
    <cellStyle name="SAPBEXexcCritical4 2" xfId="45738"/>
    <cellStyle name="SAPBEXexcCritical4 2 2" xfId="45739"/>
    <cellStyle name="SAPBEXexcCritical4 2 2 2" xfId="45740"/>
    <cellStyle name="SAPBEXexcCritical4 2 2 2 2" xfId="45741"/>
    <cellStyle name="SAPBEXexcCritical4 2 2 2 2 2" xfId="45742"/>
    <cellStyle name="SAPBEXexcCritical4 2 2 2 2 2 2" xfId="45743"/>
    <cellStyle name="SAPBEXexcCritical4 2 2 2 2 3" xfId="45744"/>
    <cellStyle name="SAPBEXexcCritical4 2 2 2 3" xfId="45745"/>
    <cellStyle name="SAPBEXexcCritical4 2 2 2 3 2" xfId="45746"/>
    <cellStyle name="SAPBEXexcCritical4 2 2 2 4" xfId="45747"/>
    <cellStyle name="SAPBEXexcCritical4 2 2 3" xfId="45748"/>
    <cellStyle name="SAPBEXexcCritical4 2 2 3 2" xfId="45749"/>
    <cellStyle name="SAPBEXexcCritical4 2 2 3 2 2" xfId="45750"/>
    <cellStyle name="SAPBEXexcCritical4 2 2 3 3" xfId="45751"/>
    <cellStyle name="SAPBEXexcCritical4 2 2 4" xfId="45752"/>
    <cellStyle name="SAPBEXexcCritical4 2 2 4 2" xfId="45753"/>
    <cellStyle name="SAPBEXexcCritical4 2 2 4 2 2" xfId="45754"/>
    <cellStyle name="SAPBEXexcCritical4 2 2 4 3" xfId="45755"/>
    <cellStyle name="SAPBEXexcCritical4 2 2 5" xfId="45756"/>
    <cellStyle name="SAPBEXexcCritical4 2 2 5 2" xfId="45757"/>
    <cellStyle name="SAPBEXexcCritical4 2 2 6" xfId="45758"/>
    <cellStyle name="SAPBEXexcCritical4 2 3" xfId="45759"/>
    <cellStyle name="SAPBEXexcCritical4 2 3 2" xfId="45760"/>
    <cellStyle name="SAPBEXexcCritical4 2 3 2 2" xfId="45761"/>
    <cellStyle name="SAPBEXexcCritical4 2 3 3" xfId="45762"/>
    <cellStyle name="SAPBEXexcCritical4 2 4" xfId="45763"/>
    <cellStyle name="SAPBEXexcCritical4 2 4 2" xfId="45764"/>
    <cellStyle name="SAPBEXexcCritical4 2 4 2 2" xfId="45765"/>
    <cellStyle name="SAPBEXexcCritical4 2 4 3" xfId="45766"/>
    <cellStyle name="SAPBEXexcCritical4 2 5" xfId="45767"/>
    <cellStyle name="SAPBEXexcCritical4 2 5 2" xfId="45768"/>
    <cellStyle name="SAPBEXexcCritical4 2 5 2 2" xfId="45769"/>
    <cellStyle name="SAPBEXexcCritical4 2 5 3" xfId="45770"/>
    <cellStyle name="SAPBEXexcCritical4 2 6" xfId="45771"/>
    <cellStyle name="SAPBEXexcCritical4 2 6 2" xfId="45772"/>
    <cellStyle name="SAPBEXexcCritical4 2 7" xfId="45773"/>
    <cellStyle name="SAPBEXexcCritical4 3" xfId="45774"/>
    <cellStyle name="SAPBEXexcCritical4 3 2" xfId="45775"/>
    <cellStyle name="SAPBEXexcCritical4 3 2 2" xfId="45776"/>
    <cellStyle name="SAPBEXexcCritical4 3 3" xfId="45777"/>
    <cellStyle name="SAPBEXexcCritical4 3 3 2" xfId="45778"/>
    <cellStyle name="SAPBEXexcCritical4 3 3 2 2" xfId="45779"/>
    <cellStyle name="SAPBEXexcCritical4 3 3 3" xfId="45780"/>
    <cellStyle name="SAPBEXexcCritical4 3 4" xfId="45781"/>
    <cellStyle name="SAPBEXexcCritical4 3 4 2" xfId="45782"/>
    <cellStyle name="SAPBEXexcCritical4 3 4 2 2" xfId="45783"/>
    <cellStyle name="SAPBEXexcCritical4 3 4 3" xfId="45784"/>
    <cellStyle name="SAPBEXexcCritical4 3 5" xfId="45785"/>
    <cellStyle name="SAPBEXexcCritical4 4" xfId="45786"/>
    <cellStyle name="SAPBEXexcCritical4 4 2" xfId="45787"/>
    <cellStyle name="SAPBEXexcCritical4 4 2 2" xfId="45788"/>
    <cellStyle name="SAPBEXexcCritical4 4 2 2 2" xfId="45789"/>
    <cellStyle name="SAPBEXexcCritical4 4 2 3" xfId="45790"/>
    <cellStyle name="SAPBEXexcCritical4 4 2 3 2" xfId="45791"/>
    <cellStyle name="SAPBEXexcCritical4 4 2 3 2 2" xfId="45792"/>
    <cellStyle name="SAPBEXexcCritical4 4 2 3 3" xfId="45793"/>
    <cellStyle name="SAPBEXexcCritical4 4 2 4" xfId="45794"/>
    <cellStyle name="SAPBEXexcCritical4 4 3" xfId="45795"/>
    <cellStyle name="SAPBEXexcCritical4 4 3 2" xfId="45796"/>
    <cellStyle name="SAPBEXexcCritical4 4 3 2 2" xfId="45797"/>
    <cellStyle name="SAPBEXexcCritical4 4 3 3" xfId="45798"/>
    <cellStyle name="SAPBEXexcCritical4 4 4" xfId="45799"/>
    <cellStyle name="SAPBEXexcCritical4 4 4 2" xfId="45800"/>
    <cellStyle name="SAPBEXexcCritical4 4 4 2 2" xfId="45801"/>
    <cellStyle name="SAPBEXexcCritical4 4 4 3" xfId="45802"/>
    <cellStyle name="SAPBEXexcCritical4 4 5" xfId="45803"/>
    <cellStyle name="SAPBEXexcCritical4 4 5 2" xfId="45804"/>
    <cellStyle name="SAPBEXexcCritical4 4 5 2 2" xfId="45805"/>
    <cellStyle name="SAPBEXexcCritical4 4 5 3" xfId="45806"/>
    <cellStyle name="SAPBEXexcCritical4 4 6" xfId="45807"/>
    <cellStyle name="SAPBEXexcCritical4 5" xfId="45808"/>
    <cellStyle name="SAPBEXexcCritical4 5 2" xfId="45809"/>
    <cellStyle name="SAPBEXexcCritical4 5 2 2" xfId="45810"/>
    <cellStyle name="SAPBEXexcCritical4 5 3" xfId="45811"/>
    <cellStyle name="SAPBEXexcCritical4 6" xfId="45812"/>
    <cellStyle name="SAPBEXexcCritical4 6 2" xfId="45813"/>
    <cellStyle name="SAPBEXexcCritical4 6 2 2" xfId="45814"/>
    <cellStyle name="SAPBEXexcCritical4 6 3" xfId="45815"/>
    <cellStyle name="SAPBEXexcCritical4 7" xfId="45816"/>
    <cellStyle name="SAPBEXexcCritical4 7 2" xfId="45817"/>
    <cellStyle name="SAPBEXexcCritical4 7 2 2" xfId="45818"/>
    <cellStyle name="SAPBEXexcCritical4 7 3" xfId="45819"/>
    <cellStyle name="SAPBEXexcCritical4 8" xfId="45820"/>
    <cellStyle name="SAPBEXexcCritical4 8 2" xfId="45821"/>
    <cellStyle name="SAPBEXexcCritical4 9" xfId="45822"/>
    <cellStyle name="SAPBEXexcCritical4 9 2" xfId="45823"/>
    <cellStyle name="SAPBEXexcCritical5" xfId="49"/>
    <cellStyle name="SAPBEXexcCritical5 10" xfId="45824"/>
    <cellStyle name="SAPBEXexcCritical5 10 2" xfId="45825"/>
    <cellStyle name="SAPBEXexcCritical5 11" xfId="45826"/>
    <cellStyle name="SAPBEXexcCritical5 11 2" xfId="45827"/>
    <cellStyle name="SAPBEXexcCritical5 12" xfId="45828"/>
    <cellStyle name="SAPBEXexcCritical5 12 2" xfId="45829"/>
    <cellStyle name="SAPBEXexcCritical5 13" xfId="45830"/>
    <cellStyle name="SAPBEXexcCritical5 14" xfId="45831"/>
    <cellStyle name="SAPBEXexcCritical5 2" xfId="45832"/>
    <cellStyle name="SAPBEXexcCritical5 2 2" xfId="45833"/>
    <cellStyle name="SAPBEXexcCritical5 2 2 2" xfId="45834"/>
    <cellStyle name="SAPBEXexcCritical5 2 2 2 2" xfId="45835"/>
    <cellStyle name="SAPBEXexcCritical5 2 2 2 2 2" xfId="45836"/>
    <cellStyle name="SAPBEXexcCritical5 2 2 2 2 2 2" xfId="45837"/>
    <cellStyle name="SAPBEXexcCritical5 2 2 2 2 3" xfId="45838"/>
    <cellStyle name="SAPBEXexcCritical5 2 2 2 3" xfId="45839"/>
    <cellStyle name="SAPBEXexcCritical5 2 2 2 3 2" xfId="45840"/>
    <cellStyle name="SAPBEXexcCritical5 2 2 2 4" xfId="45841"/>
    <cellStyle name="SAPBEXexcCritical5 2 2 3" xfId="45842"/>
    <cellStyle name="SAPBEXexcCritical5 2 2 3 2" xfId="45843"/>
    <cellStyle name="SAPBEXexcCritical5 2 2 3 2 2" xfId="45844"/>
    <cellStyle name="SAPBEXexcCritical5 2 2 3 3" xfId="45845"/>
    <cellStyle name="SAPBEXexcCritical5 2 2 4" xfId="45846"/>
    <cellStyle name="SAPBEXexcCritical5 2 2 4 2" xfId="45847"/>
    <cellStyle name="SAPBEXexcCritical5 2 2 4 2 2" xfId="45848"/>
    <cellStyle name="SAPBEXexcCritical5 2 2 4 3" xfId="45849"/>
    <cellStyle name="SAPBEXexcCritical5 2 2 5" xfId="45850"/>
    <cellStyle name="SAPBEXexcCritical5 2 2 5 2" xfId="45851"/>
    <cellStyle name="SAPBEXexcCritical5 2 2 6" xfId="45852"/>
    <cellStyle name="SAPBEXexcCritical5 2 3" xfId="45853"/>
    <cellStyle name="SAPBEXexcCritical5 2 3 2" xfId="45854"/>
    <cellStyle name="SAPBEXexcCritical5 2 3 2 2" xfId="45855"/>
    <cellStyle name="SAPBEXexcCritical5 2 3 3" xfId="45856"/>
    <cellStyle name="SAPBEXexcCritical5 2 4" xfId="45857"/>
    <cellStyle name="SAPBEXexcCritical5 2 4 2" xfId="45858"/>
    <cellStyle name="SAPBEXexcCritical5 2 4 2 2" xfId="45859"/>
    <cellStyle name="SAPBEXexcCritical5 2 4 3" xfId="45860"/>
    <cellStyle name="SAPBEXexcCritical5 2 5" xfId="45861"/>
    <cellStyle name="SAPBEXexcCritical5 2 5 2" xfId="45862"/>
    <cellStyle name="SAPBEXexcCritical5 2 5 2 2" xfId="45863"/>
    <cellStyle name="SAPBEXexcCritical5 2 5 3" xfId="45864"/>
    <cellStyle name="SAPBEXexcCritical5 2 6" xfId="45865"/>
    <cellStyle name="SAPBEXexcCritical5 2 6 2" xfId="45866"/>
    <cellStyle name="SAPBEXexcCritical5 2 7" xfId="45867"/>
    <cellStyle name="SAPBEXexcCritical5 3" xfId="45868"/>
    <cellStyle name="SAPBEXexcCritical5 3 2" xfId="45869"/>
    <cellStyle name="SAPBEXexcCritical5 3 2 2" xfId="45870"/>
    <cellStyle name="SAPBEXexcCritical5 3 3" xfId="45871"/>
    <cellStyle name="SAPBEXexcCritical5 3 3 2" xfId="45872"/>
    <cellStyle name="SAPBEXexcCritical5 3 3 2 2" xfId="45873"/>
    <cellStyle name="SAPBEXexcCritical5 3 3 3" xfId="45874"/>
    <cellStyle name="SAPBEXexcCritical5 3 4" xfId="45875"/>
    <cellStyle name="SAPBEXexcCritical5 3 4 2" xfId="45876"/>
    <cellStyle name="SAPBEXexcCritical5 3 4 2 2" xfId="45877"/>
    <cellStyle name="SAPBEXexcCritical5 3 4 3" xfId="45878"/>
    <cellStyle name="SAPBEXexcCritical5 3 5" xfId="45879"/>
    <cellStyle name="SAPBEXexcCritical5 4" xfId="45880"/>
    <cellStyle name="SAPBEXexcCritical5 4 2" xfId="45881"/>
    <cellStyle name="SAPBEXexcCritical5 4 2 2" xfId="45882"/>
    <cellStyle name="SAPBEXexcCritical5 4 2 2 2" xfId="45883"/>
    <cellStyle name="SAPBEXexcCritical5 4 2 3" xfId="45884"/>
    <cellStyle name="SAPBEXexcCritical5 4 2 3 2" xfId="45885"/>
    <cellStyle name="SAPBEXexcCritical5 4 2 3 2 2" xfId="45886"/>
    <cellStyle name="SAPBEXexcCritical5 4 2 3 3" xfId="45887"/>
    <cellStyle name="SAPBEXexcCritical5 4 2 4" xfId="45888"/>
    <cellStyle name="SAPBEXexcCritical5 4 3" xfId="45889"/>
    <cellStyle name="SAPBEXexcCritical5 4 3 2" xfId="45890"/>
    <cellStyle name="SAPBEXexcCritical5 4 3 2 2" xfId="45891"/>
    <cellStyle name="SAPBEXexcCritical5 4 3 3" xfId="45892"/>
    <cellStyle name="SAPBEXexcCritical5 4 4" xfId="45893"/>
    <cellStyle name="SAPBEXexcCritical5 4 4 2" xfId="45894"/>
    <cellStyle name="SAPBEXexcCritical5 4 4 2 2" xfId="45895"/>
    <cellStyle name="SAPBEXexcCritical5 4 4 3" xfId="45896"/>
    <cellStyle name="SAPBEXexcCritical5 4 5" xfId="45897"/>
    <cellStyle name="SAPBEXexcCritical5 4 5 2" xfId="45898"/>
    <cellStyle name="SAPBEXexcCritical5 4 5 2 2" xfId="45899"/>
    <cellStyle name="SAPBEXexcCritical5 4 5 3" xfId="45900"/>
    <cellStyle name="SAPBEXexcCritical5 4 6" xfId="45901"/>
    <cellStyle name="SAPBEXexcCritical5 5" xfId="45902"/>
    <cellStyle name="SAPBEXexcCritical5 5 2" xfId="45903"/>
    <cellStyle name="SAPBEXexcCritical5 5 2 2" xfId="45904"/>
    <cellStyle name="SAPBEXexcCritical5 5 3" xfId="45905"/>
    <cellStyle name="SAPBEXexcCritical5 6" xfId="45906"/>
    <cellStyle name="SAPBEXexcCritical5 6 2" xfId="45907"/>
    <cellStyle name="SAPBEXexcCritical5 6 2 2" xfId="45908"/>
    <cellStyle name="SAPBEXexcCritical5 6 3" xfId="45909"/>
    <cellStyle name="SAPBEXexcCritical5 7" xfId="45910"/>
    <cellStyle name="SAPBEXexcCritical5 7 2" xfId="45911"/>
    <cellStyle name="SAPBEXexcCritical5 7 2 2" xfId="45912"/>
    <cellStyle name="SAPBEXexcCritical5 7 3" xfId="45913"/>
    <cellStyle name="SAPBEXexcCritical5 8" xfId="45914"/>
    <cellStyle name="SAPBEXexcCritical5 8 2" xfId="45915"/>
    <cellStyle name="SAPBEXexcCritical5 9" xfId="45916"/>
    <cellStyle name="SAPBEXexcCritical5 9 2" xfId="45917"/>
    <cellStyle name="SAPBEXexcCritical6" xfId="50"/>
    <cellStyle name="SAPBEXexcCritical6 10" xfId="45918"/>
    <cellStyle name="SAPBEXexcCritical6 10 2" xfId="45919"/>
    <cellStyle name="SAPBEXexcCritical6 11" xfId="45920"/>
    <cellStyle name="SAPBEXexcCritical6 11 2" xfId="45921"/>
    <cellStyle name="SAPBEXexcCritical6 12" xfId="45922"/>
    <cellStyle name="SAPBEXexcCritical6 12 2" xfId="45923"/>
    <cellStyle name="SAPBEXexcCritical6 13" xfId="45924"/>
    <cellStyle name="SAPBEXexcCritical6 14" xfId="45925"/>
    <cellStyle name="SAPBEXexcCritical6 2" xfId="45926"/>
    <cellStyle name="SAPBEXexcCritical6 2 2" xfId="45927"/>
    <cellStyle name="SAPBEXexcCritical6 2 2 2" xfId="45928"/>
    <cellStyle name="SAPBEXexcCritical6 2 2 2 2" xfId="45929"/>
    <cellStyle name="SAPBEXexcCritical6 2 2 2 2 2" xfId="45930"/>
    <cellStyle name="SAPBEXexcCritical6 2 2 2 2 2 2" xfId="45931"/>
    <cellStyle name="SAPBEXexcCritical6 2 2 2 2 3" xfId="45932"/>
    <cellStyle name="SAPBEXexcCritical6 2 2 2 3" xfId="45933"/>
    <cellStyle name="SAPBEXexcCritical6 2 2 2 3 2" xfId="45934"/>
    <cellStyle name="SAPBEXexcCritical6 2 2 2 4" xfId="45935"/>
    <cellStyle name="SAPBEXexcCritical6 2 2 3" xfId="45936"/>
    <cellStyle name="SAPBEXexcCritical6 2 2 3 2" xfId="45937"/>
    <cellStyle name="SAPBEXexcCritical6 2 2 3 2 2" xfId="45938"/>
    <cellStyle name="SAPBEXexcCritical6 2 2 3 3" xfId="45939"/>
    <cellStyle name="SAPBEXexcCritical6 2 2 4" xfId="45940"/>
    <cellStyle name="SAPBEXexcCritical6 2 2 4 2" xfId="45941"/>
    <cellStyle name="SAPBEXexcCritical6 2 2 4 2 2" xfId="45942"/>
    <cellStyle name="SAPBEXexcCritical6 2 2 4 3" xfId="45943"/>
    <cellStyle name="SAPBEXexcCritical6 2 2 5" xfId="45944"/>
    <cellStyle name="SAPBEXexcCritical6 2 2 5 2" xfId="45945"/>
    <cellStyle name="SAPBEXexcCritical6 2 2 6" xfId="45946"/>
    <cellStyle name="SAPBEXexcCritical6 2 3" xfId="45947"/>
    <cellStyle name="SAPBEXexcCritical6 2 3 2" xfId="45948"/>
    <cellStyle name="SAPBEXexcCritical6 2 3 2 2" xfId="45949"/>
    <cellStyle name="SAPBEXexcCritical6 2 3 3" xfId="45950"/>
    <cellStyle name="SAPBEXexcCritical6 2 4" xfId="45951"/>
    <cellStyle name="SAPBEXexcCritical6 2 4 2" xfId="45952"/>
    <cellStyle name="SAPBEXexcCritical6 2 4 2 2" xfId="45953"/>
    <cellStyle name="SAPBEXexcCritical6 2 4 3" xfId="45954"/>
    <cellStyle name="SAPBEXexcCritical6 2 5" xfId="45955"/>
    <cellStyle name="SAPBEXexcCritical6 2 5 2" xfId="45956"/>
    <cellStyle name="SAPBEXexcCritical6 2 5 2 2" xfId="45957"/>
    <cellStyle name="SAPBEXexcCritical6 2 5 3" xfId="45958"/>
    <cellStyle name="SAPBEXexcCritical6 2 6" xfId="45959"/>
    <cellStyle name="SAPBEXexcCritical6 2 6 2" xfId="45960"/>
    <cellStyle name="SAPBEXexcCritical6 2 7" xfId="45961"/>
    <cellStyle name="SAPBEXexcCritical6 3" xfId="45962"/>
    <cellStyle name="SAPBEXexcCritical6 3 2" xfId="45963"/>
    <cellStyle name="SAPBEXexcCritical6 3 2 2" xfId="45964"/>
    <cellStyle name="SAPBEXexcCritical6 3 3" xfId="45965"/>
    <cellStyle name="SAPBEXexcCritical6 3 3 2" xfId="45966"/>
    <cellStyle name="SAPBEXexcCritical6 3 3 2 2" xfId="45967"/>
    <cellStyle name="SAPBEXexcCritical6 3 3 3" xfId="45968"/>
    <cellStyle name="SAPBEXexcCritical6 3 4" xfId="45969"/>
    <cellStyle name="SAPBEXexcCritical6 3 4 2" xfId="45970"/>
    <cellStyle name="SAPBEXexcCritical6 3 4 2 2" xfId="45971"/>
    <cellStyle name="SAPBEXexcCritical6 3 4 3" xfId="45972"/>
    <cellStyle name="SAPBEXexcCritical6 3 5" xfId="45973"/>
    <cellStyle name="SAPBEXexcCritical6 4" xfId="45974"/>
    <cellStyle name="SAPBEXexcCritical6 4 2" xfId="45975"/>
    <cellStyle name="SAPBEXexcCritical6 4 2 2" xfId="45976"/>
    <cellStyle name="SAPBEXexcCritical6 4 2 2 2" xfId="45977"/>
    <cellStyle name="SAPBEXexcCritical6 4 2 3" xfId="45978"/>
    <cellStyle name="SAPBEXexcCritical6 4 2 3 2" xfId="45979"/>
    <cellStyle name="SAPBEXexcCritical6 4 2 3 2 2" xfId="45980"/>
    <cellStyle name="SAPBEXexcCritical6 4 2 3 3" xfId="45981"/>
    <cellStyle name="SAPBEXexcCritical6 4 2 4" xfId="45982"/>
    <cellStyle name="SAPBEXexcCritical6 4 3" xfId="45983"/>
    <cellStyle name="SAPBEXexcCritical6 4 3 2" xfId="45984"/>
    <cellStyle name="SAPBEXexcCritical6 4 3 2 2" xfId="45985"/>
    <cellStyle name="SAPBEXexcCritical6 4 3 3" xfId="45986"/>
    <cellStyle name="SAPBEXexcCritical6 4 4" xfId="45987"/>
    <cellStyle name="SAPBEXexcCritical6 4 4 2" xfId="45988"/>
    <cellStyle name="SAPBEXexcCritical6 4 4 2 2" xfId="45989"/>
    <cellStyle name="SAPBEXexcCritical6 4 4 3" xfId="45990"/>
    <cellStyle name="SAPBEXexcCritical6 4 5" xfId="45991"/>
    <cellStyle name="SAPBEXexcCritical6 4 5 2" xfId="45992"/>
    <cellStyle name="SAPBEXexcCritical6 4 5 2 2" xfId="45993"/>
    <cellStyle name="SAPBEXexcCritical6 4 5 3" xfId="45994"/>
    <cellStyle name="SAPBEXexcCritical6 4 6" xfId="45995"/>
    <cellStyle name="SAPBEXexcCritical6 5" xfId="45996"/>
    <cellStyle name="SAPBEXexcCritical6 5 2" xfId="45997"/>
    <cellStyle name="SAPBEXexcCritical6 5 2 2" xfId="45998"/>
    <cellStyle name="SAPBEXexcCritical6 5 3" xfId="45999"/>
    <cellStyle name="SAPBEXexcCritical6 6" xfId="46000"/>
    <cellStyle name="SAPBEXexcCritical6 6 2" xfId="46001"/>
    <cellStyle name="SAPBEXexcCritical6 6 2 2" xfId="46002"/>
    <cellStyle name="SAPBEXexcCritical6 6 3" xfId="46003"/>
    <cellStyle name="SAPBEXexcCritical6 7" xfId="46004"/>
    <cellStyle name="SAPBEXexcCritical6 7 2" xfId="46005"/>
    <cellStyle name="SAPBEXexcCritical6 7 2 2" xfId="46006"/>
    <cellStyle name="SAPBEXexcCritical6 7 3" xfId="46007"/>
    <cellStyle name="SAPBEXexcCritical6 8" xfId="46008"/>
    <cellStyle name="SAPBEXexcCritical6 8 2" xfId="46009"/>
    <cellStyle name="SAPBEXexcCritical6 9" xfId="46010"/>
    <cellStyle name="SAPBEXexcCritical6 9 2" xfId="46011"/>
    <cellStyle name="SAPBEXexcGood1" xfId="51"/>
    <cellStyle name="SAPBEXexcGood1 10" xfId="46012"/>
    <cellStyle name="SAPBEXexcGood1 10 2" xfId="46013"/>
    <cellStyle name="SAPBEXexcGood1 11" xfId="46014"/>
    <cellStyle name="SAPBEXexcGood1 11 2" xfId="46015"/>
    <cellStyle name="SAPBEXexcGood1 12" xfId="46016"/>
    <cellStyle name="SAPBEXexcGood1 12 2" xfId="46017"/>
    <cellStyle name="SAPBEXexcGood1 13" xfId="46018"/>
    <cellStyle name="SAPBEXexcGood1 14" xfId="46019"/>
    <cellStyle name="SAPBEXexcGood1 2" xfId="46020"/>
    <cellStyle name="SAPBEXexcGood1 2 2" xfId="46021"/>
    <cellStyle name="SAPBEXexcGood1 2 2 2" xfId="46022"/>
    <cellStyle name="SAPBEXexcGood1 2 2 2 2" xfId="46023"/>
    <cellStyle name="SAPBEXexcGood1 2 2 2 2 2" xfId="46024"/>
    <cellStyle name="SAPBEXexcGood1 2 2 2 2 2 2" xfId="46025"/>
    <cellStyle name="SAPBEXexcGood1 2 2 2 2 3" xfId="46026"/>
    <cellStyle name="SAPBEXexcGood1 2 2 2 3" xfId="46027"/>
    <cellStyle name="SAPBEXexcGood1 2 2 2 3 2" xfId="46028"/>
    <cellStyle name="SAPBEXexcGood1 2 2 2 4" xfId="46029"/>
    <cellStyle name="SAPBEXexcGood1 2 2 3" xfId="46030"/>
    <cellStyle name="SAPBEXexcGood1 2 2 3 2" xfId="46031"/>
    <cellStyle name="SAPBEXexcGood1 2 2 3 2 2" xfId="46032"/>
    <cellStyle name="SAPBEXexcGood1 2 2 3 3" xfId="46033"/>
    <cellStyle name="SAPBEXexcGood1 2 2 4" xfId="46034"/>
    <cellStyle name="SAPBEXexcGood1 2 2 4 2" xfId="46035"/>
    <cellStyle name="SAPBEXexcGood1 2 2 4 2 2" xfId="46036"/>
    <cellStyle name="SAPBEXexcGood1 2 2 4 3" xfId="46037"/>
    <cellStyle name="SAPBEXexcGood1 2 2 5" xfId="46038"/>
    <cellStyle name="SAPBEXexcGood1 2 2 5 2" xfId="46039"/>
    <cellStyle name="SAPBEXexcGood1 2 2 6" xfId="46040"/>
    <cellStyle name="SAPBEXexcGood1 2 3" xfId="46041"/>
    <cellStyle name="SAPBEXexcGood1 2 3 2" xfId="46042"/>
    <cellStyle name="SAPBEXexcGood1 2 3 2 2" xfId="46043"/>
    <cellStyle name="SAPBEXexcGood1 2 3 3" xfId="46044"/>
    <cellStyle name="SAPBEXexcGood1 2 4" xfId="46045"/>
    <cellStyle name="SAPBEXexcGood1 2 4 2" xfId="46046"/>
    <cellStyle name="SAPBEXexcGood1 2 4 2 2" xfId="46047"/>
    <cellStyle name="SAPBEXexcGood1 2 4 3" xfId="46048"/>
    <cellStyle name="SAPBEXexcGood1 2 5" xfId="46049"/>
    <cellStyle name="SAPBEXexcGood1 2 5 2" xfId="46050"/>
    <cellStyle name="SAPBEXexcGood1 2 5 2 2" xfId="46051"/>
    <cellStyle name="SAPBEXexcGood1 2 5 3" xfId="46052"/>
    <cellStyle name="SAPBEXexcGood1 2 6" xfId="46053"/>
    <cellStyle name="SAPBEXexcGood1 2 6 2" xfId="46054"/>
    <cellStyle name="SAPBEXexcGood1 2 7" xfId="46055"/>
    <cellStyle name="SAPBEXexcGood1 3" xfId="46056"/>
    <cellStyle name="SAPBEXexcGood1 3 2" xfId="46057"/>
    <cellStyle name="SAPBEXexcGood1 3 2 2" xfId="46058"/>
    <cellStyle name="SAPBEXexcGood1 3 3" xfId="46059"/>
    <cellStyle name="SAPBEXexcGood1 3 3 2" xfId="46060"/>
    <cellStyle name="SAPBEXexcGood1 3 3 2 2" xfId="46061"/>
    <cellStyle name="SAPBEXexcGood1 3 3 3" xfId="46062"/>
    <cellStyle name="SAPBEXexcGood1 3 4" xfId="46063"/>
    <cellStyle name="SAPBEXexcGood1 3 4 2" xfId="46064"/>
    <cellStyle name="SAPBEXexcGood1 3 4 2 2" xfId="46065"/>
    <cellStyle name="SAPBEXexcGood1 3 4 3" xfId="46066"/>
    <cellStyle name="SAPBEXexcGood1 3 5" xfId="46067"/>
    <cellStyle name="SAPBEXexcGood1 4" xfId="46068"/>
    <cellStyle name="SAPBEXexcGood1 4 2" xfId="46069"/>
    <cellStyle name="SAPBEXexcGood1 4 2 2" xfId="46070"/>
    <cellStyle name="SAPBEXexcGood1 4 2 2 2" xfId="46071"/>
    <cellStyle name="SAPBEXexcGood1 4 2 3" xfId="46072"/>
    <cellStyle name="SAPBEXexcGood1 4 2 3 2" xfId="46073"/>
    <cellStyle name="SAPBEXexcGood1 4 2 3 2 2" xfId="46074"/>
    <cellStyle name="SAPBEXexcGood1 4 2 3 3" xfId="46075"/>
    <cellStyle name="SAPBEXexcGood1 4 2 4" xfId="46076"/>
    <cellStyle name="SAPBEXexcGood1 4 3" xfId="46077"/>
    <cellStyle name="SAPBEXexcGood1 4 3 2" xfId="46078"/>
    <cellStyle name="SAPBEXexcGood1 4 3 2 2" xfId="46079"/>
    <cellStyle name="SAPBEXexcGood1 4 3 3" xfId="46080"/>
    <cellStyle name="SAPBEXexcGood1 4 4" xfId="46081"/>
    <cellStyle name="SAPBEXexcGood1 4 4 2" xfId="46082"/>
    <cellStyle name="SAPBEXexcGood1 4 4 2 2" xfId="46083"/>
    <cellStyle name="SAPBEXexcGood1 4 4 3" xfId="46084"/>
    <cellStyle name="SAPBEXexcGood1 4 5" xfId="46085"/>
    <cellStyle name="SAPBEXexcGood1 4 5 2" xfId="46086"/>
    <cellStyle name="SAPBEXexcGood1 4 5 2 2" xfId="46087"/>
    <cellStyle name="SAPBEXexcGood1 4 5 3" xfId="46088"/>
    <cellStyle name="SAPBEXexcGood1 4 6" xfId="46089"/>
    <cellStyle name="SAPBEXexcGood1 5" xfId="46090"/>
    <cellStyle name="SAPBEXexcGood1 5 2" xfId="46091"/>
    <cellStyle name="SAPBEXexcGood1 5 2 2" xfId="46092"/>
    <cellStyle name="SAPBEXexcGood1 5 3" xfId="46093"/>
    <cellStyle name="SAPBEXexcGood1 6" xfId="46094"/>
    <cellStyle name="SAPBEXexcGood1 6 2" xfId="46095"/>
    <cellStyle name="SAPBEXexcGood1 6 2 2" xfId="46096"/>
    <cellStyle name="SAPBEXexcGood1 6 3" xfId="46097"/>
    <cellStyle name="SAPBEXexcGood1 7" xfId="46098"/>
    <cellStyle name="SAPBEXexcGood1 7 2" xfId="46099"/>
    <cellStyle name="SAPBEXexcGood1 7 2 2" xfId="46100"/>
    <cellStyle name="SAPBEXexcGood1 7 3" xfId="46101"/>
    <cellStyle name="SAPBEXexcGood1 8" xfId="46102"/>
    <cellStyle name="SAPBEXexcGood1 8 2" xfId="46103"/>
    <cellStyle name="SAPBEXexcGood1 9" xfId="46104"/>
    <cellStyle name="SAPBEXexcGood1 9 2" xfId="46105"/>
    <cellStyle name="SAPBEXexcGood2" xfId="52"/>
    <cellStyle name="SAPBEXexcGood2 10" xfId="46106"/>
    <cellStyle name="SAPBEXexcGood2 10 2" xfId="46107"/>
    <cellStyle name="SAPBEXexcGood2 11" xfId="46108"/>
    <cellStyle name="SAPBEXexcGood2 11 2" xfId="46109"/>
    <cellStyle name="SAPBEXexcGood2 12" xfId="46110"/>
    <cellStyle name="SAPBEXexcGood2 12 2" xfId="46111"/>
    <cellStyle name="SAPBEXexcGood2 13" xfId="46112"/>
    <cellStyle name="SAPBEXexcGood2 14" xfId="46113"/>
    <cellStyle name="SAPBEXexcGood2 2" xfId="46114"/>
    <cellStyle name="SAPBEXexcGood2 2 2" xfId="46115"/>
    <cellStyle name="SAPBEXexcGood2 2 2 2" xfId="46116"/>
    <cellStyle name="SAPBEXexcGood2 2 2 2 2" xfId="46117"/>
    <cellStyle name="SAPBEXexcGood2 2 2 2 2 2" xfId="46118"/>
    <cellStyle name="SAPBEXexcGood2 2 2 2 2 2 2" xfId="46119"/>
    <cellStyle name="SAPBEXexcGood2 2 2 2 2 3" xfId="46120"/>
    <cellStyle name="SAPBEXexcGood2 2 2 2 3" xfId="46121"/>
    <cellStyle name="SAPBEXexcGood2 2 2 2 3 2" xfId="46122"/>
    <cellStyle name="SAPBEXexcGood2 2 2 2 4" xfId="46123"/>
    <cellStyle name="SAPBEXexcGood2 2 2 3" xfId="46124"/>
    <cellStyle name="SAPBEXexcGood2 2 2 3 2" xfId="46125"/>
    <cellStyle name="SAPBEXexcGood2 2 2 3 2 2" xfId="46126"/>
    <cellStyle name="SAPBEXexcGood2 2 2 3 3" xfId="46127"/>
    <cellStyle name="SAPBEXexcGood2 2 2 4" xfId="46128"/>
    <cellStyle name="SAPBEXexcGood2 2 2 4 2" xfId="46129"/>
    <cellStyle name="SAPBEXexcGood2 2 2 4 2 2" xfId="46130"/>
    <cellStyle name="SAPBEXexcGood2 2 2 4 3" xfId="46131"/>
    <cellStyle name="SAPBEXexcGood2 2 2 5" xfId="46132"/>
    <cellStyle name="SAPBEXexcGood2 2 2 5 2" xfId="46133"/>
    <cellStyle name="SAPBEXexcGood2 2 2 6" xfId="46134"/>
    <cellStyle name="SAPBEXexcGood2 2 3" xfId="46135"/>
    <cellStyle name="SAPBEXexcGood2 2 3 2" xfId="46136"/>
    <cellStyle name="SAPBEXexcGood2 2 3 2 2" xfId="46137"/>
    <cellStyle name="SAPBEXexcGood2 2 3 3" xfId="46138"/>
    <cellStyle name="SAPBEXexcGood2 2 4" xfId="46139"/>
    <cellStyle name="SAPBEXexcGood2 2 4 2" xfId="46140"/>
    <cellStyle name="SAPBEXexcGood2 2 4 2 2" xfId="46141"/>
    <cellStyle name="SAPBEXexcGood2 2 4 3" xfId="46142"/>
    <cellStyle name="SAPBEXexcGood2 2 5" xfId="46143"/>
    <cellStyle name="SAPBEXexcGood2 2 5 2" xfId="46144"/>
    <cellStyle name="SAPBEXexcGood2 2 5 2 2" xfId="46145"/>
    <cellStyle name="SAPBEXexcGood2 2 5 3" xfId="46146"/>
    <cellStyle name="SAPBEXexcGood2 2 6" xfId="46147"/>
    <cellStyle name="SAPBEXexcGood2 2 6 2" xfId="46148"/>
    <cellStyle name="SAPBEXexcGood2 2 7" xfId="46149"/>
    <cellStyle name="SAPBEXexcGood2 3" xfId="46150"/>
    <cellStyle name="SAPBEXexcGood2 3 2" xfId="46151"/>
    <cellStyle name="SAPBEXexcGood2 3 2 2" xfId="46152"/>
    <cellStyle name="SAPBEXexcGood2 3 3" xfId="46153"/>
    <cellStyle name="SAPBEXexcGood2 3 3 2" xfId="46154"/>
    <cellStyle name="SAPBEXexcGood2 3 3 2 2" xfId="46155"/>
    <cellStyle name="SAPBEXexcGood2 3 3 3" xfId="46156"/>
    <cellStyle name="SAPBEXexcGood2 3 4" xfId="46157"/>
    <cellStyle name="SAPBEXexcGood2 3 4 2" xfId="46158"/>
    <cellStyle name="SAPBEXexcGood2 3 4 2 2" xfId="46159"/>
    <cellStyle name="SAPBEXexcGood2 3 4 3" xfId="46160"/>
    <cellStyle name="SAPBEXexcGood2 3 5" xfId="46161"/>
    <cellStyle name="SAPBEXexcGood2 4" xfId="46162"/>
    <cellStyle name="SAPBEXexcGood2 4 2" xfId="46163"/>
    <cellStyle name="SAPBEXexcGood2 4 2 2" xfId="46164"/>
    <cellStyle name="SAPBEXexcGood2 4 2 2 2" xfId="46165"/>
    <cellStyle name="SAPBEXexcGood2 4 2 3" xfId="46166"/>
    <cellStyle name="SAPBEXexcGood2 4 2 3 2" xfId="46167"/>
    <cellStyle name="SAPBEXexcGood2 4 2 3 2 2" xfId="46168"/>
    <cellStyle name="SAPBEXexcGood2 4 2 3 3" xfId="46169"/>
    <cellStyle name="SAPBEXexcGood2 4 2 4" xfId="46170"/>
    <cellStyle name="SAPBEXexcGood2 4 3" xfId="46171"/>
    <cellStyle name="SAPBEXexcGood2 4 3 2" xfId="46172"/>
    <cellStyle name="SAPBEXexcGood2 4 3 2 2" xfId="46173"/>
    <cellStyle name="SAPBEXexcGood2 4 3 3" xfId="46174"/>
    <cellStyle name="SAPBEXexcGood2 4 4" xfId="46175"/>
    <cellStyle name="SAPBEXexcGood2 4 4 2" xfId="46176"/>
    <cellStyle name="SAPBEXexcGood2 4 4 2 2" xfId="46177"/>
    <cellStyle name="SAPBEXexcGood2 4 4 3" xfId="46178"/>
    <cellStyle name="SAPBEXexcGood2 4 5" xfId="46179"/>
    <cellStyle name="SAPBEXexcGood2 4 5 2" xfId="46180"/>
    <cellStyle name="SAPBEXexcGood2 4 5 2 2" xfId="46181"/>
    <cellStyle name="SAPBEXexcGood2 4 5 3" xfId="46182"/>
    <cellStyle name="SAPBEXexcGood2 4 6" xfId="46183"/>
    <cellStyle name="SAPBEXexcGood2 5" xfId="46184"/>
    <cellStyle name="SAPBEXexcGood2 5 2" xfId="46185"/>
    <cellStyle name="SAPBEXexcGood2 5 2 2" xfId="46186"/>
    <cellStyle name="SAPBEXexcGood2 5 3" xfId="46187"/>
    <cellStyle name="SAPBEXexcGood2 6" xfId="46188"/>
    <cellStyle name="SAPBEXexcGood2 6 2" xfId="46189"/>
    <cellStyle name="SAPBEXexcGood2 6 2 2" xfId="46190"/>
    <cellStyle name="SAPBEXexcGood2 6 3" xfId="46191"/>
    <cellStyle name="SAPBEXexcGood2 7" xfId="46192"/>
    <cellStyle name="SAPBEXexcGood2 7 2" xfId="46193"/>
    <cellStyle name="SAPBEXexcGood2 7 2 2" xfId="46194"/>
    <cellStyle name="SAPBEXexcGood2 7 3" xfId="46195"/>
    <cellStyle name="SAPBEXexcGood2 8" xfId="46196"/>
    <cellStyle name="SAPBEXexcGood2 8 2" xfId="46197"/>
    <cellStyle name="SAPBEXexcGood2 9" xfId="46198"/>
    <cellStyle name="SAPBEXexcGood2 9 2" xfId="46199"/>
    <cellStyle name="SAPBEXexcGood3" xfId="53"/>
    <cellStyle name="SAPBEXexcGood3 10" xfId="46200"/>
    <cellStyle name="SAPBEXexcGood3 10 2" xfId="46201"/>
    <cellStyle name="SAPBEXexcGood3 11" xfId="46202"/>
    <cellStyle name="SAPBEXexcGood3 11 2" xfId="46203"/>
    <cellStyle name="SAPBEXexcGood3 12" xfId="46204"/>
    <cellStyle name="SAPBEXexcGood3 12 2" xfId="46205"/>
    <cellStyle name="SAPBEXexcGood3 13" xfId="46206"/>
    <cellStyle name="SAPBEXexcGood3 14" xfId="46207"/>
    <cellStyle name="SAPBEXexcGood3 2" xfId="46208"/>
    <cellStyle name="SAPBEXexcGood3 2 2" xfId="46209"/>
    <cellStyle name="SAPBEXexcGood3 2 2 2" xfId="46210"/>
    <cellStyle name="SAPBEXexcGood3 2 2 2 2" xfId="46211"/>
    <cellStyle name="SAPBEXexcGood3 2 2 2 2 2" xfId="46212"/>
    <cellStyle name="SAPBEXexcGood3 2 2 2 2 2 2" xfId="46213"/>
    <cellStyle name="SAPBEXexcGood3 2 2 2 2 3" xfId="46214"/>
    <cellStyle name="SAPBEXexcGood3 2 2 2 3" xfId="46215"/>
    <cellStyle name="SAPBEXexcGood3 2 2 2 3 2" xfId="46216"/>
    <cellStyle name="SAPBEXexcGood3 2 2 2 4" xfId="46217"/>
    <cellStyle name="SAPBEXexcGood3 2 2 3" xfId="46218"/>
    <cellStyle name="SAPBEXexcGood3 2 2 3 2" xfId="46219"/>
    <cellStyle name="SAPBEXexcGood3 2 2 3 2 2" xfId="46220"/>
    <cellStyle name="SAPBEXexcGood3 2 2 3 3" xfId="46221"/>
    <cellStyle name="SAPBEXexcGood3 2 2 4" xfId="46222"/>
    <cellStyle name="SAPBEXexcGood3 2 2 4 2" xfId="46223"/>
    <cellStyle name="SAPBEXexcGood3 2 2 4 2 2" xfId="46224"/>
    <cellStyle name="SAPBEXexcGood3 2 2 4 3" xfId="46225"/>
    <cellStyle name="SAPBEXexcGood3 2 2 5" xfId="46226"/>
    <cellStyle name="SAPBEXexcGood3 2 2 5 2" xfId="46227"/>
    <cellStyle name="SAPBEXexcGood3 2 2 6" xfId="46228"/>
    <cellStyle name="SAPBEXexcGood3 2 3" xfId="46229"/>
    <cellStyle name="SAPBEXexcGood3 2 3 2" xfId="46230"/>
    <cellStyle name="SAPBEXexcGood3 2 3 2 2" xfId="46231"/>
    <cellStyle name="SAPBEXexcGood3 2 3 3" xfId="46232"/>
    <cellStyle name="SAPBEXexcGood3 2 4" xfId="46233"/>
    <cellStyle name="SAPBEXexcGood3 2 4 2" xfId="46234"/>
    <cellStyle name="SAPBEXexcGood3 2 4 2 2" xfId="46235"/>
    <cellStyle name="SAPBEXexcGood3 2 4 3" xfId="46236"/>
    <cellStyle name="SAPBEXexcGood3 2 5" xfId="46237"/>
    <cellStyle name="SAPBEXexcGood3 2 5 2" xfId="46238"/>
    <cellStyle name="SAPBEXexcGood3 2 5 2 2" xfId="46239"/>
    <cellStyle name="SAPBEXexcGood3 2 5 3" xfId="46240"/>
    <cellStyle name="SAPBEXexcGood3 2 6" xfId="46241"/>
    <cellStyle name="SAPBEXexcGood3 2 6 2" xfId="46242"/>
    <cellStyle name="SAPBEXexcGood3 2 7" xfId="46243"/>
    <cellStyle name="SAPBEXexcGood3 3" xfId="46244"/>
    <cellStyle name="SAPBEXexcGood3 3 2" xfId="46245"/>
    <cellStyle name="SAPBEXexcGood3 3 2 2" xfId="46246"/>
    <cellStyle name="SAPBEXexcGood3 3 3" xfId="46247"/>
    <cellStyle name="SAPBEXexcGood3 3 3 2" xfId="46248"/>
    <cellStyle name="SAPBEXexcGood3 3 3 2 2" xfId="46249"/>
    <cellStyle name="SAPBEXexcGood3 3 3 3" xfId="46250"/>
    <cellStyle name="SAPBEXexcGood3 3 4" xfId="46251"/>
    <cellStyle name="SAPBEXexcGood3 3 4 2" xfId="46252"/>
    <cellStyle name="SAPBEXexcGood3 3 4 2 2" xfId="46253"/>
    <cellStyle name="SAPBEXexcGood3 3 4 3" xfId="46254"/>
    <cellStyle name="SAPBEXexcGood3 3 5" xfId="46255"/>
    <cellStyle name="SAPBEXexcGood3 4" xfId="46256"/>
    <cellStyle name="SAPBEXexcGood3 4 2" xfId="46257"/>
    <cellStyle name="SAPBEXexcGood3 4 2 2" xfId="46258"/>
    <cellStyle name="SAPBEXexcGood3 4 2 2 2" xfId="46259"/>
    <cellStyle name="SAPBEXexcGood3 4 2 3" xfId="46260"/>
    <cellStyle name="SAPBEXexcGood3 4 2 3 2" xfId="46261"/>
    <cellStyle name="SAPBEXexcGood3 4 2 3 2 2" xfId="46262"/>
    <cellStyle name="SAPBEXexcGood3 4 2 3 3" xfId="46263"/>
    <cellStyle name="SAPBEXexcGood3 4 2 4" xfId="46264"/>
    <cellStyle name="SAPBEXexcGood3 4 3" xfId="46265"/>
    <cellStyle name="SAPBEXexcGood3 4 3 2" xfId="46266"/>
    <cellStyle name="SAPBEXexcGood3 4 3 2 2" xfId="46267"/>
    <cellStyle name="SAPBEXexcGood3 4 3 3" xfId="46268"/>
    <cellStyle name="SAPBEXexcGood3 4 4" xfId="46269"/>
    <cellStyle name="SAPBEXexcGood3 4 4 2" xfId="46270"/>
    <cellStyle name="SAPBEXexcGood3 4 4 2 2" xfId="46271"/>
    <cellStyle name="SAPBEXexcGood3 4 4 3" xfId="46272"/>
    <cellStyle name="SAPBEXexcGood3 4 5" xfId="46273"/>
    <cellStyle name="SAPBEXexcGood3 4 5 2" xfId="46274"/>
    <cellStyle name="SAPBEXexcGood3 4 5 2 2" xfId="46275"/>
    <cellStyle name="SAPBEXexcGood3 4 5 3" xfId="46276"/>
    <cellStyle name="SAPBEXexcGood3 4 6" xfId="46277"/>
    <cellStyle name="SAPBEXexcGood3 5" xfId="46278"/>
    <cellStyle name="SAPBEXexcGood3 5 2" xfId="46279"/>
    <cellStyle name="SAPBEXexcGood3 5 2 2" xfId="46280"/>
    <cellStyle name="SAPBEXexcGood3 5 3" xfId="46281"/>
    <cellStyle name="SAPBEXexcGood3 6" xfId="46282"/>
    <cellStyle name="SAPBEXexcGood3 6 2" xfId="46283"/>
    <cellStyle name="SAPBEXexcGood3 6 2 2" xfId="46284"/>
    <cellStyle name="SAPBEXexcGood3 6 3" xfId="46285"/>
    <cellStyle name="SAPBEXexcGood3 7" xfId="46286"/>
    <cellStyle name="SAPBEXexcGood3 7 2" xfId="46287"/>
    <cellStyle name="SAPBEXexcGood3 7 2 2" xfId="46288"/>
    <cellStyle name="SAPBEXexcGood3 7 3" xfId="46289"/>
    <cellStyle name="SAPBEXexcGood3 8" xfId="46290"/>
    <cellStyle name="SAPBEXexcGood3 8 2" xfId="46291"/>
    <cellStyle name="SAPBEXexcGood3 9" xfId="46292"/>
    <cellStyle name="SAPBEXexcGood3 9 2" xfId="46293"/>
    <cellStyle name="SAPBEXfilterDrill" xfId="54"/>
    <cellStyle name="SAPBEXfilterDrill 10" xfId="46294"/>
    <cellStyle name="SAPBEXfilterDrill 10 2" xfId="46295"/>
    <cellStyle name="SAPBEXfilterDrill 11" xfId="46296"/>
    <cellStyle name="SAPBEXfilterDrill 11 2" xfId="46297"/>
    <cellStyle name="SAPBEXfilterDrill 12" xfId="46298"/>
    <cellStyle name="SAPBEXfilterDrill 12 2" xfId="46299"/>
    <cellStyle name="SAPBEXfilterDrill 13" xfId="46300"/>
    <cellStyle name="SAPBEXfilterDrill 2" xfId="46301"/>
    <cellStyle name="SAPBEXfilterDrill 2 2" xfId="46302"/>
    <cellStyle name="SAPBEXfilterDrill 2 2 2" xfId="46303"/>
    <cellStyle name="SAPBEXfilterDrill 2 2 2 2" xfId="46304"/>
    <cellStyle name="SAPBEXfilterDrill 2 2 2 2 2" xfId="46305"/>
    <cellStyle name="SAPBEXfilterDrill 2 2 2 2 2 2" xfId="46306"/>
    <cellStyle name="SAPBEXfilterDrill 2 2 2 2 3" xfId="46307"/>
    <cellStyle name="SAPBEXfilterDrill 2 2 2 3" xfId="46308"/>
    <cellStyle name="SAPBEXfilterDrill 2 2 2 3 2" xfId="46309"/>
    <cellStyle name="SAPBEXfilterDrill 2 2 2 4" xfId="46310"/>
    <cellStyle name="SAPBEXfilterDrill 2 2 3" xfId="46311"/>
    <cellStyle name="SAPBEXfilterDrill 2 2 3 2" xfId="46312"/>
    <cellStyle name="SAPBEXfilterDrill 2 2 3 2 2" xfId="46313"/>
    <cellStyle name="SAPBEXfilterDrill 2 2 3 3" xfId="46314"/>
    <cellStyle name="SAPBEXfilterDrill 2 2 4" xfId="46315"/>
    <cellStyle name="SAPBEXfilterDrill 2 2 4 2" xfId="46316"/>
    <cellStyle name="SAPBEXfilterDrill 2 2 4 2 2" xfId="46317"/>
    <cellStyle name="SAPBEXfilterDrill 2 2 4 3" xfId="46318"/>
    <cellStyle name="SAPBEXfilterDrill 2 2 5" xfId="46319"/>
    <cellStyle name="SAPBEXfilterDrill 2 2 5 2" xfId="46320"/>
    <cellStyle name="SAPBEXfilterDrill 2 2 6" xfId="46321"/>
    <cellStyle name="SAPBEXfilterDrill 2 3" xfId="46322"/>
    <cellStyle name="SAPBEXfilterDrill 2 4" xfId="46323"/>
    <cellStyle name="SAPBEXfilterDrill 2 4 2" xfId="46324"/>
    <cellStyle name="SAPBEXfilterDrill 2 4 2 2" xfId="46325"/>
    <cellStyle name="SAPBEXfilterDrill 2 4 3" xfId="46326"/>
    <cellStyle name="SAPBEXfilterDrill 2 5" xfId="46327"/>
    <cellStyle name="SAPBEXfilterDrill 2 5 2" xfId="46328"/>
    <cellStyle name="SAPBEXfilterDrill 2 5 2 2" xfId="46329"/>
    <cellStyle name="SAPBEXfilterDrill 2 5 3" xfId="46330"/>
    <cellStyle name="SAPBEXfilterDrill 3" xfId="46331"/>
    <cellStyle name="SAPBEXfilterDrill 3 2" xfId="46332"/>
    <cellStyle name="SAPBEXfilterDrill 3 2 2" xfId="46333"/>
    <cellStyle name="SAPBEXfilterDrill 3 3" xfId="46334"/>
    <cellStyle name="SAPBEXfilterDrill 3 3 2" xfId="46335"/>
    <cellStyle name="SAPBEXfilterDrill 3 3 2 2" xfId="46336"/>
    <cellStyle name="SAPBEXfilterDrill 3 3 3" xfId="46337"/>
    <cellStyle name="SAPBEXfilterDrill 3 4" xfId="46338"/>
    <cellStyle name="SAPBEXfilterDrill 3 4 2" xfId="46339"/>
    <cellStyle name="SAPBEXfilterDrill 3 4 2 2" xfId="46340"/>
    <cellStyle name="SAPBEXfilterDrill 3 4 3" xfId="46341"/>
    <cellStyle name="SAPBEXfilterDrill 3 5" xfId="46342"/>
    <cellStyle name="SAPBEXfilterDrill 4" xfId="46343"/>
    <cellStyle name="SAPBEXfilterDrill 4 2" xfId="46344"/>
    <cellStyle name="SAPBEXfilterDrill 4 2 2" xfId="46345"/>
    <cellStyle name="SAPBEXfilterDrill 4 2 2 2" xfId="46346"/>
    <cellStyle name="SAPBEXfilterDrill 4 2 3" xfId="46347"/>
    <cellStyle name="SAPBEXfilterDrill 4 2 3 2" xfId="46348"/>
    <cellStyle name="SAPBEXfilterDrill 4 2 3 2 2" xfId="46349"/>
    <cellStyle name="SAPBEXfilterDrill 4 2 3 3" xfId="46350"/>
    <cellStyle name="SAPBEXfilterDrill 4 2 4" xfId="46351"/>
    <cellStyle name="SAPBEXfilterDrill 4 3" xfId="46352"/>
    <cellStyle name="SAPBEXfilterDrill 4 3 2" xfId="46353"/>
    <cellStyle name="SAPBEXfilterDrill 4 3 2 2" xfId="46354"/>
    <cellStyle name="SAPBEXfilterDrill 4 3 3" xfId="46355"/>
    <cellStyle name="SAPBEXfilterDrill 4 4" xfId="46356"/>
    <cellStyle name="SAPBEXfilterDrill 4 4 2" xfId="46357"/>
    <cellStyle name="SAPBEXfilterDrill 4 4 2 2" xfId="46358"/>
    <cellStyle name="SAPBEXfilterDrill 4 4 3" xfId="46359"/>
    <cellStyle name="SAPBEXfilterDrill 4 5" xfId="46360"/>
    <cellStyle name="SAPBEXfilterDrill 4 5 2" xfId="46361"/>
    <cellStyle name="SAPBEXfilterDrill 4 5 2 2" xfId="46362"/>
    <cellStyle name="SAPBEXfilterDrill 4 5 3" xfId="46363"/>
    <cellStyle name="SAPBEXfilterDrill 4 6" xfId="46364"/>
    <cellStyle name="SAPBEXfilterDrill 5" xfId="46365"/>
    <cellStyle name="SAPBEXfilterDrill 5 2" xfId="46366"/>
    <cellStyle name="SAPBEXfilterDrill 5 2 2" xfId="46367"/>
    <cellStyle name="SAPBEXfilterDrill 5 3" xfId="46368"/>
    <cellStyle name="SAPBEXfilterDrill 6" xfId="46369"/>
    <cellStyle name="SAPBEXfilterDrill 6 2" xfId="46370"/>
    <cellStyle name="SAPBEXfilterDrill 6 2 2" xfId="46371"/>
    <cellStyle name="SAPBEXfilterDrill 6 3" xfId="46372"/>
    <cellStyle name="SAPBEXfilterDrill 7" xfId="46373"/>
    <cellStyle name="SAPBEXfilterDrill 7 2" xfId="46374"/>
    <cellStyle name="SAPBEXfilterDrill 7 2 2" xfId="46375"/>
    <cellStyle name="SAPBEXfilterDrill 7 3" xfId="46376"/>
    <cellStyle name="SAPBEXfilterDrill 8" xfId="46377"/>
    <cellStyle name="SAPBEXfilterDrill 8 2" xfId="46378"/>
    <cellStyle name="SAPBEXfilterDrill 9" xfId="46379"/>
    <cellStyle name="SAPBEXfilterDrill 9 2" xfId="46380"/>
    <cellStyle name="SAPBEXfilterItem" xfId="55"/>
    <cellStyle name="SAPBEXfilterItem 10" xfId="46381"/>
    <cellStyle name="SAPBEXfilterItem 10 2" xfId="46382"/>
    <cellStyle name="SAPBEXfilterItem 11" xfId="46383"/>
    <cellStyle name="SAPBEXfilterItem 11 2" xfId="46384"/>
    <cellStyle name="SAPBEXfilterItem 12" xfId="46385"/>
    <cellStyle name="SAPBEXfilterItem 2" xfId="46386"/>
    <cellStyle name="SAPBEXfilterItem 2 2" xfId="46387"/>
    <cellStyle name="SAPBEXfilterItem 2 2 2" xfId="46388"/>
    <cellStyle name="SAPBEXfilterItem 2 2 2 2" xfId="46389"/>
    <cellStyle name="SAPBEXfilterItem 2 2 2 2 2" xfId="46390"/>
    <cellStyle name="SAPBEXfilterItem 2 2 2 2 2 2" xfId="46391"/>
    <cellStyle name="SAPBEXfilterItem 2 2 2 2 3" xfId="46392"/>
    <cellStyle name="SAPBEXfilterItem 2 2 2 3" xfId="46393"/>
    <cellStyle name="SAPBEXfilterItem 2 2 2 3 2" xfId="46394"/>
    <cellStyle name="SAPBEXfilterItem 2 2 2 4" xfId="46395"/>
    <cellStyle name="SAPBEXfilterItem 2 2 3" xfId="46396"/>
    <cellStyle name="SAPBEXfilterItem 2 2 3 2" xfId="46397"/>
    <cellStyle name="SAPBEXfilterItem 2 2 3 2 2" xfId="46398"/>
    <cellStyle name="SAPBEXfilterItem 2 2 3 3" xfId="46399"/>
    <cellStyle name="SAPBEXfilterItem 2 2 4" xfId="46400"/>
    <cellStyle name="SAPBEXfilterItem 2 2 4 2" xfId="46401"/>
    <cellStyle name="SAPBEXfilterItem 2 2 4 2 2" xfId="46402"/>
    <cellStyle name="SAPBEXfilterItem 2 2 4 3" xfId="46403"/>
    <cellStyle name="SAPBEXfilterItem 2 2 5" xfId="46404"/>
    <cellStyle name="SAPBEXfilterItem 2 2 5 2" xfId="46405"/>
    <cellStyle name="SAPBEXfilterItem 2 2 6" xfId="46406"/>
    <cellStyle name="SAPBEXfilterItem 2 3" xfId="46407"/>
    <cellStyle name="SAPBEXfilterItem 2 3 2" xfId="46408"/>
    <cellStyle name="SAPBEXfilterItem 2 4" xfId="46409"/>
    <cellStyle name="SAPBEXfilterItem 2 4 2" xfId="46410"/>
    <cellStyle name="SAPBEXfilterItem 2 4 2 2" xfId="46411"/>
    <cellStyle name="SAPBEXfilterItem 2 4 3" xfId="46412"/>
    <cellStyle name="SAPBEXfilterItem 2 5" xfId="46413"/>
    <cellStyle name="SAPBEXfilterItem 2 5 2" xfId="46414"/>
    <cellStyle name="SAPBEXfilterItem 2 5 2 2" xfId="46415"/>
    <cellStyle name="SAPBEXfilterItem 2 5 3" xfId="46416"/>
    <cellStyle name="SAPBEXfilterItem 2 6" xfId="46417"/>
    <cellStyle name="SAPBEXfilterItem 3" xfId="46418"/>
    <cellStyle name="SAPBEXfilterItem 3 2" xfId="46419"/>
    <cellStyle name="SAPBEXfilterItem 3 2 2" xfId="46420"/>
    <cellStyle name="SAPBEXfilterItem 3 3" xfId="46421"/>
    <cellStyle name="SAPBEXfilterItem 3 3 2" xfId="46422"/>
    <cellStyle name="SAPBEXfilterItem 3 3 2 2" xfId="46423"/>
    <cellStyle name="SAPBEXfilterItem 3 3 3" xfId="46424"/>
    <cellStyle name="SAPBEXfilterItem 3 4" xfId="46425"/>
    <cellStyle name="SAPBEXfilterItem 3 4 2" xfId="46426"/>
    <cellStyle name="SAPBEXfilterItem 3 4 2 2" xfId="46427"/>
    <cellStyle name="SAPBEXfilterItem 3 4 3" xfId="46428"/>
    <cellStyle name="SAPBEXfilterItem 3 5" xfId="46429"/>
    <cellStyle name="SAPBEXfilterItem 4" xfId="46430"/>
    <cellStyle name="SAPBEXfilterItem 4 2" xfId="46431"/>
    <cellStyle name="SAPBEXfilterItem 4 2 2" xfId="46432"/>
    <cellStyle name="SAPBEXfilterItem 4 2 2 2" xfId="46433"/>
    <cellStyle name="SAPBEXfilterItem 4 2 3" xfId="46434"/>
    <cellStyle name="SAPBEXfilterItem 4 2 3 2" xfId="46435"/>
    <cellStyle name="SAPBEXfilterItem 4 2 3 2 2" xfId="46436"/>
    <cellStyle name="SAPBEXfilterItem 4 2 3 3" xfId="46437"/>
    <cellStyle name="SAPBEXfilterItem 4 2 4" xfId="46438"/>
    <cellStyle name="SAPBEXfilterItem 4 3" xfId="46439"/>
    <cellStyle name="SAPBEXfilterItem 4 3 2" xfId="46440"/>
    <cellStyle name="SAPBEXfilterItem 4 3 2 2" xfId="46441"/>
    <cellStyle name="SAPBEXfilterItem 4 3 3" xfId="46442"/>
    <cellStyle name="SAPBEXfilterItem 4 4" xfId="46443"/>
    <cellStyle name="SAPBEXfilterItem 4 4 2" xfId="46444"/>
    <cellStyle name="SAPBEXfilterItem 4 4 2 2" xfId="46445"/>
    <cellStyle name="SAPBEXfilterItem 4 4 3" xfId="46446"/>
    <cellStyle name="SAPBEXfilterItem 4 5" xfId="46447"/>
    <cellStyle name="SAPBEXfilterItem 4 5 2" xfId="46448"/>
    <cellStyle name="SAPBEXfilterItem 4 5 2 2" xfId="46449"/>
    <cellStyle name="SAPBEXfilterItem 4 5 3" xfId="46450"/>
    <cellStyle name="SAPBEXfilterItem 4 6" xfId="46451"/>
    <cellStyle name="SAPBEXfilterItem 5" xfId="46452"/>
    <cellStyle name="SAPBEXfilterItem 5 2" xfId="46453"/>
    <cellStyle name="SAPBEXfilterItem 5 2 2" xfId="46454"/>
    <cellStyle name="SAPBEXfilterItem 5 3" xfId="46455"/>
    <cellStyle name="SAPBEXfilterItem 6" xfId="46456"/>
    <cellStyle name="SAPBEXfilterItem 6 2" xfId="46457"/>
    <cellStyle name="SAPBEXfilterItem 6 2 2" xfId="46458"/>
    <cellStyle name="SAPBEXfilterItem 6 3" xfId="46459"/>
    <cellStyle name="SAPBEXfilterItem 7" xfId="46460"/>
    <cellStyle name="SAPBEXfilterItem 7 2" xfId="46461"/>
    <cellStyle name="SAPBEXfilterItem 7 2 2" xfId="46462"/>
    <cellStyle name="SAPBEXfilterItem 7 3" xfId="46463"/>
    <cellStyle name="SAPBEXfilterItem 8" xfId="46464"/>
    <cellStyle name="SAPBEXfilterItem 8 2" xfId="46465"/>
    <cellStyle name="SAPBEXfilterItem 9" xfId="46466"/>
    <cellStyle name="SAPBEXfilterItem 9 2" xfId="46467"/>
    <cellStyle name="SAPBEXfilterText" xfId="56"/>
    <cellStyle name="SAPBEXfilterText 10" xfId="46468"/>
    <cellStyle name="SAPBEXfilterText 10 2" xfId="46469"/>
    <cellStyle name="SAPBEXfilterText 11" xfId="46470"/>
    <cellStyle name="SAPBEXfilterText 11 2" xfId="46471"/>
    <cellStyle name="SAPBEXfilterText 12" xfId="46472"/>
    <cellStyle name="SAPBEXfilterText 2" xfId="46473"/>
    <cellStyle name="SAPBEXfilterText 2 2" xfId="46474"/>
    <cellStyle name="SAPBEXfilterText 2 2 2" xfId="46475"/>
    <cellStyle name="SAPBEXfilterText 2 2 2 2" xfId="46476"/>
    <cellStyle name="SAPBEXfilterText 2 2 2 2 2" xfId="46477"/>
    <cellStyle name="SAPBEXfilterText 2 2 2 2 2 2" xfId="46478"/>
    <cellStyle name="SAPBEXfilterText 2 2 2 2 3" xfId="46479"/>
    <cellStyle name="SAPBEXfilterText 2 2 2 3" xfId="46480"/>
    <cellStyle name="SAPBEXfilterText 2 2 2 3 2" xfId="46481"/>
    <cellStyle name="SAPBEXfilterText 2 2 2 4" xfId="46482"/>
    <cellStyle name="SAPBEXfilterText 2 2 3" xfId="46483"/>
    <cellStyle name="SAPBEXfilterText 2 2 3 2" xfId="46484"/>
    <cellStyle name="SAPBEXfilterText 2 2 3 2 2" xfId="46485"/>
    <cellStyle name="SAPBEXfilterText 2 2 3 3" xfId="46486"/>
    <cellStyle name="SAPBEXfilterText 2 2 4" xfId="46487"/>
    <cellStyle name="SAPBEXfilterText 2 2 4 2" xfId="46488"/>
    <cellStyle name="SAPBEXfilterText 2 2 4 2 2" xfId="46489"/>
    <cellStyle name="SAPBEXfilterText 2 2 4 3" xfId="46490"/>
    <cellStyle name="SAPBEXfilterText 2 2 5" xfId="46491"/>
    <cellStyle name="SAPBEXfilterText 2 2 5 2" xfId="46492"/>
    <cellStyle name="SAPBEXfilterText 2 2 6" xfId="46493"/>
    <cellStyle name="SAPBEXfilterText 2 3" xfId="46494"/>
    <cellStyle name="SAPBEXfilterText 2 4" xfId="46495"/>
    <cellStyle name="SAPBEXfilterText 2 4 2" xfId="46496"/>
    <cellStyle name="SAPBEXfilterText 2 4 2 2" xfId="46497"/>
    <cellStyle name="SAPBEXfilterText 2 4 3" xfId="46498"/>
    <cellStyle name="SAPBEXfilterText 2 5" xfId="46499"/>
    <cellStyle name="SAPBEXfilterText 2 5 2" xfId="46500"/>
    <cellStyle name="SAPBEXfilterText 2 5 2 2" xfId="46501"/>
    <cellStyle name="SAPBEXfilterText 2 5 3" xfId="46502"/>
    <cellStyle name="SAPBEXfilterText 3" xfId="46503"/>
    <cellStyle name="SAPBEXfilterText 3 2" xfId="46504"/>
    <cellStyle name="SAPBEXfilterText 3 2 2" xfId="46505"/>
    <cellStyle name="SAPBEXfilterText 3 3" xfId="46506"/>
    <cellStyle name="SAPBEXfilterText 3 3 2" xfId="46507"/>
    <cellStyle name="SAPBEXfilterText 3 3 2 2" xfId="46508"/>
    <cellStyle name="SAPBEXfilterText 3 3 3" xfId="46509"/>
    <cellStyle name="SAPBEXfilterText 3 4" xfId="46510"/>
    <cellStyle name="SAPBEXfilterText 3 4 2" xfId="46511"/>
    <cellStyle name="SAPBEXfilterText 3 4 2 2" xfId="46512"/>
    <cellStyle name="SAPBEXfilterText 3 4 3" xfId="46513"/>
    <cellStyle name="SAPBEXfilterText 3 5" xfId="46514"/>
    <cellStyle name="SAPBEXfilterText 4" xfId="46515"/>
    <cellStyle name="SAPBEXfilterText 4 2" xfId="46516"/>
    <cellStyle name="SAPBEXfilterText 4 2 2" xfId="46517"/>
    <cellStyle name="SAPBEXfilterText 4 2 2 2" xfId="46518"/>
    <cellStyle name="SAPBEXfilterText 4 2 3" xfId="46519"/>
    <cellStyle name="SAPBEXfilterText 4 2 3 2" xfId="46520"/>
    <cellStyle name="SAPBEXfilterText 4 2 3 2 2" xfId="46521"/>
    <cellStyle name="SAPBEXfilterText 4 2 3 3" xfId="46522"/>
    <cellStyle name="SAPBEXfilterText 4 2 4" xfId="46523"/>
    <cellStyle name="SAPBEXfilterText 4 3" xfId="46524"/>
    <cellStyle name="SAPBEXfilterText 4 3 2" xfId="46525"/>
    <cellStyle name="SAPBEXfilterText 4 3 2 2" xfId="46526"/>
    <cellStyle name="SAPBEXfilterText 4 3 3" xfId="46527"/>
    <cellStyle name="SAPBEXfilterText 4 4" xfId="46528"/>
    <cellStyle name="SAPBEXfilterText 4 4 2" xfId="46529"/>
    <cellStyle name="SAPBEXfilterText 4 4 2 2" xfId="46530"/>
    <cellStyle name="SAPBEXfilterText 4 4 3" xfId="46531"/>
    <cellStyle name="SAPBEXfilterText 4 5" xfId="46532"/>
    <cellStyle name="SAPBEXfilterText 4 5 2" xfId="46533"/>
    <cellStyle name="SAPBEXfilterText 4 5 2 2" xfId="46534"/>
    <cellStyle name="SAPBEXfilterText 4 5 3" xfId="46535"/>
    <cellStyle name="SAPBEXfilterText 4 6" xfId="46536"/>
    <cellStyle name="SAPBEXfilterText 5" xfId="46537"/>
    <cellStyle name="SAPBEXfilterText 5 2" xfId="46538"/>
    <cellStyle name="SAPBEXfilterText 5 2 2" xfId="46539"/>
    <cellStyle name="SAPBEXfilterText 5 3" xfId="46540"/>
    <cellStyle name="SAPBEXfilterText 6" xfId="46541"/>
    <cellStyle name="SAPBEXfilterText 6 2" xfId="46542"/>
    <cellStyle name="SAPBEXfilterText 6 2 2" xfId="46543"/>
    <cellStyle name="SAPBEXfilterText 6 3" xfId="46544"/>
    <cellStyle name="SAPBEXfilterText 7" xfId="46545"/>
    <cellStyle name="SAPBEXfilterText 7 2" xfId="46546"/>
    <cellStyle name="SAPBEXfilterText 7 2 2" xfId="46547"/>
    <cellStyle name="SAPBEXfilterText 7 3" xfId="46548"/>
    <cellStyle name="SAPBEXfilterText 8" xfId="46549"/>
    <cellStyle name="SAPBEXfilterText 8 2" xfId="46550"/>
    <cellStyle name="SAPBEXfilterText 9" xfId="46551"/>
    <cellStyle name="SAPBEXfilterText 9 2" xfId="46552"/>
    <cellStyle name="SAPBEXformats" xfId="57"/>
    <cellStyle name="SAPBEXformats 10" xfId="46553"/>
    <cellStyle name="SAPBEXformats 10 2" xfId="46554"/>
    <cellStyle name="SAPBEXformats 11" xfId="46555"/>
    <cellStyle name="SAPBEXformats 11 2" xfId="46556"/>
    <cellStyle name="SAPBEXformats 12" xfId="46557"/>
    <cellStyle name="SAPBEXformats 12 2" xfId="46558"/>
    <cellStyle name="SAPBEXformats 13" xfId="46559"/>
    <cellStyle name="SAPBEXformats 14" xfId="46560"/>
    <cellStyle name="SAPBEXformats 2" xfId="46561"/>
    <cellStyle name="SAPBEXformats 2 2" xfId="46562"/>
    <cellStyle name="SAPBEXformats 2 2 2" xfId="46563"/>
    <cellStyle name="SAPBEXformats 2 2 2 2" xfId="46564"/>
    <cellStyle name="SAPBEXformats 2 2 2 2 2" xfId="46565"/>
    <cellStyle name="SAPBEXformats 2 2 2 2 2 2" xfId="46566"/>
    <cellStyle name="SAPBEXformats 2 2 2 2 3" xfId="46567"/>
    <cellStyle name="SAPBEXformats 2 2 2 3" xfId="46568"/>
    <cellStyle name="SAPBEXformats 2 2 2 3 2" xfId="46569"/>
    <cellStyle name="SAPBEXformats 2 2 2 4" xfId="46570"/>
    <cellStyle name="SAPBEXformats 2 2 3" xfId="46571"/>
    <cellStyle name="SAPBEXformats 2 2 3 2" xfId="46572"/>
    <cellStyle name="SAPBEXformats 2 2 3 2 2" xfId="46573"/>
    <cellStyle name="SAPBEXformats 2 2 3 3" xfId="46574"/>
    <cellStyle name="SAPBEXformats 2 2 4" xfId="46575"/>
    <cellStyle name="SAPBEXformats 2 2 4 2" xfId="46576"/>
    <cellStyle name="SAPBEXformats 2 2 4 2 2" xfId="46577"/>
    <cellStyle name="SAPBEXformats 2 2 4 3" xfId="46578"/>
    <cellStyle name="SAPBEXformats 2 2 5" xfId="46579"/>
    <cellStyle name="SAPBEXformats 2 2 5 2" xfId="46580"/>
    <cellStyle name="SAPBEXformats 2 2 6" xfId="46581"/>
    <cellStyle name="SAPBEXformats 2 3" xfId="46582"/>
    <cellStyle name="SAPBEXformats 2 3 2" xfId="46583"/>
    <cellStyle name="SAPBEXformats 2 3 2 2" xfId="46584"/>
    <cellStyle name="SAPBEXformats 2 3 3" xfId="46585"/>
    <cellStyle name="SAPBEXformats 2 4" xfId="46586"/>
    <cellStyle name="SAPBEXformats 2 4 2" xfId="46587"/>
    <cellStyle name="SAPBEXformats 2 4 2 2" xfId="46588"/>
    <cellStyle name="SAPBEXformats 2 4 3" xfId="46589"/>
    <cellStyle name="SAPBEXformats 2 5" xfId="46590"/>
    <cellStyle name="SAPBEXformats 2 5 2" xfId="46591"/>
    <cellStyle name="SAPBEXformats 2 5 2 2" xfId="46592"/>
    <cellStyle name="SAPBEXformats 2 5 3" xfId="46593"/>
    <cellStyle name="SAPBEXformats 2 6" xfId="46594"/>
    <cellStyle name="SAPBEXformats 2 6 2" xfId="46595"/>
    <cellStyle name="SAPBEXformats 2 7" xfId="46596"/>
    <cellStyle name="SAPBEXformats 3" xfId="46597"/>
    <cellStyle name="SAPBEXformats 3 2" xfId="46598"/>
    <cellStyle name="SAPBEXformats 3 2 2" xfId="46599"/>
    <cellStyle name="SAPBEXformats 3 3" xfId="46600"/>
    <cellStyle name="SAPBEXformats 3 3 2" xfId="46601"/>
    <cellStyle name="SAPBEXformats 3 3 2 2" xfId="46602"/>
    <cellStyle name="SAPBEXformats 3 3 3" xfId="46603"/>
    <cellStyle name="SAPBEXformats 3 4" xfId="46604"/>
    <cellStyle name="SAPBEXformats 3 4 2" xfId="46605"/>
    <cellStyle name="SAPBEXformats 3 4 2 2" xfId="46606"/>
    <cellStyle name="SAPBEXformats 3 4 3" xfId="46607"/>
    <cellStyle name="SAPBEXformats 3 5" xfId="46608"/>
    <cellStyle name="SAPBEXformats 4" xfId="46609"/>
    <cellStyle name="SAPBEXformats 4 2" xfId="46610"/>
    <cellStyle name="SAPBEXformats 4 2 2" xfId="46611"/>
    <cellStyle name="SAPBEXformats 4 2 2 2" xfId="46612"/>
    <cellStyle name="SAPBEXformats 4 2 3" xfId="46613"/>
    <cellStyle name="SAPBEXformats 4 2 3 2" xfId="46614"/>
    <cellStyle name="SAPBEXformats 4 2 3 2 2" xfId="46615"/>
    <cellStyle name="SAPBEXformats 4 2 3 3" xfId="46616"/>
    <cellStyle name="SAPBEXformats 4 2 4" xfId="46617"/>
    <cellStyle name="SAPBEXformats 4 3" xfId="46618"/>
    <cellStyle name="SAPBEXformats 4 3 2" xfId="46619"/>
    <cellStyle name="SAPBEXformats 4 3 2 2" xfId="46620"/>
    <cellStyle name="SAPBEXformats 4 3 3" xfId="46621"/>
    <cellStyle name="SAPBEXformats 4 4" xfId="46622"/>
    <cellStyle name="SAPBEXformats 4 4 2" xfId="46623"/>
    <cellStyle name="SAPBEXformats 4 4 2 2" xfId="46624"/>
    <cellStyle name="SAPBEXformats 4 4 3" xfId="46625"/>
    <cellStyle name="SAPBEXformats 4 5" xfId="46626"/>
    <cellStyle name="SAPBEXformats 4 5 2" xfId="46627"/>
    <cellStyle name="SAPBEXformats 4 5 2 2" xfId="46628"/>
    <cellStyle name="SAPBEXformats 4 5 3" xfId="46629"/>
    <cellStyle name="SAPBEXformats 4 6" xfId="46630"/>
    <cellStyle name="SAPBEXformats 5" xfId="46631"/>
    <cellStyle name="SAPBEXformats 5 2" xfId="46632"/>
    <cellStyle name="SAPBEXformats 5 2 2" xfId="46633"/>
    <cellStyle name="SAPBEXformats 5 3" xfId="46634"/>
    <cellStyle name="SAPBEXformats 6" xfId="46635"/>
    <cellStyle name="SAPBEXformats 6 2" xfId="46636"/>
    <cellStyle name="SAPBEXformats 6 2 2" xfId="46637"/>
    <cellStyle name="SAPBEXformats 6 3" xfId="46638"/>
    <cellStyle name="SAPBEXformats 7" xfId="46639"/>
    <cellStyle name="SAPBEXformats 7 2" xfId="46640"/>
    <cellStyle name="SAPBEXformats 7 2 2" xfId="46641"/>
    <cellStyle name="SAPBEXformats 7 3" xfId="46642"/>
    <cellStyle name="SAPBEXformats 8" xfId="46643"/>
    <cellStyle name="SAPBEXformats 8 2" xfId="46644"/>
    <cellStyle name="SAPBEXformats 9" xfId="46645"/>
    <cellStyle name="SAPBEXformats 9 2" xfId="46646"/>
    <cellStyle name="SAPBEXheaderItem" xfId="58"/>
    <cellStyle name="SAPBEXheaderItem 10" xfId="46647"/>
    <cellStyle name="SAPBEXheaderItem 10 2" xfId="46648"/>
    <cellStyle name="SAPBEXheaderItem 11" xfId="46649"/>
    <cellStyle name="SAPBEXheaderItem 11 2" xfId="46650"/>
    <cellStyle name="SAPBEXheaderItem 12" xfId="46651"/>
    <cellStyle name="SAPBEXheaderItem 12 2" xfId="46652"/>
    <cellStyle name="SAPBEXheaderItem 13" xfId="46653"/>
    <cellStyle name="SAPBEXheaderItem 13 2" xfId="46654"/>
    <cellStyle name="SAPBEXheaderItem 14" xfId="46655"/>
    <cellStyle name="SAPBEXheaderItem 2" xfId="46656"/>
    <cellStyle name="SAPBEXheaderItem 2 2" xfId="46657"/>
    <cellStyle name="SAPBEXheaderItem 2 2 2" xfId="46658"/>
    <cellStyle name="SAPBEXheaderItem 2 2 2 2" xfId="46659"/>
    <cellStyle name="SAPBEXheaderItem 2 2 2 2 2" xfId="46660"/>
    <cellStyle name="SAPBEXheaderItem 2 2 2 2 2 2" xfId="46661"/>
    <cellStyle name="SAPBEXheaderItem 2 2 2 2 3" xfId="46662"/>
    <cellStyle name="SAPBEXheaderItem 2 2 2 3" xfId="46663"/>
    <cellStyle name="SAPBEXheaderItem 2 2 2 3 2" xfId="46664"/>
    <cellStyle name="SAPBEXheaderItem 2 2 2 4" xfId="46665"/>
    <cellStyle name="SAPBEXheaderItem 2 2 3" xfId="46666"/>
    <cellStyle name="SAPBEXheaderItem 2 2 3 2" xfId="46667"/>
    <cellStyle name="SAPBEXheaderItem 2 2 3 2 2" xfId="46668"/>
    <cellStyle name="SAPBEXheaderItem 2 2 3 3" xfId="46669"/>
    <cellStyle name="SAPBEXheaderItem 2 2 4" xfId="46670"/>
    <cellStyle name="SAPBEXheaderItem 2 2 4 2" xfId="46671"/>
    <cellStyle name="SAPBEXheaderItem 2 2 4 2 2" xfId="46672"/>
    <cellStyle name="SAPBEXheaderItem 2 2 4 3" xfId="46673"/>
    <cellStyle name="SAPBEXheaderItem 2 2 5" xfId="46674"/>
    <cellStyle name="SAPBEXheaderItem 2 2 5 2" xfId="46675"/>
    <cellStyle name="SAPBEXheaderItem 2 2 6" xfId="46676"/>
    <cellStyle name="SAPBEXheaderItem 2 3" xfId="46677"/>
    <cellStyle name="SAPBEXheaderItem 2 3 2" xfId="46678"/>
    <cellStyle name="SAPBEXheaderItem 2 4" xfId="46679"/>
    <cellStyle name="SAPBEXheaderItem 2 4 2" xfId="46680"/>
    <cellStyle name="SAPBEXheaderItem 2 4 2 2" xfId="46681"/>
    <cellStyle name="SAPBEXheaderItem 2 4 3" xfId="46682"/>
    <cellStyle name="SAPBEXheaderItem 2 5" xfId="46683"/>
    <cellStyle name="SAPBEXheaderItem 2 5 2" xfId="46684"/>
    <cellStyle name="SAPBEXheaderItem 2 5 2 2" xfId="46685"/>
    <cellStyle name="SAPBEXheaderItem 2 5 3" xfId="46686"/>
    <cellStyle name="SAPBEXheaderItem 2 6" xfId="46687"/>
    <cellStyle name="SAPBEXheaderItem 3" xfId="46688"/>
    <cellStyle name="SAPBEXheaderItem 3 2" xfId="46689"/>
    <cellStyle name="SAPBEXheaderItem 3 2 2" xfId="46690"/>
    <cellStyle name="SAPBEXheaderItem 3 3" xfId="46691"/>
    <cellStyle name="SAPBEXheaderItem 3 3 2" xfId="46692"/>
    <cellStyle name="SAPBEXheaderItem 3 3 2 2" xfId="46693"/>
    <cellStyle name="SAPBEXheaderItem 3 3 3" xfId="46694"/>
    <cellStyle name="SAPBEXheaderItem 3 4" xfId="46695"/>
    <cellStyle name="SAPBEXheaderItem 3 4 2" xfId="46696"/>
    <cellStyle name="SAPBEXheaderItem 3 4 2 2" xfId="46697"/>
    <cellStyle name="SAPBEXheaderItem 3 4 3" xfId="46698"/>
    <cellStyle name="SAPBEXheaderItem 3 5" xfId="46699"/>
    <cellStyle name="SAPBEXheaderItem 4" xfId="46700"/>
    <cellStyle name="SAPBEXheaderItem 4 2" xfId="46701"/>
    <cellStyle name="SAPBEXheaderItem 4 2 2" xfId="46702"/>
    <cellStyle name="SAPBEXheaderItem 4 3" xfId="46703"/>
    <cellStyle name="SAPBEXheaderItem 4 3 2" xfId="46704"/>
    <cellStyle name="SAPBEXheaderItem 4 3 2 2" xfId="46705"/>
    <cellStyle name="SAPBEXheaderItem 4 3 3" xfId="46706"/>
    <cellStyle name="SAPBEXheaderItem 4 4" xfId="46707"/>
    <cellStyle name="SAPBEXheaderItem 4 4 2" xfId="46708"/>
    <cellStyle name="SAPBEXheaderItem 4 4 2 2" xfId="46709"/>
    <cellStyle name="SAPBEXheaderItem 4 4 3" xfId="46710"/>
    <cellStyle name="SAPBEXheaderItem 4 5" xfId="46711"/>
    <cellStyle name="SAPBEXheaderItem 5" xfId="46712"/>
    <cellStyle name="SAPBEXheaderItem 5 2" xfId="46713"/>
    <cellStyle name="SAPBEXheaderItem 5 2 2" xfId="46714"/>
    <cellStyle name="SAPBEXheaderItem 5 2 2 2" xfId="46715"/>
    <cellStyle name="SAPBEXheaderItem 5 2 3" xfId="46716"/>
    <cellStyle name="SAPBEXheaderItem 5 2 3 2" xfId="46717"/>
    <cellStyle name="SAPBEXheaderItem 5 2 3 2 2" xfId="46718"/>
    <cellStyle name="SAPBEXheaderItem 5 2 3 3" xfId="46719"/>
    <cellStyle name="SAPBEXheaderItem 5 2 4" xfId="46720"/>
    <cellStyle name="SAPBEXheaderItem 5 3" xfId="46721"/>
    <cellStyle name="SAPBEXheaderItem 5 3 2" xfId="46722"/>
    <cellStyle name="SAPBEXheaderItem 5 3 2 2" xfId="46723"/>
    <cellStyle name="SAPBEXheaderItem 5 3 3" xfId="46724"/>
    <cellStyle name="SAPBEXheaderItem 5 4" xfId="46725"/>
    <cellStyle name="SAPBEXheaderItem 5 4 2" xfId="46726"/>
    <cellStyle name="SAPBEXheaderItem 5 4 2 2" xfId="46727"/>
    <cellStyle name="SAPBEXheaderItem 5 4 3" xfId="46728"/>
    <cellStyle name="SAPBEXheaderItem 5 5" xfId="46729"/>
    <cellStyle name="SAPBEXheaderItem 5 5 2" xfId="46730"/>
    <cellStyle name="SAPBEXheaderItem 5 5 2 2" xfId="46731"/>
    <cellStyle name="SAPBEXheaderItem 5 5 3" xfId="46732"/>
    <cellStyle name="SAPBEXheaderItem 5 6" xfId="46733"/>
    <cellStyle name="SAPBEXheaderItem 6" xfId="46734"/>
    <cellStyle name="SAPBEXheaderItem 6 2" xfId="46735"/>
    <cellStyle name="SAPBEXheaderItem 6 2 2" xfId="46736"/>
    <cellStyle name="SAPBEXheaderItem 6 3" xfId="46737"/>
    <cellStyle name="SAPBEXheaderItem 7" xfId="46738"/>
    <cellStyle name="SAPBEXheaderItem 7 2" xfId="46739"/>
    <cellStyle name="SAPBEXheaderItem 7 2 2" xfId="46740"/>
    <cellStyle name="SAPBEXheaderItem 7 3" xfId="46741"/>
    <cellStyle name="SAPBEXheaderItem 8" xfId="46742"/>
    <cellStyle name="SAPBEXheaderItem 8 2" xfId="46743"/>
    <cellStyle name="SAPBEXheaderItem 8 2 2" xfId="46744"/>
    <cellStyle name="SAPBEXheaderItem 8 3" xfId="46745"/>
    <cellStyle name="SAPBEXheaderItem 9" xfId="46746"/>
    <cellStyle name="SAPBEXheaderItem 9 2" xfId="46747"/>
    <cellStyle name="SAPBEXheaderText" xfId="59"/>
    <cellStyle name="SAPBEXheaderText 10" xfId="46748"/>
    <cellStyle name="SAPBEXheaderText 10 2" xfId="46749"/>
    <cellStyle name="SAPBEXheaderText 11" xfId="46750"/>
    <cellStyle name="SAPBEXheaderText 11 2" xfId="46751"/>
    <cellStyle name="SAPBEXheaderText 12" xfId="46752"/>
    <cellStyle name="SAPBEXheaderText 12 2" xfId="46753"/>
    <cellStyle name="SAPBEXheaderText 13" xfId="46754"/>
    <cellStyle name="SAPBEXheaderText 13 2" xfId="46755"/>
    <cellStyle name="SAPBEXheaderText 14" xfId="46756"/>
    <cellStyle name="SAPBEXheaderText 2" xfId="46757"/>
    <cellStyle name="SAPBEXheaderText 2 2" xfId="46758"/>
    <cellStyle name="SAPBEXheaderText 2 2 2" xfId="46759"/>
    <cellStyle name="SAPBEXheaderText 2 2 2 2" xfId="46760"/>
    <cellStyle name="SAPBEXheaderText 2 2 2 2 2" xfId="46761"/>
    <cellStyle name="SAPBEXheaderText 2 2 2 2 2 2" xfId="46762"/>
    <cellStyle name="SAPBEXheaderText 2 2 2 2 3" xfId="46763"/>
    <cellStyle name="SAPBEXheaderText 2 2 2 3" xfId="46764"/>
    <cellStyle name="SAPBEXheaderText 2 2 2 3 2" xfId="46765"/>
    <cellStyle name="SAPBEXheaderText 2 2 2 4" xfId="46766"/>
    <cellStyle name="SAPBEXheaderText 2 2 3" xfId="46767"/>
    <cellStyle name="SAPBEXheaderText 2 2 3 2" xfId="46768"/>
    <cellStyle name="SAPBEXheaderText 2 2 3 2 2" xfId="46769"/>
    <cellStyle name="SAPBEXheaderText 2 2 3 3" xfId="46770"/>
    <cellStyle name="SAPBEXheaderText 2 2 4" xfId="46771"/>
    <cellStyle name="SAPBEXheaderText 2 2 4 2" xfId="46772"/>
    <cellStyle name="SAPBEXheaderText 2 2 4 2 2" xfId="46773"/>
    <cellStyle name="SAPBEXheaderText 2 2 4 3" xfId="46774"/>
    <cellStyle name="SAPBEXheaderText 2 2 5" xfId="46775"/>
    <cellStyle name="SAPBEXheaderText 2 2 5 2" xfId="46776"/>
    <cellStyle name="SAPBEXheaderText 2 2 6" xfId="46777"/>
    <cellStyle name="SAPBEXheaderText 2 3" xfId="46778"/>
    <cellStyle name="SAPBEXheaderText 2 3 2" xfId="46779"/>
    <cellStyle name="SAPBEXheaderText 2 4" xfId="46780"/>
    <cellStyle name="SAPBEXheaderText 2 4 2" xfId="46781"/>
    <cellStyle name="SAPBEXheaderText 2 4 2 2" xfId="46782"/>
    <cellStyle name="SAPBEXheaderText 2 4 3" xfId="46783"/>
    <cellStyle name="SAPBEXheaderText 2 5" xfId="46784"/>
    <cellStyle name="SAPBEXheaderText 2 5 2" xfId="46785"/>
    <cellStyle name="SAPBEXheaderText 2 5 2 2" xfId="46786"/>
    <cellStyle name="SAPBEXheaderText 2 5 3" xfId="46787"/>
    <cellStyle name="SAPBEXheaderText 2 6" xfId="46788"/>
    <cellStyle name="SAPBEXheaderText 3" xfId="46789"/>
    <cellStyle name="SAPBEXheaderText 3 2" xfId="46790"/>
    <cellStyle name="SAPBEXheaderText 3 2 2" xfId="46791"/>
    <cellStyle name="SAPBEXheaderText 3 3" xfId="46792"/>
    <cellStyle name="SAPBEXheaderText 3 3 2" xfId="46793"/>
    <cellStyle name="SAPBEXheaderText 3 3 2 2" xfId="46794"/>
    <cellStyle name="SAPBEXheaderText 3 3 3" xfId="46795"/>
    <cellStyle name="SAPBEXheaderText 3 4" xfId="46796"/>
    <cellStyle name="SAPBEXheaderText 3 4 2" xfId="46797"/>
    <cellStyle name="SAPBEXheaderText 3 4 2 2" xfId="46798"/>
    <cellStyle name="SAPBEXheaderText 3 4 3" xfId="46799"/>
    <cellStyle name="SAPBEXheaderText 3 5" xfId="46800"/>
    <cellStyle name="SAPBEXheaderText 4" xfId="46801"/>
    <cellStyle name="SAPBEXheaderText 4 2" xfId="46802"/>
    <cellStyle name="SAPBEXheaderText 4 2 2" xfId="46803"/>
    <cellStyle name="SAPBEXheaderText 4 3" xfId="46804"/>
    <cellStyle name="SAPBEXheaderText 4 3 2" xfId="46805"/>
    <cellStyle name="SAPBEXheaderText 4 3 2 2" xfId="46806"/>
    <cellStyle name="SAPBEXheaderText 4 3 3" xfId="46807"/>
    <cellStyle name="SAPBEXheaderText 4 4" xfId="46808"/>
    <cellStyle name="SAPBEXheaderText 4 4 2" xfId="46809"/>
    <cellStyle name="SAPBEXheaderText 4 4 2 2" xfId="46810"/>
    <cellStyle name="SAPBEXheaderText 4 4 3" xfId="46811"/>
    <cellStyle name="SAPBEXheaderText 4 5" xfId="46812"/>
    <cellStyle name="SAPBEXheaderText 5" xfId="46813"/>
    <cellStyle name="SAPBEXheaderText 5 2" xfId="46814"/>
    <cellStyle name="SAPBEXheaderText 5 2 2" xfId="46815"/>
    <cellStyle name="SAPBEXheaderText 5 2 2 2" xfId="46816"/>
    <cellStyle name="SAPBEXheaderText 5 2 3" xfId="46817"/>
    <cellStyle name="SAPBEXheaderText 5 2 3 2" xfId="46818"/>
    <cellStyle name="SAPBEXheaderText 5 2 3 2 2" xfId="46819"/>
    <cellStyle name="SAPBEXheaderText 5 2 3 3" xfId="46820"/>
    <cellStyle name="SAPBEXheaderText 5 2 4" xfId="46821"/>
    <cellStyle name="SAPBEXheaderText 5 3" xfId="46822"/>
    <cellStyle name="SAPBEXheaderText 5 3 2" xfId="46823"/>
    <cellStyle name="SAPBEXheaderText 5 3 2 2" xfId="46824"/>
    <cellStyle name="SAPBEXheaderText 5 3 3" xfId="46825"/>
    <cellStyle name="SAPBEXheaderText 5 4" xfId="46826"/>
    <cellStyle name="SAPBEXheaderText 5 4 2" xfId="46827"/>
    <cellStyle name="SAPBEXheaderText 5 4 2 2" xfId="46828"/>
    <cellStyle name="SAPBEXheaderText 5 4 3" xfId="46829"/>
    <cellStyle name="SAPBEXheaderText 5 5" xfId="46830"/>
    <cellStyle name="SAPBEXheaderText 5 5 2" xfId="46831"/>
    <cellStyle name="SAPBEXheaderText 5 5 2 2" xfId="46832"/>
    <cellStyle name="SAPBEXheaderText 5 5 3" xfId="46833"/>
    <cellStyle name="SAPBEXheaderText 5 6" xfId="46834"/>
    <cellStyle name="SAPBEXheaderText 6" xfId="46835"/>
    <cellStyle name="SAPBEXheaderText 6 2" xfId="46836"/>
    <cellStyle name="SAPBEXheaderText 6 2 2" xfId="46837"/>
    <cellStyle name="SAPBEXheaderText 6 3" xfId="46838"/>
    <cellStyle name="SAPBEXheaderText 7" xfId="46839"/>
    <cellStyle name="SAPBEXheaderText 7 2" xfId="46840"/>
    <cellStyle name="SAPBEXheaderText 7 2 2" xfId="46841"/>
    <cellStyle name="SAPBEXheaderText 7 3" xfId="46842"/>
    <cellStyle name="SAPBEXheaderText 8" xfId="46843"/>
    <cellStyle name="SAPBEXheaderText 8 2" xfId="46844"/>
    <cellStyle name="SAPBEXheaderText 8 2 2" xfId="46845"/>
    <cellStyle name="SAPBEXheaderText 8 3" xfId="46846"/>
    <cellStyle name="SAPBEXheaderText 9" xfId="46847"/>
    <cellStyle name="SAPBEXheaderText 9 2" xfId="46848"/>
    <cellStyle name="SAPBEXHLevel0" xfId="60"/>
    <cellStyle name="SAPBEXHLevel0 10" xfId="46849"/>
    <cellStyle name="SAPBEXHLevel0 10 2" xfId="46850"/>
    <cellStyle name="SAPBEXHLevel0 10 2 2" xfId="46851"/>
    <cellStyle name="SAPBEXHLevel0 10 3" xfId="46852"/>
    <cellStyle name="SAPBEXHLevel0 11" xfId="46853"/>
    <cellStyle name="SAPBEXHLevel0 11 2" xfId="46854"/>
    <cellStyle name="SAPBEXHLevel0 12" xfId="46855"/>
    <cellStyle name="SAPBEXHLevel0 12 2" xfId="46856"/>
    <cellStyle name="SAPBEXHLevel0 12 2 2" xfId="46857"/>
    <cellStyle name="SAPBEXHLevel0 12 3" xfId="46858"/>
    <cellStyle name="SAPBEXHLevel0 12 3 2" xfId="46859"/>
    <cellStyle name="SAPBEXHLevel0 12 4" xfId="46860"/>
    <cellStyle name="SAPBEXHLevel0 13" xfId="46861"/>
    <cellStyle name="SAPBEXHLevel0 13 2" xfId="46862"/>
    <cellStyle name="SAPBEXHLevel0 14" xfId="46863"/>
    <cellStyle name="SAPBEXHLevel0 14 2" xfId="46864"/>
    <cellStyle name="SAPBEXHLevel0 14 3" xfId="46865"/>
    <cellStyle name="SAPBEXHLevel0 15" xfId="46866"/>
    <cellStyle name="SAPBEXHLevel0 15 2" xfId="46867"/>
    <cellStyle name="SAPBEXHLevel0 16" xfId="46868"/>
    <cellStyle name="SAPBEXHLevel0 16 2" xfId="46869"/>
    <cellStyle name="SAPBEXHLevel0 17" xfId="46870"/>
    <cellStyle name="SAPBEXHLevel0 18" xfId="46871"/>
    <cellStyle name="SAPBEXHLevel0 2" xfId="84"/>
    <cellStyle name="SAPBEXHLevel0 2 10" xfId="46872"/>
    <cellStyle name="SAPBEXHLevel0 2 2" xfId="46873"/>
    <cellStyle name="SAPBEXHLevel0 2 2 2" xfId="46874"/>
    <cellStyle name="SAPBEXHLevel0 2 2 2 2" xfId="46875"/>
    <cellStyle name="SAPBEXHLevel0 2 2 2 2 2" xfId="46876"/>
    <cellStyle name="SAPBEXHLevel0 2 2 2 3" xfId="46877"/>
    <cellStyle name="SAPBEXHLevel0 2 2 3" xfId="46878"/>
    <cellStyle name="SAPBEXHLevel0 2 2 3 2" xfId="46879"/>
    <cellStyle name="SAPBEXHLevel0 2 2 3 2 2" xfId="46880"/>
    <cellStyle name="SAPBEXHLevel0 2 2 3 3" xfId="46881"/>
    <cellStyle name="SAPBEXHLevel0 2 2 4" xfId="46882"/>
    <cellStyle name="SAPBEXHLevel0 2 2 4 2" xfId="46883"/>
    <cellStyle name="SAPBEXHLevel0 2 2 4 2 2" xfId="46884"/>
    <cellStyle name="SAPBEXHLevel0 2 2 4 3" xfId="46885"/>
    <cellStyle name="SAPBEXHLevel0 2 2 5" xfId="46886"/>
    <cellStyle name="SAPBEXHLevel0 2 2 5 2" xfId="46887"/>
    <cellStyle name="SAPBEXHLevel0 2 2 6" xfId="46888"/>
    <cellStyle name="SAPBEXHLevel0 2 3" xfId="46889"/>
    <cellStyle name="SAPBEXHLevel0 2 3 2" xfId="46890"/>
    <cellStyle name="SAPBEXHLevel0 2 3 2 2" xfId="46891"/>
    <cellStyle name="SAPBEXHLevel0 2 3 2 2 2" xfId="46892"/>
    <cellStyle name="SAPBEXHLevel0 2 3 2 2 2 2" xfId="46893"/>
    <cellStyle name="SAPBEXHLevel0 2 3 2 2 3" xfId="46894"/>
    <cellStyle name="SAPBEXHLevel0 2 3 2 3" xfId="46895"/>
    <cellStyle name="SAPBEXHLevel0 2 3 2 3 2" xfId="46896"/>
    <cellStyle name="SAPBEXHLevel0 2 3 2 3 2 2" xfId="46897"/>
    <cellStyle name="SAPBEXHLevel0 2 3 2 3 3" xfId="46898"/>
    <cellStyle name="SAPBEXHLevel0 2 3 2 4" xfId="46899"/>
    <cellStyle name="SAPBEXHLevel0 2 3 2 4 2" xfId="46900"/>
    <cellStyle name="SAPBEXHLevel0 2 3 2 5" xfId="46901"/>
    <cellStyle name="SAPBEXHLevel0 2 3 3" xfId="46902"/>
    <cellStyle name="SAPBEXHLevel0 2 3 3 2" xfId="46903"/>
    <cellStyle name="SAPBEXHLevel0 2 3 3 2 2" xfId="46904"/>
    <cellStyle name="SAPBEXHLevel0 2 3 3 2 2 2" xfId="46905"/>
    <cellStyle name="SAPBEXHLevel0 2 3 3 2 3" xfId="46906"/>
    <cellStyle name="SAPBEXHLevel0 2 3 3 3" xfId="46907"/>
    <cellStyle name="SAPBEXHLevel0 2 3 3 3 2" xfId="46908"/>
    <cellStyle name="SAPBEXHLevel0 2 3 3 4" xfId="46909"/>
    <cellStyle name="SAPBEXHLevel0 2 3 4" xfId="46910"/>
    <cellStyle name="SAPBEXHLevel0 2 3 4 2" xfId="46911"/>
    <cellStyle name="SAPBEXHLevel0 2 3 4 2 2" xfId="46912"/>
    <cellStyle name="SAPBEXHLevel0 2 3 4 3" xfId="46913"/>
    <cellStyle name="SAPBEXHLevel0 2 3 5" xfId="46914"/>
    <cellStyle name="SAPBEXHLevel0 2 3 5 2" xfId="46915"/>
    <cellStyle name="SAPBEXHLevel0 2 3 5 2 2" xfId="46916"/>
    <cellStyle name="SAPBEXHLevel0 2 3 5 3" xfId="46917"/>
    <cellStyle name="SAPBEXHLevel0 2 3 6" xfId="46918"/>
    <cellStyle name="SAPBEXHLevel0 2 3 6 2" xfId="46919"/>
    <cellStyle name="SAPBEXHLevel0 2 3 7" xfId="46920"/>
    <cellStyle name="SAPBEXHLevel0 2 4" xfId="46921"/>
    <cellStyle name="SAPBEXHLevel0 2 4 2" xfId="46922"/>
    <cellStyle name="SAPBEXHLevel0 2 4 2 2" xfId="46923"/>
    <cellStyle name="SAPBEXHLevel0 2 4 2 2 2" xfId="46924"/>
    <cellStyle name="SAPBEXHLevel0 2 4 2 2 2 2" xfId="46925"/>
    <cellStyle name="SAPBEXHLevel0 2 4 2 2 2 2 2" xfId="46926"/>
    <cellStyle name="SAPBEXHLevel0 2 4 2 2 2 2 2 2" xfId="46927"/>
    <cellStyle name="SAPBEXHLevel0 2 4 2 2 2 2 3" xfId="46928"/>
    <cellStyle name="SAPBEXHLevel0 2 4 2 2 2 3" xfId="46929"/>
    <cellStyle name="SAPBEXHLevel0 2 4 2 2 2 3 2" xfId="46930"/>
    <cellStyle name="SAPBEXHLevel0 2 4 2 2 2 4" xfId="46931"/>
    <cellStyle name="SAPBEXHLevel0 2 4 2 2 3" xfId="46932"/>
    <cellStyle name="SAPBEXHLevel0 2 4 2 2 3 2" xfId="46933"/>
    <cellStyle name="SAPBEXHLevel0 2 4 2 2 3 2 2" xfId="46934"/>
    <cellStyle name="SAPBEXHLevel0 2 4 2 2 3 3" xfId="46935"/>
    <cellStyle name="SAPBEXHLevel0 2 4 2 2 4" xfId="46936"/>
    <cellStyle name="SAPBEXHLevel0 2 4 2 2 4 2" xfId="46937"/>
    <cellStyle name="SAPBEXHLevel0 2 4 2 2 5" xfId="46938"/>
    <cellStyle name="SAPBEXHLevel0 2 4 2 3" xfId="46939"/>
    <cellStyle name="SAPBEXHLevel0 2 4 2 3 2" xfId="46940"/>
    <cellStyle name="SAPBEXHLevel0 2 4 2 3 2 2" xfId="46941"/>
    <cellStyle name="SAPBEXHLevel0 2 4 2 3 3" xfId="46942"/>
    <cellStyle name="SAPBEXHLevel0 2 4 2 4" xfId="46943"/>
    <cellStyle name="SAPBEXHLevel0 2 4 2 4 2" xfId="46944"/>
    <cellStyle name="SAPBEXHLevel0 2 4 2 4 2 2" xfId="46945"/>
    <cellStyle name="SAPBEXHLevel0 2 4 2 4 2 2 2" xfId="46946"/>
    <cellStyle name="SAPBEXHLevel0 2 4 2 4 2 3" xfId="46947"/>
    <cellStyle name="SAPBEXHLevel0 2 4 2 4 3" xfId="46948"/>
    <cellStyle name="SAPBEXHLevel0 2 4 2 4 3 2" xfId="46949"/>
    <cellStyle name="SAPBEXHLevel0 2 4 2 4 4" xfId="46950"/>
    <cellStyle name="SAPBEXHLevel0 2 4 2 5" xfId="46951"/>
    <cellStyle name="SAPBEXHLevel0 2 4 2 5 2" xfId="46952"/>
    <cellStyle name="SAPBEXHLevel0 2 4 2 5 2 2" xfId="46953"/>
    <cellStyle name="SAPBEXHLevel0 2 4 2 5 3" xfId="46954"/>
    <cellStyle name="SAPBEXHLevel0 2 4 2 6" xfId="46955"/>
    <cellStyle name="SAPBEXHLevel0 2 4 2 6 2" xfId="46956"/>
    <cellStyle name="SAPBEXHLevel0 2 4 2 7" xfId="46957"/>
    <cellStyle name="SAPBEXHLevel0 2 4 3" xfId="46958"/>
    <cellStyle name="SAPBEXHLevel0 2 4 3 2" xfId="46959"/>
    <cellStyle name="SAPBEXHLevel0 2 4 3 2 2" xfId="46960"/>
    <cellStyle name="SAPBEXHLevel0 2 4 3 2 2 2" xfId="46961"/>
    <cellStyle name="SAPBEXHLevel0 2 4 3 2 2 2 2" xfId="46962"/>
    <cellStyle name="SAPBEXHLevel0 2 4 3 2 2 2 2 2" xfId="46963"/>
    <cellStyle name="SAPBEXHLevel0 2 4 3 2 2 2 3" xfId="46964"/>
    <cellStyle name="SAPBEXHLevel0 2 4 3 2 2 3" xfId="46965"/>
    <cellStyle name="SAPBEXHLevel0 2 4 3 2 2 3 2" xfId="46966"/>
    <cellStyle name="SAPBEXHLevel0 2 4 3 2 2 4" xfId="46967"/>
    <cellStyle name="SAPBEXHLevel0 2 4 3 2 3" xfId="46968"/>
    <cellStyle name="SAPBEXHLevel0 2 4 3 2 3 2" xfId="46969"/>
    <cellStyle name="SAPBEXHLevel0 2 4 3 2 3 2 2" xfId="46970"/>
    <cellStyle name="SAPBEXHLevel0 2 4 3 2 3 3" xfId="46971"/>
    <cellStyle name="SAPBEXHLevel0 2 4 3 2 4" xfId="46972"/>
    <cellStyle name="SAPBEXHLevel0 2 4 3 2 4 2" xfId="46973"/>
    <cellStyle name="SAPBEXHLevel0 2 4 3 2 5" xfId="46974"/>
    <cellStyle name="SAPBEXHLevel0 2 4 3 3" xfId="46975"/>
    <cellStyle name="SAPBEXHLevel0 2 4 3 3 2" xfId="46976"/>
    <cellStyle name="SAPBEXHLevel0 2 4 3 3 2 2" xfId="46977"/>
    <cellStyle name="SAPBEXHLevel0 2 4 3 3 2 2 2" xfId="46978"/>
    <cellStyle name="SAPBEXHLevel0 2 4 3 3 2 3" xfId="46979"/>
    <cellStyle name="SAPBEXHLevel0 2 4 3 3 3" xfId="46980"/>
    <cellStyle name="SAPBEXHLevel0 2 4 3 3 3 2" xfId="46981"/>
    <cellStyle name="SAPBEXHLevel0 2 4 3 3 4" xfId="46982"/>
    <cellStyle name="SAPBEXHLevel0 2 4 3 4" xfId="46983"/>
    <cellStyle name="SAPBEXHLevel0 2 4 3 4 2" xfId="46984"/>
    <cellStyle name="SAPBEXHLevel0 2 4 3 4 2 2" xfId="46985"/>
    <cellStyle name="SAPBEXHLevel0 2 4 3 4 3" xfId="46986"/>
    <cellStyle name="SAPBEXHLevel0 2 4 3 5" xfId="46987"/>
    <cellStyle name="SAPBEXHLevel0 2 4 3 5 2" xfId="46988"/>
    <cellStyle name="SAPBEXHLevel0 2 4 3 6" xfId="46989"/>
    <cellStyle name="SAPBEXHLevel0 2 4 4" xfId="46990"/>
    <cellStyle name="SAPBEXHLevel0 2 4 4 2" xfId="46991"/>
    <cellStyle name="SAPBEXHLevel0 2 4 4 2 2" xfId="46992"/>
    <cellStyle name="SAPBEXHLevel0 2 4 4 3" xfId="46993"/>
    <cellStyle name="SAPBEXHLevel0 2 4 5" xfId="46994"/>
    <cellStyle name="SAPBEXHLevel0 2 4 5 2" xfId="46995"/>
    <cellStyle name="SAPBEXHLevel0 2 4 5 2 2" xfId="46996"/>
    <cellStyle name="SAPBEXHLevel0 2 4 5 2 2 2" xfId="46997"/>
    <cellStyle name="SAPBEXHLevel0 2 4 5 2 3" xfId="46998"/>
    <cellStyle name="SAPBEXHLevel0 2 4 5 3" xfId="46999"/>
    <cellStyle name="SAPBEXHLevel0 2 4 5 3 2" xfId="47000"/>
    <cellStyle name="SAPBEXHLevel0 2 4 5 4" xfId="47001"/>
    <cellStyle name="SAPBEXHLevel0 2 4 6" xfId="47002"/>
    <cellStyle name="SAPBEXHLevel0 2 4 6 2" xfId="47003"/>
    <cellStyle name="SAPBEXHLevel0 2 4 6 2 2" xfId="47004"/>
    <cellStyle name="SAPBEXHLevel0 2 4 6 3" xfId="47005"/>
    <cellStyle name="SAPBEXHLevel0 2 4 7" xfId="47006"/>
    <cellStyle name="SAPBEXHLevel0 2 4 7 2" xfId="47007"/>
    <cellStyle name="SAPBEXHLevel0 2 4 8" xfId="47008"/>
    <cellStyle name="SAPBEXHLevel0 2 5" xfId="47009"/>
    <cellStyle name="SAPBEXHLevel0 2 5 2" xfId="47010"/>
    <cellStyle name="SAPBEXHLevel0 2 5 2 2" xfId="47011"/>
    <cellStyle name="SAPBEXHLevel0 2 5 2 2 2" xfId="47012"/>
    <cellStyle name="SAPBEXHLevel0 2 5 2 3" xfId="47013"/>
    <cellStyle name="SAPBEXHLevel0 2 5 3" xfId="47014"/>
    <cellStyle name="SAPBEXHLevel0 2 5 3 2" xfId="47015"/>
    <cellStyle name="SAPBEXHLevel0 2 5 4" xfId="47016"/>
    <cellStyle name="SAPBEXHLevel0 2 6" xfId="47017"/>
    <cellStyle name="SAPBEXHLevel0 2 6 2" xfId="47018"/>
    <cellStyle name="SAPBEXHLevel0 2 6 2 2" xfId="47019"/>
    <cellStyle name="SAPBEXHLevel0 2 6 3" xfId="47020"/>
    <cellStyle name="SAPBEXHLevel0 2 7" xfId="47021"/>
    <cellStyle name="SAPBEXHLevel0 2 7 2" xfId="47022"/>
    <cellStyle name="SAPBEXHLevel0 2 7 2 2" xfId="47023"/>
    <cellStyle name="SAPBEXHLevel0 2 7 3" xfId="47024"/>
    <cellStyle name="SAPBEXHLevel0 2 8" xfId="47025"/>
    <cellStyle name="SAPBEXHLevel0 2 8 2" xfId="47026"/>
    <cellStyle name="SAPBEXHLevel0 2 8 2 2" xfId="47027"/>
    <cellStyle name="SAPBEXHLevel0 2 8 2 2 2" xfId="47028"/>
    <cellStyle name="SAPBEXHLevel0 2 8 2 2 2 2" xfId="47029"/>
    <cellStyle name="SAPBEXHLevel0 2 8 2 2 3" xfId="47030"/>
    <cellStyle name="SAPBEXHLevel0 2 8 2 3" xfId="47031"/>
    <cellStyle name="SAPBEXHLevel0 2 8 2 3 2" xfId="47032"/>
    <cellStyle name="SAPBEXHLevel0 2 8 2 4" xfId="47033"/>
    <cellStyle name="SAPBEXHLevel0 2 8 3" xfId="47034"/>
    <cellStyle name="SAPBEXHLevel0 2 8 3 2" xfId="47035"/>
    <cellStyle name="SAPBEXHLevel0 2 8 3 2 2" xfId="47036"/>
    <cellStyle name="SAPBEXHLevel0 2 8 3 3" xfId="47037"/>
    <cellStyle name="SAPBEXHLevel0 2 8 4" xfId="47038"/>
    <cellStyle name="SAPBEXHLevel0 2 8 4 2" xfId="47039"/>
    <cellStyle name="SAPBEXHLevel0 2 8 5" xfId="47040"/>
    <cellStyle name="SAPBEXHLevel0 2 9" xfId="47041"/>
    <cellStyle name="SAPBEXHLevel0 2 9 2" xfId="47042"/>
    <cellStyle name="SAPBEXHLevel0 3" xfId="47043"/>
    <cellStyle name="SAPBEXHLevel0 3 2" xfId="47044"/>
    <cellStyle name="SAPBEXHLevel0 3 2 2" xfId="47045"/>
    <cellStyle name="SAPBEXHLevel0 3 2 2 2" xfId="47046"/>
    <cellStyle name="SAPBEXHLevel0 3 2 2 2 2" xfId="47047"/>
    <cellStyle name="SAPBEXHLevel0 3 2 2 3" xfId="47048"/>
    <cellStyle name="SAPBEXHLevel0 3 2 3" xfId="47049"/>
    <cellStyle name="SAPBEXHLevel0 3 2 3 2" xfId="47050"/>
    <cellStyle name="SAPBEXHLevel0 3 2 3 2 2" xfId="47051"/>
    <cellStyle name="SAPBEXHLevel0 3 2 3 3" xfId="47052"/>
    <cellStyle name="SAPBEXHLevel0 3 2 4" xfId="47053"/>
    <cellStyle name="SAPBEXHLevel0 3 2 4 2" xfId="47054"/>
    <cellStyle name="SAPBEXHLevel0 3 2 4 2 2" xfId="47055"/>
    <cellStyle name="SAPBEXHLevel0 3 2 4 3" xfId="47056"/>
    <cellStyle name="SAPBEXHLevel0 3 2 5" xfId="47057"/>
    <cellStyle name="SAPBEXHLevel0 3 2 5 2" xfId="47058"/>
    <cellStyle name="SAPBEXHLevel0 3 2 6" xfId="47059"/>
    <cellStyle name="SAPBEXHLevel0 3 3" xfId="47060"/>
    <cellStyle name="SAPBEXHLevel0 3 3 2" xfId="47061"/>
    <cellStyle name="SAPBEXHLevel0 3 3 2 2" xfId="47062"/>
    <cellStyle name="SAPBEXHLevel0 3 3 2 2 2" xfId="47063"/>
    <cellStyle name="SAPBEXHLevel0 3 3 2 3" xfId="47064"/>
    <cellStyle name="SAPBEXHLevel0 3 3 3" xfId="47065"/>
    <cellStyle name="SAPBEXHLevel0 3 3 3 2" xfId="47066"/>
    <cellStyle name="SAPBEXHLevel0 3 3 4" xfId="47067"/>
    <cellStyle name="SAPBEXHLevel0 3 4" xfId="47068"/>
    <cellStyle name="SAPBEXHLevel0 3 4 2" xfId="47069"/>
    <cellStyle name="SAPBEXHLevel0 3 4 2 2" xfId="47070"/>
    <cellStyle name="SAPBEXHLevel0 3 4 3" xfId="47071"/>
    <cellStyle name="SAPBEXHLevel0 3 5" xfId="47072"/>
    <cellStyle name="SAPBEXHLevel0 3 5 2" xfId="47073"/>
    <cellStyle name="SAPBEXHLevel0 3 5 2 2" xfId="47074"/>
    <cellStyle name="SAPBEXHLevel0 3 5 3" xfId="47075"/>
    <cellStyle name="SAPBEXHLevel0 3 6" xfId="47076"/>
    <cellStyle name="SAPBEXHLevel0 3 6 2" xfId="47077"/>
    <cellStyle name="SAPBEXHLevel0 3 6 2 2" xfId="47078"/>
    <cellStyle name="SAPBEXHLevel0 3 6 2 2 2" xfId="47079"/>
    <cellStyle name="SAPBEXHLevel0 3 6 2 2 2 2" xfId="47080"/>
    <cellStyle name="SAPBEXHLevel0 3 6 2 2 3" xfId="47081"/>
    <cellStyle name="SAPBEXHLevel0 3 6 2 3" xfId="47082"/>
    <cellStyle name="SAPBEXHLevel0 3 6 2 3 2" xfId="47083"/>
    <cellStyle name="SAPBEXHLevel0 3 6 2 4" xfId="47084"/>
    <cellStyle name="SAPBEXHLevel0 3 6 3" xfId="47085"/>
    <cellStyle name="SAPBEXHLevel0 3 6 3 2" xfId="47086"/>
    <cellStyle name="SAPBEXHLevel0 3 6 3 2 2" xfId="47087"/>
    <cellStyle name="SAPBEXHLevel0 3 6 3 3" xfId="47088"/>
    <cellStyle name="SAPBEXHLevel0 3 6 4" xfId="47089"/>
    <cellStyle name="SAPBEXHLevel0 3 6 4 2" xfId="47090"/>
    <cellStyle name="SAPBEXHLevel0 3 6 5" xfId="47091"/>
    <cellStyle name="SAPBEXHLevel0 3 7" xfId="47092"/>
    <cellStyle name="SAPBEXHLevel0 3 7 2" xfId="47093"/>
    <cellStyle name="SAPBEXHLevel0 3 8" xfId="47094"/>
    <cellStyle name="SAPBEXHLevel0 4" xfId="47095"/>
    <cellStyle name="SAPBEXHLevel0 4 2" xfId="47096"/>
    <cellStyle name="SAPBEXHLevel0 4 2 2" xfId="47097"/>
    <cellStyle name="SAPBEXHLevel0 4 2 2 2" xfId="47098"/>
    <cellStyle name="SAPBEXHLevel0 4 2 2 2 2" xfId="47099"/>
    <cellStyle name="SAPBEXHLevel0 4 2 2 3" xfId="47100"/>
    <cellStyle name="SAPBEXHLevel0 4 2 3" xfId="47101"/>
    <cellStyle name="SAPBEXHLevel0 4 2 3 2" xfId="47102"/>
    <cellStyle name="SAPBEXHLevel0 4 2 3 2 2" xfId="47103"/>
    <cellStyle name="SAPBEXHLevel0 4 2 3 3" xfId="47104"/>
    <cellStyle name="SAPBEXHLevel0 4 2 4" xfId="47105"/>
    <cellStyle name="SAPBEXHLevel0 4 2 4 2" xfId="47106"/>
    <cellStyle name="SAPBEXHLevel0 4 2 4 2 2" xfId="47107"/>
    <cellStyle name="SAPBEXHLevel0 4 2 4 3" xfId="47108"/>
    <cellStyle name="SAPBEXHLevel0 4 2 5" xfId="47109"/>
    <cellStyle name="SAPBEXHLevel0 4 2 5 2" xfId="47110"/>
    <cellStyle name="SAPBEXHLevel0 4 2 6" xfId="47111"/>
    <cellStyle name="SAPBEXHLevel0 4 3" xfId="47112"/>
    <cellStyle name="SAPBEXHLevel0 4 3 2" xfId="47113"/>
    <cellStyle name="SAPBEXHLevel0 4 3 2 2" xfId="47114"/>
    <cellStyle name="SAPBEXHLevel0 4 3 2 2 2" xfId="47115"/>
    <cellStyle name="SAPBEXHLevel0 4 3 2 2 2 2" xfId="47116"/>
    <cellStyle name="SAPBEXHLevel0 4 3 2 2 3" xfId="47117"/>
    <cellStyle name="SAPBEXHLevel0 4 3 2 3" xfId="47118"/>
    <cellStyle name="SAPBEXHLevel0 4 3 2 3 2" xfId="47119"/>
    <cellStyle name="SAPBEXHLevel0 4 3 2 3 2 2" xfId="47120"/>
    <cellStyle name="SAPBEXHLevel0 4 3 2 3 3" xfId="47121"/>
    <cellStyle name="SAPBEXHLevel0 4 3 2 4" xfId="47122"/>
    <cellStyle name="SAPBEXHLevel0 4 3 2 4 2" xfId="47123"/>
    <cellStyle name="SAPBEXHLevel0 4 3 2 5" xfId="47124"/>
    <cellStyle name="SAPBEXHLevel0 4 3 3" xfId="47125"/>
    <cellStyle name="SAPBEXHLevel0 4 3 3 2" xfId="47126"/>
    <cellStyle name="SAPBEXHLevel0 4 3 3 2 2" xfId="47127"/>
    <cellStyle name="SAPBEXHLevel0 4 3 3 2 2 2" xfId="47128"/>
    <cellStyle name="SAPBEXHLevel0 4 3 3 2 3" xfId="47129"/>
    <cellStyle name="SAPBEXHLevel0 4 3 3 3" xfId="47130"/>
    <cellStyle name="SAPBEXHLevel0 4 3 3 3 2" xfId="47131"/>
    <cellStyle name="SAPBEXHLevel0 4 3 3 4" xfId="47132"/>
    <cellStyle name="SAPBEXHLevel0 4 3 4" xfId="47133"/>
    <cellStyle name="SAPBEXHLevel0 4 3 4 2" xfId="47134"/>
    <cellStyle name="SAPBEXHLevel0 4 3 4 2 2" xfId="47135"/>
    <cellStyle name="SAPBEXHLevel0 4 3 4 3" xfId="47136"/>
    <cellStyle name="SAPBEXHLevel0 4 3 5" xfId="47137"/>
    <cellStyle name="SAPBEXHLevel0 4 3 5 2" xfId="47138"/>
    <cellStyle name="SAPBEXHLevel0 4 3 5 2 2" xfId="47139"/>
    <cellStyle name="SAPBEXHLevel0 4 3 5 3" xfId="47140"/>
    <cellStyle name="SAPBEXHLevel0 4 3 6" xfId="47141"/>
    <cellStyle name="SAPBEXHLevel0 4 3 6 2" xfId="47142"/>
    <cellStyle name="SAPBEXHLevel0 4 3 7" xfId="47143"/>
    <cellStyle name="SAPBEXHLevel0 4 4" xfId="47144"/>
    <cellStyle name="SAPBEXHLevel0 4 4 2" xfId="47145"/>
    <cellStyle name="SAPBEXHLevel0 4 4 2 2" xfId="47146"/>
    <cellStyle name="SAPBEXHLevel0 4 4 2 2 2" xfId="47147"/>
    <cellStyle name="SAPBEXHLevel0 4 4 2 3" xfId="47148"/>
    <cellStyle name="SAPBEXHLevel0 4 4 3" xfId="47149"/>
    <cellStyle name="SAPBEXHLevel0 4 4 3 2" xfId="47150"/>
    <cellStyle name="SAPBEXHLevel0 4 4 4" xfId="47151"/>
    <cellStyle name="SAPBEXHLevel0 4 5" xfId="47152"/>
    <cellStyle name="SAPBEXHLevel0 4 5 2" xfId="47153"/>
    <cellStyle name="SAPBEXHLevel0 4 5 2 2" xfId="47154"/>
    <cellStyle name="SAPBEXHLevel0 4 5 3" xfId="47155"/>
    <cellStyle name="SAPBEXHLevel0 4 6" xfId="47156"/>
    <cellStyle name="SAPBEXHLevel0 4 6 2" xfId="47157"/>
    <cellStyle name="SAPBEXHLevel0 4 6 2 2" xfId="47158"/>
    <cellStyle name="SAPBEXHLevel0 4 6 3" xfId="47159"/>
    <cellStyle name="SAPBEXHLevel0 4 7" xfId="47160"/>
    <cellStyle name="SAPBEXHLevel0 4 7 2" xfId="47161"/>
    <cellStyle name="SAPBEXHLevel0 4 8" xfId="47162"/>
    <cellStyle name="SAPBEXHLevel0 5" xfId="47163"/>
    <cellStyle name="SAPBEXHLevel0 5 2" xfId="47164"/>
    <cellStyle name="SAPBEXHLevel0 5 2 2" xfId="47165"/>
    <cellStyle name="SAPBEXHLevel0 5 2 2 2" xfId="47166"/>
    <cellStyle name="SAPBEXHLevel0 5 2 3" xfId="47167"/>
    <cellStyle name="SAPBEXHLevel0 5 3" xfId="47168"/>
    <cellStyle name="SAPBEXHLevel0 5 3 2" xfId="47169"/>
    <cellStyle name="SAPBEXHLevel0 5 3 2 2" xfId="47170"/>
    <cellStyle name="SAPBEXHLevel0 5 3 3" xfId="47171"/>
    <cellStyle name="SAPBEXHLevel0 5 4" xfId="47172"/>
    <cellStyle name="SAPBEXHLevel0 5 4 2" xfId="47173"/>
    <cellStyle name="SAPBEXHLevel0 5 4 2 2" xfId="47174"/>
    <cellStyle name="SAPBEXHLevel0 5 4 3" xfId="47175"/>
    <cellStyle name="SAPBEXHLevel0 5 5" xfId="47176"/>
    <cellStyle name="SAPBEXHLevel0 5 5 2" xfId="47177"/>
    <cellStyle name="SAPBEXHLevel0 5 6" xfId="47178"/>
    <cellStyle name="SAPBEXHLevel0 6" xfId="47179"/>
    <cellStyle name="SAPBEXHLevel0 6 2" xfId="47180"/>
    <cellStyle name="SAPBEXHLevel0 6 2 2" xfId="47181"/>
    <cellStyle name="SAPBEXHLevel0 6 3" xfId="47182"/>
    <cellStyle name="SAPBEXHLevel0 6 3 2" xfId="47183"/>
    <cellStyle name="SAPBEXHLevel0 6 3 2 2" xfId="47184"/>
    <cellStyle name="SAPBEXHLevel0 6 3 3" xfId="47185"/>
    <cellStyle name="SAPBEXHLevel0 6 4" xfId="47186"/>
    <cellStyle name="SAPBEXHLevel0 6 4 2" xfId="47187"/>
    <cellStyle name="SAPBEXHLevel0 6 4 2 2" xfId="47188"/>
    <cellStyle name="SAPBEXHLevel0 6 4 3" xfId="47189"/>
    <cellStyle name="SAPBEXHLevel0 6 5" xfId="47190"/>
    <cellStyle name="SAPBEXHLevel0 7" xfId="47191"/>
    <cellStyle name="SAPBEXHLevel0 7 2" xfId="47192"/>
    <cellStyle name="SAPBEXHLevel0 7 2 2" xfId="47193"/>
    <cellStyle name="SAPBEXHLevel0 7 2 2 2" xfId="47194"/>
    <cellStyle name="SAPBEXHLevel0 7 2 3" xfId="47195"/>
    <cellStyle name="SAPBEXHLevel0 7 2 3 2" xfId="47196"/>
    <cellStyle name="SAPBEXHLevel0 7 2 3 2 2" xfId="47197"/>
    <cellStyle name="SAPBEXHLevel0 7 2 3 3" xfId="47198"/>
    <cellStyle name="SAPBEXHLevel0 7 2 4" xfId="47199"/>
    <cellStyle name="SAPBEXHLevel0 7 3" xfId="47200"/>
    <cellStyle name="SAPBEXHLevel0 7 3 2" xfId="47201"/>
    <cellStyle name="SAPBEXHLevel0 7 3 2 2" xfId="47202"/>
    <cellStyle name="SAPBEXHLevel0 7 3 3" xfId="47203"/>
    <cellStyle name="SAPBEXHLevel0 7 4" xfId="47204"/>
    <cellStyle name="SAPBEXHLevel0 7 4 2" xfId="47205"/>
    <cellStyle name="SAPBEXHLevel0 7 4 2 2" xfId="47206"/>
    <cellStyle name="SAPBEXHLevel0 7 4 3" xfId="47207"/>
    <cellStyle name="SAPBEXHLevel0 7 5" xfId="47208"/>
    <cellStyle name="SAPBEXHLevel0 7 5 2" xfId="47209"/>
    <cellStyle name="SAPBEXHLevel0 7 5 2 2" xfId="47210"/>
    <cellStyle name="SAPBEXHLevel0 7 5 3" xfId="47211"/>
    <cellStyle name="SAPBEXHLevel0 7 6" xfId="47212"/>
    <cellStyle name="SAPBEXHLevel0 8" xfId="47213"/>
    <cellStyle name="SAPBEXHLevel0 8 2" xfId="47214"/>
    <cellStyle name="SAPBEXHLevel0 8 2 2" xfId="47215"/>
    <cellStyle name="SAPBEXHLevel0 8 3" xfId="47216"/>
    <cellStyle name="SAPBEXHLevel0 9" xfId="47217"/>
    <cellStyle name="SAPBEXHLevel0 9 2" xfId="47218"/>
    <cellStyle name="SAPBEXHLevel0 9 2 2" xfId="47219"/>
    <cellStyle name="SAPBEXHLevel0 9 3" xfId="47220"/>
    <cellStyle name="SAPBEXHLevel0X" xfId="61"/>
    <cellStyle name="SAPBEXHLevel0X 10" xfId="47221"/>
    <cellStyle name="SAPBEXHLevel0X 10 2" xfId="47222"/>
    <cellStyle name="SAPBEXHLevel0X 10 2 2" xfId="47223"/>
    <cellStyle name="SAPBEXHLevel0X 10 2 2 2" xfId="47224"/>
    <cellStyle name="SAPBEXHLevel0X 10 2 3" xfId="47225"/>
    <cellStyle name="SAPBEXHLevel0X 10 3" xfId="47226"/>
    <cellStyle name="SAPBEXHLevel0X 10 3 2" xfId="47227"/>
    <cellStyle name="SAPBEXHLevel0X 10 4" xfId="47228"/>
    <cellStyle name="SAPBEXHLevel0X 11" xfId="47229"/>
    <cellStyle name="SAPBEXHLevel0X 11 2" xfId="47230"/>
    <cellStyle name="SAPBEXHLevel0X 11 2 2" xfId="47231"/>
    <cellStyle name="SAPBEXHLevel0X 11 3" xfId="47232"/>
    <cellStyle name="SAPBEXHLevel0X 12" xfId="47233"/>
    <cellStyle name="SAPBEXHLevel0X 12 2" xfId="47234"/>
    <cellStyle name="SAPBEXHLevel0X 12 2 2" xfId="47235"/>
    <cellStyle name="SAPBEXHLevel0X 12 3" xfId="47236"/>
    <cellStyle name="SAPBEXHLevel0X 13" xfId="47237"/>
    <cellStyle name="SAPBEXHLevel0X 13 2" xfId="47238"/>
    <cellStyle name="SAPBEXHLevel0X 13 2 2" xfId="47239"/>
    <cellStyle name="SAPBEXHLevel0X 13 3" xfId="47240"/>
    <cellStyle name="SAPBEXHLevel0X 14" xfId="47241"/>
    <cellStyle name="SAPBEXHLevel0X 14 2" xfId="47242"/>
    <cellStyle name="SAPBEXHLevel0X 14 2 2" xfId="47243"/>
    <cellStyle name="SAPBEXHLevel0X 14 3" xfId="47244"/>
    <cellStyle name="SAPBEXHLevel0X 15" xfId="47245"/>
    <cellStyle name="SAPBEXHLevel0X 15 2" xfId="47246"/>
    <cellStyle name="SAPBEXHLevel0X 15 2 2" xfId="47247"/>
    <cellStyle name="SAPBEXHLevel0X 15 2 2 2" xfId="47248"/>
    <cellStyle name="SAPBEXHLevel0X 15 2 3" xfId="47249"/>
    <cellStyle name="SAPBEXHLevel0X 15 3" xfId="47250"/>
    <cellStyle name="SAPBEXHLevel0X 15 3 2" xfId="47251"/>
    <cellStyle name="SAPBEXHLevel0X 15 4" xfId="47252"/>
    <cellStyle name="SAPBEXHLevel0X 16" xfId="47253"/>
    <cellStyle name="SAPBEXHLevel0X 16 2" xfId="47254"/>
    <cellStyle name="SAPBEXHLevel0X 16 3" xfId="47255"/>
    <cellStyle name="SAPBEXHLevel0X 17" xfId="47256"/>
    <cellStyle name="SAPBEXHLevel0X 17 2" xfId="47257"/>
    <cellStyle name="SAPBEXHLevel0X 17 3" xfId="47258"/>
    <cellStyle name="SAPBEXHLevel0X 18" xfId="47259"/>
    <cellStyle name="SAPBEXHLevel0X 18 2" xfId="47260"/>
    <cellStyle name="SAPBEXHLevel0X 19" xfId="47261"/>
    <cellStyle name="SAPBEXHLevel0X 2" xfId="85"/>
    <cellStyle name="SAPBEXHLevel0X 2 2" xfId="47262"/>
    <cellStyle name="SAPBEXHLevel0X 2 2 2" xfId="47263"/>
    <cellStyle name="SAPBEXHLevel0X 2 2 2 2" xfId="47264"/>
    <cellStyle name="SAPBEXHLevel0X 2 2 2 2 2" xfId="47265"/>
    <cellStyle name="SAPBEXHLevel0X 2 2 2 3" xfId="47266"/>
    <cellStyle name="SAPBEXHLevel0X 2 2 3" xfId="47267"/>
    <cellStyle name="SAPBEXHLevel0X 2 2 3 2" xfId="47268"/>
    <cellStyle name="SAPBEXHLevel0X 2 2 3 2 2" xfId="47269"/>
    <cellStyle name="SAPBEXHLevel0X 2 2 3 3" xfId="47270"/>
    <cellStyle name="SAPBEXHLevel0X 2 2 4" xfId="47271"/>
    <cellStyle name="SAPBEXHLevel0X 2 2 4 2" xfId="47272"/>
    <cellStyle name="SAPBEXHLevel0X 2 2 4 2 2" xfId="47273"/>
    <cellStyle name="SAPBEXHLevel0X 2 2 4 3" xfId="47274"/>
    <cellStyle name="SAPBEXHLevel0X 2 2 5" xfId="47275"/>
    <cellStyle name="SAPBEXHLevel0X 2 2 5 2" xfId="47276"/>
    <cellStyle name="SAPBEXHLevel0X 2 2 6" xfId="47277"/>
    <cellStyle name="SAPBEXHLevel0X 2 3" xfId="47278"/>
    <cellStyle name="SAPBEXHLevel0X 2 3 2" xfId="47279"/>
    <cellStyle name="SAPBEXHLevel0X 2 3 2 2" xfId="47280"/>
    <cellStyle name="SAPBEXHLevel0X 2 3 2 2 2" xfId="47281"/>
    <cellStyle name="SAPBEXHLevel0X 2 3 2 2 2 2" xfId="47282"/>
    <cellStyle name="SAPBEXHLevel0X 2 3 2 2 3" xfId="47283"/>
    <cellStyle name="SAPBEXHLevel0X 2 3 2 3" xfId="47284"/>
    <cellStyle name="SAPBEXHLevel0X 2 3 2 3 2" xfId="47285"/>
    <cellStyle name="SAPBEXHLevel0X 2 3 2 3 2 2" xfId="47286"/>
    <cellStyle name="SAPBEXHLevel0X 2 3 2 3 3" xfId="47287"/>
    <cellStyle name="SAPBEXHLevel0X 2 3 2 4" xfId="47288"/>
    <cellStyle name="SAPBEXHLevel0X 2 3 2 4 2" xfId="47289"/>
    <cellStyle name="SAPBEXHLevel0X 2 3 2 5" xfId="47290"/>
    <cellStyle name="SAPBEXHLevel0X 2 3 3" xfId="47291"/>
    <cellStyle name="SAPBEXHLevel0X 2 3 3 2" xfId="47292"/>
    <cellStyle name="SAPBEXHLevel0X 2 3 3 2 2" xfId="47293"/>
    <cellStyle name="SAPBEXHLevel0X 2 3 3 2 2 2" xfId="47294"/>
    <cellStyle name="SAPBEXHLevel0X 2 3 3 2 3" xfId="47295"/>
    <cellStyle name="SAPBEXHLevel0X 2 3 3 3" xfId="47296"/>
    <cellStyle name="SAPBEXHLevel0X 2 3 3 3 2" xfId="47297"/>
    <cellStyle name="SAPBEXHLevel0X 2 3 3 4" xfId="47298"/>
    <cellStyle name="SAPBEXHLevel0X 2 3 4" xfId="47299"/>
    <cellStyle name="SAPBEXHLevel0X 2 3 4 2" xfId="47300"/>
    <cellStyle name="SAPBEXHLevel0X 2 3 4 2 2" xfId="47301"/>
    <cellStyle name="SAPBEXHLevel0X 2 3 4 3" xfId="47302"/>
    <cellStyle name="SAPBEXHLevel0X 2 3 5" xfId="47303"/>
    <cellStyle name="SAPBEXHLevel0X 2 3 5 2" xfId="47304"/>
    <cellStyle name="SAPBEXHLevel0X 2 3 5 2 2" xfId="47305"/>
    <cellStyle name="SAPBEXHLevel0X 2 3 5 3" xfId="47306"/>
    <cellStyle name="SAPBEXHLevel0X 2 3 6" xfId="47307"/>
    <cellStyle name="SAPBEXHLevel0X 2 3 6 2" xfId="47308"/>
    <cellStyle name="SAPBEXHLevel0X 2 3 7" xfId="47309"/>
    <cellStyle name="SAPBEXHLevel0X 2 4" xfId="47310"/>
    <cellStyle name="SAPBEXHLevel0X 2 4 2" xfId="47311"/>
    <cellStyle name="SAPBEXHLevel0X 2 4 2 2" xfId="47312"/>
    <cellStyle name="SAPBEXHLevel0X 2 4 2 2 2" xfId="47313"/>
    <cellStyle name="SAPBEXHLevel0X 2 4 2 3" xfId="47314"/>
    <cellStyle name="SAPBEXHLevel0X 2 4 3" xfId="47315"/>
    <cellStyle name="SAPBEXHLevel0X 2 4 3 2" xfId="47316"/>
    <cellStyle name="SAPBEXHLevel0X 2 4 4" xfId="47317"/>
    <cellStyle name="SAPBEXHLevel0X 2 5" xfId="47318"/>
    <cellStyle name="SAPBEXHLevel0X 2 5 2" xfId="47319"/>
    <cellStyle name="SAPBEXHLevel0X 2 5 2 2" xfId="47320"/>
    <cellStyle name="SAPBEXHLevel0X 2 5 3" xfId="47321"/>
    <cellStyle name="SAPBEXHLevel0X 2 6" xfId="47322"/>
    <cellStyle name="SAPBEXHLevel0X 2 6 2" xfId="47323"/>
    <cellStyle name="SAPBEXHLevel0X 2 6 2 2" xfId="47324"/>
    <cellStyle name="SAPBEXHLevel0X 2 6 3" xfId="47325"/>
    <cellStyle name="SAPBEXHLevel0X 2 7" xfId="47326"/>
    <cellStyle name="SAPBEXHLevel0X 2 7 2" xfId="47327"/>
    <cellStyle name="SAPBEXHLevel0X 2 8" xfId="47328"/>
    <cellStyle name="SAPBEXHLevel0X 20" xfId="47329"/>
    <cellStyle name="SAPBEXHLevel0X 21" xfId="47330"/>
    <cellStyle name="SAPBEXHLevel0X 22" xfId="47331"/>
    <cellStyle name="SAPBEXHLevel0X 3" xfId="47332"/>
    <cellStyle name="SAPBEXHLevel0X 3 2" xfId="47333"/>
    <cellStyle name="SAPBEXHLevel0X 3 2 2" xfId="47334"/>
    <cellStyle name="SAPBEXHLevel0X 3 2 2 2" xfId="47335"/>
    <cellStyle name="SAPBEXHLevel0X 3 2 2 2 2" xfId="47336"/>
    <cellStyle name="SAPBEXHLevel0X 3 2 2 3" xfId="47337"/>
    <cellStyle name="SAPBEXHLevel0X 3 2 3" xfId="47338"/>
    <cellStyle name="SAPBEXHLevel0X 3 2 3 2" xfId="47339"/>
    <cellStyle name="SAPBEXHLevel0X 3 2 3 2 2" xfId="47340"/>
    <cellStyle name="SAPBEXHLevel0X 3 2 3 3" xfId="47341"/>
    <cellStyle name="SAPBEXHLevel0X 3 2 4" xfId="47342"/>
    <cellStyle name="SAPBEXHLevel0X 3 2 4 2" xfId="47343"/>
    <cellStyle name="SAPBEXHLevel0X 3 2 4 2 2" xfId="47344"/>
    <cellStyle name="SAPBEXHLevel0X 3 2 4 3" xfId="47345"/>
    <cellStyle name="SAPBEXHLevel0X 3 2 5" xfId="47346"/>
    <cellStyle name="SAPBEXHLevel0X 3 2 5 2" xfId="47347"/>
    <cellStyle name="SAPBEXHLevel0X 3 2 6" xfId="47348"/>
    <cellStyle name="SAPBEXHLevel0X 3 3" xfId="47349"/>
    <cellStyle name="SAPBEXHLevel0X 3 3 2" xfId="47350"/>
    <cellStyle name="SAPBEXHLevel0X 3 3 2 2" xfId="47351"/>
    <cellStyle name="SAPBEXHLevel0X 3 3 2 2 2" xfId="47352"/>
    <cellStyle name="SAPBEXHLevel0X 3 3 2 3" xfId="47353"/>
    <cellStyle name="SAPBEXHLevel0X 3 3 3" xfId="47354"/>
    <cellStyle name="SAPBEXHLevel0X 3 3 3 2" xfId="47355"/>
    <cellStyle name="SAPBEXHLevel0X 3 3 4" xfId="47356"/>
    <cellStyle name="SAPBEXHLevel0X 3 4" xfId="47357"/>
    <cellStyle name="SAPBEXHLevel0X 3 4 2" xfId="47358"/>
    <cellStyle name="SAPBEXHLevel0X 3 4 2 2" xfId="47359"/>
    <cellStyle name="SAPBEXHLevel0X 3 4 3" xfId="47360"/>
    <cellStyle name="SAPBEXHLevel0X 3 5" xfId="47361"/>
    <cellStyle name="SAPBEXHLevel0X 3 5 2" xfId="47362"/>
    <cellStyle name="SAPBEXHLevel0X 3 5 2 2" xfId="47363"/>
    <cellStyle name="SAPBEXHLevel0X 3 5 3" xfId="47364"/>
    <cellStyle name="SAPBEXHLevel0X 3 6" xfId="47365"/>
    <cellStyle name="SAPBEXHLevel0X 3 6 2" xfId="47366"/>
    <cellStyle name="SAPBEXHLevel0X 3 7" xfId="47367"/>
    <cellStyle name="SAPBEXHLevel0X 4" xfId="47368"/>
    <cellStyle name="SAPBEXHLevel0X 4 2" xfId="47369"/>
    <cellStyle name="SAPBEXHLevel0X 4 2 2" xfId="47370"/>
    <cellStyle name="SAPBEXHLevel0X 4 2 2 2" xfId="47371"/>
    <cellStyle name="SAPBEXHLevel0X 4 2 2 2 2" xfId="47372"/>
    <cellStyle name="SAPBEXHLevel0X 4 2 2 3" xfId="47373"/>
    <cellStyle name="SAPBEXHLevel0X 4 2 3" xfId="47374"/>
    <cellStyle name="SAPBEXHLevel0X 4 2 3 2" xfId="47375"/>
    <cellStyle name="SAPBEXHLevel0X 4 2 3 2 2" xfId="47376"/>
    <cellStyle name="SAPBEXHLevel0X 4 2 3 3" xfId="47377"/>
    <cellStyle name="SAPBEXHLevel0X 4 2 4" xfId="47378"/>
    <cellStyle name="SAPBEXHLevel0X 4 2 4 2" xfId="47379"/>
    <cellStyle name="SAPBEXHLevel0X 4 2 4 2 2" xfId="47380"/>
    <cellStyle name="SAPBEXHLevel0X 4 2 4 3" xfId="47381"/>
    <cellStyle name="SAPBEXHLevel0X 4 2 5" xfId="47382"/>
    <cellStyle name="SAPBEXHLevel0X 4 2 5 2" xfId="47383"/>
    <cellStyle name="SAPBEXHLevel0X 4 2 6" xfId="47384"/>
    <cellStyle name="SAPBEXHLevel0X 4 3" xfId="47385"/>
    <cellStyle name="SAPBEXHLevel0X 4 3 2" xfId="47386"/>
    <cellStyle name="SAPBEXHLevel0X 4 3 2 2" xfId="47387"/>
    <cellStyle name="SAPBEXHLevel0X 4 3 2 2 2" xfId="47388"/>
    <cellStyle name="SAPBEXHLevel0X 4 3 2 2 2 2" xfId="47389"/>
    <cellStyle name="SAPBEXHLevel0X 4 3 2 2 3" xfId="47390"/>
    <cellStyle name="SAPBEXHLevel0X 4 3 2 3" xfId="47391"/>
    <cellStyle name="SAPBEXHLevel0X 4 3 2 3 2" xfId="47392"/>
    <cellStyle name="SAPBEXHLevel0X 4 3 2 3 2 2" xfId="47393"/>
    <cellStyle name="SAPBEXHLevel0X 4 3 2 3 3" xfId="47394"/>
    <cellStyle name="SAPBEXHLevel0X 4 3 2 4" xfId="47395"/>
    <cellStyle name="SAPBEXHLevel0X 4 3 2 4 2" xfId="47396"/>
    <cellStyle name="SAPBEXHLevel0X 4 3 2 5" xfId="47397"/>
    <cellStyle name="SAPBEXHLevel0X 4 3 3" xfId="47398"/>
    <cellStyle name="SAPBEXHLevel0X 4 3 3 2" xfId="47399"/>
    <cellStyle name="SAPBEXHLevel0X 4 3 3 2 2" xfId="47400"/>
    <cellStyle name="SAPBEXHLevel0X 4 3 3 2 2 2" xfId="47401"/>
    <cellStyle name="SAPBEXHLevel0X 4 3 3 2 3" xfId="47402"/>
    <cellStyle name="SAPBEXHLevel0X 4 3 3 3" xfId="47403"/>
    <cellStyle name="SAPBEXHLevel0X 4 3 3 3 2" xfId="47404"/>
    <cellStyle name="SAPBEXHLevel0X 4 3 3 4" xfId="47405"/>
    <cellStyle name="SAPBEXHLevel0X 4 3 4" xfId="47406"/>
    <cellStyle name="SAPBEXHLevel0X 4 3 4 2" xfId="47407"/>
    <cellStyle name="SAPBEXHLevel0X 4 3 4 2 2" xfId="47408"/>
    <cellStyle name="SAPBEXHLevel0X 4 3 4 3" xfId="47409"/>
    <cellStyle name="SAPBEXHLevel0X 4 3 5" xfId="47410"/>
    <cellStyle name="SAPBEXHLevel0X 4 3 5 2" xfId="47411"/>
    <cellStyle name="SAPBEXHLevel0X 4 3 5 2 2" xfId="47412"/>
    <cellStyle name="SAPBEXHLevel0X 4 3 5 3" xfId="47413"/>
    <cellStyle name="SAPBEXHLevel0X 4 3 6" xfId="47414"/>
    <cellStyle name="SAPBEXHLevel0X 4 3 6 2" xfId="47415"/>
    <cellStyle name="SAPBEXHLevel0X 4 3 7" xfId="47416"/>
    <cellStyle name="SAPBEXHLevel0X 4 4" xfId="47417"/>
    <cellStyle name="SAPBEXHLevel0X 4 4 2" xfId="47418"/>
    <cellStyle name="SAPBEXHLevel0X 4 4 2 2" xfId="47419"/>
    <cellStyle name="SAPBEXHLevel0X 4 4 2 2 2" xfId="47420"/>
    <cellStyle name="SAPBEXHLevel0X 4 4 2 3" xfId="47421"/>
    <cellStyle name="SAPBEXHLevel0X 4 4 3" xfId="47422"/>
    <cellStyle name="SAPBEXHLevel0X 4 4 3 2" xfId="47423"/>
    <cellStyle name="SAPBEXHLevel0X 4 4 4" xfId="47424"/>
    <cellStyle name="SAPBEXHLevel0X 4 5" xfId="47425"/>
    <cellStyle name="SAPBEXHLevel0X 4 5 2" xfId="47426"/>
    <cellStyle name="SAPBEXHLevel0X 4 5 2 2" xfId="47427"/>
    <cellStyle name="SAPBEXHLevel0X 4 5 3" xfId="47428"/>
    <cellStyle name="SAPBEXHLevel0X 4 6" xfId="47429"/>
    <cellStyle name="SAPBEXHLevel0X 4 6 2" xfId="47430"/>
    <cellStyle name="SAPBEXHLevel0X 4 6 2 2" xfId="47431"/>
    <cellStyle name="SAPBEXHLevel0X 4 6 3" xfId="47432"/>
    <cellStyle name="SAPBEXHLevel0X 4 7" xfId="47433"/>
    <cellStyle name="SAPBEXHLevel0X 4 7 2" xfId="47434"/>
    <cellStyle name="SAPBEXHLevel0X 4 8" xfId="47435"/>
    <cellStyle name="SAPBEXHLevel0X 5" xfId="47436"/>
    <cellStyle name="SAPBEXHLevel0X 5 2" xfId="47437"/>
    <cellStyle name="SAPBEXHLevel0X 5 2 2" xfId="47438"/>
    <cellStyle name="SAPBEXHLevel0X 5 2 2 2" xfId="47439"/>
    <cellStyle name="SAPBEXHLevel0X 5 2 3" xfId="47440"/>
    <cellStyle name="SAPBEXHLevel0X 5 3" xfId="47441"/>
    <cellStyle name="SAPBEXHLevel0X 5 3 2" xfId="47442"/>
    <cellStyle name="SAPBEXHLevel0X 5 3 2 2" xfId="47443"/>
    <cellStyle name="SAPBEXHLevel0X 5 3 3" xfId="47444"/>
    <cellStyle name="SAPBEXHLevel0X 5 4" xfId="47445"/>
    <cellStyle name="SAPBEXHLevel0X 5 4 2" xfId="47446"/>
    <cellStyle name="SAPBEXHLevel0X 5 4 2 2" xfId="47447"/>
    <cellStyle name="SAPBEXHLevel0X 5 4 3" xfId="47448"/>
    <cellStyle name="SAPBEXHLevel0X 5 5" xfId="47449"/>
    <cellStyle name="SAPBEXHLevel0X 5 5 2" xfId="47450"/>
    <cellStyle name="SAPBEXHLevel0X 5 6" xfId="47451"/>
    <cellStyle name="SAPBEXHLevel0X 6" xfId="47452"/>
    <cellStyle name="SAPBEXHLevel0X 6 2" xfId="47453"/>
    <cellStyle name="SAPBEXHLevel0X 6 2 2" xfId="47454"/>
    <cellStyle name="SAPBEXHLevel0X 6 2 2 2" xfId="47455"/>
    <cellStyle name="SAPBEXHLevel0X 6 2 3" xfId="47456"/>
    <cellStyle name="SAPBEXHLevel0X 6 3" xfId="47457"/>
    <cellStyle name="SAPBEXHLevel0X 6 3 2" xfId="47458"/>
    <cellStyle name="SAPBEXHLevel0X 6 3 2 2" xfId="47459"/>
    <cellStyle name="SAPBEXHLevel0X 6 3 3" xfId="47460"/>
    <cellStyle name="SAPBEXHLevel0X 6 4" xfId="47461"/>
    <cellStyle name="SAPBEXHLevel0X 6 4 2" xfId="47462"/>
    <cellStyle name="SAPBEXHLevel0X 6 4 2 2" xfId="47463"/>
    <cellStyle name="SAPBEXHLevel0X 6 4 3" xfId="47464"/>
    <cellStyle name="SAPBEXHLevel0X 6 5" xfId="47465"/>
    <cellStyle name="SAPBEXHLevel0X 6 5 2" xfId="47466"/>
    <cellStyle name="SAPBEXHLevel0X 6 6" xfId="47467"/>
    <cellStyle name="SAPBEXHLevel0X 7" xfId="47468"/>
    <cellStyle name="SAPBEXHLevel0X 7 2" xfId="47469"/>
    <cellStyle name="SAPBEXHLevel0X 7 2 2" xfId="47470"/>
    <cellStyle name="SAPBEXHLevel0X 7 2 2 2" xfId="47471"/>
    <cellStyle name="SAPBEXHLevel0X 7 2 2 2 2" xfId="47472"/>
    <cellStyle name="SAPBEXHLevel0X 7 2 2 3" xfId="47473"/>
    <cellStyle name="SAPBEXHLevel0X 7 2 3" xfId="47474"/>
    <cellStyle name="SAPBEXHLevel0X 7 2 3 2" xfId="47475"/>
    <cellStyle name="SAPBEXHLevel0X 7 2 3 2 2" xfId="47476"/>
    <cellStyle name="SAPBEXHLevel0X 7 2 3 3" xfId="47477"/>
    <cellStyle name="SAPBEXHLevel0X 7 2 4" xfId="47478"/>
    <cellStyle name="SAPBEXHLevel0X 7 2 4 2" xfId="47479"/>
    <cellStyle name="SAPBEXHLevel0X 7 2 5" xfId="47480"/>
    <cellStyle name="SAPBEXHLevel0X 7 3" xfId="47481"/>
    <cellStyle name="SAPBEXHLevel0X 7 3 2" xfId="47482"/>
    <cellStyle name="SAPBEXHLevel0X 7 3 2 2" xfId="47483"/>
    <cellStyle name="SAPBEXHLevel0X 7 3 2 2 2" xfId="47484"/>
    <cellStyle name="SAPBEXHLevel0X 7 3 2 3" xfId="47485"/>
    <cellStyle name="SAPBEXHLevel0X 7 3 3" xfId="47486"/>
    <cellStyle name="SAPBEXHLevel0X 7 3 3 2" xfId="47487"/>
    <cellStyle name="SAPBEXHLevel0X 7 3 4" xfId="47488"/>
    <cellStyle name="SAPBEXHLevel0X 7 4" xfId="47489"/>
    <cellStyle name="SAPBEXHLevel0X 7 4 2" xfId="47490"/>
    <cellStyle name="SAPBEXHLevel0X 7 4 2 2" xfId="47491"/>
    <cellStyle name="SAPBEXHLevel0X 7 4 3" xfId="47492"/>
    <cellStyle name="SAPBEXHLevel0X 7 5" xfId="47493"/>
    <cellStyle name="SAPBEXHLevel0X 7 5 2" xfId="47494"/>
    <cellStyle name="SAPBEXHLevel0X 7 5 2 2" xfId="47495"/>
    <cellStyle name="SAPBEXHLevel0X 7 5 3" xfId="47496"/>
    <cellStyle name="SAPBEXHLevel0X 7 6" xfId="47497"/>
    <cellStyle name="SAPBEXHLevel0X 7 6 2" xfId="47498"/>
    <cellStyle name="SAPBEXHLevel0X 7 7" xfId="47499"/>
    <cellStyle name="SAPBEXHLevel0X 8" xfId="47500"/>
    <cellStyle name="SAPBEXHLevel0X 8 2" xfId="47501"/>
    <cellStyle name="SAPBEXHLevel0X 8 2 2" xfId="47502"/>
    <cellStyle name="SAPBEXHLevel0X 8 2 2 2" xfId="47503"/>
    <cellStyle name="SAPBEXHLevel0X 8 2 3" xfId="47504"/>
    <cellStyle name="SAPBEXHLevel0X 8 3" xfId="47505"/>
    <cellStyle name="SAPBEXHLevel0X 8 3 2" xfId="47506"/>
    <cellStyle name="SAPBEXHLevel0X 8 3 2 2" xfId="47507"/>
    <cellStyle name="SAPBEXHLevel0X 8 3 3" xfId="47508"/>
    <cellStyle name="SAPBEXHLevel0X 8 4" xfId="47509"/>
    <cellStyle name="SAPBEXHLevel0X 8 4 2" xfId="47510"/>
    <cellStyle name="SAPBEXHLevel0X 8 5" xfId="47511"/>
    <cellStyle name="SAPBEXHLevel0X 9" xfId="47512"/>
    <cellStyle name="SAPBEXHLevel0X 9 2" xfId="47513"/>
    <cellStyle name="SAPBEXHLevel0X 9 2 2" xfId="47514"/>
    <cellStyle name="SAPBEXHLevel0X 9 2 2 2" xfId="47515"/>
    <cellStyle name="SAPBEXHLevel0X 9 2 2 2 2" xfId="47516"/>
    <cellStyle name="SAPBEXHLevel0X 9 2 2 3" xfId="47517"/>
    <cellStyle name="SAPBEXHLevel0X 9 2 3" xfId="47518"/>
    <cellStyle name="SAPBEXHLevel0X 9 2 3 2" xfId="47519"/>
    <cellStyle name="SAPBEXHLevel0X 9 2 4" xfId="47520"/>
    <cellStyle name="SAPBEXHLevel0X 9 3" xfId="47521"/>
    <cellStyle name="SAPBEXHLevel0X 9 3 2" xfId="47522"/>
    <cellStyle name="SAPBEXHLevel0X 9 3 2 2" xfId="47523"/>
    <cellStyle name="SAPBEXHLevel0X 9 3 2 2 2" xfId="47524"/>
    <cellStyle name="SAPBEXHLevel0X 9 3 2 2 2 2" xfId="47525"/>
    <cellStyle name="SAPBEXHLevel0X 9 3 2 2 3" xfId="47526"/>
    <cellStyle name="SAPBEXHLevel0X 9 3 2 3" xfId="47527"/>
    <cellStyle name="SAPBEXHLevel0X 9 3 2 3 2" xfId="47528"/>
    <cellStyle name="SAPBEXHLevel0X 9 3 2 4" xfId="47529"/>
    <cellStyle name="SAPBEXHLevel0X 9 3 3" xfId="47530"/>
    <cellStyle name="SAPBEXHLevel0X 9 3 3 2" xfId="47531"/>
    <cellStyle name="SAPBEXHLevel0X 9 3 3 2 2" xfId="47532"/>
    <cellStyle name="SAPBEXHLevel0X 9 3 3 3" xfId="47533"/>
    <cellStyle name="SAPBEXHLevel0X 9 3 4" xfId="47534"/>
    <cellStyle name="SAPBEXHLevel0X 9 3 4 2" xfId="47535"/>
    <cellStyle name="SAPBEXHLevel0X 9 3 5" xfId="47536"/>
    <cellStyle name="SAPBEXHLevel0X 9 4" xfId="47537"/>
    <cellStyle name="SAPBEXHLevel0X 9 4 2" xfId="47538"/>
    <cellStyle name="SAPBEXHLevel0X 9 4 2 2" xfId="47539"/>
    <cellStyle name="SAPBEXHLevel0X 9 4 3" xfId="47540"/>
    <cellStyle name="SAPBEXHLevel0X 9 5" xfId="47541"/>
    <cellStyle name="SAPBEXHLevel0X 9 5 2" xfId="47542"/>
    <cellStyle name="SAPBEXHLevel0X 9 5 2 2" xfId="47543"/>
    <cellStyle name="SAPBEXHLevel0X 9 5 3" xfId="47544"/>
    <cellStyle name="SAPBEXHLevel0X 9 6" xfId="47545"/>
    <cellStyle name="SAPBEXHLevel0X 9 6 2" xfId="47546"/>
    <cellStyle name="SAPBEXHLevel0X 9 7" xfId="47547"/>
    <cellStyle name="SAPBEXHLevel1" xfId="62"/>
    <cellStyle name="SAPBEXHLevel1 10" xfId="47548"/>
    <cellStyle name="SAPBEXHLevel1 10 2" xfId="47549"/>
    <cellStyle name="SAPBEXHLevel1 10 2 2" xfId="47550"/>
    <cellStyle name="SAPBEXHLevel1 10 3" xfId="47551"/>
    <cellStyle name="SAPBEXHLevel1 11" xfId="47552"/>
    <cellStyle name="SAPBEXHLevel1 11 2" xfId="47553"/>
    <cellStyle name="SAPBEXHLevel1 12" xfId="47554"/>
    <cellStyle name="SAPBEXHLevel1 12 2" xfId="47555"/>
    <cellStyle name="SAPBEXHLevel1 12 2 2" xfId="47556"/>
    <cellStyle name="SAPBEXHLevel1 12 3" xfId="47557"/>
    <cellStyle name="SAPBEXHLevel1 12 3 2" xfId="47558"/>
    <cellStyle name="SAPBEXHLevel1 12 4" xfId="47559"/>
    <cellStyle name="SAPBEXHLevel1 13" xfId="47560"/>
    <cellStyle name="SAPBEXHLevel1 13 2" xfId="47561"/>
    <cellStyle name="SAPBEXHLevel1 14" xfId="47562"/>
    <cellStyle name="SAPBEXHLevel1 14 2" xfId="47563"/>
    <cellStyle name="SAPBEXHLevel1 14 3" xfId="47564"/>
    <cellStyle name="SAPBEXHLevel1 15" xfId="47565"/>
    <cellStyle name="SAPBEXHLevel1 15 2" xfId="47566"/>
    <cellStyle name="SAPBEXHLevel1 16" xfId="47567"/>
    <cellStyle name="SAPBEXHLevel1 16 2" xfId="47568"/>
    <cellStyle name="SAPBEXHLevel1 17" xfId="47569"/>
    <cellStyle name="SAPBEXHLevel1 18" xfId="47570"/>
    <cellStyle name="SAPBEXHLevel1 2" xfId="86"/>
    <cellStyle name="SAPBEXHLevel1 2 10" xfId="47571"/>
    <cellStyle name="SAPBEXHLevel1 2 2" xfId="47572"/>
    <cellStyle name="SAPBEXHLevel1 2 2 2" xfId="47573"/>
    <cellStyle name="SAPBEXHLevel1 2 2 2 2" xfId="47574"/>
    <cellStyle name="SAPBEXHLevel1 2 2 2 2 2" xfId="47575"/>
    <cellStyle name="SAPBEXHLevel1 2 2 2 3" xfId="47576"/>
    <cellStyle name="SAPBEXHLevel1 2 2 3" xfId="47577"/>
    <cellStyle name="SAPBEXHLevel1 2 2 3 2" xfId="47578"/>
    <cellStyle name="SAPBEXHLevel1 2 2 3 2 2" xfId="47579"/>
    <cellStyle name="SAPBEXHLevel1 2 2 3 3" xfId="47580"/>
    <cellStyle name="SAPBEXHLevel1 2 2 4" xfId="47581"/>
    <cellStyle name="SAPBEXHLevel1 2 2 4 2" xfId="47582"/>
    <cellStyle name="SAPBEXHLevel1 2 2 4 2 2" xfId="47583"/>
    <cellStyle name="SAPBEXHLevel1 2 2 4 3" xfId="47584"/>
    <cellStyle name="SAPBEXHLevel1 2 2 5" xfId="47585"/>
    <cellStyle name="SAPBEXHLevel1 2 2 5 2" xfId="47586"/>
    <cellStyle name="SAPBEXHLevel1 2 2 6" xfId="47587"/>
    <cellStyle name="SAPBEXHLevel1 2 3" xfId="47588"/>
    <cellStyle name="SAPBEXHLevel1 2 3 2" xfId="47589"/>
    <cellStyle name="SAPBEXHLevel1 2 3 2 2" xfId="47590"/>
    <cellStyle name="SAPBEXHLevel1 2 3 2 2 2" xfId="47591"/>
    <cellStyle name="SAPBEXHLevel1 2 3 2 2 2 2" xfId="47592"/>
    <cellStyle name="SAPBEXHLevel1 2 3 2 2 3" xfId="47593"/>
    <cellStyle name="SAPBEXHLevel1 2 3 2 3" xfId="47594"/>
    <cellStyle name="SAPBEXHLevel1 2 3 2 3 2" xfId="47595"/>
    <cellStyle name="SAPBEXHLevel1 2 3 2 3 2 2" xfId="47596"/>
    <cellStyle name="SAPBEXHLevel1 2 3 2 3 3" xfId="47597"/>
    <cellStyle name="SAPBEXHLevel1 2 3 2 4" xfId="47598"/>
    <cellStyle name="SAPBEXHLevel1 2 3 2 4 2" xfId="47599"/>
    <cellStyle name="SAPBEXHLevel1 2 3 2 5" xfId="47600"/>
    <cellStyle name="SAPBEXHLevel1 2 3 3" xfId="47601"/>
    <cellStyle name="SAPBEXHLevel1 2 3 3 2" xfId="47602"/>
    <cellStyle name="SAPBEXHLevel1 2 3 3 2 2" xfId="47603"/>
    <cellStyle name="SAPBEXHLevel1 2 3 3 2 2 2" xfId="47604"/>
    <cellStyle name="SAPBEXHLevel1 2 3 3 2 3" xfId="47605"/>
    <cellStyle name="SAPBEXHLevel1 2 3 3 3" xfId="47606"/>
    <cellStyle name="SAPBEXHLevel1 2 3 3 3 2" xfId="47607"/>
    <cellStyle name="SAPBEXHLevel1 2 3 3 4" xfId="47608"/>
    <cellStyle name="SAPBEXHLevel1 2 3 4" xfId="47609"/>
    <cellStyle name="SAPBEXHLevel1 2 3 4 2" xfId="47610"/>
    <cellStyle name="SAPBEXHLevel1 2 3 4 2 2" xfId="47611"/>
    <cellStyle name="SAPBEXHLevel1 2 3 4 3" xfId="47612"/>
    <cellStyle name="SAPBEXHLevel1 2 3 5" xfId="47613"/>
    <cellStyle name="SAPBEXHLevel1 2 3 5 2" xfId="47614"/>
    <cellStyle name="SAPBEXHLevel1 2 3 5 2 2" xfId="47615"/>
    <cellStyle name="SAPBEXHLevel1 2 3 5 3" xfId="47616"/>
    <cellStyle name="SAPBEXHLevel1 2 3 6" xfId="47617"/>
    <cellStyle name="SAPBEXHLevel1 2 3 6 2" xfId="47618"/>
    <cellStyle name="SAPBEXHLevel1 2 3 7" xfId="47619"/>
    <cellStyle name="SAPBEXHLevel1 2 4" xfId="47620"/>
    <cellStyle name="SAPBEXHLevel1 2 4 2" xfId="47621"/>
    <cellStyle name="SAPBEXHLevel1 2 4 2 2" xfId="47622"/>
    <cellStyle name="SAPBEXHLevel1 2 4 2 2 2" xfId="47623"/>
    <cellStyle name="SAPBEXHLevel1 2 4 2 2 2 2" xfId="47624"/>
    <cellStyle name="SAPBEXHLevel1 2 4 2 2 2 2 2" xfId="47625"/>
    <cellStyle name="SAPBEXHLevel1 2 4 2 2 2 2 2 2" xfId="47626"/>
    <cellStyle name="SAPBEXHLevel1 2 4 2 2 2 2 3" xfId="47627"/>
    <cellStyle name="SAPBEXHLevel1 2 4 2 2 2 3" xfId="47628"/>
    <cellStyle name="SAPBEXHLevel1 2 4 2 2 2 3 2" xfId="47629"/>
    <cellStyle name="SAPBEXHLevel1 2 4 2 2 2 4" xfId="47630"/>
    <cellStyle name="SAPBEXHLevel1 2 4 2 2 3" xfId="47631"/>
    <cellStyle name="SAPBEXHLevel1 2 4 2 2 3 2" xfId="47632"/>
    <cellStyle name="SAPBEXHLevel1 2 4 2 2 3 2 2" xfId="47633"/>
    <cellStyle name="SAPBEXHLevel1 2 4 2 2 3 3" xfId="47634"/>
    <cellStyle name="SAPBEXHLevel1 2 4 2 2 4" xfId="47635"/>
    <cellStyle name="SAPBEXHLevel1 2 4 2 2 4 2" xfId="47636"/>
    <cellStyle name="SAPBEXHLevel1 2 4 2 2 5" xfId="47637"/>
    <cellStyle name="SAPBEXHLevel1 2 4 2 3" xfId="47638"/>
    <cellStyle name="SAPBEXHLevel1 2 4 2 3 2" xfId="47639"/>
    <cellStyle name="SAPBEXHLevel1 2 4 2 3 2 2" xfId="47640"/>
    <cellStyle name="SAPBEXHLevel1 2 4 2 3 3" xfId="47641"/>
    <cellStyle name="SAPBEXHLevel1 2 4 2 4" xfId="47642"/>
    <cellStyle name="SAPBEXHLevel1 2 4 2 4 2" xfId="47643"/>
    <cellStyle name="SAPBEXHLevel1 2 4 2 4 2 2" xfId="47644"/>
    <cellStyle name="SAPBEXHLevel1 2 4 2 4 2 2 2" xfId="47645"/>
    <cellStyle name="SAPBEXHLevel1 2 4 2 4 2 3" xfId="47646"/>
    <cellStyle name="SAPBEXHLevel1 2 4 2 4 3" xfId="47647"/>
    <cellStyle name="SAPBEXHLevel1 2 4 2 4 3 2" xfId="47648"/>
    <cellStyle name="SAPBEXHLevel1 2 4 2 4 4" xfId="47649"/>
    <cellStyle name="SAPBEXHLevel1 2 4 2 5" xfId="47650"/>
    <cellStyle name="SAPBEXHLevel1 2 4 2 5 2" xfId="47651"/>
    <cellStyle name="SAPBEXHLevel1 2 4 2 5 2 2" xfId="47652"/>
    <cellStyle name="SAPBEXHLevel1 2 4 2 5 3" xfId="47653"/>
    <cellStyle name="SAPBEXHLevel1 2 4 2 6" xfId="47654"/>
    <cellStyle name="SAPBEXHLevel1 2 4 2 6 2" xfId="47655"/>
    <cellStyle name="SAPBEXHLevel1 2 4 2 7" xfId="47656"/>
    <cellStyle name="SAPBEXHLevel1 2 4 3" xfId="47657"/>
    <cellStyle name="SAPBEXHLevel1 2 4 3 2" xfId="47658"/>
    <cellStyle name="SAPBEXHLevel1 2 4 3 2 2" xfId="47659"/>
    <cellStyle name="SAPBEXHLevel1 2 4 3 2 2 2" xfId="47660"/>
    <cellStyle name="SAPBEXHLevel1 2 4 3 2 2 2 2" xfId="47661"/>
    <cellStyle name="SAPBEXHLevel1 2 4 3 2 2 2 2 2" xfId="47662"/>
    <cellStyle name="SAPBEXHLevel1 2 4 3 2 2 2 3" xfId="47663"/>
    <cellStyle name="SAPBEXHLevel1 2 4 3 2 2 3" xfId="47664"/>
    <cellStyle name="SAPBEXHLevel1 2 4 3 2 2 3 2" xfId="47665"/>
    <cellStyle name="SAPBEXHLevel1 2 4 3 2 2 4" xfId="47666"/>
    <cellStyle name="SAPBEXHLevel1 2 4 3 2 3" xfId="47667"/>
    <cellStyle name="SAPBEXHLevel1 2 4 3 2 3 2" xfId="47668"/>
    <cellStyle name="SAPBEXHLevel1 2 4 3 2 3 2 2" xfId="47669"/>
    <cellStyle name="SAPBEXHLevel1 2 4 3 2 3 3" xfId="47670"/>
    <cellStyle name="SAPBEXHLevel1 2 4 3 2 4" xfId="47671"/>
    <cellStyle name="SAPBEXHLevel1 2 4 3 2 4 2" xfId="47672"/>
    <cellStyle name="SAPBEXHLevel1 2 4 3 2 5" xfId="47673"/>
    <cellStyle name="SAPBEXHLevel1 2 4 3 3" xfId="47674"/>
    <cellStyle name="SAPBEXHLevel1 2 4 3 3 2" xfId="47675"/>
    <cellStyle name="SAPBEXHLevel1 2 4 3 3 2 2" xfId="47676"/>
    <cellStyle name="SAPBEXHLevel1 2 4 3 3 2 2 2" xfId="47677"/>
    <cellStyle name="SAPBEXHLevel1 2 4 3 3 2 3" xfId="47678"/>
    <cellStyle name="SAPBEXHLevel1 2 4 3 3 3" xfId="47679"/>
    <cellStyle name="SAPBEXHLevel1 2 4 3 3 3 2" xfId="47680"/>
    <cellStyle name="SAPBEXHLevel1 2 4 3 3 4" xfId="47681"/>
    <cellStyle name="SAPBEXHLevel1 2 4 3 4" xfId="47682"/>
    <cellStyle name="SAPBEXHLevel1 2 4 3 4 2" xfId="47683"/>
    <cellStyle name="SAPBEXHLevel1 2 4 3 4 2 2" xfId="47684"/>
    <cellStyle name="SAPBEXHLevel1 2 4 3 4 3" xfId="47685"/>
    <cellStyle name="SAPBEXHLevel1 2 4 3 5" xfId="47686"/>
    <cellStyle name="SAPBEXHLevel1 2 4 3 5 2" xfId="47687"/>
    <cellStyle name="SAPBEXHLevel1 2 4 3 6" xfId="47688"/>
    <cellStyle name="SAPBEXHLevel1 2 4 4" xfId="47689"/>
    <cellStyle name="SAPBEXHLevel1 2 4 4 2" xfId="47690"/>
    <cellStyle name="SAPBEXHLevel1 2 4 4 2 2" xfId="47691"/>
    <cellStyle name="SAPBEXHLevel1 2 4 4 3" xfId="47692"/>
    <cellStyle name="SAPBEXHLevel1 2 4 5" xfId="47693"/>
    <cellStyle name="SAPBEXHLevel1 2 4 5 2" xfId="47694"/>
    <cellStyle name="SAPBEXHLevel1 2 4 5 2 2" xfId="47695"/>
    <cellStyle name="SAPBEXHLevel1 2 4 5 2 2 2" xfId="47696"/>
    <cellStyle name="SAPBEXHLevel1 2 4 5 2 3" xfId="47697"/>
    <cellStyle name="SAPBEXHLevel1 2 4 5 3" xfId="47698"/>
    <cellStyle name="SAPBEXHLevel1 2 4 5 3 2" xfId="47699"/>
    <cellStyle name="SAPBEXHLevel1 2 4 5 4" xfId="47700"/>
    <cellStyle name="SAPBEXHLevel1 2 4 6" xfId="47701"/>
    <cellStyle name="SAPBEXHLevel1 2 4 6 2" xfId="47702"/>
    <cellStyle name="SAPBEXHLevel1 2 4 6 2 2" xfId="47703"/>
    <cellStyle name="SAPBEXHLevel1 2 4 6 3" xfId="47704"/>
    <cellStyle name="SAPBEXHLevel1 2 4 7" xfId="47705"/>
    <cellStyle name="SAPBEXHLevel1 2 4 7 2" xfId="47706"/>
    <cellStyle name="SAPBEXHLevel1 2 4 8" xfId="47707"/>
    <cellStyle name="SAPBEXHLevel1 2 5" xfId="47708"/>
    <cellStyle name="SAPBEXHLevel1 2 5 2" xfId="47709"/>
    <cellStyle name="SAPBEXHLevel1 2 5 2 2" xfId="47710"/>
    <cellStyle name="SAPBEXHLevel1 2 5 2 2 2" xfId="47711"/>
    <cellStyle name="SAPBEXHLevel1 2 5 2 3" xfId="47712"/>
    <cellStyle name="SAPBEXHLevel1 2 5 3" xfId="47713"/>
    <cellStyle name="SAPBEXHLevel1 2 5 3 2" xfId="47714"/>
    <cellStyle name="SAPBEXHLevel1 2 5 4" xfId="47715"/>
    <cellStyle name="SAPBEXHLevel1 2 6" xfId="47716"/>
    <cellStyle name="SAPBEXHLevel1 2 6 2" xfId="47717"/>
    <cellStyle name="SAPBEXHLevel1 2 6 2 2" xfId="47718"/>
    <cellStyle name="SAPBEXHLevel1 2 6 3" xfId="47719"/>
    <cellStyle name="SAPBEXHLevel1 2 7" xfId="47720"/>
    <cellStyle name="SAPBEXHLevel1 2 7 2" xfId="47721"/>
    <cellStyle name="SAPBEXHLevel1 2 7 2 2" xfId="47722"/>
    <cellStyle name="SAPBEXHLevel1 2 7 3" xfId="47723"/>
    <cellStyle name="SAPBEXHLevel1 2 8" xfId="47724"/>
    <cellStyle name="SAPBEXHLevel1 2 8 2" xfId="47725"/>
    <cellStyle name="SAPBEXHLevel1 2 8 2 2" xfId="47726"/>
    <cellStyle name="SAPBEXHLevel1 2 8 2 2 2" xfId="47727"/>
    <cellStyle name="SAPBEXHLevel1 2 8 2 2 2 2" xfId="47728"/>
    <cellStyle name="SAPBEXHLevel1 2 8 2 2 3" xfId="47729"/>
    <cellStyle name="SAPBEXHLevel1 2 8 2 3" xfId="47730"/>
    <cellStyle name="SAPBEXHLevel1 2 8 2 3 2" xfId="47731"/>
    <cellStyle name="SAPBEXHLevel1 2 8 2 4" xfId="47732"/>
    <cellStyle name="SAPBEXHLevel1 2 8 3" xfId="47733"/>
    <cellStyle name="SAPBEXHLevel1 2 8 3 2" xfId="47734"/>
    <cellStyle name="SAPBEXHLevel1 2 8 3 2 2" xfId="47735"/>
    <cellStyle name="SAPBEXHLevel1 2 8 3 3" xfId="47736"/>
    <cellStyle name="SAPBEXHLevel1 2 8 4" xfId="47737"/>
    <cellStyle name="SAPBEXHLevel1 2 8 4 2" xfId="47738"/>
    <cellStyle name="SAPBEXHLevel1 2 8 5" xfId="47739"/>
    <cellStyle name="SAPBEXHLevel1 2 9" xfId="47740"/>
    <cellStyle name="SAPBEXHLevel1 2 9 2" xfId="47741"/>
    <cellStyle name="SAPBEXHLevel1 3" xfId="47742"/>
    <cellStyle name="SAPBEXHLevel1 3 2" xfId="47743"/>
    <cellStyle name="SAPBEXHLevel1 3 2 2" xfId="47744"/>
    <cellStyle name="SAPBEXHLevel1 3 2 2 2" xfId="47745"/>
    <cellStyle name="SAPBEXHLevel1 3 2 2 2 2" xfId="47746"/>
    <cellStyle name="SAPBEXHLevel1 3 2 2 3" xfId="47747"/>
    <cellStyle name="SAPBEXHLevel1 3 2 3" xfId="47748"/>
    <cellStyle name="SAPBEXHLevel1 3 2 3 2" xfId="47749"/>
    <cellStyle name="SAPBEXHLevel1 3 2 3 2 2" xfId="47750"/>
    <cellStyle name="SAPBEXHLevel1 3 2 3 3" xfId="47751"/>
    <cellStyle name="SAPBEXHLevel1 3 2 4" xfId="47752"/>
    <cellStyle name="SAPBEXHLevel1 3 2 4 2" xfId="47753"/>
    <cellStyle name="SAPBEXHLevel1 3 2 4 2 2" xfId="47754"/>
    <cellStyle name="SAPBEXHLevel1 3 2 4 3" xfId="47755"/>
    <cellStyle name="SAPBEXHLevel1 3 2 5" xfId="47756"/>
    <cellStyle name="SAPBEXHLevel1 3 2 5 2" xfId="47757"/>
    <cellStyle name="SAPBEXHLevel1 3 2 6" xfId="47758"/>
    <cellStyle name="SAPBEXHLevel1 3 3" xfId="47759"/>
    <cellStyle name="SAPBEXHLevel1 3 3 2" xfId="47760"/>
    <cellStyle name="SAPBEXHLevel1 3 3 2 2" xfId="47761"/>
    <cellStyle name="SAPBEXHLevel1 3 3 2 2 2" xfId="47762"/>
    <cellStyle name="SAPBEXHLevel1 3 3 2 3" xfId="47763"/>
    <cellStyle name="SAPBEXHLevel1 3 3 3" xfId="47764"/>
    <cellStyle name="SAPBEXHLevel1 3 3 3 2" xfId="47765"/>
    <cellStyle name="SAPBEXHLevel1 3 3 4" xfId="47766"/>
    <cellStyle name="SAPBEXHLevel1 3 4" xfId="47767"/>
    <cellStyle name="SAPBEXHLevel1 3 4 2" xfId="47768"/>
    <cellStyle name="SAPBEXHLevel1 3 4 2 2" xfId="47769"/>
    <cellStyle name="SAPBEXHLevel1 3 4 3" xfId="47770"/>
    <cellStyle name="SAPBEXHLevel1 3 5" xfId="47771"/>
    <cellStyle name="SAPBEXHLevel1 3 5 2" xfId="47772"/>
    <cellStyle name="SAPBEXHLevel1 3 5 2 2" xfId="47773"/>
    <cellStyle name="SAPBEXHLevel1 3 5 3" xfId="47774"/>
    <cellStyle name="SAPBEXHLevel1 3 6" xfId="47775"/>
    <cellStyle name="SAPBEXHLevel1 3 6 2" xfId="47776"/>
    <cellStyle name="SAPBEXHLevel1 3 6 2 2" xfId="47777"/>
    <cellStyle name="SAPBEXHLevel1 3 6 2 2 2" xfId="47778"/>
    <cellStyle name="SAPBEXHLevel1 3 6 2 2 2 2" xfId="47779"/>
    <cellStyle name="SAPBEXHLevel1 3 6 2 2 3" xfId="47780"/>
    <cellStyle name="SAPBEXHLevel1 3 6 2 3" xfId="47781"/>
    <cellStyle name="SAPBEXHLevel1 3 6 2 3 2" xfId="47782"/>
    <cellStyle name="SAPBEXHLevel1 3 6 2 4" xfId="47783"/>
    <cellStyle name="SAPBEXHLevel1 3 6 3" xfId="47784"/>
    <cellStyle name="SAPBEXHLevel1 3 6 3 2" xfId="47785"/>
    <cellStyle name="SAPBEXHLevel1 3 6 3 2 2" xfId="47786"/>
    <cellStyle name="SAPBEXHLevel1 3 6 3 3" xfId="47787"/>
    <cellStyle name="SAPBEXHLevel1 3 6 4" xfId="47788"/>
    <cellStyle name="SAPBEXHLevel1 3 6 4 2" xfId="47789"/>
    <cellStyle name="SAPBEXHLevel1 3 6 5" xfId="47790"/>
    <cellStyle name="SAPBEXHLevel1 3 7" xfId="47791"/>
    <cellStyle name="SAPBEXHLevel1 3 7 2" xfId="47792"/>
    <cellStyle name="SAPBEXHLevel1 3 8" xfId="47793"/>
    <cellStyle name="SAPBEXHLevel1 4" xfId="47794"/>
    <cellStyle name="SAPBEXHLevel1 4 2" xfId="47795"/>
    <cellStyle name="SAPBEXHLevel1 4 2 2" xfId="47796"/>
    <cellStyle name="SAPBEXHLevel1 4 2 2 2" xfId="47797"/>
    <cellStyle name="SAPBEXHLevel1 4 2 2 2 2" xfId="47798"/>
    <cellStyle name="SAPBEXHLevel1 4 2 2 3" xfId="47799"/>
    <cellStyle name="SAPBEXHLevel1 4 2 3" xfId="47800"/>
    <cellStyle name="SAPBEXHLevel1 4 2 3 2" xfId="47801"/>
    <cellStyle name="SAPBEXHLevel1 4 2 3 2 2" xfId="47802"/>
    <cellStyle name="SAPBEXHLevel1 4 2 3 3" xfId="47803"/>
    <cellStyle name="SAPBEXHLevel1 4 2 4" xfId="47804"/>
    <cellStyle name="SAPBEXHLevel1 4 2 4 2" xfId="47805"/>
    <cellStyle name="SAPBEXHLevel1 4 2 4 2 2" xfId="47806"/>
    <cellStyle name="SAPBEXHLevel1 4 2 4 3" xfId="47807"/>
    <cellStyle name="SAPBEXHLevel1 4 2 5" xfId="47808"/>
    <cellStyle name="SAPBEXHLevel1 4 2 5 2" xfId="47809"/>
    <cellStyle name="SAPBEXHLevel1 4 2 6" xfId="47810"/>
    <cellStyle name="SAPBEXHLevel1 4 3" xfId="47811"/>
    <cellStyle name="SAPBEXHLevel1 4 3 2" xfId="47812"/>
    <cellStyle name="SAPBEXHLevel1 4 3 2 2" xfId="47813"/>
    <cellStyle name="SAPBEXHLevel1 4 3 2 2 2" xfId="47814"/>
    <cellStyle name="SAPBEXHLevel1 4 3 2 2 2 2" xfId="47815"/>
    <cellStyle name="SAPBEXHLevel1 4 3 2 2 3" xfId="47816"/>
    <cellStyle name="SAPBEXHLevel1 4 3 2 3" xfId="47817"/>
    <cellStyle name="SAPBEXHLevel1 4 3 2 3 2" xfId="47818"/>
    <cellStyle name="SAPBEXHLevel1 4 3 2 3 2 2" xfId="47819"/>
    <cellStyle name="SAPBEXHLevel1 4 3 2 3 3" xfId="47820"/>
    <cellStyle name="SAPBEXHLevel1 4 3 2 4" xfId="47821"/>
    <cellStyle name="SAPBEXHLevel1 4 3 2 4 2" xfId="47822"/>
    <cellStyle name="SAPBEXHLevel1 4 3 2 5" xfId="47823"/>
    <cellStyle name="SAPBEXHLevel1 4 3 3" xfId="47824"/>
    <cellStyle name="SAPBEXHLevel1 4 3 3 2" xfId="47825"/>
    <cellStyle name="SAPBEXHLevel1 4 3 3 2 2" xfId="47826"/>
    <cellStyle name="SAPBEXHLevel1 4 3 3 2 2 2" xfId="47827"/>
    <cellStyle name="SAPBEXHLevel1 4 3 3 2 3" xfId="47828"/>
    <cellStyle name="SAPBEXHLevel1 4 3 3 3" xfId="47829"/>
    <cellStyle name="SAPBEXHLevel1 4 3 3 3 2" xfId="47830"/>
    <cellStyle name="SAPBEXHLevel1 4 3 3 4" xfId="47831"/>
    <cellStyle name="SAPBEXHLevel1 4 3 4" xfId="47832"/>
    <cellStyle name="SAPBEXHLevel1 4 3 4 2" xfId="47833"/>
    <cellStyle name="SAPBEXHLevel1 4 3 4 2 2" xfId="47834"/>
    <cellStyle name="SAPBEXHLevel1 4 3 4 3" xfId="47835"/>
    <cellStyle name="SAPBEXHLevel1 4 3 5" xfId="47836"/>
    <cellStyle name="SAPBEXHLevel1 4 3 5 2" xfId="47837"/>
    <cellStyle name="SAPBEXHLevel1 4 3 5 2 2" xfId="47838"/>
    <cellStyle name="SAPBEXHLevel1 4 3 5 3" xfId="47839"/>
    <cellStyle name="SAPBEXHLevel1 4 3 6" xfId="47840"/>
    <cellStyle name="SAPBEXHLevel1 4 3 6 2" xfId="47841"/>
    <cellStyle name="SAPBEXHLevel1 4 3 7" xfId="47842"/>
    <cellStyle name="SAPBEXHLevel1 4 4" xfId="47843"/>
    <cellStyle name="SAPBEXHLevel1 4 4 2" xfId="47844"/>
    <cellStyle name="SAPBEXHLevel1 4 4 2 2" xfId="47845"/>
    <cellStyle name="SAPBEXHLevel1 4 4 2 2 2" xfId="47846"/>
    <cellStyle name="SAPBEXHLevel1 4 4 2 3" xfId="47847"/>
    <cellStyle name="SAPBEXHLevel1 4 4 3" xfId="47848"/>
    <cellStyle name="SAPBEXHLevel1 4 4 3 2" xfId="47849"/>
    <cellStyle name="SAPBEXHLevel1 4 4 4" xfId="47850"/>
    <cellStyle name="SAPBEXHLevel1 4 5" xfId="47851"/>
    <cellStyle name="SAPBEXHLevel1 4 5 2" xfId="47852"/>
    <cellStyle name="SAPBEXHLevel1 4 5 2 2" xfId="47853"/>
    <cellStyle name="SAPBEXHLevel1 4 5 3" xfId="47854"/>
    <cellStyle name="SAPBEXHLevel1 4 6" xfId="47855"/>
    <cellStyle name="SAPBEXHLevel1 4 6 2" xfId="47856"/>
    <cellStyle name="SAPBEXHLevel1 4 6 2 2" xfId="47857"/>
    <cellStyle name="SAPBEXHLevel1 4 6 3" xfId="47858"/>
    <cellStyle name="SAPBEXHLevel1 4 7" xfId="47859"/>
    <cellStyle name="SAPBEXHLevel1 4 7 2" xfId="47860"/>
    <cellStyle name="SAPBEXHLevel1 4 8" xfId="47861"/>
    <cellStyle name="SAPBEXHLevel1 5" xfId="47862"/>
    <cellStyle name="SAPBEXHLevel1 5 2" xfId="47863"/>
    <cellStyle name="SAPBEXHLevel1 5 2 2" xfId="47864"/>
    <cellStyle name="SAPBEXHLevel1 5 2 2 2" xfId="47865"/>
    <cellStyle name="SAPBEXHLevel1 5 2 3" xfId="47866"/>
    <cellStyle name="SAPBEXHLevel1 5 3" xfId="47867"/>
    <cellStyle name="SAPBEXHLevel1 5 3 2" xfId="47868"/>
    <cellStyle name="SAPBEXHLevel1 5 3 2 2" xfId="47869"/>
    <cellStyle name="SAPBEXHLevel1 5 3 3" xfId="47870"/>
    <cellStyle name="SAPBEXHLevel1 5 4" xfId="47871"/>
    <cellStyle name="SAPBEXHLevel1 5 4 2" xfId="47872"/>
    <cellStyle name="SAPBEXHLevel1 5 4 2 2" xfId="47873"/>
    <cellStyle name="SAPBEXHLevel1 5 4 3" xfId="47874"/>
    <cellStyle name="SAPBEXHLevel1 5 5" xfId="47875"/>
    <cellStyle name="SAPBEXHLevel1 5 5 2" xfId="47876"/>
    <cellStyle name="SAPBEXHLevel1 5 6" xfId="47877"/>
    <cellStyle name="SAPBEXHLevel1 6" xfId="47878"/>
    <cellStyle name="SAPBEXHLevel1 6 2" xfId="47879"/>
    <cellStyle name="SAPBEXHLevel1 6 2 2" xfId="47880"/>
    <cellStyle name="SAPBEXHLevel1 6 3" xfId="47881"/>
    <cellStyle name="SAPBEXHLevel1 6 3 2" xfId="47882"/>
    <cellStyle name="SAPBEXHLevel1 6 3 2 2" xfId="47883"/>
    <cellStyle name="SAPBEXHLevel1 6 3 3" xfId="47884"/>
    <cellStyle name="SAPBEXHLevel1 6 4" xfId="47885"/>
    <cellStyle name="SAPBEXHLevel1 6 4 2" xfId="47886"/>
    <cellStyle name="SAPBEXHLevel1 6 4 2 2" xfId="47887"/>
    <cellStyle name="SAPBEXHLevel1 6 4 3" xfId="47888"/>
    <cellStyle name="SAPBEXHLevel1 6 5" xfId="47889"/>
    <cellStyle name="SAPBEXHLevel1 7" xfId="47890"/>
    <cellStyle name="SAPBEXHLevel1 7 2" xfId="47891"/>
    <cellStyle name="SAPBEXHLevel1 7 2 2" xfId="47892"/>
    <cellStyle name="SAPBEXHLevel1 7 2 2 2" xfId="47893"/>
    <cellStyle name="SAPBEXHLevel1 7 2 3" xfId="47894"/>
    <cellStyle name="SAPBEXHLevel1 7 2 3 2" xfId="47895"/>
    <cellStyle name="SAPBEXHLevel1 7 2 3 2 2" xfId="47896"/>
    <cellStyle name="SAPBEXHLevel1 7 2 3 3" xfId="47897"/>
    <cellStyle name="SAPBEXHLevel1 7 2 4" xfId="47898"/>
    <cellStyle name="SAPBEXHLevel1 7 3" xfId="47899"/>
    <cellStyle name="SAPBEXHLevel1 7 3 2" xfId="47900"/>
    <cellStyle name="SAPBEXHLevel1 7 3 2 2" xfId="47901"/>
    <cellStyle name="SAPBEXHLevel1 7 3 3" xfId="47902"/>
    <cellStyle name="SAPBEXHLevel1 7 4" xfId="47903"/>
    <cellStyle name="SAPBEXHLevel1 7 4 2" xfId="47904"/>
    <cellStyle name="SAPBEXHLevel1 7 4 2 2" xfId="47905"/>
    <cellStyle name="SAPBEXHLevel1 7 4 3" xfId="47906"/>
    <cellStyle name="SAPBEXHLevel1 7 5" xfId="47907"/>
    <cellStyle name="SAPBEXHLevel1 7 5 2" xfId="47908"/>
    <cellStyle name="SAPBEXHLevel1 7 5 2 2" xfId="47909"/>
    <cellStyle name="SAPBEXHLevel1 7 5 3" xfId="47910"/>
    <cellStyle name="SAPBEXHLevel1 7 6" xfId="47911"/>
    <cellStyle name="SAPBEXHLevel1 8" xfId="47912"/>
    <cellStyle name="SAPBEXHLevel1 8 2" xfId="47913"/>
    <cellStyle name="SAPBEXHLevel1 8 2 2" xfId="47914"/>
    <cellStyle name="SAPBEXHLevel1 8 3" xfId="47915"/>
    <cellStyle name="SAPBEXHLevel1 9" xfId="47916"/>
    <cellStyle name="SAPBEXHLevel1 9 2" xfId="47917"/>
    <cellStyle name="SAPBEXHLevel1 9 2 2" xfId="47918"/>
    <cellStyle name="SAPBEXHLevel1 9 3" xfId="47919"/>
    <cellStyle name="SAPBEXHLevel1X" xfId="63"/>
    <cellStyle name="SAPBEXHLevel1X 10" xfId="47920"/>
    <cellStyle name="SAPBEXHLevel1X 10 2" xfId="47921"/>
    <cellStyle name="SAPBEXHLevel1X 10 2 2" xfId="47922"/>
    <cellStyle name="SAPBEXHLevel1X 10 3" xfId="47923"/>
    <cellStyle name="SAPBEXHLevel1X 11" xfId="47924"/>
    <cellStyle name="SAPBEXHLevel1X 11 2" xfId="47925"/>
    <cellStyle name="SAPBEXHLevel1X 11 2 2" xfId="47926"/>
    <cellStyle name="SAPBEXHLevel1X 11 3" xfId="47927"/>
    <cellStyle name="SAPBEXHLevel1X 12" xfId="47928"/>
    <cellStyle name="SAPBEXHLevel1X 12 2" xfId="47929"/>
    <cellStyle name="SAPBEXHLevel1X 12 2 2" xfId="47930"/>
    <cellStyle name="SAPBEXHLevel1X 12 3" xfId="47931"/>
    <cellStyle name="SAPBEXHLevel1X 13" xfId="47932"/>
    <cellStyle name="SAPBEXHLevel1X 13 2" xfId="47933"/>
    <cellStyle name="SAPBEXHLevel1X 13 2 2" xfId="47934"/>
    <cellStyle name="SAPBEXHLevel1X 13 3" xfId="47935"/>
    <cellStyle name="SAPBEXHLevel1X 14" xfId="47936"/>
    <cellStyle name="SAPBEXHLevel1X 14 2" xfId="47937"/>
    <cellStyle name="SAPBEXHLevel1X 15" xfId="47938"/>
    <cellStyle name="SAPBEXHLevel1X 15 2" xfId="47939"/>
    <cellStyle name="SAPBEXHLevel1X 15 2 2" xfId="47940"/>
    <cellStyle name="SAPBEXHLevel1X 15 3" xfId="47941"/>
    <cellStyle name="SAPBEXHLevel1X 15 3 2" xfId="47942"/>
    <cellStyle name="SAPBEXHLevel1X 15 4" xfId="47943"/>
    <cellStyle name="SAPBEXHLevel1X 16" xfId="47944"/>
    <cellStyle name="SAPBEXHLevel1X 16 2" xfId="47945"/>
    <cellStyle name="SAPBEXHLevel1X 17" xfId="47946"/>
    <cellStyle name="SAPBEXHLevel1X 17 2" xfId="47947"/>
    <cellStyle name="SAPBEXHLevel1X 17 3" xfId="47948"/>
    <cellStyle name="SAPBEXHLevel1X 18" xfId="47949"/>
    <cellStyle name="SAPBEXHLevel1X 18 2" xfId="47950"/>
    <cellStyle name="SAPBEXHLevel1X 19" xfId="47951"/>
    <cellStyle name="SAPBEXHLevel1X 19 2" xfId="47952"/>
    <cellStyle name="SAPBEXHLevel1X 2" xfId="87"/>
    <cellStyle name="SAPBEXHLevel1X 2 2" xfId="47953"/>
    <cellStyle name="SAPBEXHLevel1X 2 2 2" xfId="47954"/>
    <cellStyle name="SAPBEXHLevel1X 2 2 2 2" xfId="47955"/>
    <cellStyle name="SAPBEXHLevel1X 2 2 2 2 2" xfId="47956"/>
    <cellStyle name="SAPBEXHLevel1X 2 2 2 3" xfId="47957"/>
    <cellStyle name="SAPBEXHLevel1X 2 2 3" xfId="47958"/>
    <cellStyle name="SAPBEXHLevel1X 2 2 3 2" xfId="47959"/>
    <cellStyle name="SAPBEXHLevel1X 2 2 3 2 2" xfId="47960"/>
    <cellStyle name="SAPBEXHLevel1X 2 2 3 3" xfId="47961"/>
    <cellStyle name="SAPBEXHLevel1X 2 2 4" xfId="47962"/>
    <cellStyle name="SAPBEXHLevel1X 2 2 4 2" xfId="47963"/>
    <cellStyle name="SAPBEXHLevel1X 2 2 4 2 2" xfId="47964"/>
    <cellStyle name="SAPBEXHLevel1X 2 2 4 3" xfId="47965"/>
    <cellStyle name="SAPBEXHLevel1X 2 2 5" xfId="47966"/>
    <cellStyle name="SAPBEXHLevel1X 2 2 5 2" xfId="47967"/>
    <cellStyle name="SAPBEXHLevel1X 2 2 6" xfId="47968"/>
    <cellStyle name="SAPBEXHLevel1X 2 3" xfId="47969"/>
    <cellStyle name="SAPBEXHLevel1X 2 3 2" xfId="47970"/>
    <cellStyle name="SAPBEXHLevel1X 2 3 2 2" xfId="47971"/>
    <cellStyle name="SAPBEXHLevel1X 2 3 2 2 2" xfId="47972"/>
    <cellStyle name="SAPBEXHLevel1X 2 3 2 2 2 2" xfId="47973"/>
    <cellStyle name="SAPBEXHLevel1X 2 3 2 2 3" xfId="47974"/>
    <cellStyle name="SAPBEXHLevel1X 2 3 2 3" xfId="47975"/>
    <cellStyle name="SAPBEXHLevel1X 2 3 2 3 2" xfId="47976"/>
    <cellStyle name="SAPBEXHLevel1X 2 3 2 3 2 2" xfId="47977"/>
    <cellStyle name="SAPBEXHLevel1X 2 3 2 3 3" xfId="47978"/>
    <cellStyle name="SAPBEXHLevel1X 2 3 2 4" xfId="47979"/>
    <cellStyle name="SAPBEXHLevel1X 2 3 2 4 2" xfId="47980"/>
    <cellStyle name="SAPBEXHLevel1X 2 3 2 5" xfId="47981"/>
    <cellStyle name="SAPBEXHLevel1X 2 3 3" xfId="47982"/>
    <cellStyle name="SAPBEXHLevel1X 2 3 3 2" xfId="47983"/>
    <cellStyle name="SAPBEXHLevel1X 2 3 3 2 2" xfId="47984"/>
    <cellStyle name="SAPBEXHLevel1X 2 3 3 2 2 2" xfId="47985"/>
    <cellStyle name="SAPBEXHLevel1X 2 3 3 2 3" xfId="47986"/>
    <cellStyle name="SAPBEXHLevel1X 2 3 3 3" xfId="47987"/>
    <cellStyle name="SAPBEXHLevel1X 2 3 3 3 2" xfId="47988"/>
    <cellStyle name="SAPBEXHLevel1X 2 3 3 4" xfId="47989"/>
    <cellStyle name="SAPBEXHLevel1X 2 3 4" xfId="47990"/>
    <cellStyle name="SAPBEXHLevel1X 2 3 4 2" xfId="47991"/>
    <cellStyle name="SAPBEXHLevel1X 2 3 4 2 2" xfId="47992"/>
    <cellStyle name="SAPBEXHLevel1X 2 3 4 3" xfId="47993"/>
    <cellStyle name="SAPBEXHLevel1X 2 3 5" xfId="47994"/>
    <cellStyle name="SAPBEXHLevel1X 2 3 5 2" xfId="47995"/>
    <cellStyle name="SAPBEXHLevel1X 2 3 5 2 2" xfId="47996"/>
    <cellStyle name="SAPBEXHLevel1X 2 3 5 3" xfId="47997"/>
    <cellStyle name="SAPBEXHLevel1X 2 3 6" xfId="47998"/>
    <cellStyle name="SAPBEXHLevel1X 2 3 6 2" xfId="47999"/>
    <cellStyle name="SAPBEXHLevel1X 2 3 7" xfId="48000"/>
    <cellStyle name="SAPBEXHLevel1X 2 4" xfId="48001"/>
    <cellStyle name="SAPBEXHLevel1X 2 4 2" xfId="48002"/>
    <cellStyle name="SAPBEXHLevel1X 2 4 2 2" xfId="48003"/>
    <cellStyle name="SAPBEXHLevel1X 2 4 2 2 2" xfId="48004"/>
    <cellStyle name="SAPBEXHLevel1X 2 4 2 2 2 2" xfId="48005"/>
    <cellStyle name="SAPBEXHLevel1X 2 4 2 2 3" xfId="48006"/>
    <cellStyle name="SAPBEXHLevel1X 2 4 2 3" xfId="48007"/>
    <cellStyle name="SAPBEXHLevel1X 2 4 2 3 2" xfId="48008"/>
    <cellStyle name="SAPBEXHLevel1X 2 4 2 3 2 2" xfId="48009"/>
    <cellStyle name="SAPBEXHLevel1X 2 4 2 3 3" xfId="48010"/>
    <cellStyle name="SAPBEXHLevel1X 2 4 2 4" xfId="48011"/>
    <cellStyle name="SAPBEXHLevel1X 2 4 2 4 2" xfId="48012"/>
    <cellStyle name="SAPBEXHLevel1X 2 4 2 5" xfId="48013"/>
    <cellStyle name="SAPBEXHLevel1X 2 4 3" xfId="48014"/>
    <cellStyle name="SAPBEXHLevel1X 2 4 3 2" xfId="48015"/>
    <cellStyle name="SAPBEXHLevel1X 2 4 3 2 2" xfId="48016"/>
    <cellStyle name="SAPBEXHLevel1X 2 4 3 2 2 2" xfId="48017"/>
    <cellStyle name="SAPBEXHLevel1X 2 4 3 2 3" xfId="48018"/>
    <cellStyle name="SAPBEXHLevel1X 2 4 3 3" xfId="48019"/>
    <cellStyle name="SAPBEXHLevel1X 2 4 3 3 2" xfId="48020"/>
    <cellStyle name="SAPBEXHLevel1X 2 4 3 4" xfId="48021"/>
    <cellStyle name="SAPBEXHLevel1X 2 4 4" xfId="48022"/>
    <cellStyle name="SAPBEXHLevel1X 2 4 4 2" xfId="48023"/>
    <cellStyle name="SAPBEXHLevel1X 2 4 4 2 2" xfId="48024"/>
    <cellStyle name="SAPBEXHLevel1X 2 4 4 3" xfId="48025"/>
    <cellStyle name="SAPBEXHLevel1X 2 4 5" xfId="48026"/>
    <cellStyle name="SAPBEXHLevel1X 2 4 5 2" xfId="48027"/>
    <cellStyle name="SAPBEXHLevel1X 2 4 6" xfId="48028"/>
    <cellStyle name="SAPBEXHLevel1X 2 5" xfId="48029"/>
    <cellStyle name="SAPBEXHLevel1X 2 5 2" xfId="48030"/>
    <cellStyle name="SAPBEXHLevel1X 2 5 2 2" xfId="48031"/>
    <cellStyle name="SAPBEXHLevel1X 2 5 2 2 2" xfId="48032"/>
    <cellStyle name="SAPBEXHLevel1X 2 5 2 3" xfId="48033"/>
    <cellStyle name="SAPBEXHLevel1X 2 5 3" xfId="48034"/>
    <cellStyle name="SAPBEXHLevel1X 2 5 3 2" xfId="48035"/>
    <cellStyle name="SAPBEXHLevel1X 2 5 4" xfId="48036"/>
    <cellStyle name="SAPBEXHLevel1X 2 6" xfId="48037"/>
    <cellStyle name="SAPBEXHLevel1X 2 6 2" xfId="48038"/>
    <cellStyle name="SAPBEXHLevel1X 2 6 2 2" xfId="48039"/>
    <cellStyle name="SAPBEXHLevel1X 2 6 3" xfId="48040"/>
    <cellStyle name="SAPBEXHLevel1X 2 7" xfId="48041"/>
    <cellStyle name="SAPBEXHLevel1X 2 7 2" xfId="48042"/>
    <cellStyle name="SAPBEXHLevel1X 2 7 2 2" xfId="48043"/>
    <cellStyle name="SAPBEXHLevel1X 2 7 3" xfId="48044"/>
    <cellStyle name="SAPBEXHLevel1X 2 8" xfId="48045"/>
    <cellStyle name="SAPBEXHLevel1X 2 8 2" xfId="48046"/>
    <cellStyle name="SAPBEXHLevel1X 2 9" xfId="48047"/>
    <cellStyle name="SAPBEXHLevel1X 20" xfId="48048"/>
    <cellStyle name="SAPBEXHLevel1X 21" xfId="48049"/>
    <cellStyle name="SAPBEXHLevel1X 22" xfId="48050"/>
    <cellStyle name="SAPBEXHLevel1X 23" xfId="48051"/>
    <cellStyle name="SAPBEXHLevel1X 3" xfId="48052"/>
    <cellStyle name="SAPBEXHLevel1X 3 2" xfId="48053"/>
    <cellStyle name="SAPBEXHLevel1X 3 2 2" xfId="48054"/>
    <cellStyle name="SAPBEXHLevel1X 3 2 2 2" xfId="48055"/>
    <cellStyle name="SAPBEXHLevel1X 3 2 2 2 2" xfId="48056"/>
    <cellStyle name="SAPBEXHLevel1X 3 2 2 3" xfId="48057"/>
    <cellStyle name="SAPBEXHLevel1X 3 2 3" xfId="48058"/>
    <cellStyle name="SAPBEXHLevel1X 3 2 3 2" xfId="48059"/>
    <cellStyle name="SAPBEXHLevel1X 3 2 3 2 2" xfId="48060"/>
    <cellStyle name="SAPBEXHLevel1X 3 2 3 3" xfId="48061"/>
    <cellStyle name="SAPBEXHLevel1X 3 2 4" xfId="48062"/>
    <cellStyle name="SAPBEXHLevel1X 3 2 4 2" xfId="48063"/>
    <cellStyle name="SAPBEXHLevel1X 3 2 4 2 2" xfId="48064"/>
    <cellStyle name="SAPBEXHLevel1X 3 2 4 3" xfId="48065"/>
    <cellStyle name="SAPBEXHLevel1X 3 2 5" xfId="48066"/>
    <cellStyle name="SAPBEXHLevel1X 3 2 5 2" xfId="48067"/>
    <cellStyle name="SAPBEXHLevel1X 3 2 6" xfId="48068"/>
    <cellStyle name="SAPBEXHLevel1X 3 3" xfId="48069"/>
    <cellStyle name="SAPBEXHLevel1X 3 3 2" xfId="48070"/>
    <cellStyle name="SAPBEXHLevel1X 3 3 2 2" xfId="48071"/>
    <cellStyle name="SAPBEXHLevel1X 3 3 2 2 2" xfId="48072"/>
    <cellStyle name="SAPBEXHLevel1X 3 3 2 3" xfId="48073"/>
    <cellStyle name="SAPBEXHLevel1X 3 3 3" xfId="48074"/>
    <cellStyle name="SAPBEXHLevel1X 3 3 3 2" xfId="48075"/>
    <cellStyle name="SAPBEXHLevel1X 3 3 4" xfId="48076"/>
    <cellStyle name="SAPBEXHLevel1X 3 4" xfId="48077"/>
    <cellStyle name="SAPBEXHLevel1X 3 4 2" xfId="48078"/>
    <cellStyle name="SAPBEXHLevel1X 3 4 2 2" xfId="48079"/>
    <cellStyle name="SAPBEXHLevel1X 3 4 3" xfId="48080"/>
    <cellStyle name="SAPBEXHLevel1X 3 5" xfId="48081"/>
    <cellStyle name="SAPBEXHLevel1X 3 5 2" xfId="48082"/>
    <cellStyle name="SAPBEXHLevel1X 3 5 2 2" xfId="48083"/>
    <cellStyle name="SAPBEXHLevel1X 3 5 3" xfId="48084"/>
    <cellStyle name="SAPBEXHLevel1X 3 6" xfId="48085"/>
    <cellStyle name="SAPBEXHLevel1X 3 6 2" xfId="48086"/>
    <cellStyle name="SAPBEXHLevel1X 3 7" xfId="48087"/>
    <cellStyle name="SAPBEXHLevel1X 4" xfId="48088"/>
    <cellStyle name="SAPBEXHLevel1X 4 2" xfId="48089"/>
    <cellStyle name="SAPBEXHLevel1X 4 2 2" xfId="48090"/>
    <cellStyle name="SAPBEXHLevel1X 4 2 2 2" xfId="48091"/>
    <cellStyle name="SAPBEXHLevel1X 4 2 2 2 2" xfId="48092"/>
    <cellStyle name="SAPBEXHLevel1X 4 2 2 3" xfId="48093"/>
    <cellStyle name="SAPBEXHLevel1X 4 2 3" xfId="48094"/>
    <cellStyle name="SAPBEXHLevel1X 4 2 3 2" xfId="48095"/>
    <cellStyle name="SAPBEXHLevel1X 4 2 3 2 2" xfId="48096"/>
    <cellStyle name="SAPBEXHLevel1X 4 2 3 3" xfId="48097"/>
    <cellStyle name="SAPBEXHLevel1X 4 2 4" xfId="48098"/>
    <cellStyle name="SAPBEXHLevel1X 4 2 4 2" xfId="48099"/>
    <cellStyle name="SAPBEXHLevel1X 4 2 4 2 2" xfId="48100"/>
    <cellStyle name="SAPBEXHLevel1X 4 2 4 3" xfId="48101"/>
    <cellStyle name="SAPBEXHLevel1X 4 2 5" xfId="48102"/>
    <cellStyle name="SAPBEXHLevel1X 4 2 5 2" xfId="48103"/>
    <cellStyle name="SAPBEXHLevel1X 4 2 6" xfId="48104"/>
    <cellStyle name="SAPBEXHLevel1X 4 3" xfId="48105"/>
    <cellStyle name="SAPBEXHLevel1X 4 3 2" xfId="48106"/>
    <cellStyle name="SAPBEXHLevel1X 4 3 2 2" xfId="48107"/>
    <cellStyle name="SAPBEXHLevel1X 4 3 2 2 2" xfId="48108"/>
    <cellStyle name="SAPBEXHLevel1X 4 3 2 2 2 2" xfId="48109"/>
    <cellStyle name="SAPBEXHLevel1X 4 3 2 2 3" xfId="48110"/>
    <cellStyle name="SAPBEXHLevel1X 4 3 2 3" xfId="48111"/>
    <cellStyle name="SAPBEXHLevel1X 4 3 2 3 2" xfId="48112"/>
    <cellStyle name="SAPBEXHLevel1X 4 3 2 3 2 2" xfId="48113"/>
    <cellStyle name="SAPBEXHLevel1X 4 3 2 3 3" xfId="48114"/>
    <cellStyle name="SAPBEXHLevel1X 4 3 2 4" xfId="48115"/>
    <cellStyle name="SAPBEXHLevel1X 4 3 2 4 2" xfId="48116"/>
    <cellStyle name="SAPBEXHLevel1X 4 3 2 5" xfId="48117"/>
    <cellStyle name="SAPBEXHLevel1X 4 3 3" xfId="48118"/>
    <cellStyle name="SAPBEXHLevel1X 4 3 3 2" xfId="48119"/>
    <cellStyle name="SAPBEXHLevel1X 4 3 3 2 2" xfId="48120"/>
    <cellStyle name="SAPBEXHLevel1X 4 3 3 2 2 2" xfId="48121"/>
    <cellStyle name="SAPBEXHLevel1X 4 3 3 2 3" xfId="48122"/>
    <cellStyle name="SAPBEXHLevel1X 4 3 3 3" xfId="48123"/>
    <cellStyle name="SAPBEXHLevel1X 4 3 3 3 2" xfId="48124"/>
    <cellStyle name="SAPBEXHLevel1X 4 3 3 4" xfId="48125"/>
    <cellStyle name="SAPBEXHLevel1X 4 3 4" xfId="48126"/>
    <cellStyle name="SAPBEXHLevel1X 4 3 4 2" xfId="48127"/>
    <cellStyle name="SAPBEXHLevel1X 4 3 4 2 2" xfId="48128"/>
    <cellStyle name="SAPBEXHLevel1X 4 3 4 3" xfId="48129"/>
    <cellStyle name="SAPBEXHLevel1X 4 3 5" xfId="48130"/>
    <cellStyle name="SAPBEXHLevel1X 4 3 5 2" xfId="48131"/>
    <cellStyle name="SAPBEXHLevel1X 4 3 5 2 2" xfId="48132"/>
    <cellStyle name="SAPBEXHLevel1X 4 3 5 3" xfId="48133"/>
    <cellStyle name="SAPBEXHLevel1X 4 3 6" xfId="48134"/>
    <cellStyle name="SAPBEXHLevel1X 4 3 6 2" xfId="48135"/>
    <cellStyle name="SAPBEXHLevel1X 4 3 7" xfId="48136"/>
    <cellStyle name="SAPBEXHLevel1X 4 4" xfId="48137"/>
    <cellStyle name="SAPBEXHLevel1X 4 4 2" xfId="48138"/>
    <cellStyle name="SAPBEXHLevel1X 4 4 2 2" xfId="48139"/>
    <cellStyle name="SAPBEXHLevel1X 4 4 2 2 2" xfId="48140"/>
    <cellStyle name="SAPBEXHLevel1X 4 4 2 3" xfId="48141"/>
    <cellStyle name="SAPBEXHLevel1X 4 4 3" xfId="48142"/>
    <cellStyle name="SAPBEXHLevel1X 4 4 3 2" xfId="48143"/>
    <cellStyle name="SAPBEXHLevel1X 4 4 4" xfId="48144"/>
    <cellStyle name="SAPBEXHLevel1X 4 5" xfId="48145"/>
    <cellStyle name="SAPBEXHLevel1X 4 5 2" xfId="48146"/>
    <cellStyle name="SAPBEXHLevel1X 4 5 2 2" xfId="48147"/>
    <cellStyle name="SAPBEXHLevel1X 4 5 3" xfId="48148"/>
    <cellStyle name="SAPBEXHLevel1X 4 6" xfId="48149"/>
    <cellStyle name="SAPBEXHLevel1X 4 6 2" xfId="48150"/>
    <cellStyle name="SAPBEXHLevel1X 4 6 2 2" xfId="48151"/>
    <cellStyle name="SAPBEXHLevel1X 4 6 3" xfId="48152"/>
    <cellStyle name="SAPBEXHLevel1X 4 7" xfId="48153"/>
    <cellStyle name="SAPBEXHLevel1X 4 7 2" xfId="48154"/>
    <cellStyle name="SAPBEXHLevel1X 4 8" xfId="48155"/>
    <cellStyle name="SAPBEXHLevel1X 5" xfId="48156"/>
    <cellStyle name="SAPBEXHLevel1X 5 2" xfId="48157"/>
    <cellStyle name="SAPBEXHLevel1X 5 2 2" xfId="48158"/>
    <cellStyle name="SAPBEXHLevel1X 5 2 2 2" xfId="48159"/>
    <cellStyle name="SAPBEXHLevel1X 5 2 3" xfId="48160"/>
    <cellStyle name="SAPBEXHLevel1X 5 3" xfId="48161"/>
    <cellStyle name="SAPBEXHLevel1X 5 3 2" xfId="48162"/>
    <cellStyle name="SAPBEXHLevel1X 5 3 2 2" xfId="48163"/>
    <cellStyle name="SAPBEXHLevel1X 5 3 3" xfId="48164"/>
    <cellStyle name="SAPBEXHLevel1X 5 4" xfId="48165"/>
    <cellStyle name="SAPBEXHLevel1X 5 4 2" xfId="48166"/>
    <cellStyle name="SAPBEXHLevel1X 5 4 2 2" xfId="48167"/>
    <cellStyle name="SAPBEXHLevel1X 5 4 3" xfId="48168"/>
    <cellStyle name="SAPBEXHLevel1X 5 5" xfId="48169"/>
    <cellStyle name="SAPBEXHLevel1X 5 5 2" xfId="48170"/>
    <cellStyle name="SAPBEXHLevel1X 5 6" xfId="48171"/>
    <cellStyle name="SAPBEXHLevel1X 6" xfId="48172"/>
    <cellStyle name="SAPBEXHLevel1X 6 2" xfId="48173"/>
    <cellStyle name="SAPBEXHLevel1X 6 2 2" xfId="48174"/>
    <cellStyle name="SAPBEXHLevel1X 6 3" xfId="48175"/>
    <cellStyle name="SAPBEXHLevel1X 6 3 2" xfId="48176"/>
    <cellStyle name="SAPBEXHLevel1X 6 3 2 2" xfId="48177"/>
    <cellStyle name="SAPBEXHLevel1X 6 3 3" xfId="48178"/>
    <cellStyle name="SAPBEXHLevel1X 6 4" xfId="48179"/>
    <cellStyle name="SAPBEXHLevel1X 6 4 2" xfId="48180"/>
    <cellStyle name="SAPBEXHLevel1X 6 4 2 2" xfId="48181"/>
    <cellStyle name="SAPBEXHLevel1X 6 4 3" xfId="48182"/>
    <cellStyle name="SAPBEXHLevel1X 6 5" xfId="48183"/>
    <cellStyle name="SAPBEXHLevel1X 7" xfId="48184"/>
    <cellStyle name="SAPBEXHLevel1X 7 2" xfId="48185"/>
    <cellStyle name="SAPBEXHLevel1X 7 2 2" xfId="48186"/>
    <cellStyle name="SAPBEXHLevel1X 7 2 2 2" xfId="48187"/>
    <cellStyle name="SAPBEXHLevel1X 7 2 3" xfId="48188"/>
    <cellStyle name="SAPBEXHLevel1X 7 2 3 2" xfId="48189"/>
    <cellStyle name="SAPBEXHLevel1X 7 2 3 2 2" xfId="48190"/>
    <cellStyle name="SAPBEXHLevel1X 7 2 3 3" xfId="48191"/>
    <cellStyle name="SAPBEXHLevel1X 7 2 4" xfId="48192"/>
    <cellStyle name="SAPBEXHLevel1X 7 3" xfId="48193"/>
    <cellStyle name="SAPBEXHLevel1X 7 3 2" xfId="48194"/>
    <cellStyle name="SAPBEXHLevel1X 7 3 2 2" xfId="48195"/>
    <cellStyle name="SAPBEXHLevel1X 7 3 3" xfId="48196"/>
    <cellStyle name="SAPBEXHLevel1X 7 4" xfId="48197"/>
    <cellStyle name="SAPBEXHLevel1X 7 4 2" xfId="48198"/>
    <cellStyle name="SAPBEXHLevel1X 7 4 2 2" xfId="48199"/>
    <cellStyle name="SAPBEXHLevel1X 7 4 3" xfId="48200"/>
    <cellStyle name="SAPBEXHLevel1X 7 5" xfId="48201"/>
    <cellStyle name="SAPBEXHLevel1X 7 5 2" xfId="48202"/>
    <cellStyle name="SAPBEXHLevel1X 7 5 2 2" xfId="48203"/>
    <cellStyle name="SAPBEXHLevel1X 7 5 3" xfId="48204"/>
    <cellStyle name="SAPBEXHLevel1X 7 6" xfId="48205"/>
    <cellStyle name="SAPBEXHLevel1X 8" xfId="48206"/>
    <cellStyle name="SAPBEXHLevel1X 8 2" xfId="48207"/>
    <cellStyle name="SAPBEXHLevel1X 8 2 2" xfId="48208"/>
    <cellStyle name="SAPBEXHLevel1X 8 2 2 2" xfId="48209"/>
    <cellStyle name="SAPBEXHLevel1X 8 2 3" xfId="48210"/>
    <cellStyle name="SAPBEXHLevel1X 8 3" xfId="48211"/>
    <cellStyle name="SAPBEXHLevel1X 8 3 2" xfId="48212"/>
    <cellStyle name="SAPBEXHLevel1X 8 3 2 2" xfId="48213"/>
    <cellStyle name="SAPBEXHLevel1X 8 3 3" xfId="48214"/>
    <cellStyle name="SAPBEXHLevel1X 8 4" xfId="48215"/>
    <cellStyle name="SAPBEXHLevel1X 8 4 2" xfId="48216"/>
    <cellStyle name="SAPBEXHLevel1X 8 5" xfId="48217"/>
    <cellStyle name="SAPBEXHLevel1X 9" xfId="48218"/>
    <cellStyle name="SAPBEXHLevel1X 9 2" xfId="48219"/>
    <cellStyle name="SAPBEXHLevel1X 9 2 2" xfId="48220"/>
    <cellStyle name="SAPBEXHLevel1X 9 2 2 2" xfId="48221"/>
    <cellStyle name="SAPBEXHLevel1X 9 2 2 2 2" xfId="48222"/>
    <cellStyle name="SAPBEXHLevel1X 9 2 2 3" xfId="48223"/>
    <cellStyle name="SAPBEXHLevel1X 9 2 3" xfId="48224"/>
    <cellStyle name="SAPBEXHLevel1X 9 2 3 2" xfId="48225"/>
    <cellStyle name="SAPBEXHLevel1X 9 2 4" xfId="48226"/>
    <cellStyle name="SAPBEXHLevel1X 9 3" xfId="48227"/>
    <cellStyle name="SAPBEXHLevel1X 9 3 2" xfId="48228"/>
    <cellStyle name="SAPBEXHLevel1X 9 3 2 2" xfId="48229"/>
    <cellStyle name="SAPBEXHLevel1X 9 3 2 2 2" xfId="48230"/>
    <cellStyle name="SAPBEXHLevel1X 9 3 2 2 2 2" xfId="48231"/>
    <cellStyle name="SAPBEXHLevel1X 9 3 2 2 3" xfId="48232"/>
    <cellStyle name="SAPBEXHLevel1X 9 3 2 3" xfId="48233"/>
    <cellStyle name="SAPBEXHLevel1X 9 3 2 3 2" xfId="48234"/>
    <cellStyle name="SAPBEXHLevel1X 9 3 2 4" xfId="48235"/>
    <cellStyle name="SAPBEXHLevel1X 9 3 3" xfId="48236"/>
    <cellStyle name="SAPBEXHLevel1X 9 3 3 2" xfId="48237"/>
    <cellStyle name="SAPBEXHLevel1X 9 3 3 2 2" xfId="48238"/>
    <cellStyle name="SAPBEXHLevel1X 9 3 3 3" xfId="48239"/>
    <cellStyle name="SAPBEXHLevel1X 9 3 4" xfId="48240"/>
    <cellStyle name="SAPBEXHLevel1X 9 3 4 2" xfId="48241"/>
    <cellStyle name="SAPBEXHLevel1X 9 3 5" xfId="48242"/>
    <cellStyle name="SAPBEXHLevel1X 9 4" xfId="48243"/>
    <cellStyle name="SAPBEXHLevel1X 9 4 2" xfId="48244"/>
    <cellStyle name="SAPBEXHLevel1X 9 4 2 2" xfId="48245"/>
    <cellStyle name="SAPBEXHLevel1X 9 4 3" xfId="48246"/>
    <cellStyle name="SAPBEXHLevel1X 9 5" xfId="48247"/>
    <cellStyle name="SAPBEXHLevel1X 9 5 2" xfId="48248"/>
    <cellStyle name="SAPBEXHLevel1X 9 5 2 2" xfId="48249"/>
    <cellStyle name="SAPBEXHLevel1X 9 5 3" xfId="48250"/>
    <cellStyle name="SAPBEXHLevel1X 9 6" xfId="48251"/>
    <cellStyle name="SAPBEXHLevel1X 9 6 2" xfId="48252"/>
    <cellStyle name="SAPBEXHLevel1X 9 7" xfId="48253"/>
    <cellStyle name="SAPBEXHLevel2" xfId="64"/>
    <cellStyle name="SAPBEXHLevel2 10" xfId="48254"/>
    <cellStyle name="SAPBEXHLevel2 10 2" xfId="48255"/>
    <cellStyle name="SAPBEXHLevel2 10 2 2" xfId="48256"/>
    <cellStyle name="SAPBEXHLevel2 10 3" xfId="48257"/>
    <cellStyle name="SAPBEXHLevel2 11" xfId="48258"/>
    <cellStyle name="SAPBEXHLevel2 11 2" xfId="48259"/>
    <cellStyle name="SAPBEXHLevel2 12" xfId="48260"/>
    <cellStyle name="SAPBEXHLevel2 12 2" xfId="48261"/>
    <cellStyle name="SAPBEXHLevel2 12 2 2" xfId="48262"/>
    <cellStyle name="SAPBEXHLevel2 12 3" xfId="48263"/>
    <cellStyle name="SAPBEXHLevel2 12 3 2" xfId="48264"/>
    <cellStyle name="SAPBEXHLevel2 12 4" xfId="48265"/>
    <cellStyle name="SAPBEXHLevel2 13" xfId="48266"/>
    <cellStyle name="SAPBEXHLevel2 13 2" xfId="48267"/>
    <cellStyle name="SAPBEXHLevel2 14" xfId="48268"/>
    <cellStyle name="SAPBEXHLevel2 14 2" xfId="48269"/>
    <cellStyle name="SAPBEXHLevel2 14 3" xfId="48270"/>
    <cellStyle name="SAPBEXHLevel2 15" xfId="48271"/>
    <cellStyle name="SAPBEXHLevel2 15 2" xfId="48272"/>
    <cellStyle name="SAPBEXHLevel2 16" xfId="48273"/>
    <cellStyle name="SAPBEXHLevel2 16 2" xfId="48274"/>
    <cellStyle name="SAPBEXHLevel2 17" xfId="48275"/>
    <cellStyle name="SAPBEXHLevel2 18" xfId="48276"/>
    <cellStyle name="SAPBEXHLevel2 2" xfId="88"/>
    <cellStyle name="SAPBEXHLevel2 2 2" xfId="48277"/>
    <cellStyle name="SAPBEXHLevel2 2 2 2" xfId="48278"/>
    <cellStyle name="SAPBEXHLevel2 2 2 2 2" xfId="48279"/>
    <cellStyle name="SAPBEXHLevel2 2 2 2 2 2" xfId="48280"/>
    <cellStyle name="SAPBEXHLevel2 2 2 2 3" xfId="48281"/>
    <cellStyle name="SAPBEXHLevel2 2 2 3" xfId="48282"/>
    <cellStyle name="SAPBEXHLevel2 2 2 3 2" xfId="48283"/>
    <cellStyle name="SAPBEXHLevel2 2 2 3 2 2" xfId="48284"/>
    <cellStyle name="SAPBEXHLevel2 2 2 3 3" xfId="48285"/>
    <cellStyle name="SAPBEXHLevel2 2 2 4" xfId="48286"/>
    <cellStyle name="SAPBEXHLevel2 2 2 4 2" xfId="48287"/>
    <cellStyle name="SAPBEXHLevel2 2 2 4 2 2" xfId="48288"/>
    <cellStyle name="SAPBEXHLevel2 2 2 4 3" xfId="48289"/>
    <cellStyle name="SAPBEXHLevel2 2 2 5" xfId="48290"/>
    <cellStyle name="SAPBEXHLevel2 2 2 5 2" xfId="48291"/>
    <cellStyle name="SAPBEXHLevel2 2 2 6" xfId="48292"/>
    <cellStyle name="SAPBEXHLevel2 2 3" xfId="48293"/>
    <cellStyle name="SAPBEXHLevel2 2 3 2" xfId="48294"/>
    <cellStyle name="SAPBEXHLevel2 2 3 2 2" xfId="48295"/>
    <cellStyle name="SAPBEXHLevel2 2 3 2 2 2" xfId="48296"/>
    <cellStyle name="SAPBEXHLevel2 2 3 2 2 2 2" xfId="48297"/>
    <cellStyle name="SAPBEXHLevel2 2 3 2 2 3" xfId="48298"/>
    <cellStyle name="SAPBEXHLevel2 2 3 2 3" xfId="48299"/>
    <cellStyle name="SAPBEXHLevel2 2 3 2 3 2" xfId="48300"/>
    <cellStyle name="SAPBEXHLevel2 2 3 2 3 2 2" xfId="48301"/>
    <cellStyle name="SAPBEXHLevel2 2 3 2 3 3" xfId="48302"/>
    <cellStyle name="SAPBEXHLevel2 2 3 2 4" xfId="48303"/>
    <cellStyle name="SAPBEXHLevel2 2 3 2 4 2" xfId="48304"/>
    <cellStyle name="SAPBEXHLevel2 2 3 2 5" xfId="48305"/>
    <cellStyle name="SAPBEXHLevel2 2 3 3" xfId="48306"/>
    <cellStyle name="SAPBEXHLevel2 2 3 3 2" xfId="48307"/>
    <cellStyle name="SAPBEXHLevel2 2 3 3 2 2" xfId="48308"/>
    <cellStyle name="SAPBEXHLevel2 2 3 3 2 2 2" xfId="48309"/>
    <cellStyle name="SAPBEXHLevel2 2 3 3 2 3" xfId="48310"/>
    <cellStyle name="SAPBEXHLevel2 2 3 3 3" xfId="48311"/>
    <cellStyle name="SAPBEXHLevel2 2 3 3 3 2" xfId="48312"/>
    <cellStyle name="SAPBEXHLevel2 2 3 3 4" xfId="48313"/>
    <cellStyle name="SAPBEXHLevel2 2 3 4" xfId="48314"/>
    <cellStyle name="SAPBEXHLevel2 2 3 4 2" xfId="48315"/>
    <cellStyle name="SAPBEXHLevel2 2 3 4 2 2" xfId="48316"/>
    <cellStyle name="SAPBEXHLevel2 2 3 4 3" xfId="48317"/>
    <cellStyle name="SAPBEXHLevel2 2 3 5" xfId="48318"/>
    <cellStyle name="SAPBEXHLevel2 2 3 5 2" xfId="48319"/>
    <cellStyle name="SAPBEXHLevel2 2 3 5 2 2" xfId="48320"/>
    <cellStyle name="SAPBEXHLevel2 2 3 5 3" xfId="48321"/>
    <cellStyle name="SAPBEXHLevel2 2 3 6" xfId="48322"/>
    <cellStyle name="SAPBEXHLevel2 2 3 6 2" xfId="48323"/>
    <cellStyle name="SAPBEXHLevel2 2 3 7" xfId="48324"/>
    <cellStyle name="SAPBEXHLevel2 2 4" xfId="48325"/>
    <cellStyle name="SAPBEXHLevel2 2 4 2" xfId="48326"/>
    <cellStyle name="SAPBEXHLevel2 2 4 2 2" xfId="48327"/>
    <cellStyle name="SAPBEXHLevel2 2 4 2 2 2" xfId="48328"/>
    <cellStyle name="SAPBEXHLevel2 2 4 2 2 2 2" xfId="48329"/>
    <cellStyle name="SAPBEXHLevel2 2 4 2 2 2 2 2" xfId="48330"/>
    <cellStyle name="SAPBEXHLevel2 2 4 2 2 2 2 2 2" xfId="48331"/>
    <cellStyle name="SAPBEXHLevel2 2 4 2 2 2 2 3" xfId="48332"/>
    <cellStyle name="SAPBEXHLevel2 2 4 2 2 2 3" xfId="48333"/>
    <cellStyle name="SAPBEXHLevel2 2 4 2 2 2 3 2" xfId="48334"/>
    <cellStyle name="SAPBEXHLevel2 2 4 2 2 2 4" xfId="48335"/>
    <cellStyle name="SAPBEXHLevel2 2 4 2 2 3" xfId="48336"/>
    <cellStyle name="SAPBEXHLevel2 2 4 2 2 3 2" xfId="48337"/>
    <cellStyle name="SAPBEXHLevel2 2 4 2 2 3 2 2" xfId="48338"/>
    <cellStyle name="SAPBEXHLevel2 2 4 2 2 3 3" xfId="48339"/>
    <cellStyle name="SAPBEXHLevel2 2 4 2 2 4" xfId="48340"/>
    <cellStyle name="SAPBEXHLevel2 2 4 2 2 4 2" xfId="48341"/>
    <cellStyle name="SAPBEXHLevel2 2 4 2 2 5" xfId="48342"/>
    <cellStyle name="SAPBEXHLevel2 2 4 2 3" xfId="48343"/>
    <cellStyle name="SAPBEXHLevel2 2 4 2 3 2" xfId="48344"/>
    <cellStyle name="SAPBEXHLevel2 2 4 2 3 2 2" xfId="48345"/>
    <cellStyle name="SAPBEXHLevel2 2 4 2 3 3" xfId="48346"/>
    <cellStyle name="SAPBEXHLevel2 2 4 2 4" xfId="48347"/>
    <cellStyle name="SAPBEXHLevel2 2 4 2 4 2" xfId="48348"/>
    <cellStyle name="SAPBEXHLevel2 2 4 2 4 2 2" xfId="48349"/>
    <cellStyle name="SAPBEXHLevel2 2 4 2 4 2 2 2" xfId="48350"/>
    <cellStyle name="SAPBEXHLevel2 2 4 2 4 2 3" xfId="48351"/>
    <cellStyle name="SAPBEXHLevel2 2 4 2 4 3" xfId="48352"/>
    <cellStyle name="SAPBEXHLevel2 2 4 2 4 3 2" xfId="48353"/>
    <cellStyle name="SAPBEXHLevel2 2 4 2 4 4" xfId="48354"/>
    <cellStyle name="SAPBEXHLevel2 2 4 2 5" xfId="48355"/>
    <cellStyle name="SAPBEXHLevel2 2 4 2 5 2" xfId="48356"/>
    <cellStyle name="SAPBEXHLevel2 2 4 2 5 2 2" xfId="48357"/>
    <cellStyle name="SAPBEXHLevel2 2 4 2 5 3" xfId="48358"/>
    <cellStyle name="SAPBEXHLevel2 2 4 2 6" xfId="48359"/>
    <cellStyle name="SAPBEXHLevel2 2 4 2 6 2" xfId="48360"/>
    <cellStyle name="SAPBEXHLevel2 2 4 2 7" xfId="48361"/>
    <cellStyle name="SAPBEXHLevel2 2 4 3" xfId="48362"/>
    <cellStyle name="SAPBEXHLevel2 2 4 3 2" xfId="48363"/>
    <cellStyle name="SAPBEXHLevel2 2 4 3 2 2" xfId="48364"/>
    <cellStyle name="SAPBEXHLevel2 2 4 3 2 2 2" xfId="48365"/>
    <cellStyle name="SAPBEXHLevel2 2 4 3 2 2 2 2" xfId="48366"/>
    <cellStyle name="SAPBEXHLevel2 2 4 3 2 2 2 2 2" xfId="48367"/>
    <cellStyle name="SAPBEXHLevel2 2 4 3 2 2 2 3" xfId="48368"/>
    <cellStyle name="SAPBEXHLevel2 2 4 3 2 2 3" xfId="48369"/>
    <cellStyle name="SAPBEXHLevel2 2 4 3 2 2 3 2" xfId="48370"/>
    <cellStyle name="SAPBEXHLevel2 2 4 3 2 2 4" xfId="48371"/>
    <cellStyle name="SAPBEXHLevel2 2 4 3 2 3" xfId="48372"/>
    <cellStyle name="SAPBEXHLevel2 2 4 3 2 3 2" xfId="48373"/>
    <cellStyle name="SAPBEXHLevel2 2 4 3 2 3 2 2" xfId="48374"/>
    <cellStyle name="SAPBEXHLevel2 2 4 3 2 3 3" xfId="48375"/>
    <cellStyle name="SAPBEXHLevel2 2 4 3 2 4" xfId="48376"/>
    <cellStyle name="SAPBEXHLevel2 2 4 3 2 4 2" xfId="48377"/>
    <cellStyle name="SAPBEXHLevel2 2 4 3 2 5" xfId="48378"/>
    <cellStyle name="SAPBEXHLevel2 2 4 3 3" xfId="48379"/>
    <cellStyle name="SAPBEXHLevel2 2 4 3 3 2" xfId="48380"/>
    <cellStyle name="SAPBEXHLevel2 2 4 3 3 2 2" xfId="48381"/>
    <cellStyle name="SAPBEXHLevel2 2 4 3 3 2 2 2" xfId="48382"/>
    <cellStyle name="SAPBEXHLevel2 2 4 3 3 2 3" xfId="48383"/>
    <cellStyle name="SAPBEXHLevel2 2 4 3 3 3" xfId="48384"/>
    <cellStyle name="SAPBEXHLevel2 2 4 3 3 3 2" xfId="48385"/>
    <cellStyle name="SAPBEXHLevel2 2 4 3 3 4" xfId="48386"/>
    <cellStyle name="SAPBEXHLevel2 2 4 3 4" xfId="48387"/>
    <cellStyle name="SAPBEXHLevel2 2 4 3 4 2" xfId="48388"/>
    <cellStyle name="SAPBEXHLevel2 2 4 3 4 2 2" xfId="48389"/>
    <cellStyle name="SAPBEXHLevel2 2 4 3 4 3" xfId="48390"/>
    <cellStyle name="SAPBEXHLevel2 2 4 3 5" xfId="48391"/>
    <cellStyle name="SAPBEXHLevel2 2 4 3 5 2" xfId="48392"/>
    <cellStyle name="SAPBEXHLevel2 2 4 3 6" xfId="48393"/>
    <cellStyle name="SAPBEXHLevel2 2 4 4" xfId="48394"/>
    <cellStyle name="SAPBEXHLevel2 2 4 4 2" xfId="48395"/>
    <cellStyle name="SAPBEXHLevel2 2 4 4 2 2" xfId="48396"/>
    <cellStyle name="SAPBEXHLevel2 2 4 4 3" xfId="48397"/>
    <cellStyle name="SAPBEXHLevel2 2 4 5" xfId="48398"/>
    <cellStyle name="SAPBEXHLevel2 2 4 5 2" xfId="48399"/>
    <cellStyle name="SAPBEXHLevel2 2 4 5 2 2" xfId="48400"/>
    <cellStyle name="SAPBEXHLevel2 2 4 5 2 2 2" xfId="48401"/>
    <cellStyle name="SAPBEXHLevel2 2 4 5 2 3" xfId="48402"/>
    <cellStyle name="SAPBEXHLevel2 2 4 5 3" xfId="48403"/>
    <cellStyle name="SAPBEXHLevel2 2 4 5 3 2" xfId="48404"/>
    <cellStyle name="SAPBEXHLevel2 2 4 5 4" xfId="48405"/>
    <cellStyle name="SAPBEXHLevel2 2 4 6" xfId="48406"/>
    <cellStyle name="SAPBEXHLevel2 2 4 6 2" xfId="48407"/>
    <cellStyle name="SAPBEXHLevel2 2 4 6 2 2" xfId="48408"/>
    <cellStyle name="SAPBEXHLevel2 2 4 6 3" xfId="48409"/>
    <cellStyle name="SAPBEXHLevel2 2 4 7" xfId="48410"/>
    <cellStyle name="SAPBEXHLevel2 2 4 7 2" xfId="48411"/>
    <cellStyle name="SAPBEXHLevel2 2 4 8" xfId="48412"/>
    <cellStyle name="SAPBEXHLevel2 2 5" xfId="48413"/>
    <cellStyle name="SAPBEXHLevel2 2 5 2" xfId="48414"/>
    <cellStyle name="SAPBEXHLevel2 2 5 2 2" xfId="48415"/>
    <cellStyle name="SAPBEXHLevel2 2 5 2 2 2" xfId="48416"/>
    <cellStyle name="SAPBEXHLevel2 2 5 2 3" xfId="48417"/>
    <cellStyle name="SAPBEXHLevel2 2 5 3" xfId="48418"/>
    <cellStyle name="SAPBEXHLevel2 2 5 3 2" xfId="48419"/>
    <cellStyle name="SAPBEXHLevel2 2 5 4" xfId="48420"/>
    <cellStyle name="SAPBEXHLevel2 2 6" xfId="48421"/>
    <cellStyle name="SAPBEXHLevel2 2 6 2" xfId="48422"/>
    <cellStyle name="SAPBEXHLevel2 2 6 2 2" xfId="48423"/>
    <cellStyle name="SAPBEXHLevel2 2 6 3" xfId="48424"/>
    <cellStyle name="SAPBEXHLevel2 2 7" xfId="48425"/>
    <cellStyle name="SAPBEXHLevel2 2 7 2" xfId="48426"/>
    <cellStyle name="SAPBEXHLevel2 2 7 2 2" xfId="48427"/>
    <cellStyle name="SAPBEXHLevel2 2 7 3" xfId="48428"/>
    <cellStyle name="SAPBEXHLevel2 2 8" xfId="48429"/>
    <cellStyle name="SAPBEXHLevel2 2 8 2" xfId="48430"/>
    <cellStyle name="SAPBEXHLevel2 2 9" xfId="48431"/>
    <cellStyle name="SAPBEXHLevel2 3" xfId="48432"/>
    <cellStyle name="SAPBEXHLevel2 3 2" xfId="48433"/>
    <cellStyle name="SAPBEXHLevel2 3 2 2" xfId="48434"/>
    <cellStyle name="SAPBEXHLevel2 3 2 2 2" xfId="48435"/>
    <cellStyle name="SAPBEXHLevel2 3 2 2 2 2" xfId="48436"/>
    <cellStyle name="SAPBEXHLevel2 3 2 2 3" xfId="48437"/>
    <cellStyle name="SAPBEXHLevel2 3 2 3" xfId="48438"/>
    <cellStyle name="SAPBEXHLevel2 3 2 3 2" xfId="48439"/>
    <cellStyle name="SAPBEXHLevel2 3 2 3 2 2" xfId="48440"/>
    <cellStyle name="SAPBEXHLevel2 3 2 3 3" xfId="48441"/>
    <cellStyle name="SAPBEXHLevel2 3 2 4" xfId="48442"/>
    <cellStyle name="SAPBEXHLevel2 3 2 4 2" xfId="48443"/>
    <cellStyle name="SAPBEXHLevel2 3 2 4 2 2" xfId="48444"/>
    <cellStyle name="SAPBEXHLevel2 3 2 4 3" xfId="48445"/>
    <cellStyle name="SAPBEXHLevel2 3 2 5" xfId="48446"/>
    <cellStyle name="SAPBEXHLevel2 3 2 5 2" xfId="48447"/>
    <cellStyle name="SAPBEXHLevel2 3 2 6" xfId="48448"/>
    <cellStyle name="SAPBEXHLevel2 3 3" xfId="48449"/>
    <cellStyle name="SAPBEXHLevel2 3 3 2" xfId="48450"/>
    <cellStyle name="SAPBEXHLevel2 3 3 2 2" xfId="48451"/>
    <cellStyle name="SAPBEXHLevel2 3 3 2 2 2" xfId="48452"/>
    <cellStyle name="SAPBEXHLevel2 3 3 2 3" xfId="48453"/>
    <cellStyle name="SAPBEXHLevel2 3 3 3" xfId="48454"/>
    <cellStyle name="SAPBEXHLevel2 3 3 3 2" xfId="48455"/>
    <cellStyle name="SAPBEXHLevel2 3 3 4" xfId="48456"/>
    <cellStyle name="SAPBEXHLevel2 3 4" xfId="48457"/>
    <cellStyle name="SAPBEXHLevel2 3 4 2" xfId="48458"/>
    <cellStyle name="SAPBEXHLevel2 3 4 2 2" xfId="48459"/>
    <cellStyle name="SAPBEXHLevel2 3 4 3" xfId="48460"/>
    <cellStyle name="SAPBEXHLevel2 3 5" xfId="48461"/>
    <cellStyle name="SAPBEXHLevel2 3 5 2" xfId="48462"/>
    <cellStyle name="SAPBEXHLevel2 3 5 2 2" xfId="48463"/>
    <cellStyle name="SAPBEXHLevel2 3 5 3" xfId="48464"/>
    <cellStyle name="SAPBEXHLevel2 3 6" xfId="48465"/>
    <cellStyle name="SAPBEXHLevel2 3 6 2" xfId="48466"/>
    <cellStyle name="SAPBEXHLevel2 3 7" xfId="48467"/>
    <cellStyle name="SAPBEXHLevel2 4" xfId="48468"/>
    <cellStyle name="SAPBEXHLevel2 4 2" xfId="48469"/>
    <cellStyle name="SAPBEXHLevel2 4 2 2" xfId="48470"/>
    <cellStyle name="SAPBEXHLevel2 4 2 2 2" xfId="48471"/>
    <cellStyle name="SAPBEXHLevel2 4 2 2 2 2" xfId="48472"/>
    <cellStyle name="SAPBEXHLevel2 4 2 2 3" xfId="48473"/>
    <cellStyle name="SAPBEXHLevel2 4 2 3" xfId="48474"/>
    <cellStyle name="SAPBEXHLevel2 4 2 3 2" xfId="48475"/>
    <cellStyle name="SAPBEXHLevel2 4 2 3 2 2" xfId="48476"/>
    <cellStyle name="SAPBEXHLevel2 4 2 3 3" xfId="48477"/>
    <cellStyle name="SAPBEXHLevel2 4 2 4" xfId="48478"/>
    <cellStyle name="SAPBEXHLevel2 4 2 4 2" xfId="48479"/>
    <cellStyle name="SAPBEXHLevel2 4 2 4 2 2" xfId="48480"/>
    <cellStyle name="SAPBEXHLevel2 4 2 4 3" xfId="48481"/>
    <cellStyle name="SAPBEXHLevel2 4 2 5" xfId="48482"/>
    <cellStyle name="SAPBEXHLevel2 4 2 5 2" xfId="48483"/>
    <cellStyle name="SAPBEXHLevel2 4 2 6" xfId="48484"/>
    <cellStyle name="SAPBEXHLevel2 4 3" xfId="48485"/>
    <cellStyle name="SAPBEXHLevel2 4 3 2" xfId="48486"/>
    <cellStyle name="SAPBEXHLevel2 4 3 2 2" xfId="48487"/>
    <cellStyle name="SAPBEXHLevel2 4 3 2 2 2" xfId="48488"/>
    <cellStyle name="SAPBEXHLevel2 4 3 2 2 2 2" xfId="48489"/>
    <cellStyle name="SAPBEXHLevel2 4 3 2 2 3" xfId="48490"/>
    <cellStyle name="SAPBEXHLevel2 4 3 2 3" xfId="48491"/>
    <cellStyle name="SAPBEXHLevel2 4 3 2 3 2" xfId="48492"/>
    <cellStyle name="SAPBEXHLevel2 4 3 2 3 2 2" xfId="48493"/>
    <cellStyle name="SAPBEXHLevel2 4 3 2 3 3" xfId="48494"/>
    <cellStyle name="SAPBEXHLevel2 4 3 2 4" xfId="48495"/>
    <cellStyle name="SAPBEXHLevel2 4 3 2 4 2" xfId="48496"/>
    <cellStyle name="SAPBEXHLevel2 4 3 2 5" xfId="48497"/>
    <cellStyle name="SAPBEXHLevel2 4 3 3" xfId="48498"/>
    <cellStyle name="SAPBEXHLevel2 4 3 3 2" xfId="48499"/>
    <cellStyle name="SAPBEXHLevel2 4 3 3 2 2" xfId="48500"/>
    <cellStyle name="SAPBEXHLevel2 4 3 3 2 2 2" xfId="48501"/>
    <cellStyle name="SAPBEXHLevel2 4 3 3 2 3" xfId="48502"/>
    <cellStyle name="SAPBEXHLevel2 4 3 3 3" xfId="48503"/>
    <cellStyle name="SAPBEXHLevel2 4 3 3 3 2" xfId="48504"/>
    <cellStyle name="SAPBEXHLevel2 4 3 3 4" xfId="48505"/>
    <cellStyle name="SAPBEXHLevel2 4 3 4" xfId="48506"/>
    <cellStyle name="SAPBEXHLevel2 4 3 4 2" xfId="48507"/>
    <cellStyle name="SAPBEXHLevel2 4 3 4 2 2" xfId="48508"/>
    <cellStyle name="SAPBEXHLevel2 4 3 4 3" xfId="48509"/>
    <cellStyle name="SAPBEXHLevel2 4 3 5" xfId="48510"/>
    <cellStyle name="SAPBEXHLevel2 4 3 5 2" xfId="48511"/>
    <cellStyle name="SAPBEXHLevel2 4 3 5 2 2" xfId="48512"/>
    <cellStyle name="SAPBEXHLevel2 4 3 5 3" xfId="48513"/>
    <cellStyle name="SAPBEXHLevel2 4 3 6" xfId="48514"/>
    <cellStyle name="SAPBEXHLevel2 4 3 6 2" xfId="48515"/>
    <cellStyle name="SAPBEXHLevel2 4 3 7" xfId="48516"/>
    <cellStyle name="SAPBEXHLevel2 4 4" xfId="48517"/>
    <cellStyle name="SAPBEXHLevel2 4 4 2" xfId="48518"/>
    <cellStyle name="SAPBEXHLevel2 4 4 2 2" xfId="48519"/>
    <cellStyle name="SAPBEXHLevel2 4 4 2 2 2" xfId="48520"/>
    <cellStyle name="SAPBEXHLevel2 4 4 2 3" xfId="48521"/>
    <cellStyle name="SAPBEXHLevel2 4 4 3" xfId="48522"/>
    <cellStyle name="SAPBEXHLevel2 4 4 3 2" xfId="48523"/>
    <cellStyle name="SAPBEXHLevel2 4 4 4" xfId="48524"/>
    <cellStyle name="SAPBEXHLevel2 4 5" xfId="48525"/>
    <cellStyle name="SAPBEXHLevel2 4 5 2" xfId="48526"/>
    <cellStyle name="SAPBEXHLevel2 4 5 2 2" xfId="48527"/>
    <cellStyle name="SAPBEXHLevel2 4 5 3" xfId="48528"/>
    <cellStyle name="SAPBEXHLevel2 4 6" xfId="48529"/>
    <cellStyle name="SAPBEXHLevel2 4 6 2" xfId="48530"/>
    <cellStyle name="SAPBEXHLevel2 4 6 2 2" xfId="48531"/>
    <cellStyle name="SAPBEXHLevel2 4 6 3" xfId="48532"/>
    <cellStyle name="SAPBEXHLevel2 4 7" xfId="48533"/>
    <cellStyle name="SAPBEXHLevel2 4 7 2" xfId="48534"/>
    <cellStyle name="SAPBEXHLevel2 4 8" xfId="48535"/>
    <cellStyle name="SAPBEXHLevel2 5" xfId="48536"/>
    <cellStyle name="SAPBEXHLevel2 5 2" xfId="48537"/>
    <cellStyle name="SAPBEXHLevel2 5 2 2" xfId="48538"/>
    <cellStyle name="SAPBEXHLevel2 5 2 2 2" xfId="48539"/>
    <cellStyle name="SAPBEXHLevel2 5 2 3" xfId="48540"/>
    <cellStyle name="SAPBEXHLevel2 5 3" xfId="48541"/>
    <cellStyle name="SAPBEXHLevel2 5 3 2" xfId="48542"/>
    <cellStyle name="SAPBEXHLevel2 5 3 2 2" xfId="48543"/>
    <cellStyle name="SAPBEXHLevel2 5 3 3" xfId="48544"/>
    <cellStyle name="SAPBEXHLevel2 5 4" xfId="48545"/>
    <cellStyle name="SAPBEXHLevel2 5 4 2" xfId="48546"/>
    <cellStyle name="SAPBEXHLevel2 5 4 2 2" xfId="48547"/>
    <cellStyle name="SAPBEXHLevel2 5 4 3" xfId="48548"/>
    <cellStyle name="SAPBEXHLevel2 5 5" xfId="48549"/>
    <cellStyle name="SAPBEXHLevel2 5 5 2" xfId="48550"/>
    <cellStyle name="SAPBEXHLevel2 5 6" xfId="48551"/>
    <cellStyle name="SAPBEXHLevel2 6" xfId="48552"/>
    <cellStyle name="SAPBEXHLevel2 6 2" xfId="48553"/>
    <cellStyle name="SAPBEXHLevel2 6 2 2" xfId="48554"/>
    <cellStyle name="SAPBEXHLevel2 6 3" xfId="48555"/>
    <cellStyle name="SAPBEXHLevel2 6 3 2" xfId="48556"/>
    <cellStyle name="SAPBEXHLevel2 6 3 2 2" xfId="48557"/>
    <cellStyle name="SAPBEXHLevel2 6 3 3" xfId="48558"/>
    <cellStyle name="SAPBEXHLevel2 6 4" xfId="48559"/>
    <cellStyle name="SAPBEXHLevel2 6 4 2" xfId="48560"/>
    <cellStyle name="SAPBEXHLevel2 6 4 2 2" xfId="48561"/>
    <cellStyle name="SAPBEXHLevel2 6 4 3" xfId="48562"/>
    <cellStyle name="SAPBEXHLevel2 6 5" xfId="48563"/>
    <cellStyle name="SAPBEXHLevel2 7" xfId="48564"/>
    <cellStyle name="SAPBEXHLevel2 7 2" xfId="48565"/>
    <cellStyle name="SAPBEXHLevel2 7 2 2" xfId="48566"/>
    <cellStyle name="SAPBEXHLevel2 7 2 2 2" xfId="48567"/>
    <cellStyle name="SAPBEXHLevel2 7 2 3" xfId="48568"/>
    <cellStyle name="SAPBEXHLevel2 7 2 3 2" xfId="48569"/>
    <cellStyle name="SAPBEXHLevel2 7 2 3 2 2" xfId="48570"/>
    <cellStyle name="SAPBEXHLevel2 7 2 3 3" xfId="48571"/>
    <cellStyle name="SAPBEXHLevel2 7 2 4" xfId="48572"/>
    <cellStyle name="SAPBEXHLevel2 7 3" xfId="48573"/>
    <cellStyle name="SAPBEXHLevel2 7 3 2" xfId="48574"/>
    <cellStyle name="SAPBEXHLevel2 7 3 2 2" xfId="48575"/>
    <cellStyle name="SAPBEXHLevel2 7 3 3" xfId="48576"/>
    <cellStyle name="SAPBEXHLevel2 7 4" xfId="48577"/>
    <cellStyle name="SAPBEXHLevel2 7 4 2" xfId="48578"/>
    <cellStyle name="SAPBEXHLevel2 7 4 2 2" xfId="48579"/>
    <cellStyle name="SAPBEXHLevel2 7 4 3" xfId="48580"/>
    <cellStyle name="SAPBEXHLevel2 7 5" xfId="48581"/>
    <cellStyle name="SAPBEXHLevel2 7 5 2" xfId="48582"/>
    <cellStyle name="SAPBEXHLevel2 7 5 2 2" xfId="48583"/>
    <cellStyle name="SAPBEXHLevel2 7 5 3" xfId="48584"/>
    <cellStyle name="SAPBEXHLevel2 7 6" xfId="48585"/>
    <cellStyle name="SAPBEXHLevel2 8" xfId="48586"/>
    <cellStyle name="SAPBEXHLevel2 8 2" xfId="48587"/>
    <cellStyle name="SAPBEXHLevel2 8 2 2" xfId="48588"/>
    <cellStyle name="SAPBEXHLevel2 8 3" xfId="48589"/>
    <cellStyle name="SAPBEXHLevel2 9" xfId="48590"/>
    <cellStyle name="SAPBEXHLevel2 9 2" xfId="48591"/>
    <cellStyle name="SAPBEXHLevel2 9 2 2" xfId="48592"/>
    <cellStyle name="SAPBEXHLevel2 9 3" xfId="48593"/>
    <cellStyle name="SAPBEXHLevel2X" xfId="65"/>
    <cellStyle name="SAPBEXHLevel2X 10" xfId="48594"/>
    <cellStyle name="SAPBEXHLevel2X 10 2" xfId="48595"/>
    <cellStyle name="SAPBEXHLevel2X 10 2 2" xfId="48596"/>
    <cellStyle name="SAPBEXHLevel2X 10 3" xfId="48597"/>
    <cellStyle name="SAPBEXHLevel2X 11" xfId="48598"/>
    <cellStyle name="SAPBEXHLevel2X 11 2" xfId="48599"/>
    <cellStyle name="SAPBEXHLevel2X 11 2 2" xfId="48600"/>
    <cellStyle name="SAPBEXHLevel2X 11 3" xfId="48601"/>
    <cellStyle name="SAPBEXHLevel2X 12" xfId="48602"/>
    <cellStyle name="SAPBEXHLevel2X 12 2" xfId="48603"/>
    <cellStyle name="SAPBEXHLevel2X 12 2 2" xfId="48604"/>
    <cellStyle name="SAPBEXHLevel2X 12 3" xfId="48605"/>
    <cellStyle name="SAPBEXHLevel2X 13" xfId="48606"/>
    <cellStyle name="SAPBEXHLevel2X 13 2" xfId="48607"/>
    <cellStyle name="SAPBEXHLevel2X 13 2 2" xfId="48608"/>
    <cellStyle name="SAPBEXHLevel2X 13 3" xfId="48609"/>
    <cellStyle name="SAPBEXHLevel2X 14" xfId="48610"/>
    <cellStyle name="SAPBEXHLevel2X 14 2" xfId="48611"/>
    <cellStyle name="SAPBEXHLevel2X 15" xfId="48612"/>
    <cellStyle name="SAPBEXHLevel2X 15 2" xfId="48613"/>
    <cellStyle name="SAPBEXHLevel2X 15 2 2" xfId="48614"/>
    <cellStyle name="SAPBEXHLevel2X 15 3" xfId="48615"/>
    <cellStyle name="SAPBEXHLevel2X 15 3 2" xfId="48616"/>
    <cellStyle name="SAPBEXHLevel2X 15 4" xfId="48617"/>
    <cellStyle name="SAPBEXHLevel2X 16" xfId="48618"/>
    <cellStyle name="SAPBEXHLevel2X 16 2" xfId="48619"/>
    <cellStyle name="SAPBEXHLevel2X 17" xfId="48620"/>
    <cellStyle name="SAPBEXHLevel2X 17 2" xfId="48621"/>
    <cellStyle name="SAPBEXHLevel2X 17 3" xfId="48622"/>
    <cellStyle name="SAPBEXHLevel2X 18" xfId="48623"/>
    <cellStyle name="SAPBEXHLevel2X 18 2" xfId="48624"/>
    <cellStyle name="SAPBEXHLevel2X 19" xfId="48625"/>
    <cellStyle name="SAPBEXHLevel2X 19 2" xfId="48626"/>
    <cellStyle name="SAPBEXHLevel2X 2" xfId="89"/>
    <cellStyle name="SAPBEXHLevel2X 2 2" xfId="48627"/>
    <cellStyle name="SAPBEXHLevel2X 2 2 2" xfId="48628"/>
    <cellStyle name="SAPBEXHLevel2X 2 2 2 2" xfId="48629"/>
    <cellStyle name="SAPBEXHLevel2X 2 2 2 2 2" xfId="48630"/>
    <cellStyle name="SAPBEXHLevel2X 2 2 2 3" xfId="48631"/>
    <cellStyle name="SAPBEXHLevel2X 2 2 3" xfId="48632"/>
    <cellStyle name="SAPBEXHLevel2X 2 2 3 2" xfId="48633"/>
    <cellStyle name="SAPBEXHLevel2X 2 2 3 2 2" xfId="48634"/>
    <cellStyle name="SAPBEXHLevel2X 2 2 3 3" xfId="48635"/>
    <cellStyle name="SAPBEXHLevel2X 2 2 4" xfId="48636"/>
    <cellStyle name="SAPBEXHLevel2X 2 2 4 2" xfId="48637"/>
    <cellStyle name="SAPBEXHLevel2X 2 2 4 2 2" xfId="48638"/>
    <cellStyle name="SAPBEXHLevel2X 2 2 4 3" xfId="48639"/>
    <cellStyle name="SAPBEXHLevel2X 2 2 5" xfId="48640"/>
    <cellStyle name="SAPBEXHLevel2X 2 2 5 2" xfId="48641"/>
    <cellStyle name="SAPBEXHLevel2X 2 2 6" xfId="48642"/>
    <cellStyle name="SAPBEXHLevel2X 2 3" xfId="48643"/>
    <cellStyle name="SAPBEXHLevel2X 2 3 2" xfId="48644"/>
    <cellStyle name="SAPBEXHLevel2X 2 3 2 2" xfId="48645"/>
    <cellStyle name="SAPBEXHLevel2X 2 3 2 2 2" xfId="48646"/>
    <cellStyle name="SAPBEXHLevel2X 2 3 2 2 2 2" xfId="48647"/>
    <cellStyle name="SAPBEXHLevel2X 2 3 2 2 3" xfId="48648"/>
    <cellStyle name="SAPBEXHLevel2X 2 3 2 3" xfId="48649"/>
    <cellStyle name="SAPBEXHLevel2X 2 3 2 3 2" xfId="48650"/>
    <cellStyle name="SAPBEXHLevel2X 2 3 2 3 2 2" xfId="48651"/>
    <cellStyle name="SAPBEXHLevel2X 2 3 2 3 3" xfId="48652"/>
    <cellStyle name="SAPBEXHLevel2X 2 3 2 4" xfId="48653"/>
    <cellStyle name="SAPBEXHLevel2X 2 3 2 4 2" xfId="48654"/>
    <cellStyle name="SAPBEXHLevel2X 2 3 2 5" xfId="48655"/>
    <cellStyle name="SAPBEXHLevel2X 2 3 3" xfId="48656"/>
    <cellStyle name="SAPBEXHLevel2X 2 3 3 2" xfId="48657"/>
    <cellStyle name="SAPBEXHLevel2X 2 3 3 2 2" xfId="48658"/>
    <cellStyle name="SAPBEXHLevel2X 2 3 3 2 2 2" xfId="48659"/>
    <cellStyle name="SAPBEXHLevel2X 2 3 3 2 3" xfId="48660"/>
    <cellStyle name="SAPBEXHLevel2X 2 3 3 3" xfId="48661"/>
    <cellStyle name="SAPBEXHLevel2X 2 3 3 3 2" xfId="48662"/>
    <cellStyle name="SAPBEXHLevel2X 2 3 3 4" xfId="48663"/>
    <cellStyle name="SAPBEXHLevel2X 2 3 4" xfId="48664"/>
    <cellStyle name="SAPBEXHLevel2X 2 3 4 2" xfId="48665"/>
    <cellStyle name="SAPBEXHLevel2X 2 3 4 2 2" xfId="48666"/>
    <cellStyle name="SAPBEXHLevel2X 2 3 4 3" xfId="48667"/>
    <cellStyle name="SAPBEXHLevel2X 2 3 5" xfId="48668"/>
    <cellStyle name="SAPBEXHLevel2X 2 3 5 2" xfId="48669"/>
    <cellStyle name="SAPBEXHLevel2X 2 3 5 2 2" xfId="48670"/>
    <cellStyle name="SAPBEXHLevel2X 2 3 5 3" xfId="48671"/>
    <cellStyle name="SAPBEXHLevel2X 2 3 6" xfId="48672"/>
    <cellStyle name="SAPBEXHLevel2X 2 3 6 2" xfId="48673"/>
    <cellStyle name="SAPBEXHLevel2X 2 3 7" xfId="48674"/>
    <cellStyle name="SAPBEXHLevel2X 2 4" xfId="48675"/>
    <cellStyle name="SAPBEXHLevel2X 2 4 2" xfId="48676"/>
    <cellStyle name="SAPBEXHLevel2X 2 4 2 2" xfId="48677"/>
    <cellStyle name="SAPBEXHLevel2X 2 4 2 2 2" xfId="48678"/>
    <cellStyle name="SAPBEXHLevel2X 2 4 2 2 2 2" xfId="48679"/>
    <cellStyle name="SAPBEXHLevel2X 2 4 2 2 3" xfId="48680"/>
    <cellStyle name="SAPBEXHLevel2X 2 4 2 3" xfId="48681"/>
    <cellStyle name="SAPBEXHLevel2X 2 4 2 3 2" xfId="48682"/>
    <cellStyle name="SAPBEXHLevel2X 2 4 2 3 2 2" xfId="48683"/>
    <cellStyle name="SAPBEXHLevel2X 2 4 2 3 3" xfId="48684"/>
    <cellStyle name="SAPBEXHLevel2X 2 4 2 4" xfId="48685"/>
    <cellStyle name="SAPBEXHLevel2X 2 4 2 4 2" xfId="48686"/>
    <cellStyle name="SAPBEXHLevel2X 2 4 2 5" xfId="48687"/>
    <cellStyle name="SAPBEXHLevel2X 2 4 3" xfId="48688"/>
    <cellStyle name="SAPBEXHLevel2X 2 4 3 2" xfId="48689"/>
    <cellStyle name="SAPBEXHLevel2X 2 4 3 2 2" xfId="48690"/>
    <cellStyle name="SAPBEXHLevel2X 2 4 3 2 2 2" xfId="48691"/>
    <cellStyle name="SAPBEXHLevel2X 2 4 3 2 3" xfId="48692"/>
    <cellStyle name="SAPBEXHLevel2X 2 4 3 3" xfId="48693"/>
    <cellStyle name="SAPBEXHLevel2X 2 4 3 3 2" xfId="48694"/>
    <cellStyle name="SAPBEXHLevel2X 2 4 3 4" xfId="48695"/>
    <cellStyle name="SAPBEXHLevel2X 2 4 4" xfId="48696"/>
    <cellStyle name="SAPBEXHLevel2X 2 4 4 2" xfId="48697"/>
    <cellStyle name="SAPBEXHLevel2X 2 4 4 2 2" xfId="48698"/>
    <cellStyle name="SAPBEXHLevel2X 2 4 4 3" xfId="48699"/>
    <cellStyle name="SAPBEXHLevel2X 2 4 5" xfId="48700"/>
    <cellStyle name="SAPBEXHLevel2X 2 4 5 2" xfId="48701"/>
    <cellStyle name="SAPBEXHLevel2X 2 4 6" xfId="48702"/>
    <cellStyle name="SAPBEXHLevel2X 2 5" xfId="48703"/>
    <cellStyle name="SAPBEXHLevel2X 2 5 2" xfId="48704"/>
    <cellStyle name="SAPBEXHLevel2X 2 5 2 2" xfId="48705"/>
    <cellStyle name="SAPBEXHLevel2X 2 5 2 2 2" xfId="48706"/>
    <cellStyle name="SAPBEXHLevel2X 2 5 2 3" xfId="48707"/>
    <cellStyle name="SAPBEXHLevel2X 2 5 3" xfId="48708"/>
    <cellStyle name="SAPBEXHLevel2X 2 5 3 2" xfId="48709"/>
    <cellStyle name="SAPBEXHLevel2X 2 5 4" xfId="48710"/>
    <cellStyle name="SAPBEXHLevel2X 2 6" xfId="48711"/>
    <cellStyle name="SAPBEXHLevel2X 2 6 2" xfId="48712"/>
    <cellStyle name="SAPBEXHLevel2X 2 6 2 2" xfId="48713"/>
    <cellStyle name="SAPBEXHLevel2X 2 6 3" xfId="48714"/>
    <cellStyle name="SAPBEXHLevel2X 2 7" xfId="48715"/>
    <cellStyle name="SAPBEXHLevel2X 2 7 2" xfId="48716"/>
    <cellStyle name="SAPBEXHLevel2X 2 7 2 2" xfId="48717"/>
    <cellStyle name="SAPBEXHLevel2X 2 7 3" xfId="48718"/>
    <cellStyle name="SAPBEXHLevel2X 2 8" xfId="48719"/>
    <cellStyle name="SAPBEXHLevel2X 2 8 2" xfId="48720"/>
    <cellStyle name="SAPBEXHLevel2X 2 9" xfId="48721"/>
    <cellStyle name="SAPBEXHLevel2X 20" xfId="48722"/>
    <cellStyle name="SAPBEXHLevel2X 21" xfId="48723"/>
    <cellStyle name="SAPBEXHLevel2X 22" xfId="48724"/>
    <cellStyle name="SAPBEXHLevel2X 23" xfId="48725"/>
    <cellStyle name="SAPBEXHLevel2X 3" xfId="48726"/>
    <cellStyle name="SAPBEXHLevel2X 3 2" xfId="48727"/>
    <cellStyle name="SAPBEXHLevel2X 3 2 2" xfId="48728"/>
    <cellStyle name="SAPBEXHLevel2X 3 2 2 2" xfId="48729"/>
    <cellStyle name="SAPBEXHLevel2X 3 2 2 2 2" xfId="48730"/>
    <cellStyle name="SAPBEXHLevel2X 3 2 2 3" xfId="48731"/>
    <cellStyle name="SAPBEXHLevel2X 3 2 3" xfId="48732"/>
    <cellStyle name="SAPBEXHLevel2X 3 2 3 2" xfId="48733"/>
    <cellStyle name="SAPBEXHLevel2X 3 2 3 2 2" xfId="48734"/>
    <cellStyle name="SAPBEXHLevel2X 3 2 3 3" xfId="48735"/>
    <cellStyle name="SAPBEXHLevel2X 3 2 4" xfId="48736"/>
    <cellStyle name="SAPBEXHLevel2X 3 2 4 2" xfId="48737"/>
    <cellStyle name="SAPBEXHLevel2X 3 2 4 2 2" xfId="48738"/>
    <cellStyle name="SAPBEXHLevel2X 3 2 4 3" xfId="48739"/>
    <cellStyle name="SAPBEXHLevel2X 3 2 5" xfId="48740"/>
    <cellStyle name="SAPBEXHLevel2X 3 2 5 2" xfId="48741"/>
    <cellStyle name="SAPBEXHLevel2X 3 2 6" xfId="48742"/>
    <cellStyle name="SAPBEXHLevel2X 3 3" xfId="48743"/>
    <cellStyle name="SAPBEXHLevel2X 3 3 2" xfId="48744"/>
    <cellStyle name="SAPBEXHLevel2X 3 3 2 2" xfId="48745"/>
    <cellStyle name="SAPBEXHLevel2X 3 3 2 2 2" xfId="48746"/>
    <cellStyle name="SAPBEXHLevel2X 3 3 2 3" xfId="48747"/>
    <cellStyle name="SAPBEXHLevel2X 3 3 3" xfId="48748"/>
    <cellStyle name="SAPBEXHLevel2X 3 3 3 2" xfId="48749"/>
    <cellStyle name="SAPBEXHLevel2X 3 3 4" xfId="48750"/>
    <cellStyle name="SAPBEXHLevel2X 3 4" xfId="48751"/>
    <cellStyle name="SAPBEXHLevel2X 3 4 2" xfId="48752"/>
    <cellStyle name="SAPBEXHLevel2X 3 4 2 2" xfId="48753"/>
    <cellStyle name="SAPBEXHLevel2X 3 4 3" xfId="48754"/>
    <cellStyle name="SAPBEXHLevel2X 3 5" xfId="48755"/>
    <cellStyle name="SAPBEXHLevel2X 3 5 2" xfId="48756"/>
    <cellStyle name="SAPBEXHLevel2X 3 5 2 2" xfId="48757"/>
    <cellStyle name="SAPBEXHLevel2X 3 5 3" xfId="48758"/>
    <cellStyle name="SAPBEXHLevel2X 3 6" xfId="48759"/>
    <cellStyle name="SAPBEXHLevel2X 3 6 2" xfId="48760"/>
    <cellStyle name="SAPBEXHLevel2X 3 7" xfId="48761"/>
    <cellStyle name="SAPBEXHLevel2X 4" xfId="48762"/>
    <cellStyle name="SAPBEXHLevel2X 4 2" xfId="48763"/>
    <cellStyle name="SAPBEXHLevel2X 4 2 2" xfId="48764"/>
    <cellStyle name="SAPBEXHLevel2X 4 2 2 2" xfId="48765"/>
    <cellStyle name="SAPBEXHLevel2X 4 2 2 2 2" xfId="48766"/>
    <cellStyle name="SAPBEXHLevel2X 4 2 2 3" xfId="48767"/>
    <cellStyle name="SAPBEXHLevel2X 4 2 3" xfId="48768"/>
    <cellStyle name="SAPBEXHLevel2X 4 2 3 2" xfId="48769"/>
    <cellStyle name="SAPBEXHLevel2X 4 2 3 2 2" xfId="48770"/>
    <cellStyle name="SAPBEXHLevel2X 4 2 3 3" xfId="48771"/>
    <cellStyle name="SAPBEXHLevel2X 4 2 4" xfId="48772"/>
    <cellStyle name="SAPBEXHLevel2X 4 2 4 2" xfId="48773"/>
    <cellStyle name="SAPBEXHLevel2X 4 2 4 2 2" xfId="48774"/>
    <cellStyle name="SAPBEXHLevel2X 4 2 4 3" xfId="48775"/>
    <cellStyle name="SAPBEXHLevel2X 4 2 5" xfId="48776"/>
    <cellStyle name="SAPBEXHLevel2X 4 2 5 2" xfId="48777"/>
    <cellStyle name="SAPBEXHLevel2X 4 2 6" xfId="48778"/>
    <cellStyle name="SAPBEXHLevel2X 4 3" xfId="48779"/>
    <cellStyle name="SAPBEXHLevel2X 4 3 2" xfId="48780"/>
    <cellStyle name="SAPBEXHLevel2X 4 3 2 2" xfId="48781"/>
    <cellStyle name="SAPBEXHLevel2X 4 3 2 2 2" xfId="48782"/>
    <cellStyle name="SAPBEXHLevel2X 4 3 2 2 2 2" xfId="48783"/>
    <cellStyle name="SAPBEXHLevel2X 4 3 2 2 3" xfId="48784"/>
    <cellStyle name="SAPBEXHLevel2X 4 3 2 3" xfId="48785"/>
    <cellStyle name="SAPBEXHLevel2X 4 3 2 3 2" xfId="48786"/>
    <cellStyle name="SAPBEXHLevel2X 4 3 2 3 2 2" xfId="48787"/>
    <cellStyle name="SAPBEXHLevel2X 4 3 2 3 3" xfId="48788"/>
    <cellStyle name="SAPBEXHLevel2X 4 3 2 4" xfId="48789"/>
    <cellStyle name="SAPBEXHLevel2X 4 3 2 4 2" xfId="48790"/>
    <cellStyle name="SAPBEXHLevel2X 4 3 2 5" xfId="48791"/>
    <cellStyle name="SAPBEXHLevel2X 4 3 3" xfId="48792"/>
    <cellStyle name="SAPBEXHLevel2X 4 3 3 2" xfId="48793"/>
    <cellStyle name="SAPBEXHLevel2X 4 3 3 2 2" xfId="48794"/>
    <cellStyle name="SAPBEXHLevel2X 4 3 3 2 2 2" xfId="48795"/>
    <cellStyle name="SAPBEXHLevel2X 4 3 3 2 3" xfId="48796"/>
    <cellStyle name="SAPBEXHLevel2X 4 3 3 3" xfId="48797"/>
    <cellStyle name="SAPBEXHLevel2X 4 3 3 3 2" xfId="48798"/>
    <cellStyle name="SAPBEXHLevel2X 4 3 3 4" xfId="48799"/>
    <cellStyle name="SAPBEXHLevel2X 4 3 4" xfId="48800"/>
    <cellStyle name="SAPBEXHLevel2X 4 3 4 2" xfId="48801"/>
    <cellStyle name="SAPBEXHLevel2X 4 3 4 2 2" xfId="48802"/>
    <cellStyle name="SAPBEXHLevel2X 4 3 4 3" xfId="48803"/>
    <cellStyle name="SAPBEXHLevel2X 4 3 5" xfId="48804"/>
    <cellStyle name="SAPBEXHLevel2X 4 3 5 2" xfId="48805"/>
    <cellStyle name="SAPBEXHLevel2X 4 3 5 2 2" xfId="48806"/>
    <cellStyle name="SAPBEXHLevel2X 4 3 5 3" xfId="48807"/>
    <cellStyle name="SAPBEXHLevel2X 4 3 6" xfId="48808"/>
    <cellStyle name="SAPBEXHLevel2X 4 3 6 2" xfId="48809"/>
    <cellStyle name="SAPBEXHLevel2X 4 3 7" xfId="48810"/>
    <cellStyle name="SAPBEXHLevel2X 4 4" xfId="48811"/>
    <cellStyle name="SAPBEXHLevel2X 4 4 2" xfId="48812"/>
    <cellStyle name="SAPBEXHLevel2X 4 4 2 2" xfId="48813"/>
    <cellStyle name="SAPBEXHLevel2X 4 4 2 2 2" xfId="48814"/>
    <cellStyle name="SAPBEXHLevel2X 4 4 2 3" xfId="48815"/>
    <cellStyle name="SAPBEXHLevel2X 4 4 3" xfId="48816"/>
    <cellStyle name="SAPBEXHLevel2X 4 4 3 2" xfId="48817"/>
    <cellStyle name="SAPBEXHLevel2X 4 4 4" xfId="48818"/>
    <cellStyle name="SAPBEXHLevel2X 4 5" xfId="48819"/>
    <cellStyle name="SAPBEXHLevel2X 4 5 2" xfId="48820"/>
    <cellStyle name="SAPBEXHLevel2X 4 5 2 2" xfId="48821"/>
    <cellStyle name="SAPBEXHLevel2X 4 5 3" xfId="48822"/>
    <cellStyle name="SAPBEXHLevel2X 4 6" xfId="48823"/>
    <cellStyle name="SAPBEXHLevel2X 4 6 2" xfId="48824"/>
    <cellStyle name="SAPBEXHLevel2X 4 6 2 2" xfId="48825"/>
    <cellStyle name="SAPBEXHLevel2X 4 6 3" xfId="48826"/>
    <cellStyle name="SAPBEXHLevel2X 4 7" xfId="48827"/>
    <cellStyle name="SAPBEXHLevel2X 4 7 2" xfId="48828"/>
    <cellStyle name="SAPBEXHLevel2X 4 8" xfId="48829"/>
    <cellStyle name="SAPBEXHLevel2X 5" xfId="48830"/>
    <cellStyle name="SAPBEXHLevel2X 5 2" xfId="48831"/>
    <cellStyle name="SAPBEXHLevel2X 5 2 2" xfId="48832"/>
    <cellStyle name="SAPBEXHLevel2X 5 2 2 2" xfId="48833"/>
    <cellStyle name="SAPBEXHLevel2X 5 2 3" xfId="48834"/>
    <cellStyle name="SAPBEXHLevel2X 5 3" xfId="48835"/>
    <cellStyle name="SAPBEXHLevel2X 5 3 2" xfId="48836"/>
    <cellStyle name="SAPBEXHLevel2X 5 3 2 2" xfId="48837"/>
    <cellStyle name="SAPBEXHLevel2X 5 3 3" xfId="48838"/>
    <cellStyle name="SAPBEXHLevel2X 5 4" xfId="48839"/>
    <cellStyle name="SAPBEXHLevel2X 5 4 2" xfId="48840"/>
    <cellStyle name="SAPBEXHLevel2X 5 4 2 2" xfId="48841"/>
    <cellStyle name="SAPBEXHLevel2X 5 4 3" xfId="48842"/>
    <cellStyle name="SAPBEXHLevel2X 5 5" xfId="48843"/>
    <cellStyle name="SAPBEXHLevel2X 5 5 2" xfId="48844"/>
    <cellStyle name="SAPBEXHLevel2X 5 6" xfId="48845"/>
    <cellStyle name="SAPBEXHLevel2X 6" xfId="48846"/>
    <cellStyle name="SAPBEXHLevel2X 6 2" xfId="48847"/>
    <cellStyle name="SAPBEXHLevel2X 6 2 2" xfId="48848"/>
    <cellStyle name="SAPBEXHLevel2X 6 3" xfId="48849"/>
    <cellStyle name="SAPBEXHLevel2X 6 3 2" xfId="48850"/>
    <cellStyle name="SAPBEXHLevel2X 6 3 2 2" xfId="48851"/>
    <cellStyle name="SAPBEXHLevel2X 6 3 3" xfId="48852"/>
    <cellStyle name="SAPBEXHLevel2X 6 4" xfId="48853"/>
    <cellStyle name="SAPBEXHLevel2X 6 4 2" xfId="48854"/>
    <cellStyle name="SAPBEXHLevel2X 6 4 2 2" xfId="48855"/>
    <cellStyle name="SAPBEXHLevel2X 6 4 3" xfId="48856"/>
    <cellStyle name="SAPBEXHLevel2X 6 5" xfId="48857"/>
    <cellStyle name="SAPBEXHLevel2X 7" xfId="48858"/>
    <cellStyle name="SAPBEXHLevel2X 7 2" xfId="48859"/>
    <cellStyle name="SAPBEXHLevel2X 7 2 2" xfId="48860"/>
    <cellStyle name="SAPBEXHLevel2X 7 2 2 2" xfId="48861"/>
    <cellStyle name="SAPBEXHLevel2X 7 2 3" xfId="48862"/>
    <cellStyle name="SAPBEXHLevel2X 7 2 3 2" xfId="48863"/>
    <cellStyle name="SAPBEXHLevel2X 7 2 3 2 2" xfId="48864"/>
    <cellStyle name="SAPBEXHLevel2X 7 2 3 3" xfId="48865"/>
    <cellStyle name="SAPBEXHLevel2X 7 2 4" xfId="48866"/>
    <cellStyle name="SAPBEXHLevel2X 7 3" xfId="48867"/>
    <cellStyle name="SAPBEXHLevel2X 7 3 2" xfId="48868"/>
    <cellStyle name="SAPBEXHLevel2X 7 3 2 2" xfId="48869"/>
    <cellStyle name="SAPBEXHLevel2X 7 3 3" xfId="48870"/>
    <cellStyle name="SAPBEXHLevel2X 7 4" xfId="48871"/>
    <cellStyle name="SAPBEXHLevel2X 7 4 2" xfId="48872"/>
    <cellStyle name="SAPBEXHLevel2X 7 4 2 2" xfId="48873"/>
    <cellStyle name="SAPBEXHLevel2X 7 4 3" xfId="48874"/>
    <cellStyle name="SAPBEXHLevel2X 7 5" xfId="48875"/>
    <cellStyle name="SAPBEXHLevel2X 7 5 2" xfId="48876"/>
    <cellStyle name="SAPBEXHLevel2X 7 5 2 2" xfId="48877"/>
    <cellStyle name="SAPBEXHLevel2X 7 5 3" xfId="48878"/>
    <cellStyle name="SAPBEXHLevel2X 7 6" xfId="48879"/>
    <cellStyle name="SAPBEXHLevel2X 8" xfId="48880"/>
    <cellStyle name="SAPBEXHLevel2X 8 2" xfId="48881"/>
    <cellStyle name="SAPBEXHLevel2X 8 2 2" xfId="48882"/>
    <cellStyle name="SAPBEXHLevel2X 8 2 2 2" xfId="48883"/>
    <cellStyle name="SAPBEXHLevel2X 8 2 3" xfId="48884"/>
    <cellStyle name="SAPBEXHLevel2X 8 3" xfId="48885"/>
    <cellStyle name="SAPBEXHLevel2X 8 3 2" xfId="48886"/>
    <cellStyle name="SAPBEXHLevel2X 8 3 2 2" xfId="48887"/>
    <cellStyle name="SAPBEXHLevel2X 8 3 3" xfId="48888"/>
    <cellStyle name="SAPBEXHLevel2X 8 4" xfId="48889"/>
    <cellStyle name="SAPBEXHLevel2X 8 4 2" xfId="48890"/>
    <cellStyle name="SAPBEXHLevel2X 8 5" xfId="48891"/>
    <cellStyle name="SAPBEXHLevel2X 9" xfId="48892"/>
    <cellStyle name="SAPBEXHLevel2X 9 2" xfId="48893"/>
    <cellStyle name="SAPBEXHLevel2X 9 2 2" xfId="48894"/>
    <cellStyle name="SAPBEXHLevel2X 9 2 2 2" xfId="48895"/>
    <cellStyle name="SAPBEXHLevel2X 9 2 2 2 2" xfId="48896"/>
    <cellStyle name="SAPBEXHLevel2X 9 2 2 3" xfId="48897"/>
    <cellStyle name="SAPBEXHLevel2X 9 2 3" xfId="48898"/>
    <cellStyle name="SAPBEXHLevel2X 9 2 3 2" xfId="48899"/>
    <cellStyle name="SAPBEXHLevel2X 9 2 4" xfId="48900"/>
    <cellStyle name="SAPBEXHLevel2X 9 3" xfId="48901"/>
    <cellStyle name="SAPBEXHLevel2X 9 3 2" xfId="48902"/>
    <cellStyle name="SAPBEXHLevel2X 9 3 2 2" xfId="48903"/>
    <cellStyle name="SAPBEXHLevel2X 9 3 2 2 2" xfId="48904"/>
    <cellStyle name="SAPBEXHLevel2X 9 3 2 2 2 2" xfId="48905"/>
    <cellStyle name="SAPBEXHLevel2X 9 3 2 2 3" xfId="48906"/>
    <cellStyle name="SAPBEXHLevel2X 9 3 2 3" xfId="48907"/>
    <cellStyle name="SAPBEXHLevel2X 9 3 2 3 2" xfId="48908"/>
    <cellStyle name="SAPBEXHLevel2X 9 3 2 4" xfId="48909"/>
    <cellStyle name="SAPBEXHLevel2X 9 3 3" xfId="48910"/>
    <cellStyle name="SAPBEXHLevel2X 9 3 3 2" xfId="48911"/>
    <cellStyle name="SAPBEXHLevel2X 9 3 3 2 2" xfId="48912"/>
    <cellStyle name="SAPBEXHLevel2X 9 3 3 3" xfId="48913"/>
    <cellStyle name="SAPBEXHLevel2X 9 3 4" xfId="48914"/>
    <cellStyle name="SAPBEXHLevel2X 9 3 4 2" xfId="48915"/>
    <cellStyle name="SAPBEXHLevel2X 9 3 5" xfId="48916"/>
    <cellStyle name="SAPBEXHLevel2X 9 4" xfId="48917"/>
    <cellStyle name="SAPBEXHLevel2X 9 4 2" xfId="48918"/>
    <cellStyle name="SAPBEXHLevel2X 9 4 2 2" xfId="48919"/>
    <cellStyle name="SAPBEXHLevel2X 9 4 3" xfId="48920"/>
    <cellStyle name="SAPBEXHLevel2X 9 5" xfId="48921"/>
    <cellStyle name="SAPBEXHLevel2X 9 5 2" xfId="48922"/>
    <cellStyle name="SAPBEXHLevel2X 9 5 2 2" xfId="48923"/>
    <cellStyle name="SAPBEXHLevel2X 9 5 3" xfId="48924"/>
    <cellStyle name="SAPBEXHLevel2X 9 6" xfId="48925"/>
    <cellStyle name="SAPBEXHLevel2X 9 6 2" xfId="48926"/>
    <cellStyle name="SAPBEXHLevel2X 9 7" xfId="48927"/>
    <cellStyle name="SAPBEXHLevel3" xfId="66"/>
    <cellStyle name="SAPBEXHLevel3 10" xfId="48928"/>
    <cellStyle name="SAPBEXHLevel3 10 2" xfId="48929"/>
    <cellStyle name="SAPBEXHLevel3 10 2 2" xfId="48930"/>
    <cellStyle name="SAPBEXHLevel3 10 3" xfId="48931"/>
    <cellStyle name="SAPBEXHLevel3 11" xfId="48932"/>
    <cellStyle name="SAPBEXHLevel3 11 2" xfId="48933"/>
    <cellStyle name="SAPBEXHLevel3 12" xfId="48934"/>
    <cellStyle name="SAPBEXHLevel3 12 2" xfId="48935"/>
    <cellStyle name="SAPBEXHLevel3 12 2 2" xfId="48936"/>
    <cellStyle name="SAPBEXHLevel3 12 3" xfId="48937"/>
    <cellStyle name="SAPBEXHLevel3 12 3 2" xfId="48938"/>
    <cellStyle name="SAPBEXHLevel3 12 4" xfId="48939"/>
    <cellStyle name="SAPBEXHLevel3 13" xfId="48940"/>
    <cellStyle name="SAPBEXHLevel3 13 2" xfId="48941"/>
    <cellStyle name="SAPBEXHLevel3 14" xfId="48942"/>
    <cellStyle name="SAPBEXHLevel3 14 2" xfId="48943"/>
    <cellStyle name="SAPBEXHLevel3 14 3" xfId="48944"/>
    <cellStyle name="SAPBEXHLevel3 15" xfId="48945"/>
    <cellStyle name="SAPBEXHLevel3 15 2" xfId="48946"/>
    <cellStyle name="SAPBEXHLevel3 16" xfId="48947"/>
    <cellStyle name="SAPBEXHLevel3 16 2" xfId="48948"/>
    <cellStyle name="SAPBEXHLevel3 17" xfId="48949"/>
    <cellStyle name="SAPBEXHLevel3 18" xfId="48950"/>
    <cellStyle name="SAPBEXHLevel3 2" xfId="90"/>
    <cellStyle name="SAPBEXHLevel3 2 2" xfId="48951"/>
    <cellStyle name="SAPBEXHLevel3 2 2 2" xfId="48952"/>
    <cellStyle name="SAPBEXHLevel3 2 2 2 2" xfId="48953"/>
    <cellStyle name="SAPBEXHLevel3 2 2 2 2 2" xfId="48954"/>
    <cellStyle name="SAPBEXHLevel3 2 2 2 3" xfId="48955"/>
    <cellStyle name="SAPBEXHLevel3 2 2 3" xfId="48956"/>
    <cellStyle name="SAPBEXHLevel3 2 2 3 2" xfId="48957"/>
    <cellStyle name="SAPBEXHLevel3 2 2 3 2 2" xfId="48958"/>
    <cellStyle name="SAPBEXHLevel3 2 2 3 3" xfId="48959"/>
    <cellStyle name="SAPBEXHLevel3 2 2 4" xfId="48960"/>
    <cellStyle name="SAPBEXHLevel3 2 2 4 2" xfId="48961"/>
    <cellStyle name="SAPBEXHLevel3 2 2 4 2 2" xfId="48962"/>
    <cellStyle name="SAPBEXHLevel3 2 2 4 3" xfId="48963"/>
    <cellStyle name="SAPBEXHLevel3 2 2 5" xfId="48964"/>
    <cellStyle name="SAPBEXHLevel3 2 2 5 2" xfId="48965"/>
    <cellStyle name="SAPBEXHLevel3 2 2 6" xfId="48966"/>
    <cellStyle name="SAPBEXHLevel3 2 3" xfId="48967"/>
    <cellStyle name="SAPBEXHLevel3 2 3 2" xfId="48968"/>
    <cellStyle name="SAPBEXHLevel3 2 3 2 2" xfId="48969"/>
    <cellStyle name="SAPBEXHLevel3 2 3 2 2 2" xfId="48970"/>
    <cellStyle name="SAPBEXHLevel3 2 3 2 2 2 2" xfId="48971"/>
    <cellStyle name="SAPBEXHLevel3 2 3 2 2 3" xfId="48972"/>
    <cellStyle name="SAPBEXHLevel3 2 3 2 3" xfId="48973"/>
    <cellStyle name="SAPBEXHLevel3 2 3 2 3 2" xfId="48974"/>
    <cellStyle name="SAPBEXHLevel3 2 3 2 3 2 2" xfId="48975"/>
    <cellStyle name="SAPBEXHLevel3 2 3 2 3 3" xfId="48976"/>
    <cellStyle name="SAPBEXHLevel3 2 3 2 4" xfId="48977"/>
    <cellStyle name="SAPBEXHLevel3 2 3 2 4 2" xfId="48978"/>
    <cellStyle name="SAPBEXHLevel3 2 3 2 5" xfId="48979"/>
    <cellStyle name="SAPBEXHLevel3 2 3 3" xfId="48980"/>
    <cellStyle name="SAPBEXHLevel3 2 3 3 2" xfId="48981"/>
    <cellStyle name="SAPBEXHLevel3 2 3 3 2 2" xfId="48982"/>
    <cellStyle name="SAPBEXHLevel3 2 3 3 2 2 2" xfId="48983"/>
    <cellStyle name="SAPBEXHLevel3 2 3 3 2 3" xfId="48984"/>
    <cellStyle name="SAPBEXHLevel3 2 3 3 3" xfId="48985"/>
    <cellStyle name="SAPBEXHLevel3 2 3 3 3 2" xfId="48986"/>
    <cellStyle name="SAPBEXHLevel3 2 3 3 4" xfId="48987"/>
    <cellStyle name="SAPBEXHLevel3 2 3 4" xfId="48988"/>
    <cellStyle name="SAPBEXHLevel3 2 3 4 2" xfId="48989"/>
    <cellStyle name="SAPBEXHLevel3 2 3 4 2 2" xfId="48990"/>
    <cellStyle name="SAPBEXHLevel3 2 3 4 3" xfId="48991"/>
    <cellStyle name="SAPBEXHLevel3 2 3 5" xfId="48992"/>
    <cellStyle name="SAPBEXHLevel3 2 3 5 2" xfId="48993"/>
    <cellStyle name="SAPBEXHLevel3 2 3 5 2 2" xfId="48994"/>
    <cellStyle name="SAPBEXHLevel3 2 3 5 3" xfId="48995"/>
    <cellStyle name="SAPBEXHLevel3 2 3 6" xfId="48996"/>
    <cellStyle name="SAPBEXHLevel3 2 3 6 2" xfId="48997"/>
    <cellStyle name="SAPBEXHLevel3 2 3 7" xfId="48998"/>
    <cellStyle name="SAPBEXHLevel3 2 4" xfId="48999"/>
    <cellStyle name="SAPBEXHLevel3 2 4 2" xfId="49000"/>
    <cellStyle name="SAPBEXHLevel3 2 4 2 2" xfId="49001"/>
    <cellStyle name="SAPBEXHLevel3 2 4 2 2 2" xfId="49002"/>
    <cellStyle name="SAPBEXHLevel3 2 4 2 2 2 2" xfId="49003"/>
    <cellStyle name="SAPBEXHLevel3 2 4 2 2 2 2 2" xfId="49004"/>
    <cellStyle name="SAPBEXHLevel3 2 4 2 2 2 2 2 2" xfId="49005"/>
    <cellStyle name="SAPBEXHLevel3 2 4 2 2 2 2 3" xfId="49006"/>
    <cellStyle name="SAPBEXHLevel3 2 4 2 2 2 3" xfId="49007"/>
    <cellStyle name="SAPBEXHLevel3 2 4 2 2 2 3 2" xfId="49008"/>
    <cellStyle name="SAPBEXHLevel3 2 4 2 2 2 4" xfId="49009"/>
    <cellStyle name="SAPBEXHLevel3 2 4 2 2 3" xfId="49010"/>
    <cellStyle name="SAPBEXHLevel3 2 4 2 2 3 2" xfId="49011"/>
    <cellStyle name="SAPBEXHLevel3 2 4 2 2 3 2 2" xfId="49012"/>
    <cellStyle name="SAPBEXHLevel3 2 4 2 2 3 3" xfId="49013"/>
    <cellStyle name="SAPBEXHLevel3 2 4 2 2 4" xfId="49014"/>
    <cellStyle name="SAPBEXHLevel3 2 4 2 2 4 2" xfId="49015"/>
    <cellStyle name="SAPBEXHLevel3 2 4 2 2 5" xfId="49016"/>
    <cellStyle name="SAPBEXHLevel3 2 4 2 3" xfId="49017"/>
    <cellStyle name="SAPBEXHLevel3 2 4 2 3 2" xfId="49018"/>
    <cellStyle name="SAPBEXHLevel3 2 4 2 3 2 2" xfId="49019"/>
    <cellStyle name="SAPBEXHLevel3 2 4 2 3 3" xfId="49020"/>
    <cellStyle name="SAPBEXHLevel3 2 4 2 4" xfId="49021"/>
    <cellStyle name="SAPBEXHLevel3 2 4 2 4 2" xfId="49022"/>
    <cellStyle name="SAPBEXHLevel3 2 4 2 4 2 2" xfId="49023"/>
    <cellStyle name="SAPBEXHLevel3 2 4 2 4 2 2 2" xfId="49024"/>
    <cellStyle name="SAPBEXHLevel3 2 4 2 4 2 3" xfId="49025"/>
    <cellStyle name="SAPBEXHLevel3 2 4 2 4 3" xfId="49026"/>
    <cellStyle name="SAPBEXHLevel3 2 4 2 4 3 2" xfId="49027"/>
    <cellStyle name="SAPBEXHLevel3 2 4 2 4 4" xfId="49028"/>
    <cellStyle name="SAPBEXHLevel3 2 4 2 5" xfId="49029"/>
    <cellStyle name="SAPBEXHLevel3 2 4 2 5 2" xfId="49030"/>
    <cellStyle name="SAPBEXHLevel3 2 4 2 5 2 2" xfId="49031"/>
    <cellStyle name="SAPBEXHLevel3 2 4 2 5 3" xfId="49032"/>
    <cellStyle name="SAPBEXHLevel3 2 4 2 6" xfId="49033"/>
    <cellStyle name="SAPBEXHLevel3 2 4 2 6 2" xfId="49034"/>
    <cellStyle name="SAPBEXHLevel3 2 4 2 7" xfId="49035"/>
    <cellStyle name="SAPBEXHLevel3 2 4 3" xfId="49036"/>
    <cellStyle name="SAPBEXHLevel3 2 4 3 2" xfId="49037"/>
    <cellStyle name="SAPBEXHLevel3 2 4 3 2 2" xfId="49038"/>
    <cellStyle name="SAPBEXHLevel3 2 4 3 2 2 2" xfId="49039"/>
    <cellStyle name="SAPBEXHLevel3 2 4 3 2 2 2 2" xfId="49040"/>
    <cellStyle name="SAPBEXHLevel3 2 4 3 2 2 2 2 2" xfId="49041"/>
    <cellStyle name="SAPBEXHLevel3 2 4 3 2 2 2 3" xfId="49042"/>
    <cellStyle name="SAPBEXHLevel3 2 4 3 2 2 3" xfId="49043"/>
    <cellStyle name="SAPBEXHLevel3 2 4 3 2 2 3 2" xfId="49044"/>
    <cellStyle name="SAPBEXHLevel3 2 4 3 2 2 4" xfId="49045"/>
    <cellStyle name="SAPBEXHLevel3 2 4 3 2 3" xfId="49046"/>
    <cellStyle name="SAPBEXHLevel3 2 4 3 2 3 2" xfId="49047"/>
    <cellStyle name="SAPBEXHLevel3 2 4 3 2 3 2 2" xfId="49048"/>
    <cellStyle name="SAPBEXHLevel3 2 4 3 2 3 3" xfId="49049"/>
    <cellStyle name="SAPBEXHLevel3 2 4 3 2 4" xfId="49050"/>
    <cellStyle name="SAPBEXHLevel3 2 4 3 2 4 2" xfId="49051"/>
    <cellStyle name="SAPBEXHLevel3 2 4 3 2 5" xfId="49052"/>
    <cellStyle name="SAPBEXHLevel3 2 4 3 3" xfId="49053"/>
    <cellStyle name="SAPBEXHLevel3 2 4 3 3 2" xfId="49054"/>
    <cellStyle name="SAPBEXHLevel3 2 4 3 3 2 2" xfId="49055"/>
    <cellStyle name="SAPBEXHLevel3 2 4 3 3 2 2 2" xfId="49056"/>
    <cellStyle name="SAPBEXHLevel3 2 4 3 3 2 3" xfId="49057"/>
    <cellStyle name="SAPBEXHLevel3 2 4 3 3 3" xfId="49058"/>
    <cellStyle name="SAPBEXHLevel3 2 4 3 3 3 2" xfId="49059"/>
    <cellStyle name="SAPBEXHLevel3 2 4 3 3 4" xfId="49060"/>
    <cellStyle name="SAPBEXHLevel3 2 4 3 4" xfId="49061"/>
    <cellStyle name="SAPBEXHLevel3 2 4 3 4 2" xfId="49062"/>
    <cellStyle name="SAPBEXHLevel3 2 4 3 4 2 2" xfId="49063"/>
    <cellStyle name="SAPBEXHLevel3 2 4 3 4 3" xfId="49064"/>
    <cellStyle name="SAPBEXHLevel3 2 4 3 5" xfId="49065"/>
    <cellStyle name="SAPBEXHLevel3 2 4 3 5 2" xfId="49066"/>
    <cellStyle name="SAPBEXHLevel3 2 4 3 6" xfId="49067"/>
    <cellStyle name="SAPBEXHLevel3 2 4 4" xfId="49068"/>
    <cellStyle name="SAPBEXHLevel3 2 4 4 2" xfId="49069"/>
    <cellStyle name="SAPBEXHLevel3 2 4 4 2 2" xfId="49070"/>
    <cellStyle name="SAPBEXHLevel3 2 4 4 3" xfId="49071"/>
    <cellStyle name="SAPBEXHLevel3 2 4 5" xfId="49072"/>
    <cellStyle name="SAPBEXHLevel3 2 4 5 2" xfId="49073"/>
    <cellStyle name="SAPBEXHLevel3 2 4 5 2 2" xfId="49074"/>
    <cellStyle name="SAPBEXHLevel3 2 4 5 2 2 2" xfId="49075"/>
    <cellStyle name="SAPBEXHLevel3 2 4 5 2 3" xfId="49076"/>
    <cellStyle name="SAPBEXHLevel3 2 4 5 3" xfId="49077"/>
    <cellStyle name="SAPBEXHLevel3 2 4 5 3 2" xfId="49078"/>
    <cellStyle name="SAPBEXHLevel3 2 4 5 4" xfId="49079"/>
    <cellStyle name="SAPBEXHLevel3 2 4 6" xfId="49080"/>
    <cellStyle name="SAPBEXHLevel3 2 4 6 2" xfId="49081"/>
    <cellStyle name="SAPBEXHLevel3 2 4 6 2 2" xfId="49082"/>
    <cellStyle name="SAPBEXHLevel3 2 4 6 3" xfId="49083"/>
    <cellStyle name="SAPBEXHLevel3 2 4 7" xfId="49084"/>
    <cellStyle name="SAPBEXHLevel3 2 4 7 2" xfId="49085"/>
    <cellStyle name="SAPBEXHLevel3 2 4 8" xfId="49086"/>
    <cellStyle name="SAPBEXHLevel3 2 5" xfId="49087"/>
    <cellStyle name="SAPBEXHLevel3 2 5 2" xfId="49088"/>
    <cellStyle name="SAPBEXHLevel3 2 5 2 2" xfId="49089"/>
    <cellStyle name="SAPBEXHLevel3 2 5 2 2 2" xfId="49090"/>
    <cellStyle name="SAPBEXHLevel3 2 5 2 3" xfId="49091"/>
    <cellStyle name="SAPBEXHLevel3 2 5 3" xfId="49092"/>
    <cellStyle name="SAPBEXHLevel3 2 5 3 2" xfId="49093"/>
    <cellStyle name="SAPBEXHLevel3 2 5 4" xfId="49094"/>
    <cellStyle name="SAPBEXHLevel3 2 6" xfId="49095"/>
    <cellStyle name="SAPBEXHLevel3 2 6 2" xfId="49096"/>
    <cellStyle name="SAPBEXHLevel3 2 6 2 2" xfId="49097"/>
    <cellStyle name="SAPBEXHLevel3 2 6 3" xfId="49098"/>
    <cellStyle name="SAPBEXHLevel3 2 7" xfId="49099"/>
    <cellStyle name="SAPBEXHLevel3 2 7 2" xfId="49100"/>
    <cellStyle name="SAPBEXHLevel3 2 7 2 2" xfId="49101"/>
    <cellStyle name="SAPBEXHLevel3 2 7 3" xfId="49102"/>
    <cellStyle name="SAPBEXHLevel3 2 8" xfId="49103"/>
    <cellStyle name="SAPBEXHLevel3 2 8 2" xfId="49104"/>
    <cellStyle name="SAPBEXHLevel3 2 9" xfId="49105"/>
    <cellStyle name="SAPBEXHLevel3 3" xfId="49106"/>
    <cellStyle name="SAPBEXHLevel3 3 2" xfId="49107"/>
    <cellStyle name="SAPBEXHLevel3 3 2 2" xfId="49108"/>
    <cellStyle name="SAPBEXHLevel3 3 2 2 2" xfId="49109"/>
    <cellStyle name="SAPBEXHLevel3 3 2 2 2 2" xfId="49110"/>
    <cellStyle name="SAPBEXHLevel3 3 2 2 3" xfId="49111"/>
    <cellStyle name="SAPBEXHLevel3 3 2 3" xfId="49112"/>
    <cellStyle name="SAPBEXHLevel3 3 2 3 2" xfId="49113"/>
    <cellStyle name="SAPBEXHLevel3 3 2 3 2 2" xfId="49114"/>
    <cellStyle name="SAPBEXHLevel3 3 2 3 3" xfId="49115"/>
    <cellStyle name="SAPBEXHLevel3 3 2 4" xfId="49116"/>
    <cellStyle name="SAPBEXHLevel3 3 2 4 2" xfId="49117"/>
    <cellStyle name="SAPBEXHLevel3 3 2 4 2 2" xfId="49118"/>
    <cellStyle name="SAPBEXHLevel3 3 2 4 3" xfId="49119"/>
    <cellStyle name="SAPBEXHLevel3 3 2 5" xfId="49120"/>
    <cellStyle name="SAPBEXHLevel3 3 2 5 2" xfId="49121"/>
    <cellStyle name="SAPBEXHLevel3 3 2 6" xfId="49122"/>
    <cellStyle name="SAPBEXHLevel3 3 3" xfId="49123"/>
    <cellStyle name="SAPBEXHLevel3 3 3 2" xfId="49124"/>
    <cellStyle name="SAPBEXHLevel3 3 3 2 2" xfId="49125"/>
    <cellStyle name="SAPBEXHLevel3 3 3 2 2 2" xfId="49126"/>
    <cellStyle name="SAPBEXHLevel3 3 3 2 3" xfId="49127"/>
    <cellStyle name="SAPBEXHLevel3 3 3 3" xfId="49128"/>
    <cellStyle name="SAPBEXHLevel3 3 3 3 2" xfId="49129"/>
    <cellStyle name="SAPBEXHLevel3 3 3 4" xfId="49130"/>
    <cellStyle name="SAPBEXHLevel3 3 4" xfId="49131"/>
    <cellStyle name="SAPBEXHLevel3 3 4 2" xfId="49132"/>
    <cellStyle name="SAPBEXHLevel3 3 4 2 2" xfId="49133"/>
    <cellStyle name="SAPBEXHLevel3 3 4 3" xfId="49134"/>
    <cellStyle name="SAPBEXHLevel3 3 5" xfId="49135"/>
    <cellStyle name="SAPBEXHLevel3 3 5 2" xfId="49136"/>
    <cellStyle name="SAPBEXHLevel3 3 5 2 2" xfId="49137"/>
    <cellStyle name="SAPBEXHLevel3 3 5 3" xfId="49138"/>
    <cellStyle name="SAPBEXHLevel3 3 6" xfId="49139"/>
    <cellStyle name="SAPBEXHLevel3 3 6 2" xfId="49140"/>
    <cellStyle name="SAPBEXHLevel3 3 7" xfId="49141"/>
    <cellStyle name="SAPBEXHLevel3 4" xfId="49142"/>
    <cellStyle name="SAPBEXHLevel3 4 2" xfId="49143"/>
    <cellStyle name="SAPBEXHLevel3 4 2 2" xfId="49144"/>
    <cellStyle name="SAPBEXHLevel3 4 2 2 2" xfId="49145"/>
    <cellStyle name="SAPBEXHLevel3 4 2 2 2 2" xfId="49146"/>
    <cellStyle name="SAPBEXHLevel3 4 2 2 3" xfId="49147"/>
    <cellStyle name="SAPBEXHLevel3 4 2 3" xfId="49148"/>
    <cellStyle name="SAPBEXHLevel3 4 2 3 2" xfId="49149"/>
    <cellStyle name="SAPBEXHLevel3 4 2 3 2 2" xfId="49150"/>
    <cellStyle name="SAPBEXHLevel3 4 2 3 3" xfId="49151"/>
    <cellStyle name="SAPBEXHLevel3 4 2 4" xfId="49152"/>
    <cellStyle name="SAPBEXHLevel3 4 2 4 2" xfId="49153"/>
    <cellStyle name="SAPBEXHLevel3 4 2 4 2 2" xfId="49154"/>
    <cellStyle name="SAPBEXHLevel3 4 2 4 3" xfId="49155"/>
    <cellStyle name="SAPBEXHLevel3 4 2 5" xfId="49156"/>
    <cellStyle name="SAPBEXHLevel3 4 2 5 2" xfId="49157"/>
    <cellStyle name="SAPBEXHLevel3 4 2 6" xfId="49158"/>
    <cellStyle name="SAPBEXHLevel3 4 3" xfId="49159"/>
    <cellStyle name="SAPBEXHLevel3 4 3 2" xfId="49160"/>
    <cellStyle name="SAPBEXHLevel3 4 3 2 2" xfId="49161"/>
    <cellStyle name="SAPBEXHLevel3 4 3 2 2 2" xfId="49162"/>
    <cellStyle name="SAPBEXHLevel3 4 3 2 2 2 2" xfId="49163"/>
    <cellStyle name="SAPBEXHLevel3 4 3 2 2 3" xfId="49164"/>
    <cellStyle name="SAPBEXHLevel3 4 3 2 3" xfId="49165"/>
    <cellStyle name="SAPBEXHLevel3 4 3 2 3 2" xfId="49166"/>
    <cellStyle name="SAPBEXHLevel3 4 3 2 3 2 2" xfId="49167"/>
    <cellStyle name="SAPBEXHLevel3 4 3 2 3 3" xfId="49168"/>
    <cellStyle name="SAPBEXHLevel3 4 3 2 4" xfId="49169"/>
    <cellStyle name="SAPBEXHLevel3 4 3 2 4 2" xfId="49170"/>
    <cellStyle name="SAPBEXHLevel3 4 3 2 5" xfId="49171"/>
    <cellStyle name="SAPBEXHLevel3 4 3 3" xfId="49172"/>
    <cellStyle name="SAPBEXHLevel3 4 3 3 2" xfId="49173"/>
    <cellStyle name="SAPBEXHLevel3 4 3 3 2 2" xfId="49174"/>
    <cellStyle name="SAPBEXHLevel3 4 3 3 2 2 2" xfId="49175"/>
    <cellStyle name="SAPBEXHLevel3 4 3 3 2 3" xfId="49176"/>
    <cellStyle name="SAPBEXHLevel3 4 3 3 3" xfId="49177"/>
    <cellStyle name="SAPBEXHLevel3 4 3 3 3 2" xfId="49178"/>
    <cellStyle name="SAPBEXHLevel3 4 3 3 4" xfId="49179"/>
    <cellStyle name="SAPBEXHLevel3 4 3 4" xfId="49180"/>
    <cellStyle name="SAPBEXHLevel3 4 3 4 2" xfId="49181"/>
    <cellStyle name="SAPBEXHLevel3 4 3 4 2 2" xfId="49182"/>
    <cellStyle name="SAPBEXHLevel3 4 3 4 3" xfId="49183"/>
    <cellStyle name="SAPBEXHLevel3 4 3 5" xfId="49184"/>
    <cellStyle name="SAPBEXHLevel3 4 3 5 2" xfId="49185"/>
    <cellStyle name="SAPBEXHLevel3 4 3 5 2 2" xfId="49186"/>
    <cellStyle name="SAPBEXHLevel3 4 3 5 3" xfId="49187"/>
    <cellStyle name="SAPBEXHLevel3 4 3 6" xfId="49188"/>
    <cellStyle name="SAPBEXHLevel3 4 3 6 2" xfId="49189"/>
    <cellStyle name="SAPBEXHLevel3 4 3 7" xfId="49190"/>
    <cellStyle name="SAPBEXHLevel3 4 4" xfId="49191"/>
    <cellStyle name="SAPBEXHLevel3 4 4 2" xfId="49192"/>
    <cellStyle name="SAPBEXHLevel3 4 4 2 2" xfId="49193"/>
    <cellStyle name="SAPBEXHLevel3 4 4 2 2 2" xfId="49194"/>
    <cellStyle name="SAPBEXHLevel3 4 4 2 3" xfId="49195"/>
    <cellStyle name="SAPBEXHLevel3 4 4 3" xfId="49196"/>
    <cellStyle name="SAPBEXHLevel3 4 4 3 2" xfId="49197"/>
    <cellStyle name="SAPBEXHLevel3 4 4 4" xfId="49198"/>
    <cellStyle name="SAPBEXHLevel3 4 5" xfId="49199"/>
    <cellStyle name="SAPBEXHLevel3 4 5 2" xfId="49200"/>
    <cellStyle name="SAPBEXHLevel3 4 5 2 2" xfId="49201"/>
    <cellStyle name="SAPBEXHLevel3 4 5 3" xfId="49202"/>
    <cellStyle name="SAPBEXHLevel3 4 6" xfId="49203"/>
    <cellStyle name="SAPBEXHLevel3 4 6 2" xfId="49204"/>
    <cellStyle name="SAPBEXHLevel3 4 6 2 2" xfId="49205"/>
    <cellStyle name="SAPBEXHLevel3 4 6 3" xfId="49206"/>
    <cellStyle name="SAPBEXHLevel3 4 7" xfId="49207"/>
    <cellStyle name="SAPBEXHLevel3 4 7 2" xfId="49208"/>
    <cellStyle name="SAPBEXHLevel3 4 8" xfId="49209"/>
    <cellStyle name="SAPBEXHLevel3 5" xfId="49210"/>
    <cellStyle name="SAPBEXHLevel3 5 2" xfId="49211"/>
    <cellStyle name="SAPBEXHLevel3 5 2 2" xfId="49212"/>
    <cellStyle name="SAPBEXHLevel3 5 2 2 2" xfId="49213"/>
    <cellStyle name="SAPBEXHLevel3 5 2 3" xfId="49214"/>
    <cellStyle name="SAPBEXHLevel3 5 3" xfId="49215"/>
    <cellStyle name="SAPBEXHLevel3 5 3 2" xfId="49216"/>
    <cellStyle name="SAPBEXHLevel3 5 3 2 2" xfId="49217"/>
    <cellStyle name="SAPBEXHLevel3 5 3 3" xfId="49218"/>
    <cellStyle name="SAPBEXHLevel3 5 4" xfId="49219"/>
    <cellStyle name="SAPBEXHLevel3 5 4 2" xfId="49220"/>
    <cellStyle name="SAPBEXHLevel3 5 4 2 2" xfId="49221"/>
    <cellStyle name="SAPBEXHLevel3 5 4 3" xfId="49222"/>
    <cellStyle name="SAPBEXHLevel3 5 5" xfId="49223"/>
    <cellStyle name="SAPBEXHLevel3 5 5 2" xfId="49224"/>
    <cellStyle name="SAPBEXHLevel3 5 6" xfId="49225"/>
    <cellStyle name="SAPBEXHLevel3 6" xfId="49226"/>
    <cellStyle name="SAPBEXHLevel3 6 2" xfId="49227"/>
    <cellStyle name="SAPBEXHLevel3 6 2 2" xfId="49228"/>
    <cellStyle name="SAPBEXHLevel3 6 3" xfId="49229"/>
    <cellStyle name="SAPBEXHLevel3 6 3 2" xfId="49230"/>
    <cellStyle name="SAPBEXHLevel3 6 3 2 2" xfId="49231"/>
    <cellStyle name="SAPBEXHLevel3 6 3 3" xfId="49232"/>
    <cellStyle name="SAPBEXHLevel3 6 4" xfId="49233"/>
    <cellStyle name="SAPBEXHLevel3 6 4 2" xfId="49234"/>
    <cellStyle name="SAPBEXHLevel3 6 4 2 2" xfId="49235"/>
    <cellStyle name="SAPBEXHLevel3 6 4 3" xfId="49236"/>
    <cellStyle name="SAPBEXHLevel3 6 5" xfId="49237"/>
    <cellStyle name="SAPBEXHLevel3 7" xfId="49238"/>
    <cellStyle name="SAPBEXHLevel3 7 2" xfId="49239"/>
    <cellStyle name="SAPBEXHLevel3 7 2 2" xfId="49240"/>
    <cellStyle name="SAPBEXHLevel3 7 2 2 2" xfId="49241"/>
    <cellStyle name="SAPBEXHLevel3 7 2 3" xfId="49242"/>
    <cellStyle name="SAPBEXHLevel3 7 2 3 2" xfId="49243"/>
    <cellStyle name="SAPBEXHLevel3 7 2 3 2 2" xfId="49244"/>
    <cellStyle name="SAPBEXHLevel3 7 2 3 3" xfId="49245"/>
    <cellStyle name="SAPBEXHLevel3 7 2 4" xfId="49246"/>
    <cellStyle name="SAPBEXHLevel3 7 3" xfId="49247"/>
    <cellStyle name="SAPBEXHLevel3 7 3 2" xfId="49248"/>
    <cellStyle name="SAPBEXHLevel3 7 3 2 2" xfId="49249"/>
    <cellStyle name="SAPBEXHLevel3 7 3 3" xfId="49250"/>
    <cellStyle name="SAPBEXHLevel3 7 4" xfId="49251"/>
    <cellStyle name="SAPBEXHLevel3 7 4 2" xfId="49252"/>
    <cellStyle name="SAPBEXHLevel3 7 4 2 2" xfId="49253"/>
    <cellStyle name="SAPBEXHLevel3 7 4 3" xfId="49254"/>
    <cellStyle name="SAPBEXHLevel3 7 5" xfId="49255"/>
    <cellStyle name="SAPBEXHLevel3 7 5 2" xfId="49256"/>
    <cellStyle name="SAPBEXHLevel3 7 5 2 2" xfId="49257"/>
    <cellStyle name="SAPBEXHLevel3 7 5 3" xfId="49258"/>
    <cellStyle name="SAPBEXHLevel3 7 6" xfId="49259"/>
    <cellStyle name="SAPBEXHLevel3 8" xfId="49260"/>
    <cellStyle name="SAPBEXHLevel3 8 2" xfId="49261"/>
    <cellStyle name="SAPBEXHLevel3 8 2 2" xfId="49262"/>
    <cellStyle name="SAPBEXHLevel3 8 3" xfId="49263"/>
    <cellStyle name="SAPBEXHLevel3 9" xfId="49264"/>
    <cellStyle name="SAPBEXHLevel3 9 2" xfId="49265"/>
    <cellStyle name="SAPBEXHLevel3 9 2 2" xfId="49266"/>
    <cellStyle name="SAPBEXHLevel3 9 3" xfId="49267"/>
    <cellStyle name="SAPBEXHLevel3X" xfId="67"/>
    <cellStyle name="SAPBEXHLevel3X 10" xfId="49268"/>
    <cellStyle name="SAPBEXHLevel3X 10 2" xfId="49269"/>
    <cellStyle name="SAPBEXHLevel3X 10 2 2" xfId="49270"/>
    <cellStyle name="SAPBEXHLevel3X 10 3" xfId="49271"/>
    <cellStyle name="SAPBEXHLevel3X 11" xfId="49272"/>
    <cellStyle name="SAPBEXHLevel3X 11 2" xfId="49273"/>
    <cellStyle name="SAPBEXHLevel3X 11 2 2" xfId="49274"/>
    <cellStyle name="SAPBEXHLevel3X 11 3" xfId="49275"/>
    <cellStyle name="SAPBEXHLevel3X 12" xfId="49276"/>
    <cellStyle name="SAPBEXHLevel3X 12 2" xfId="49277"/>
    <cellStyle name="SAPBEXHLevel3X 12 2 2" xfId="49278"/>
    <cellStyle name="SAPBEXHLevel3X 12 3" xfId="49279"/>
    <cellStyle name="SAPBEXHLevel3X 13" xfId="49280"/>
    <cellStyle name="SAPBEXHLevel3X 13 2" xfId="49281"/>
    <cellStyle name="SAPBEXHLevel3X 13 2 2" xfId="49282"/>
    <cellStyle name="SAPBEXHLevel3X 13 3" xfId="49283"/>
    <cellStyle name="SAPBEXHLevel3X 14" xfId="49284"/>
    <cellStyle name="SAPBEXHLevel3X 14 2" xfId="49285"/>
    <cellStyle name="SAPBEXHLevel3X 15" xfId="49286"/>
    <cellStyle name="SAPBEXHLevel3X 15 2" xfId="49287"/>
    <cellStyle name="SAPBEXHLevel3X 15 2 2" xfId="49288"/>
    <cellStyle name="SAPBEXHLevel3X 15 3" xfId="49289"/>
    <cellStyle name="SAPBEXHLevel3X 15 3 2" xfId="49290"/>
    <cellStyle name="SAPBEXHLevel3X 15 4" xfId="49291"/>
    <cellStyle name="SAPBEXHLevel3X 16" xfId="49292"/>
    <cellStyle name="SAPBEXHLevel3X 16 2" xfId="49293"/>
    <cellStyle name="SAPBEXHLevel3X 17" xfId="49294"/>
    <cellStyle name="SAPBEXHLevel3X 17 2" xfId="49295"/>
    <cellStyle name="SAPBEXHLevel3X 17 3" xfId="49296"/>
    <cellStyle name="SAPBEXHLevel3X 18" xfId="49297"/>
    <cellStyle name="SAPBEXHLevel3X 18 2" xfId="49298"/>
    <cellStyle name="SAPBEXHLevel3X 19" xfId="49299"/>
    <cellStyle name="SAPBEXHLevel3X 19 2" xfId="49300"/>
    <cellStyle name="SAPBEXHLevel3X 2" xfId="91"/>
    <cellStyle name="SAPBEXHLevel3X 2 2" xfId="49301"/>
    <cellStyle name="SAPBEXHLevel3X 2 2 2" xfId="49302"/>
    <cellStyle name="SAPBEXHLevel3X 2 2 2 2" xfId="49303"/>
    <cellStyle name="SAPBEXHLevel3X 2 2 2 2 2" xfId="49304"/>
    <cellStyle name="SAPBEXHLevel3X 2 2 2 3" xfId="49305"/>
    <cellStyle name="SAPBEXHLevel3X 2 2 3" xfId="49306"/>
    <cellStyle name="SAPBEXHLevel3X 2 2 3 2" xfId="49307"/>
    <cellStyle name="SAPBEXHLevel3X 2 2 3 2 2" xfId="49308"/>
    <cellStyle name="SAPBEXHLevel3X 2 2 3 3" xfId="49309"/>
    <cellStyle name="SAPBEXHLevel3X 2 2 4" xfId="49310"/>
    <cellStyle name="SAPBEXHLevel3X 2 2 4 2" xfId="49311"/>
    <cellStyle name="SAPBEXHLevel3X 2 2 4 2 2" xfId="49312"/>
    <cellStyle name="SAPBEXHLevel3X 2 2 4 3" xfId="49313"/>
    <cellStyle name="SAPBEXHLevel3X 2 2 5" xfId="49314"/>
    <cellStyle name="SAPBEXHLevel3X 2 2 5 2" xfId="49315"/>
    <cellStyle name="SAPBEXHLevel3X 2 2 6" xfId="49316"/>
    <cellStyle name="SAPBEXHLevel3X 2 3" xfId="49317"/>
    <cellStyle name="SAPBEXHLevel3X 2 3 2" xfId="49318"/>
    <cellStyle name="SAPBEXHLevel3X 2 3 2 2" xfId="49319"/>
    <cellStyle name="SAPBEXHLevel3X 2 3 2 2 2" xfId="49320"/>
    <cellStyle name="SAPBEXHLevel3X 2 3 2 2 2 2" xfId="49321"/>
    <cellStyle name="SAPBEXHLevel3X 2 3 2 2 3" xfId="49322"/>
    <cellStyle name="SAPBEXHLevel3X 2 3 2 3" xfId="49323"/>
    <cellStyle name="SAPBEXHLevel3X 2 3 2 3 2" xfId="49324"/>
    <cellStyle name="SAPBEXHLevel3X 2 3 2 3 2 2" xfId="49325"/>
    <cellStyle name="SAPBEXHLevel3X 2 3 2 3 3" xfId="49326"/>
    <cellStyle name="SAPBEXHLevel3X 2 3 2 4" xfId="49327"/>
    <cellStyle name="SAPBEXHLevel3X 2 3 2 4 2" xfId="49328"/>
    <cellStyle name="SAPBEXHLevel3X 2 3 2 5" xfId="49329"/>
    <cellStyle name="SAPBEXHLevel3X 2 3 3" xfId="49330"/>
    <cellStyle name="SAPBEXHLevel3X 2 3 3 2" xfId="49331"/>
    <cellStyle name="SAPBEXHLevel3X 2 3 3 2 2" xfId="49332"/>
    <cellStyle name="SAPBEXHLevel3X 2 3 3 2 2 2" xfId="49333"/>
    <cellStyle name="SAPBEXHLevel3X 2 3 3 2 3" xfId="49334"/>
    <cellStyle name="SAPBEXHLevel3X 2 3 3 3" xfId="49335"/>
    <cellStyle name="SAPBEXHLevel3X 2 3 3 3 2" xfId="49336"/>
    <cellStyle name="SAPBEXHLevel3X 2 3 3 4" xfId="49337"/>
    <cellStyle name="SAPBEXHLevel3X 2 3 4" xfId="49338"/>
    <cellStyle name="SAPBEXHLevel3X 2 3 4 2" xfId="49339"/>
    <cellStyle name="SAPBEXHLevel3X 2 3 4 2 2" xfId="49340"/>
    <cellStyle name="SAPBEXHLevel3X 2 3 4 3" xfId="49341"/>
    <cellStyle name="SAPBEXHLevel3X 2 3 5" xfId="49342"/>
    <cellStyle name="SAPBEXHLevel3X 2 3 5 2" xfId="49343"/>
    <cellStyle name="SAPBEXHLevel3X 2 3 5 2 2" xfId="49344"/>
    <cellStyle name="SAPBEXHLevel3X 2 3 5 3" xfId="49345"/>
    <cellStyle name="SAPBEXHLevel3X 2 3 6" xfId="49346"/>
    <cellStyle name="SAPBEXHLevel3X 2 3 6 2" xfId="49347"/>
    <cellStyle name="SAPBEXHLevel3X 2 3 7" xfId="49348"/>
    <cellStyle name="SAPBEXHLevel3X 2 4" xfId="49349"/>
    <cellStyle name="SAPBEXHLevel3X 2 4 2" xfId="49350"/>
    <cellStyle name="SAPBEXHLevel3X 2 4 2 2" xfId="49351"/>
    <cellStyle name="SAPBEXHLevel3X 2 4 2 2 2" xfId="49352"/>
    <cellStyle name="SAPBEXHLevel3X 2 4 2 2 2 2" xfId="49353"/>
    <cellStyle name="SAPBEXHLevel3X 2 4 2 2 3" xfId="49354"/>
    <cellStyle name="SAPBEXHLevel3X 2 4 2 3" xfId="49355"/>
    <cellStyle name="SAPBEXHLevel3X 2 4 2 3 2" xfId="49356"/>
    <cellStyle name="SAPBEXHLevel3X 2 4 2 3 2 2" xfId="49357"/>
    <cellStyle name="SAPBEXHLevel3X 2 4 2 3 3" xfId="49358"/>
    <cellStyle name="SAPBEXHLevel3X 2 4 2 4" xfId="49359"/>
    <cellStyle name="SAPBEXHLevel3X 2 4 2 4 2" xfId="49360"/>
    <cellStyle name="SAPBEXHLevel3X 2 4 2 5" xfId="49361"/>
    <cellStyle name="SAPBEXHLevel3X 2 4 3" xfId="49362"/>
    <cellStyle name="SAPBEXHLevel3X 2 4 3 2" xfId="49363"/>
    <cellStyle name="SAPBEXHLevel3X 2 4 3 2 2" xfId="49364"/>
    <cellStyle name="SAPBEXHLevel3X 2 4 3 2 2 2" xfId="49365"/>
    <cellStyle name="SAPBEXHLevel3X 2 4 3 2 3" xfId="49366"/>
    <cellStyle name="SAPBEXHLevel3X 2 4 3 3" xfId="49367"/>
    <cellStyle name="SAPBEXHLevel3X 2 4 3 3 2" xfId="49368"/>
    <cellStyle name="SAPBEXHLevel3X 2 4 3 4" xfId="49369"/>
    <cellStyle name="SAPBEXHLevel3X 2 4 4" xfId="49370"/>
    <cellStyle name="SAPBEXHLevel3X 2 4 4 2" xfId="49371"/>
    <cellStyle name="SAPBEXHLevel3X 2 4 4 2 2" xfId="49372"/>
    <cellStyle name="SAPBEXHLevel3X 2 4 4 3" xfId="49373"/>
    <cellStyle name="SAPBEXHLevel3X 2 4 5" xfId="49374"/>
    <cellStyle name="SAPBEXHLevel3X 2 4 5 2" xfId="49375"/>
    <cellStyle name="SAPBEXHLevel3X 2 4 6" xfId="49376"/>
    <cellStyle name="SAPBEXHLevel3X 2 5" xfId="49377"/>
    <cellStyle name="SAPBEXHLevel3X 2 5 2" xfId="49378"/>
    <cellStyle name="SAPBEXHLevel3X 2 5 2 2" xfId="49379"/>
    <cellStyle name="SAPBEXHLevel3X 2 5 2 2 2" xfId="49380"/>
    <cellStyle name="SAPBEXHLevel3X 2 5 2 3" xfId="49381"/>
    <cellStyle name="SAPBEXHLevel3X 2 5 3" xfId="49382"/>
    <cellStyle name="SAPBEXHLevel3X 2 5 3 2" xfId="49383"/>
    <cellStyle name="SAPBEXHLevel3X 2 5 4" xfId="49384"/>
    <cellStyle name="SAPBEXHLevel3X 2 6" xfId="49385"/>
    <cellStyle name="SAPBEXHLevel3X 2 6 2" xfId="49386"/>
    <cellStyle name="SAPBEXHLevel3X 2 6 2 2" xfId="49387"/>
    <cellStyle name="SAPBEXHLevel3X 2 6 3" xfId="49388"/>
    <cellStyle name="SAPBEXHLevel3X 2 7" xfId="49389"/>
    <cellStyle name="SAPBEXHLevel3X 2 7 2" xfId="49390"/>
    <cellStyle name="SAPBEXHLevel3X 2 7 2 2" xfId="49391"/>
    <cellStyle name="SAPBEXHLevel3X 2 7 3" xfId="49392"/>
    <cellStyle name="SAPBEXHLevel3X 2 8" xfId="49393"/>
    <cellStyle name="SAPBEXHLevel3X 2 8 2" xfId="49394"/>
    <cellStyle name="SAPBEXHLevel3X 2 9" xfId="49395"/>
    <cellStyle name="SAPBEXHLevel3X 20" xfId="49396"/>
    <cellStyle name="SAPBEXHLevel3X 21" xfId="49397"/>
    <cellStyle name="SAPBEXHLevel3X 22" xfId="49398"/>
    <cellStyle name="SAPBEXHLevel3X 23" xfId="49399"/>
    <cellStyle name="SAPBEXHLevel3X 3" xfId="49400"/>
    <cellStyle name="SAPBEXHLevel3X 3 2" xfId="49401"/>
    <cellStyle name="SAPBEXHLevel3X 3 2 2" xfId="49402"/>
    <cellStyle name="SAPBEXHLevel3X 3 2 2 2" xfId="49403"/>
    <cellStyle name="SAPBEXHLevel3X 3 2 2 2 2" xfId="49404"/>
    <cellStyle name="SAPBEXHLevel3X 3 2 2 3" xfId="49405"/>
    <cellStyle name="SAPBEXHLevel3X 3 2 3" xfId="49406"/>
    <cellStyle name="SAPBEXHLevel3X 3 2 3 2" xfId="49407"/>
    <cellStyle name="SAPBEXHLevel3X 3 2 3 2 2" xfId="49408"/>
    <cellStyle name="SAPBEXHLevel3X 3 2 3 3" xfId="49409"/>
    <cellStyle name="SAPBEXHLevel3X 3 2 4" xfId="49410"/>
    <cellStyle name="SAPBEXHLevel3X 3 2 4 2" xfId="49411"/>
    <cellStyle name="SAPBEXHLevel3X 3 2 4 2 2" xfId="49412"/>
    <cellStyle name="SAPBEXHLevel3X 3 2 4 3" xfId="49413"/>
    <cellStyle name="SAPBEXHLevel3X 3 2 5" xfId="49414"/>
    <cellStyle name="SAPBEXHLevel3X 3 2 5 2" xfId="49415"/>
    <cellStyle name="SAPBEXHLevel3X 3 2 6" xfId="49416"/>
    <cellStyle name="SAPBEXHLevel3X 3 3" xfId="49417"/>
    <cellStyle name="SAPBEXHLevel3X 3 3 2" xfId="49418"/>
    <cellStyle name="SAPBEXHLevel3X 3 3 2 2" xfId="49419"/>
    <cellStyle name="SAPBEXHLevel3X 3 3 2 2 2" xfId="49420"/>
    <cellStyle name="SAPBEXHLevel3X 3 3 2 3" xfId="49421"/>
    <cellStyle name="SAPBEXHLevel3X 3 3 3" xfId="49422"/>
    <cellStyle name="SAPBEXHLevel3X 3 3 3 2" xfId="49423"/>
    <cellStyle name="SAPBEXHLevel3X 3 3 4" xfId="49424"/>
    <cellStyle name="SAPBEXHLevel3X 3 4" xfId="49425"/>
    <cellStyle name="SAPBEXHLevel3X 3 4 2" xfId="49426"/>
    <cellStyle name="SAPBEXHLevel3X 3 4 2 2" xfId="49427"/>
    <cellStyle name="SAPBEXHLevel3X 3 4 3" xfId="49428"/>
    <cellStyle name="SAPBEXHLevel3X 3 5" xfId="49429"/>
    <cellStyle name="SAPBEXHLevel3X 3 5 2" xfId="49430"/>
    <cellStyle name="SAPBEXHLevel3X 3 5 2 2" xfId="49431"/>
    <cellStyle name="SAPBEXHLevel3X 3 5 3" xfId="49432"/>
    <cellStyle name="SAPBEXHLevel3X 3 6" xfId="49433"/>
    <cellStyle name="SAPBEXHLevel3X 3 6 2" xfId="49434"/>
    <cellStyle name="SAPBEXHLevel3X 3 7" xfId="49435"/>
    <cellStyle name="SAPBEXHLevel3X 4" xfId="49436"/>
    <cellStyle name="SAPBEXHLevel3X 4 2" xfId="49437"/>
    <cellStyle name="SAPBEXHLevel3X 4 2 2" xfId="49438"/>
    <cellStyle name="SAPBEXHLevel3X 4 2 2 2" xfId="49439"/>
    <cellStyle name="SAPBEXHLevel3X 4 2 2 2 2" xfId="49440"/>
    <cellStyle name="SAPBEXHLevel3X 4 2 2 3" xfId="49441"/>
    <cellStyle name="SAPBEXHLevel3X 4 2 3" xfId="49442"/>
    <cellStyle name="SAPBEXHLevel3X 4 2 3 2" xfId="49443"/>
    <cellStyle name="SAPBEXHLevel3X 4 2 3 2 2" xfId="49444"/>
    <cellStyle name="SAPBEXHLevel3X 4 2 3 3" xfId="49445"/>
    <cellStyle name="SAPBEXHLevel3X 4 2 4" xfId="49446"/>
    <cellStyle name="SAPBEXHLevel3X 4 2 4 2" xfId="49447"/>
    <cellStyle name="SAPBEXHLevel3X 4 2 4 2 2" xfId="49448"/>
    <cellStyle name="SAPBEXHLevel3X 4 2 4 3" xfId="49449"/>
    <cellStyle name="SAPBEXHLevel3X 4 2 5" xfId="49450"/>
    <cellStyle name="SAPBEXHLevel3X 4 2 5 2" xfId="49451"/>
    <cellStyle name="SAPBEXHLevel3X 4 2 6" xfId="49452"/>
    <cellStyle name="SAPBEXHLevel3X 4 3" xfId="49453"/>
    <cellStyle name="SAPBEXHLevel3X 4 3 2" xfId="49454"/>
    <cellStyle name="SAPBEXHLevel3X 4 3 2 2" xfId="49455"/>
    <cellStyle name="SAPBEXHLevel3X 4 3 2 2 2" xfId="49456"/>
    <cellStyle name="SAPBEXHLevel3X 4 3 2 2 2 2" xfId="49457"/>
    <cellStyle name="SAPBEXHLevel3X 4 3 2 2 3" xfId="49458"/>
    <cellStyle name="SAPBEXHLevel3X 4 3 2 3" xfId="49459"/>
    <cellStyle name="SAPBEXHLevel3X 4 3 2 3 2" xfId="49460"/>
    <cellStyle name="SAPBEXHLevel3X 4 3 2 3 2 2" xfId="49461"/>
    <cellStyle name="SAPBEXHLevel3X 4 3 2 3 3" xfId="49462"/>
    <cellStyle name="SAPBEXHLevel3X 4 3 2 4" xfId="49463"/>
    <cellStyle name="SAPBEXHLevel3X 4 3 2 4 2" xfId="49464"/>
    <cellStyle name="SAPBEXHLevel3X 4 3 2 5" xfId="49465"/>
    <cellStyle name="SAPBEXHLevel3X 4 3 3" xfId="49466"/>
    <cellStyle name="SAPBEXHLevel3X 4 3 3 2" xfId="49467"/>
    <cellStyle name="SAPBEXHLevel3X 4 3 3 2 2" xfId="49468"/>
    <cellStyle name="SAPBEXHLevel3X 4 3 3 2 2 2" xfId="49469"/>
    <cellStyle name="SAPBEXHLevel3X 4 3 3 2 3" xfId="49470"/>
    <cellStyle name="SAPBEXHLevel3X 4 3 3 3" xfId="49471"/>
    <cellStyle name="SAPBEXHLevel3X 4 3 3 3 2" xfId="49472"/>
    <cellStyle name="SAPBEXHLevel3X 4 3 3 4" xfId="49473"/>
    <cellStyle name="SAPBEXHLevel3X 4 3 4" xfId="49474"/>
    <cellStyle name="SAPBEXHLevel3X 4 3 4 2" xfId="49475"/>
    <cellStyle name="SAPBEXHLevel3X 4 3 4 2 2" xfId="49476"/>
    <cellStyle name="SAPBEXHLevel3X 4 3 4 3" xfId="49477"/>
    <cellStyle name="SAPBEXHLevel3X 4 3 5" xfId="49478"/>
    <cellStyle name="SAPBEXHLevel3X 4 3 5 2" xfId="49479"/>
    <cellStyle name="SAPBEXHLevel3X 4 3 5 2 2" xfId="49480"/>
    <cellStyle name="SAPBEXHLevel3X 4 3 5 3" xfId="49481"/>
    <cellStyle name="SAPBEXHLevel3X 4 3 6" xfId="49482"/>
    <cellStyle name="SAPBEXHLevel3X 4 3 6 2" xfId="49483"/>
    <cellStyle name="SAPBEXHLevel3X 4 3 7" xfId="49484"/>
    <cellStyle name="SAPBEXHLevel3X 4 4" xfId="49485"/>
    <cellStyle name="SAPBEXHLevel3X 4 4 2" xfId="49486"/>
    <cellStyle name="SAPBEXHLevel3X 4 4 2 2" xfId="49487"/>
    <cellStyle name="SAPBEXHLevel3X 4 4 2 2 2" xfId="49488"/>
    <cellStyle name="SAPBEXHLevel3X 4 4 2 3" xfId="49489"/>
    <cellStyle name="SAPBEXHLevel3X 4 4 3" xfId="49490"/>
    <cellStyle name="SAPBEXHLevel3X 4 4 3 2" xfId="49491"/>
    <cellStyle name="SAPBEXHLevel3X 4 4 4" xfId="49492"/>
    <cellStyle name="SAPBEXHLevel3X 4 5" xfId="49493"/>
    <cellStyle name="SAPBEXHLevel3X 4 5 2" xfId="49494"/>
    <cellStyle name="SAPBEXHLevel3X 4 5 2 2" xfId="49495"/>
    <cellStyle name="SAPBEXHLevel3X 4 5 3" xfId="49496"/>
    <cellStyle name="SAPBEXHLevel3X 4 6" xfId="49497"/>
    <cellStyle name="SAPBEXHLevel3X 4 6 2" xfId="49498"/>
    <cellStyle name="SAPBEXHLevel3X 4 6 2 2" xfId="49499"/>
    <cellStyle name="SAPBEXHLevel3X 4 6 3" xfId="49500"/>
    <cellStyle name="SAPBEXHLevel3X 4 7" xfId="49501"/>
    <cellStyle name="SAPBEXHLevel3X 4 7 2" xfId="49502"/>
    <cellStyle name="SAPBEXHLevel3X 4 8" xfId="49503"/>
    <cellStyle name="SAPBEXHLevel3X 5" xfId="49504"/>
    <cellStyle name="SAPBEXHLevel3X 5 2" xfId="49505"/>
    <cellStyle name="SAPBEXHLevel3X 5 2 2" xfId="49506"/>
    <cellStyle name="SAPBEXHLevel3X 5 2 2 2" xfId="49507"/>
    <cellStyle name="SAPBEXHLevel3X 5 2 3" xfId="49508"/>
    <cellStyle name="SAPBEXHLevel3X 5 3" xfId="49509"/>
    <cellStyle name="SAPBEXHLevel3X 5 3 2" xfId="49510"/>
    <cellStyle name="SAPBEXHLevel3X 5 3 2 2" xfId="49511"/>
    <cellStyle name="SAPBEXHLevel3X 5 3 3" xfId="49512"/>
    <cellStyle name="SAPBEXHLevel3X 5 4" xfId="49513"/>
    <cellStyle name="SAPBEXHLevel3X 5 4 2" xfId="49514"/>
    <cellStyle name="SAPBEXHLevel3X 5 4 2 2" xfId="49515"/>
    <cellStyle name="SAPBEXHLevel3X 5 4 3" xfId="49516"/>
    <cellStyle name="SAPBEXHLevel3X 5 5" xfId="49517"/>
    <cellStyle name="SAPBEXHLevel3X 5 5 2" xfId="49518"/>
    <cellStyle name="SAPBEXHLevel3X 5 6" xfId="49519"/>
    <cellStyle name="SAPBEXHLevel3X 6" xfId="49520"/>
    <cellStyle name="SAPBEXHLevel3X 6 2" xfId="49521"/>
    <cellStyle name="SAPBEXHLevel3X 6 2 2" xfId="49522"/>
    <cellStyle name="SAPBEXHLevel3X 6 3" xfId="49523"/>
    <cellStyle name="SAPBEXHLevel3X 6 3 2" xfId="49524"/>
    <cellStyle name="SAPBEXHLevel3X 6 3 2 2" xfId="49525"/>
    <cellStyle name="SAPBEXHLevel3X 6 3 3" xfId="49526"/>
    <cellStyle name="SAPBEXHLevel3X 6 4" xfId="49527"/>
    <cellStyle name="SAPBEXHLevel3X 6 4 2" xfId="49528"/>
    <cellStyle name="SAPBEXHLevel3X 6 4 2 2" xfId="49529"/>
    <cellStyle name="SAPBEXHLevel3X 6 4 3" xfId="49530"/>
    <cellStyle name="SAPBEXHLevel3X 6 5" xfId="49531"/>
    <cellStyle name="SAPBEXHLevel3X 7" xfId="49532"/>
    <cellStyle name="SAPBEXHLevel3X 7 2" xfId="49533"/>
    <cellStyle name="SAPBEXHLevel3X 7 2 2" xfId="49534"/>
    <cellStyle name="SAPBEXHLevel3X 7 2 2 2" xfId="49535"/>
    <cellStyle name="SAPBEXHLevel3X 7 2 3" xfId="49536"/>
    <cellStyle name="SAPBEXHLevel3X 7 2 3 2" xfId="49537"/>
    <cellStyle name="SAPBEXHLevel3X 7 2 3 2 2" xfId="49538"/>
    <cellStyle name="SAPBEXHLevel3X 7 2 3 3" xfId="49539"/>
    <cellStyle name="SAPBEXHLevel3X 7 2 4" xfId="49540"/>
    <cellStyle name="SAPBEXHLevel3X 7 3" xfId="49541"/>
    <cellStyle name="SAPBEXHLevel3X 7 3 2" xfId="49542"/>
    <cellStyle name="SAPBEXHLevel3X 7 3 2 2" xfId="49543"/>
    <cellStyle name="SAPBEXHLevel3X 7 3 3" xfId="49544"/>
    <cellStyle name="SAPBEXHLevel3X 7 4" xfId="49545"/>
    <cellStyle name="SAPBEXHLevel3X 7 4 2" xfId="49546"/>
    <cellStyle name="SAPBEXHLevel3X 7 4 2 2" xfId="49547"/>
    <cellStyle name="SAPBEXHLevel3X 7 4 3" xfId="49548"/>
    <cellStyle name="SAPBEXHLevel3X 7 5" xfId="49549"/>
    <cellStyle name="SAPBEXHLevel3X 7 5 2" xfId="49550"/>
    <cellStyle name="SAPBEXHLevel3X 7 5 2 2" xfId="49551"/>
    <cellStyle name="SAPBEXHLevel3X 7 5 3" xfId="49552"/>
    <cellStyle name="SAPBEXHLevel3X 7 6" xfId="49553"/>
    <cellStyle name="SAPBEXHLevel3X 8" xfId="49554"/>
    <cellStyle name="SAPBEXHLevel3X 8 2" xfId="49555"/>
    <cellStyle name="SAPBEXHLevel3X 8 2 2" xfId="49556"/>
    <cellStyle name="SAPBEXHLevel3X 8 2 2 2" xfId="49557"/>
    <cellStyle name="SAPBEXHLevel3X 8 2 3" xfId="49558"/>
    <cellStyle name="SAPBEXHLevel3X 8 3" xfId="49559"/>
    <cellStyle name="SAPBEXHLevel3X 8 3 2" xfId="49560"/>
    <cellStyle name="SAPBEXHLevel3X 8 3 2 2" xfId="49561"/>
    <cellStyle name="SAPBEXHLevel3X 8 3 3" xfId="49562"/>
    <cellStyle name="SAPBEXHLevel3X 8 4" xfId="49563"/>
    <cellStyle name="SAPBEXHLevel3X 8 4 2" xfId="49564"/>
    <cellStyle name="SAPBEXHLevel3X 8 5" xfId="49565"/>
    <cellStyle name="SAPBEXHLevel3X 9" xfId="49566"/>
    <cellStyle name="SAPBEXHLevel3X 9 2" xfId="49567"/>
    <cellStyle name="SAPBEXHLevel3X 9 2 2" xfId="49568"/>
    <cellStyle name="SAPBEXHLevel3X 9 2 2 2" xfId="49569"/>
    <cellStyle name="SAPBEXHLevel3X 9 2 2 2 2" xfId="49570"/>
    <cellStyle name="SAPBEXHLevel3X 9 2 2 3" xfId="49571"/>
    <cellStyle name="SAPBEXHLevel3X 9 2 3" xfId="49572"/>
    <cellStyle name="SAPBEXHLevel3X 9 2 3 2" xfId="49573"/>
    <cellStyle name="SAPBEXHLevel3X 9 2 4" xfId="49574"/>
    <cellStyle name="SAPBEXHLevel3X 9 3" xfId="49575"/>
    <cellStyle name="SAPBEXHLevel3X 9 3 2" xfId="49576"/>
    <cellStyle name="SAPBEXHLevel3X 9 3 2 2" xfId="49577"/>
    <cellStyle name="SAPBEXHLevel3X 9 3 2 2 2" xfId="49578"/>
    <cellStyle name="SAPBEXHLevel3X 9 3 2 2 2 2" xfId="49579"/>
    <cellStyle name="SAPBEXHLevel3X 9 3 2 2 3" xfId="49580"/>
    <cellStyle name="SAPBEXHLevel3X 9 3 2 3" xfId="49581"/>
    <cellStyle name="SAPBEXHLevel3X 9 3 2 3 2" xfId="49582"/>
    <cellStyle name="SAPBEXHLevel3X 9 3 2 4" xfId="49583"/>
    <cellStyle name="SAPBEXHLevel3X 9 3 3" xfId="49584"/>
    <cellStyle name="SAPBEXHLevel3X 9 3 3 2" xfId="49585"/>
    <cellStyle name="SAPBEXHLevel3X 9 3 3 2 2" xfId="49586"/>
    <cellStyle name="SAPBEXHLevel3X 9 3 3 3" xfId="49587"/>
    <cellStyle name="SAPBEXHLevel3X 9 3 4" xfId="49588"/>
    <cellStyle name="SAPBEXHLevel3X 9 3 4 2" xfId="49589"/>
    <cellStyle name="SAPBEXHLevel3X 9 3 5" xfId="49590"/>
    <cellStyle name="SAPBEXHLevel3X 9 4" xfId="49591"/>
    <cellStyle name="SAPBEXHLevel3X 9 4 2" xfId="49592"/>
    <cellStyle name="SAPBEXHLevel3X 9 4 2 2" xfId="49593"/>
    <cellStyle name="SAPBEXHLevel3X 9 4 3" xfId="49594"/>
    <cellStyle name="SAPBEXHLevel3X 9 5" xfId="49595"/>
    <cellStyle name="SAPBEXHLevel3X 9 5 2" xfId="49596"/>
    <cellStyle name="SAPBEXHLevel3X 9 5 2 2" xfId="49597"/>
    <cellStyle name="SAPBEXHLevel3X 9 5 3" xfId="49598"/>
    <cellStyle name="SAPBEXHLevel3X 9 6" xfId="49599"/>
    <cellStyle name="SAPBEXHLevel3X 9 6 2" xfId="49600"/>
    <cellStyle name="SAPBEXHLevel3X 9 7" xfId="49601"/>
    <cellStyle name="SAPBEXinputData" xfId="68"/>
    <cellStyle name="SAPBEXinputData 10" xfId="49602"/>
    <cellStyle name="SAPBEXinputData 10 2" xfId="49603"/>
    <cellStyle name="SAPBEXinputData 10 2 2" xfId="49604"/>
    <cellStyle name="SAPBEXinputData 10 3" xfId="49605"/>
    <cellStyle name="SAPBEXinputData 11" xfId="49606"/>
    <cellStyle name="SAPBEXinputData 11 2" xfId="49607"/>
    <cellStyle name="SAPBEXinputData 11 2 2" xfId="49608"/>
    <cellStyle name="SAPBEXinputData 11 3" xfId="49609"/>
    <cellStyle name="SAPBEXinputData 12" xfId="49610"/>
    <cellStyle name="SAPBEXinputData 12 2" xfId="49611"/>
    <cellStyle name="SAPBEXinputData 12 2 2" xfId="49612"/>
    <cellStyle name="SAPBEXinputData 12 3" xfId="49613"/>
    <cellStyle name="SAPBEXinputData 13" xfId="49614"/>
    <cellStyle name="SAPBEXinputData 13 2" xfId="49615"/>
    <cellStyle name="SAPBEXinputData 14" xfId="49616"/>
    <cellStyle name="SAPBEXinputData 14 2" xfId="49617"/>
    <cellStyle name="SAPBEXinputData 15" xfId="49618"/>
    <cellStyle name="SAPBEXinputData 15 2" xfId="49619"/>
    <cellStyle name="SAPBEXinputData 15 2 2" xfId="49620"/>
    <cellStyle name="SAPBEXinputData 15 3" xfId="49621"/>
    <cellStyle name="SAPBEXinputData 16" xfId="49622"/>
    <cellStyle name="SAPBEXinputData 16 2" xfId="49623"/>
    <cellStyle name="SAPBEXinputData 17" xfId="49624"/>
    <cellStyle name="SAPBEXinputData 17 2" xfId="49625"/>
    <cellStyle name="SAPBEXinputData 18" xfId="49626"/>
    <cellStyle name="SAPBEXinputData 18 2" xfId="49627"/>
    <cellStyle name="SAPBEXinputData 19" xfId="49628"/>
    <cellStyle name="SAPBEXinputData 2" xfId="92"/>
    <cellStyle name="SAPBEXinputData 2 2" xfId="49629"/>
    <cellStyle name="SAPBEXinputData 2 2 2" xfId="49630"/>
    <cellStyle name="SAPBEXinputData 2 2 2 2" xfId="49631"/>
    <cellStyle name="SAPBEXinputData 2 2 3" xfId="49632"/>
    <cellStyle name="SAPBEXinputData 2 2 3 2" xfId="49633"/>
    <cellStyle name="SAPBEXinputData 2 2 3 2 2" xfId="49634"/>
    <cellStyle name="SAPBEXinputData 2 2 3 3" xfId="49635"/>
    <cellStyle name="SAPBEXinputData 2 2 4" xfId="49636"/>
    <cellStyle name="SAPBEXinputData 2 2 4 2" xfId="49637"/>
    <cellStyle name="SAPBEXinputData 2 2 4 2 2" xfId="49638"/>
    <cellStyle name="SAPBEXinputData 2 2 4 3" xfId="49639"/>
    <cellStyle name="SAPBEXinputData 2 2 5" xfId="49640"/>
    <cellStyle name="SAPBEXinputData 2 3" xfId="49641"/>
    <cellStyle name="SAPBEXinputData 2 3 2" xfId="49642"/>
    <cellStyle name="SAPBEXinputData 2 3 2 2" xfId="49643"/>
    <cellStyle name="SAPBEXinputData 2 3 2 2 2" xfId="49644"/>
    <cellStyle name="SAPBEXinputData 2 3 2 3" xfId="49645"/>
    <cellStyle name="SAPBEXinputData 2 3 2 3 2" xfId="49646"/>
    <cellStyle name="SAPBEXinputData 2 3 2 3 2 2" xfId="49647"/>
    <cellStyle name="SAPBEXinputData 2 3 2 3 3" xfId="49648"/>
    <cellStyle name="SAPBEXinputData 2 3 2 4" xfId="49649"/>
    <cellStyle name="SAPBEXinputData 2 3 3" xfId="49650"/>
    <cellStyle name="SAPBEXinputData 2 3 3 2" xfId="49651"/>
    <cellStyle name="SAPBEXinputData 2 3 3 2 2" xfId="49652"/>
    <cellStyle name="SAPBEXinputData 2 3 3 3" xfId="49653"/>
    <cellStyle name="SAPBEXinputData 2 3 4" xfId="49654"/>
    <cellStyle name="SAPBEXinputData 2 3 4 2" xfId="49655"/>
    <cellStyle name="SAPBEXinputData 2 3 4 2 2" xfId="49656"/>
    <cellStyle name="SAPBEXinputData 2 3 4 3" xfId="49657"/>
    <cellStyle name="SAPBEXinputData 2 3 5" xfId="49658"/>
    <cellStyle name="SAPBEXinputData 2 3 5 2" xfId="49659"/>
    <cellStyle name="SAPBEXinputData 2 3 5 2 2" xfId="49660"/>
    <cellStyle name="SAPBEXinputData 2 3 5 3" xfId="49661"/>
    <cellStyle name="SAPBEXinputData 2 3 6" xfId="49662"/>
    <cellStyle name="SAPBEXinputData 2 4" xfId="49663"/>
    <cellStyle name="SAPBEXinputData 2 4 2" xfId="49664"/>
    <cellStyle name="SAPBEXinputData 2 4 2 2" xfId="49665"/>
    <cellStyle name="SAPBEXinputData 2 4 2 2 2" xfId="49666"/>
    <cellStyle name="SAPBEXinputData 2 4 2 3" xfId="49667"/>
    <cellStyle name="SAPBEXinputData 2 4 2 3 2" xfId="49668"/>
    <cellStyle name="SAPBEXinputData 2 4 2 3 2 2" xfId="49669"/>
    <cellStyle name="SAPBEXinputData 2 4 2 3 3" xfId="49670"/>
    <cellStyle name="SAPBEXinputData 2 4 2 4" xfId="49671"/>
    <cellStyle name="SAPBEXinputData 2 4 3" xfId="49672"/>
    <cellStyle name="SAPBEXinputData 2 4 3 2" xfId="49673"/>
    <cellStyle name="SAPBEXinputData 2 4 3 2 2" xfId="49674"/>
    <cellStyle name="SAPBEXinputData 2 4 3 3" xfId="49675"/>
    <cellStyle name="SAPBEXinputData 2 4 4" xfId="49676"/>
    <cellStyle name="SAPBEXinputData 2 4 4 2" xfId="49677"/>
    <cellStyle name="SAPBEXinputData 2 4 4 2 2" xfId="49678"/>
    <cellStyle name="SAPBEXinputData 2 4 4 3" xfId="49679"/>
    <cellStyle name="SAPBEXinputData 2 4 5" xfId="49680"/>
    <cellStyle name="SAPBEXinputData 2 5" xfId="49681"/>
    <cellStyle name="SAPBEXinputData 2 5 2" xfId="49682"/>
    <cellStyle name="SAPBEXinputData 2 5 2 2" xfId="49683"/>
    <cellStyle name="SAPBEXinputData 2 5 3" xfId="49684"/>
    <cellStyle name="SAPBEXinputData 2 6" xfId="49685"/>
    <cellStyle name="SAPBEXinputData 2 6 2" xfId="49686"/>
    <cellStyle name="SAPBEXinputData 2 6 2 2" xfId="49687"/>
    <cellStyle name="SAPBEXinputData 2 6 3" xfId="49688"/>
    <cellStyle name="SAPBEXinputData 2 7" xfId="49689"/>
    <cellStyle name="SAPBEXinputData 2 7 2" xfId="49690"/>
    <cellStyle name="SAPBEXinputData 2 7 2 2" xfId="49691"/>
    <cellStyle name="SAPBEXinputData 2 7 3" xfId="49692"/>
    <cellStyle name="SAPBEXinputData 2 8" xfId="49693"/>
    <cellStyle name="SAPBEXinputData 20" xfId="49694"/>
    <cellStyle name="SAPBEXinputData 21" xfId="49695"/>
    <cellStyle name="SAPBEXinputData 22" xfId="49696"/>
    <cellStyle name="SAPBEXinputData 3" xfId="49697"/>
    <cellStyle name="SAPBEXinputData 3 2" xfId="49698"/>
    <cellStyle name="SAPBEXinputData 3 2 2" xfId="49699"/>
    <cellStyle name="SAPBEXinputData 3 2 2 2" xfId="49700"/>
    <cellStyle name="SAPBEXinputData 3 2 3" xfId="49701"/>
    <cellStyle name="SAPBEXinputData 3 2 3 2" xfId="49702"/>
    <cellStyle name="SAPBEXinputData 3 2 3 2 2" xfId="49703"/>
    <cellStyle name="SAPBEXinputData 3 2 3 3" xfId="49704"/>
    <cellStyle name="SAPBEXinputData 3 2 4" xfId="49705"/>
    <cellStyle name="SAPBEXinputData 3 2 4 2" xfId="49706"/>
    <cellStyle name="SAPBEXinputData 3 2 4 2 2" xfId="49707"/>
    <cellStyle name="SAPBEXinputData 3 2 4 3" xfId="49708"/>
    <cellStyle name="SAPBEXinputData 3 2 5" xfId="49709"/>
    <cellStyle name="SAPBEXinputData 3 3" xfId="49710"/>
    <cellStyle name="SAPBEXinputData 3 3 2" xfId="49711"/>
    <cellStyle name="SAPBEXinputData 3 3 2 2" xfId="49712"/>
    <cellStyle name="SAPBEXinputData 3 3 3" xfId="49713"/>
    <cellStyle name="SAPBEXinputData 3 4" xfId="49714"/>
    <cellStyle name="SAPBEXinputData 3 4 2" xfId="49715"/>
    <cellStyle name="SAPBEXinputData 3 4 2 2" xfId="49716"/>
    <cellStyle name="SAPBEXinputData 3 4 3" xfId="49717"/>
    <cellStyle name="SAPBEXinputData 3 5" xfId="49718"/>
    <cellStyle name="SAPBEXinputData 3 5 2" xfId="49719"/>
    <cellStyle name="SAPBEXinputData 3 5 2 2" xfId="49720"/>
    <cellStyle name="SAPBEXinputData 3 5 3" xfId="49721"/>
    <cellStyle name="SAPBEXinputData 3 6" xfId="49722"/>
    <cellStyle name="SAPBEXinputData 4" xfId="49723"/>
    <cellStyle name="SAPBEXinputData 4 2" xfId="49724"/>
    <cellStyle name="SAPBEXinputData 4 2 2" xfId="49725"/>
    <cellStyle name="SAPBEXinputData 4 2 2 2" xfId="49726"/>
    <cellStyle name="SAPBEXinputData 4 2 3" xfId="49727"/>
    <cellStyle name="SAPBEXinputData 4 2 3 2" xfId="49728"/>
    <cellStyle name="SAPBEXinputData 4 2 3 2 2" xfId="49729"/>
    <cellStyle name="SAPBEXinputData 4 2 3 3" xfId="49730"/>
    <cellStyle name="SAPBEXinputData 4 2 4" xfId="49731"/>
    <cellStyle name="SAPBEXinputData 4 2 4 2" xfId="49732"/>
    <cellStyle name="SAPBEXinputData 4 2 4 2 2" xfId="49733"/>
    <cellStyle name="SAPBEXinputData 4 2 4 3" xfId="49734"/>
    <cellStyle name="SAPBEXinputData 4 2 5" xfId="49735"/>
    <cellStyle name="SAPBEXinputData 4 3" xfId="49736"/>
    <cellStyle name="SAPBEXinputData 4 3 2" xfId="49737"/>
    <cellStyle name="SAPBEXinputData 4 3 2 2" xfId="49738"/>
    <cellStyle name="SAPBEXinputData 4 3 2 2 2" xfId="49739"/>
    <cellStyle name="SAPBEXinputData 4 3 2 3" xfId="49740"/>
    <cellStyle name="SAPBEXinputData 4 3 2 3 2" xfId="49741"/>
    <cellStyle name="SAPBEXinputData 4 3 2 3 2 2" xfId="49742"/>
    <cellStyle name="SAPBEXinputData 4 3 2 3 3" xfId="49743"/>
    <cellStyle name="SAPBEXinputData 4 3 2 4" xfId="49744"/>
    <cellStyle name="SAPBEXinputData 4 3 3" xfId="49745"/>
    <cellStyle name="SAPBEXinputData 4 3 3 2" xfId="49746"/>
    <cellStyle name="SAPBEXinputData 4 3 3 2 2" xfId="49747"/>
    <cellStyle name="SAPBEXinputData 4 3 3 3" xfId="49748"/>
    <cellStyle name="SAPBEXinputData 4 3 4" xfId="49749"/>
    <cellStyle name="SAPBEXinputData 4 3 4 2" xfId="49750"/>
    <cellStyle name="SAPBEXinputData 4 3 4 2 2" xfId="49751"/>
    <cellStyle name="SAPBEXinputData 4 3 4 3" xfId="49752"/>
    <cellStyle name="SAPBEXinputData 4 3 5" xfId="49753"/>
    <cellStyle name="SAPBEXinputData 4 3 5 2" xfId="49754"/>
    <cellStyle name="SAPBEXinputData 4 3 5 2 2" xfId="49755"/>
    <cellStyle name="SAPBEXinputData 4 3 5 3" xfId="49756"/>
    <cellStyle name="SAPBEXinputData 4 3 6" xfId="49757"/>
    <cellStyle name="SAPBEXinputData 4 4" xfId="49758"/>
    <cellStyle name="SAPBEXinputData 4 4 2" xfId="49759"/>
    <cellStyle name="SAPBEXinputData 4 4 2 2" xfId="49760"/>
    <cellStyle name="SAPBEXinputData 4 4 3" xfId="49761"/>
    <cellStyle name="SAPBEXinputData 4 5" xfId="49762"/>
    <cellStyle name="SAPBEXinputData 4 5 2" xfId="49763"/>
    <cellStyle name="SAPBEXinputData 4 5 2 2" xfId="49764"/>
    <cellStyle name="SAPBEXinputData 4 5 3" xfId="49765"/>
    <cellStyle name="SAPBEXinputData 4 6" xfId="49766"/>
    <cellStyle name="SAPBEXinputData 4 6 2" xfId="49767"/>
    <cellStyle name="SAPBEXinputData 4 6 2 2" xfId="49768"/>
    <cellStyle name="SAPBEXinputData 4 6 3" xfId="49769"/>
    <cellStyle name="SAPBEXinputData 4 7" xfId="49770"/>
    <cellStyle name="SAPBEXinputData 5" xfId="49771"/>
    <cellStyle name="SAPBEXinputData 5 2" xfId="49772"/>
    <cellStyle name="SAPBEXinputData 5 2 2" xfId="49773"/>
    <cellStyle name="SAPBEXinputData 5 3" xfId="49774"/>
    <cellStyle name="SAPBEXinputData 5 3 2" xfId="49775"/>
    <cellStyle name="SAPBEXinputData 5 3 2 2" xfId="49776"/>
    <cellStyle name="SAPBEXinputData 5 3 3" xfId="49777"/>
    <cellStyle name="SAPBEXinputData 5 4" xfId="49778"/>
    <cellStyle name="SAPBEXinputData 5 4 2" xfId="49779"/>
    <cellStyle name="SAPBEXinputData 5 4 2 2" xfId="49780"/>
    <cellStyle name="SAPBEXinputData 5 4 3" xfId="49781"/>
    <cellStyle name="SAPBEXinputData 5 5" xfId="49782"/>
    <cellStyle name="SAPBEXinputData 6" xfId="49783"/>
    <cellStyle name="SAPBEXinputData 6 2" xfId="49784"/>
    <cellStyle name="SAPBEXinputData 6 2 2" xfId="49785"/>
    <cellStyle name="SAPBEXinputData 6 3" xfId="49786"/>
    <cellStyle name="SAPBEXinputData 6 3 2" xfId="49787"/>
    <cellStyle name="SAPBEXinputData 6 3 2 2" xfId="49788"/>
    <cellStyle name="SAPBEXinputData 6 3 3" xfId="49789"/>
    <cellStyle name="SAPBEXinputData 6 4" xfId="49790"/>
    <cellStyle name="SAPBEXinputData 6 4 2" xfId="49791"/>
    <cellStyle name="SAPBEXinputData 6 4 2 2" xfId="49792"/>
    <cellStyle name="SAPBEXinputData 6 4 3" xfId="49793"/>
    <cellStyle name="SAPBEXinputData 6 5" xfId="49794"/>
    <cellStyle name="SAPBEXinputData 7" xfId="49795"/>
    <cellStyle name="SAPBEXinputData 7 2" xfId="49796"/>
    <cellStyle name="SAPBEXinputData 7 2 2" xfId="49797"/>
    <cellStyle name="SAPBEXinputData 7 2 2 2" xfId="49798"/>
    <cellStyle name="SAPBEXinputData 7 2 3" xfId="49799"/>
    <cellStyle name="SAPBEXinputData 7 2 3 2" xfId="49800"/>
    <cellStyle name="SAPBEXinputData 7 2 3 2 2" xfId="49801"/>
    <cellStyle name="SAPBEXinputData 7 2 3 3" xfId="49802"/>
    <cellStyle name="SAPBEXinputData 7 2 4" xfId="49803"/>
    <cellStyle name="SAPBEXinputData 7 3" xfId="49804"/>
    <cellStyle name="SAPBEXinputData 7 3 2" xfId="49805"/>
    <cellStyle name="SAPBEXinputData 7 3 2 2" xfId="49806"/>
    <cellStyle name="SAPBEXinputData 7 3 3" xfId="49807"/>
    <cellStyle name="SAPBEXinputData 7 4" xfId="49808"/>
    <cellStyle name="SAPBEXinputData 7 4 2" xfId="49809"/>
    <cellStyle name="SAPBEXinputData 7 4 2 2" xfId="49810"/>
    <cellStyle name="SAPBEXinputData 7 4 3" xfId="49811"/>
    <cellStyle name="SAPBEXinputData 7 5" xfId="49812"/>
    <cellStyle name="SAPBEXinputData 7 5 2" xfId="49813"/>
    <cellStyle name="SAPBEXinputData 7 5 2 2" xfId="49814"/>
    <cellStyle name="SAPBEXinputData 7 5 3" xfId="49815"/>
    <cellStyle name="SAPBEXinputData 7 6" xfId="49816"/>
    <cellStyle name="SAPBEXinputData 8" xfId="49817"/>
    <cellStyle name="SAPBEXinputData 8 2" xfId="49818"/>
    <cellStyle name="SAPBEXinputData 8 2 2" xfId="49819"/>
    <cellStyle name="SAPBEXinputData 8 3" xfId="49820"/>
    <cellStyle name="SAPBEXinputData 8 3 2" xfId="49821"/>
    <cellStyle name="SAPBEXinputData 8 3 2 2" xfId="49822"/>
    <cellStyle name="SAPBEXinputData 8 3 3" xfId="49823"/>
    <cellStyle name="SAPBEXinputData 8 4" xfId="49824"/>
    <cellStyle name="SAPBEXinputData 9" xfId="49825"/>
    <cellStyle name="SAPBEXinputData 9 2" xfId="49826"/>
    <cellStyle name="SAPBEXinputData 9 2 2" xfId="49827"/>
    <cellStyle name="SAPBEXinputData 9 2 2 2" xfId="49828"/>
    <cellStyle name="SAPBEXinputData 9 2 3" xfId="49829"/>
    <cellStyle name="SAPBEXinputData 9 3" xfId="49830"/>
    <cellStyle name="SAPBEXinputData 9 3 2" xfId="49831"/>
    <cellStyle name="SAPBEXinputData 9 3 2 2" xfId="49832"/>
    <cellStyle name="SAPBEXinputData 9 3 2 2 2" xfId="49833"/>
    <cellStyle name="SAPBEXinputData 9 3 2 3" xfId="49834"/>
    <cellStyle name="SAPBEXinputData 9 3 3" xfId="49835"/>
    <cellStyle name="SAPBEXinputData 9 3 3 2" xfId="49836"/>
    <cellStyle name="SAPBEXinputData 9 3 4" xfId="49837"/>
    <cellStyle name="SAPBEXinputData 9 4" xfId="49838"/>
    <cellStyle name="SAPBEXinputData 9 4 2" xfId="49839"/>
    <cellStyle name="SAPBEXinputData 9 4 2 2" xfId="49840"/>
    <cellStyle name="SAPBEXinputData 9 4 3" xfId="49841"/>
    <cellStyle name="SAPBEXinputData 9 5" xfId="49842"/>
    <cellStyle name="SAPBEXinputData 9 5 2" xfId="49843"/>
    <cellStyle name="SAPBEXinputData 9 6" xfId="49844"/>
    <cellStyle name="SAPBEXItemHeader" xfId="49845"/>
    <cellStyle name="SAPBEXItemHeader 10" xfId="49846"/>
    <cellStyle name="SAPBEXItemHeader 11" xfId="49847"/>
    <cellStyle name="SAPBEXItemHeader 2" xfId="49848"/>
    <cellStyle name="SAPBEXItemHeader 2 2" xfId="49849"/>
    <cellStyle name="SAPBEXItemHeader 2 2 2" xfId="49850"/>
    <cellStyle name="SAPBEXItemHeader 2 2 2 2" xfId="49851"/>
    <cellStyle name="SAPBEXItemHeader 2 2 2 2 2" xfId="49852"/>
    <cellStyle name="SAPBEXItemHeader 2 2 2 3" xfId="49853"/>
    <cellStyle name="SAPBEXItemHeader 2 2 3" xfId="49854"/>
    <cellStyle name="SAPBEXItemHeader 2 2 3 2" xfId="49855"/>
    <cellStyle name="SAPBEXItemHeader 2 2 3 2 2" xfId="49856"/>
    <cellStyle name="SAPBEXItemHeader 2 2 3 3" xfId="49857"/>
    <cellStyle name="SAPBEXItemHeader 2 2 4" xfId="49858"/>
    <cellStyle name="SAPBEXItemHeader 2 2 4 2" xfId="49859"/>
    <cellStyle name="SAPBEXItemHeader 2 2 4 2 2" xfId="49860"/>
    <cellStyle name="SAPBEXItemHeader 2 2 4 3" xfId="49861"/>
    <cellStyle name="SAPBEXItemHeader 2 2 5" xfId="49862"/>
    <cellStyle name="SAPBEXItemHeader 2 2 5 2" xfId="49863"/>
    <cellStyle name="SAPBEXItemHeader 2 2 6" xfId="49864"/>
    <cellStyle name="SAPBEXItemHeader 2 3" xfId="49865"/>
    <cellStyle name="SAPBEXItemHeader 2 3 2" xfId="49866"/>
    <cellStyle name="SAPBEXItemHeader 2 3 2 2" xfId="49867"/>
    <cellStyle name="SAPBEXItemHeader 2 3 2 2 2" xfId="49868"/>
    <cellStyle name="SAPBEXItemHeader 2 3 2 2 2 2" xfId="49869"/>
    <cellStyle name="SAPBEXItemHeader 2 3 2 2 3" xfId="49870"/>
    <cellStyle name="SAPBEXItemHeader 2 3 2 3" xfId="49871"/>
    <cellStyle name="SAPBEXItemHeader 2 3 2 3 2" xfId="49872"/>
    <cellStyle name="SAPBEXItemHeader 2 3 2 3 2 2" xfId="49873"/>
    <cellStyle name="SAPBEXItemHeader 2 3 2 3 3" xfId="49874"/>
    <cellStyle name="SAPBEXItemHeader 2 3 2 4" xfId="49875"/>
    <cellStyle name="SAPBEXItemHeader 2 3 2 4 2" xfId="49876"/>
    <cellStyle name="SAPBEXItemHeader 2 3 2 5" xfId="49877"/>
    <cellStyle name="SAPBEXItemHeader 2 3 3" xfId="49878"/>
    <cellStyle name="SAPBEXItemHeader 2 3 3 2" xfId="49879"/>
    <cellStyle name="SAPBEXItemHeader 2 3 3 2 2" xfId="49880"/>
    <cellStyle name="SAPBEXItemHeader 2 3 3 2 2 2" xfId="49881"/>
    <cellStyle name="SAPBEXItemHeader 2 3 3 2 3" xfId="49882"/>
    <cellStyle name="SAPBEXItemHeader 2 3 3 3" xfId="49883"/>
    <cellStyle name="SAPBEXItemHeader 2 3 3 3 2" xfId="49884"/>
    <cellStyle name="SAPBEXItemHeader 2 3 3 4" xfId="49885"/>
    <cellStyle name="SAPBEXItemHeader 2 3 4" xfId="49886"/>
    <cellStyle name="SAPBEXItemHeader 2 3 4 2" xfId="49887"/>
    <cellStyle name="SAPBEXItemHeader 2 3 4 2 2" xfId="49888"/>
    <cellStyle name="SAPBEXItemHeader 2 3 4 3" xfId="49889"/>
    <cellStyle name="SAPBEXItemHeader 2 3 5" xfId="49890"/>
    <cellStyle name="SAPBEXItemHeader 2 3 5 2" xfId="49891"/>
    <cellStyle name="SAPBEXItemHeader 2 3 5 2 2" xfId="49892"/>
    <cellStyle name="SAPBEXItemHeader 2 3 5 3" xfId="49893"/>
    <cellStyle name="SAPBEXItemHeader 2 3 6" xfId="49894"/>
    <cellStyle name="SAPBEXItemHeader 2 3 6 2" xfId="49895"/>
    <cellStyle name="SAPBEXItemHeader 2 3 7" xfId="49896"/>
    <cellStyle name="SAPBEXItemHeader 2 4" xfId="49897"/>
    <cellStyle name="SAPBEXItemHeader 2 4 2" xfId="49898"/>
    <cellStyle name="SAPBEXItemHeader 2 4 2 2" xfId="49899"/>
    <cellStyle name="SAPBEXItemHeader 2 4 2 2 2" xfId="49900"/>
    <cellStyle name="SAPBEXItemHeader 2 4 2 3" xfId="49901"/>
    <cellStyle name="SAPBEXItemHeader 2 4 3" xfId="49902"/>
    <cellStyle name="SAPBEXItemHeader 2 4 3 2" xfId="49903"/>
    <cellStyle name="SAPBEXItemHeader 2 4 4" xfId="49904"/>
    <cellStyle name="SAPBEXItemHeader 2 5" xfId="49905"/>
    <cellStyle name="SAPBEXItemHeader 2 5 2" xfId="49906"/>
    <cellStyle name="SAPBEXItemHeader 2 5 2 2" xfId="49907"/>
    <cellStyle name="SAPBEXItemHeader 2 5 3" xfId="49908"/>
    <cellStyle name="SAPBEXItemHeader 2 6" xfId="49909"/>
    <cellStyle name="SAPBEXItemHeader 2 6 2" xfId="49910"/>
    <cellStyle name="SAPBEXItemHeader 2 6 2 2" xfId="49911"/>
    <cellStyle name="SAPBEXItemHeader 2 6 3" xfId="49912"/>
    <cellStyle name="SAPBEXItemHeader 2 7" xfId="49913"/>
    <cellStyle name="SAPBEXItemHeader 2 7 2" xfId="49914"/>
    <cellStyle name="SAPBEXItemHeader 2 8" xfId="49915"/>
    <cellStyle name="SAPBEXItemHeader 3" xfId="49916"/>
    <cellStyle name="SAPBEXItemHeader 3 2" xfId="49917"/>
    <cellStyle name="SAPBEXItemHeader 3 2 2" xfId="49918"/>
    <cellStyle name="SAPBEXItemHeader 3 2 2 2" xfId="49919"/>
    <cellStyle name="SAPBEXItemHeader 3 2 2 2 2" xfId="49920"/>
    <cellStyle name="SAPBEXItemHeader 3 2 2 3" xfId="49921"/>
    <cellStyle name="SAPBEXItemHeader 3 2 3" xfId="49922"/>
    <cellStyle name="SAPBEXItemHeader 3 2 3 2" xfId="49923"/>
    <cellStyle name="SAPBEXItemHeader 3 2 3 2 2" xfId="49924"/>
    <cellStyle name="SAPBEXItemHeader 3 2 3 3" xfId="49925"/>
    <cellStyle name="SAPBEXItemHeader 3 2 4" xfId="49926"/>
    <cellStyle name="SAPBEXItemHeader 3 2 4 2" xfId="49927"/>
    <cellStyle name="SAPBEXItemHeader 3 2 4 2 2" xfId="49928"/>
    <cellStyle name="SAPBEXItemHeader 3 2 4 3" xfId="49929"/>
    <cellStyle name="SAPBEXItemHeader 3 2 5" xfId="49930"/>
    <cellStyle name="SAPBEXItemHeader 3 2 5 2" xfId="49931"/>
    <cellStyle name="SAPBEXItemHeader 3 2 6" xfId="49932"/>
    <cellStyle name="SAPBEXItemHeader 3 3" xfId="49933"/>
    <cellStyle name="SAPBEXItemHeader 3 3 2" xfId="49934"/>
    <cellStyle name="SAPBEXItemHeader 3 3 2 2" xfId="49935"/>
    <cellStyle name="SAPBEXItemHeader 3 3 2 2 2" xfId="49936"/>
    <cellStyle name="SAPBEXItemHeader 3 3 2 3" xfId="49937"/>
    <cellStyle name="SAPBEXItemHeader 3 3 3" xfId="49938"/>
    <cellStyle name="SAPBEXItemHeader 3 3 3 2" xfId="49939"/>
    <cellStyle name="SAPBEXItemHeader 3 3 4" xfId="49940"/>
    <cellStyle name="SAPBEXItemHeader 3 4" xfId="49941"/>
    <cellStyle name="SAPBEXItemHeader 3 4 2" xfId="49942"/>
    <cellStyle name="SAPBEXItemHeader 3 4 2 2" xfId="49943"/>
    <cellStyle name="SAPBEXItemHeader 3 4 3" xfId="49944"/>
    <cellStyle name="SAPBEXItemHeader 3 5" xfId="49945"/>
    <cellStyle name="SAPBEXItemHeader 3 5 2" xfId="49946"/>
    <cellStyle name="SAPBEXItemHeader 3 5 2 2" xfId="49947"/>
    <cellStyle name="SAPBEXItemHeader 3 5 3" xfId="49948"/>
    <cellStyle name="SAPBEXItemHeader 3 6" xfId="49949"/>
    <cellStyle name="SAPBEXItemHeader 3 6 2" xfId="49950"/>
    <cellStyle name="SAPBEXItemHeader 3 7" xfId="49951"/>
    <cellStyle name="SAPBEXItemHeader 4" xfId="49952"/>
    <cellStyle name="SAPBEXItemHeader 4 2" xfId="49953"/>
    <cellStyle name="SAPBEXItemHeader 4 2 2" xfId="49954"/>
    <cellStyle name="SAPBEXItemHeader 4 2 2 2" xfId="49955"/>
    <cellStyle name="SAPBEXItemHeader 4 2 3" xfId="49956"/>
    <cellStyle name="SAPBEXItemHeader 4 3" xfId="49957"/>
    <cellStyle name="SAPBEXItemHeader 4 3 2" xfId="49958"/>
    <cellStyle name="SAPBEXItemHeader 4 3 2 2" xfId="49959"/>
    <cellStyle name="SAPBEXItemHeader 4 3 3" xfId="49960"/>
    <cellStyle name="SAPBEXItemHeader 4 4" xfId="49961"/>
    <cellStyle name="SAPBEXItemHeader 4 4 2" xfId="49962"/>
    <cellStyle name="SAPBEXItemHeader 4 4 2 2" xfId="49963"/>
    <cellStyle name="SAPBEXItemHeader 4 4 3" xfId="49964"/>
    <cellStyle name="SAPBEXItemHeader 4 5" xfId="49965"/>
    <cellStyle name="SAPBEXItemHeader 4 5 2" xfId="49966"/>
    <cellStyle name="SAPBEXItemHeader 4 6" xfId="49967"/>
    <cellStyle name="SAPBEXItemHeader 5" xfId="49968"/>
    <cellStyle name="SAPBEXItemHeader 5 2" xfId="49969"/>
    <cellStyle name="SAPBEXItemHeader 5 2 2" xfId="49970"/>
    <cellStyle name="SAPBEXItemHeader 5 2 2 2" xfId="49971"/>
    <cellStyle name="SAPBEXItemHeader 5 2 3" xfId="49972"/>
    <cellStyle name="SAPBEXItemHeader 5 3" xfId="49973"/>
    <cellStyle name="SAPBEXItemHeader 5 3 2" xfId="49974"/>
    <cellStyle name="SAPBEXItemHeader 5 4" xfId="49975"/>
    <cellStyle name="SAPBEXItemHeader 6" xfId="49976"/>
    <cellStyle name="SAPBEXItemHeader 6 2" xfId="49977"/>
    <cellStyle name="SAPBEXItemHeader 6 2 2" xfId="49978"/>
    <cellStyle name="SAPBEXItemHeader 6 3" xfId="49979"/>
    <cellStyle name="SAPBEXItemHeader 7" xfId="49980"/>
    <cellStyle name="SAPBEXItemHeader 7 2" xfId="49981"/>
    <cellStyle name="SAPBEXItemHeader 7 2 2" xfId="49982"/>
    <cellStyle name="SAPBEXItemHeader 7 3" xfId="49983"/>
    <cellStyle name="SAPBEXItemHeader 8" xfId="49984"/>
    <cellStyle name="SAPBEXItemHeader 8 2" xfId="49985"/>
    <cellStyle name="SAPBEXItemHeader 8 2 2" xfId="49986"/>
    <cellStyle name="SAPBEXItemHeader 8 3" xfId="49987"/>
    <cellStyle name="SAPBEXItemHeader 9" xfId="49988"/>
    <cellStyle name="SAPBEXItemHeader 9 2" xfId="49989"/>
    <cellStyle name="SAPBEXresData" xfId="69"/>
    <cellStyle name="SAPBEXresData 10" xfId="49990"/>
    <cellStyle name="SAPBEXresData 10 2" xfId="49991"/>
    <cellStyle name="SAPBEXresData 11" xfId="49992"/>
    <cellStyle name="SAPBEXresData 11 2" xfId="49993"/>
    <cellStyle name="SAPBEXresData 12" xfId="49994"/>
    <cellStyle name="SAPBEXresData 13" xfId="49995"/>
    <cellStyle name="SAPBEXresData 2" xfId="49996"/>
    <cellStyle name="SAPBEXresData 2 2" xfId="49997"/>
    <cellStyle name="SAPBEXresData 2 2 2" xfId="49998"/>
    <cellStyle name="SAPBEXresData 2 2 2 2" xfId="49999"/>
    <cellStyle name="SAPBEXresData 2 2 3" xfId="50000"/>
    <cellStyle name="SAPBEXresData 2 2 3 2" xfId="50001"/>
    <cellStyle name="SAPBEXresData 2 2 3 2 2" xfId="50002"/>
    <cellStyle name="SAPBEXresData 2 2 3 3" xfId="50003"/>
    <cellStyle name="SAPBEXresData 2 2 4" xfId="50004"/>
    <cellStyle name="SAPBEXresData 2 3" xfId="50005"/>
    <cellStyle name="SAPBEXresData 2 3 2" xfId="50006"/>
    <cellStyle name="SAPBEXresData 2 3 2 2" xfId="50007"/>
    <cellStyle name="SAPBEXresData 2 3 3" xfId="50008"/>
    <cellStyle name="SAPBEXresData 2 4" xfId="50009"/>
    <cellStyle name="SAPBEXresData 2 4 2" xfId="50010"/>
    <cellStyle name="SAPBEXresData 2 4 2 2" xfId="50011"/>
    <cellStyle name="SAPBEXresData 2 4 3" xfId="50012"/>
    <cellStyle name="SAPBEXresData 2 5" xfId="50013"/>
    <cellStyle name="SAPBEXresData 2 5 2" xfId="50014"/>
    <cellStyle name="SAPBEXresData 2 5 2 2" xfId="50015"/>
    <cellStyle name="SAPBEXresData 2 5 3" xfId="50016"/>
    <cellStyle name="SAPBEXresData 2 6" xfId="50017"/>
    <cellStyle name="SAPBEXresData 2 6 2" xfId="50018"/>
    <cellStyle name="SAPBEXresData 2 7" xfId="50019"/>
    <cellStyle name="SAPBEXresData 3" xfId="50020"/>
    <cellStyle name="SAPBEXresData 3 2" xfId="50021"/>
    <cellStyle name="SAPBEXresData 3 2 2" xfId="50022"/>
    <cellStyle name="SAPBEXresData 3 3" xfId="50023"/>
    <cellStyle name="SAPBEXresData 3 3 2" xfId="50024"/>
    <cellStyle name="SAPBEXresData 3 3 2 2" xfId="50025"/>
    <cellStyle name="SAPBEXresData 3 3 3" xfId="50026"/>
    <cellStyle name="SAPBEXresData 3 4" xfId="50027"/>
    <cellStyle name="SAPBEXresData 3 4 2" xfId="50028"/>
    <cellStyle name="SAPBEXresData 3 4 2 2" xfId="50029"/>
    <cellStyle name="SAPBEXresData 3 4 3" xfId="50030"/>
    <cellStyle name="SAPBEXresData 3 5" xfId="50031"/>
    <cellStyle name="SAPBEXresData 4" xfId="50032"/>
    <cellStyle name="SAPBEXresData 4 2" xfId="50033"/>
    <cellStyle name="SAPBEXresData 4 2 2" xfId="50034"/>
    <cellStyle name="SAPBEXresData 4 2 2 2" xfId="50035"/>
    <cellStyle name="SAPBEXresData 4 2 3" xfId="50036"/>
    <cellStyle name="SAPBEXresData 4 2 3 2" xfId="50037"/>
    <cellStyle name="SAPBEXresData 4 2 3 2 2" xfId="50038"/>
    <cellStyle name="SAPBEXresData 4 2 3 3" xfId="50039"/>
    <cellStyle name="SAPBEXresData 4 2 4" xfId="50040"/>
    <cellStyle name="SAPBEXresData 4 3" xfId="50041"/>
    <cellStyle name="SAPBEXresData 4 3 2" xfId="50042"/>
    <cellStyle name="SAPBEXresData 4 3 2 2" xfId="50043"/>
    <cellStyle name="SAPBEXresData 4 3 3" xfId="50044"/>
    <cellStyle name="SAPBEXresData 4 4" xfId="50045"/>
    <cellStyle name="SAPBEXresData 4 4 2" xfId="50046"/>
    <cellStyle name="SAPBEXresData 4 4 2 2" xfId="50047"/>
    <cellStyle name="SAPBEXresData 4 4 3" xfId="50048"/>
    <cellStyle name="SAPBEXresData 4 5" xfId="50049"/>
    <cellStyle name="SAPBEXresData 4 5 2" xfId="50050"/>
    <cellStyle name="SAPBEXresData 4 5 2 2" xfId="50051"/>
    <cellStyle name="SAPBEXresData 4 5 3" xfId="50052"/>
    <cellStyle name="SAPBEXresData 4 6" xfId="50053"/>
    <cellStyle name="SAPBEXresData 5" xfId="50054"/>
    <cellStyle name="SAPBEXresData 5 2" xfId="50055"/>
    <cellStyle name="SAPBEXresData 5 2 2" xfId="50056"/>
    <cellStyle name="SAPBEXresData 5 3" xfId="50057"/>
    <cellStyle name="SAPBEXresData 6" xfId="50058"/>
    <cellStyle name="SAPBEXresData 6 2" xfId="50059"/>
    <cellStyle name="SAPBEXresData 6 2 2" xfId="50060"/>
    <cellStyle name="SAPBEXresData 6 3" xfId="50061"/>
    <cellStyle name="SAPBEXresData 7" xfId="50062"/>
    <cellStyle name="SAPBEXresData 7 2" xfId="50063"/>
    <cellStyle name="SAPBEXresData 7 2 2" xfId="50064"/>
    <cellStyle name="SAPBEXresData 7 3" xfId="50065"/>
    <cellStyle name="SAPBEXresData 8" xfId="50066"/>
    <cellStyle name="SAPBEXresData 8 2" xfId="50067"/>
    <cellStyle name="SAPBEXresData 9" xfId="50068"/>
    <cellStyle name="SAPBEXresData 9 2" xfId="50069"/>
    <cellStyle name="SAPBEXresDataEmph" xfId="70"/>
    <cellStyle name="SAPBEXresDataEmph 10" xfId="50070"/>
    <cellStyle name="SAPBEXresDataEmph 10 2" xfId="50071"/>
    <cellStyle name="SAPBEXresDataEmph 11" xfId="50072"/>
    <cellStyle name="SAPBEXresDataEmph 11 2" xfId="50073"/>
    <cellStyle name="SAPBEXresDataEmph 12" xfId="50074"/>
    <cellStyle name="SAPBEXresDataEmph 2" xfId="50075"/>
    <cellStyle name="SAPBEXresDataEmph 2 2" xfId="50076"/>
    <cellStyle name="SAPBEXresDataEmph 2 2 2" xfId="50077"/>
    <cellStyle name="SAPBEXresDataEmph 2 2 3" xfId="50078"/>
    <cellStyle name="SAPBEXresDataEmph 2 2 3 2" xfId="50079"/>
    <cellStyle name="SAPBEXresDataEmph 2 2 3 2 2" xfId="50080"/>
    <cellStyle name="SAPBEXresDataEmph 2 2 3 3" xfId="50081"/>
    <cellStyle name="SAPBEXresDataEmph 2 3" xfId="50082"/>
    <cellStyle name="SAPBEXresDataEmph 2 3 2" xfId="50083"/>
    <cellStyle name="SAPBEXresDataEmph 2 4" xfId="50084"/>
    <cellStyle name="SAPBEXresDataEmph 2 4 2" xfId="50085"/>
    <cellStyle name="SAPBEXresDataEmph 2 4 2 2" xfId="50086"/>
    <cellStyle name="SAPBEXresDataEmph 2 4 3" xfId="50087"/>
    <cellStyle name="SAPBEXresDataEmph 2 5" xfId="50088"/>
    <cellStyle name="SAPBEXresDataEmph 2 5 2" xfId="50089"/>
    <cellStyle name="SAPBEXresDataEmph 2 5 2 2" xfId="50090"/>
    <cellStyle name="SAPBEXresDataEmph 2 5 3" xfId="50091"/>
    <cellStyle name="SAPBEXresDataEmph 2 6" xfId="50092"/>
    <cellStyle name="SAPBEXresDataEmph 3" xfId="50093"/>
    <cellStyle name="SAPBEXresDataEmph 3 2" xfId="50094"/>
    <cellStyle name="SAPBEXresDataEmph 3 2 2" xfId="50095"/>
    <cellStyle name="SAPBEXresDataEmph 3 3" xfId="50096"/>
    <cellStyle name="SAPBEXresDataEmph 3 3 2" xfId="50097"/>
    <cellStyle name="SAPBEXresDataEmph 3 3 2 2" xfId="50098"/>
    <cellStyle name="SAPBEXresDataEmph 3 3 3" xfId="50099"/>
    <cellStyle name="SAPBEXresDataEmph 3 4" xfId="50100"/>
    <cellStyle name="SAPBEXresDataEmph 3 4 2" xfId="50101"/>
    <cellStyle name="SAPBEXresDataEmph 3 4 2 2" xfId="50102"/>
    <cellStyle name="SAPBEXresDataEmph 3 4 3" xfId="50103"/>
    <cellStyle name="SAPBEXresDataEmph 3 5" xfId="50104"/>
    <cellStyle name="SAPBEXresDataEmph 4" xfId="50105"/>
    <cellStyle name="SAPBEXresDataEmph 4 2" xfId="50106"/>
    <cellStyle name="SAPBEXresDataEmph 4 2 2" xfId="50107"/>
    <cellStyle name="SAPBEXresDataEmph 4 2 2 2" xfId="50108"/>
    <cellStyle name="SAPBEXresDataEmph 4 2 3" xfId="50109"/>
    <cellStyle name="SAPBEXresDataEmph 4 2 3 2" xfId="50110"/>
    <cellStyle name="SAPBEXresDataEmph 4 2 3 2 2" xfId="50111"/>
    <cellStyle name="SAPBEXresDataEmph 4 2 3 3" xfId="50112"/>
    <cellStyle name="SAPBEXresDataEmph 4 2 4" xfId="50113"/>
    <cellStyle name="SAPBEXresDataEmph 4 3" xfId="50114"/>
    <cellStyle name="SAPBEXresDataEmph 4 3 2" xfId="50115"/>
    <cellStyle name="SAPBEXresDataEmph 4 3 2 2" xfId="50116"/>
    <cellStyle name="SAPBEXresDataEmph 4 3 3" xfId="50117"/>
    <cellStyle name="SAPBEXresDataEmph 4 4" xfId="50118"/>
    <cellStyle name="SAPBEXresDataEmph 4 4 2" xfId="50119"/>
    <cellStyle name="SAPBEXresDataEmph 4 4 2 2" xfId="50120"/>
    <cellStyle name="SAPBEXresDataEmph 4 4 3" xfId="50121"/>
    <cellStyle name="SAPBEXresDataEmph 4 5" xfId="50122"/>
    <cellStyle name="SAPBEXresDataEmph 4 5 2" xfId="50123"/>
    <cellStyle name="SAPBEXresDataEmph 4 5 2 2" xfId="50124"/>
    <cellStyle name="SAPBEXresDataEmph 4 5 3" xfId="50125"/>
    <cellStyle name="SAPBEXresDataEmph 4 6" xfId="50126"/>
    <cellStyle name="SAPBEXresDataEmph 5" xfId="50127"/>
    <cellStyle name="SAPBEXresDataEmph 5 2" xfId="50128"/>
    <cellStyle name="SAPBEXresDataEmph 5 2 2" xfId="50129"/>
    <cellStyle name="SAPBEXresDataEmph 5 3" xfId="50130"/>
    <cellStyle name="SAPBEXresDataEmph 6" xfId="50131"/>
    <cellStyle name="SAPBEXresDataEmph 6 2" xfId="50132"/>
    <cellStyle name="SAPBEXresDataEmph 6 2 2" xfId="50133"/>
    <cellStyle name="SAPBEXresDataEmph 6 3" xfId="50134"/>
    <cellStyle name="SAPBEXresDataEmph 7" xfId="50135"/>
    <cellStyle name="SAPBEXresDataEmph 7 2" xfId="50136"/>
    <cellStyle name="SAPBEXresDataEmph 7 2 2" xfId="50137"/>
    <cellStyle name="SAPBEXresDataEmph 7 3" xfId="50138"/>
    <cellStyle name="SAPBEXresDataEmph 8" xfId="50139"/>
    <cellStyle name="SAPBEXresDataEmph 8 2" xfId="50140"/>
    <cellStyle name="SAPBEXresDataEmph 9" xfId="50141"/>
    <cellStyle name="SAPBEXresDataEmph 9 2" xfId="50142"/>
    <cellStyle name="SAPBEXresItem" xfId="71"/>
    <cellStyle name="SAPBEXresItem 10" xfId="50143"/>
    <cellStyle name="SAPBEXresItem 10 2" xfId="50144"/>
    <cellStyle name="SAPBEXresItem 11" xfId="50145"/>
    <cellStyle name="SAPBEXresItem 11 2" xfId="50146"/>
    <cellStyle name="SAPBEXresItem 12" xfId="50147"/>
    <cellStyle name="SAPBEXresItem 13" xfId="50148"/>
    <cellStyle name="SAPBEXresItem 2" xfId="50149"/>
    <cellStyle name="SAPBEXresItem 2 2" xfId="50150"/>
    <cellStyle name="SAPBEXresItem 2 2 2" xfId="50151"/>
    <cellStyle name="SAPBEXresItem 2 2 2 2" xfId="50152"/>
    <cellStyle name="SAPBEXresItem 2 2 3" xfId="50153"/>
    <cellStyle name="SAPBEXresItem 2 2 3 2" xfId="50154"/>
    <cellStyle name="SAPBEXresItem 2 2 3 2 2" xfId="50155"/>
    <cellStyle name="SAPBEXresItem 2 2 3 3" xfId="50156"/>
    <cellStyle name="SAPBEXresItem 2 2 4" xfId="50157"/>
    <cellStyle name="SAPBEXresItem 2 3" xfId="50158"/>
    <cellStyle name="SAPBEXresItem 2 3 2" xfId="50159"/>
    <cellStyle name="SAPBEXresItem 2 3 2 2" xfId="50160"/>
    <cellStyle name="SAPBEXresItem 2 3 3" xfId="50161"/>
    <cellStyle name="SAPBEXresItem 2 4" xfId="50162"/>
    <cellStyle name="SAPBEXresItem 2 4 2" xfId="50163"/>
    <cellStyle name="SAPBEXresItem 2 4 2 2" xfId="50164"/>
    <cellStyle name="SAPBEXresItem 2 4 3" xfId="50165"/>
    <cellStyle name="SAPBEXresItem 2 5" xfId="50166"/>
    <cellStyle name="SAPBEXresItem 2 5 2" xfId="50167"/>
    <cellStyle name="SAPBEXresItem 2 5 2 2" xfId="50168"/>
    <cellStyle name="SAPBEXresItem 2 5 3" xfId="50169"/>
    <cellStyle name="SAPBEXresItem 2 6" xfId="50170"/>
    <cellStyle name="SAPBEXresItem 2 6 2" xfId="50171"/>
    <cellStyle name="SAPBEXresItem 2 7" xfId="50172"/>
    <cellStyle name="SAPBEXresItem 3" xfId="50173"/>
    <cellStyle name="SAPBEXresItem 3 2" xfId="50174"/>
    <cellStyle name="SAPBEXresItem 3 2 2" xfId="50175"/>
    <cellStyle name="SAPBEXresItem 3 3" xfId="50176"/>
    <cellStyle name="SAPBEXresItem 3 3 2" xfId="50177"/>
    <cellStyle name="SAPBEXresItem 3 3 2 2" xfId="50178"/>
    <cellStyle name="SAPBEXresItem 3 3 3" xfId="50179"/>
    <cellStyle name="SAPBEXresItem 3 4" xfId="50180"/>
    <cellStyle name="SAPBEXresItem 3 4 2" xfId="50181"/>
    <cellStyle name="SAPBEXresItem 3 4 2 2" xfId="50182"/>
    <cellStyle name="SAPBEXresItem 3 4 3" xfId="50183"/>
    <cellStyle name="SAPBEXresItem 3 5" xfId="50184"/>
    <cellStyle name="SAPBEXresItem 4" xfId="50185"/>
    <cellStyle name="SAPBEXresItem 4 2" xfId="50186"/>
    <cellStyle name="SAPBEXresItem 4 2 2" xfId="50187"/>
    <cellStyle name="SAPBEXresItem 4 2 2 2" xfId="50188"/>
    <cellStyle name="SAPBEXresItem 4 2 3" xfId="50189"/>
    <cellStyle name="SAPBEXresItem 4 2 3 2" xfId="50190"/>
    <cellStyle name="SAPBEXresItem 4 2 3 2 2" xfId="50191"/>
    <cellStyle name="SAPBEXresItem 4 2 3 3" xfId="50192"/>
    <cellStyle name="SAPBEXresItem 4 2 4" xfId="50193"/>
    <cellStyle name="SAPBEXresItem 4 3" xfId="50194"/>
    <cellStyle name="SAPBEXresItem 4 3 2" xfId="50195"/>
    <cellStyle name="SAPBEXresItem 4 3 2 2" xfId="50196"/>
    <cellStyle name="SAPBEXresItem 4 3 3" xfId="50197"/>
    <cellStyle name="SAPBEXresItem 4 4" xfId="50198"/>
    <cellStyle name="SAPBEXresItem 4 4 2" xfId="50199"/>
    <cellStyle name="SAPBEXresItem 4 4 2 2" xfId="50200"/>
    <cellStyle name="SAPBEXresItem 4 4 3" xfId="50201"/>
    <cellStyle name="SAPBEXresItem 4 5" xfId="50202"/>
    <cellStyle name="SAPBEXresItem 4 5 2" xfId="50203"/>
    <cellStyle name="SAPBEXresItem 4 5 2 2" xfId="50204"/>
    <cellStyle name="SAPBEXresItem 4 5 3" xfId="50205"/>
    <cellStyle name="SAPBEXresItem 4 6" xfId="50206"/>
    <cellStyle name="SAPBEXresItem 5" xfId="50207"/>
    <cellStyle name="SAPBEXresItem 5 2" xfId="50208"/>
    <cellStyle name="SAPBEXresItem 5 2 2" xfId="50209"/>
    <cellStyle name="SAPBEXresItem 5 3" xfId="50210"/>
    <cellStyle name="SAPBEXresItem 6" xfId="50211"/>
    <cellStyle name="SAPBEXresItem 6 2" xfId="50212"/>
    <cellStyle name="SAPBEXresItem 6 2 2" xfId="50213"/>
    <cellStyle name="SAPBEXresItem 6 3" xfId="50214"/>
    <cellStyle name="SAPBEXresItem 7" xfId="50215"/>
    <cellStyle name="SAPBEXresItem 7 2" xfId="50216"/>
    <cellStyle name="SAPBEXresItem 7 2 2" xfId="50217"/>
    <cellStyle name="SAPBEXresItem 7 3" xfId="50218"/>
    <cellStyle name="SAPBEXresItem 8" xfId="50219"/>
    <cellStyle name="SAPBEXresItem 8 2" xfId="50220"/>
    <cellStyle name="SAPBEXresItem 9" xfId="50221"/>
    <cellStyle name="SAPBEXresItem 9 2" xfId="50222"/>
    <cellStyle name="SAPBEXresItemX" xfId="72"/>
    <cellStyle name="SAPBEXresItemX 10" xfId="50223"/>
    <cellStyle name="SAPBEXresItemX 10 2" xfId="50224"/>
    <cellStyle name="SAPBEXresItemX 10 2 2" xfId="50225"/>
    <cellStyle name="SAPBEXresItemX 10 3" xfId="50226"/>
    <cellStyle name="SAPBEXresItemX 11" xfId="50227"/>
    <cellStyle name="SAPBEXresItemX 11 2" xfId="50228"/>
    <cellStyle name="SAPBEXresItemX 12" xfId="50229"/>
    <cellStyle name="SAPBEXresItemX 12 2" xfId="50230"/>
    <cellStyle name="SAPBEXresItemX 12 2 2" xfId="50231"/>
    <cellStyle name="SAPBEXresItemX 12 3" xfId="50232"/>
    <cellStyle name="SAPBEXresItemX 12 3 2" xfId="50233"/>
    <cellStyle name="SAPBEXresItemX 12 4" xfId="50234"/>
    <cellStyle name="SAPBEXresItemX 13" xfId="50235"/>
    <cellStyle name="SAPBEXresItemX 13 2" xfId="50236"/>
    <cellStyle name="SAPBEXresItemX 14" xfId="50237"/>
    <cellStyle name="SAPBEXresItemX 14 2" xfId="50238"/>
    <cellStyle name="SAPBEXresItemX 15" xfId="50239"/>
    <cellStyle name="SAPBEXresItemX 15 2" xfId="50240"/>
    <cellStyle name="SAPBEXresItemX 16" xfId="50241"/>
    <cellStyle name="SAPBEXresItemX 17" xfId="50242"/>
    <cellStyle name="SAPBEXresItemX 2" xfId="50243"/>
    <cellStyle name="SAPBEXresItemX 2 10" xfId="50244"/>
    <cellStyle name="SAPBEXresItemX 2 2" xfId="50245"/>
    <cellStyle name="SAPBEXresItemX 2 2 2" xfId="50246"/>
    <cellStyle name="SAPBEXresItemX 2 2 2 2" xfId="50247"/>
    <cellStyle name="SAPBEXresItemX 2 2 2 2 2" xfId="50248"/>
    <cellStyle name="SAPBEXresItemX 2 2 2 2 2 2" xfId="50249"/>
    <cellStyle name="SAPBEXresItemX 2 2 2 2 3" xfId="50250"/>
    <cellStyle name="SAPBEXresItemX 2 2 2 3" xfId="50251"/>
    <cellStyle name="SAPBEXresItemX 2 2 2 3 2" xfId="50252"/>
    <cellStyle name="SAPBEXresItemX 2 2 2 4" xfId="50253"/>
    <cellStyle name="SAPBEXresItemX 2 2 3" xfId="50254"/>
    <cellStyle name="SAPBEXresItemX 2 2 3 2" xfId="50255"/>
    <cellStyle name="SAPBEXresItemX 2 2 3 2 2" xfId="50256"/>
    <cellStyle name="SAPBEXresItemX 2 2 3 3" xfId="50257"/>
    <cellStyle name="SAPBEXresItemX 2 2 4" xfId="50258"/>
    <cellStyle name="SAPBEXresItemX 2 2 4 2" xfId="50259"/>
    <cellStyle name="SAPBEXresItemX 2 2 4 2 2" xfId="50260"/>
    <cellStyle name="SAPBEXresItemX 2 2 4 3" xfId="50261"/>
    <cellStyle name="SAPBEXresItemX 2 2 5" xfId="50262"/>
    <cellStyle name="SAPBEXresItemX 2 2 5 2" xfId="50263"/>
    <cellStyle name="SAPBEXresItemX 2 2 5 2 2" xfId="50264"/>
    <cellStyle name="SAPBEXresItemX 2 2 5 3" xfId="50265"/>
    <cellStyle name="SAPBEXresItemX 2 2 6" xfId="50266"/>
    <cellStyle name="SAPBEXresItemX 2 2 6 2" xfId="50267"/>
    <cellStyle name="SAPBEXresItemX 2 2 7" xfId="50268"/>
    <cellStyle name="SAPBEXresItemX 2 3" xfId="50269"/>
    <cellStyle name="SAPBEXresItemX 2 3 2" xfId="50270"/>
    <cellStyle name="SAPBEXresItemX 2 3 2 2" xfId="50271"/>
    <cellStyle name="SAPBEXresItemX 2 3 2 2 2" xfId="50272"/>
    <cellStyle name="SAPBEXresItemX 2 3 2 2 2 2" xfId="50273"/>
    <cellStyle name="SAPBEXresItemX 2 3 2 2 2 2 2" xfId="50274"/>
    <cellStyle name="SAPBEXresItemX 2 3 2 2 2 3" xfId="50275"/>
    <cellStyle name="SAPBEXresItemX 2 3 2 2 3" xfId="50276"/>
    <cellStyle name="SAPBEXresItemX 2 3 2 2 3 2" xfId="50277"/>
    <cellStyle name="SAPBEXresItemX 2 3 2 2 4" xfId="50278"/>
    <cellStyle name="SAPBEXresItemX 2 3 2 3" xfId="50279"/>
    <cellStyle name="SAPBEXresItemX 2 3 2 3 2" xfId="50280"/>
    <cellStyle name="SAPBEXresItemX 2 3 2 3 2 2" xfId="50281"/>
    <cellStyle name="SAPBEXresItemX 2 3 2 3 3" xfId="50282"/>
    <cellStyle name="SAPBEXresItemX 2 3 2 4" xfId="50283"/>
    <cellStyle name="SAPBEXresItemX 2 3 2 4 2" xfId="50284"/>
    <cellStyle name="SAPBEXresItemX 2 3 2 4 2 2" xfId="50285"/>
    <cellStyle name="SAPBEXresItemX 2 3 2 4 3" xfId="50286"/>
    <cellStyle name="SAPBEXresItemX 2 3 2 5" xfId="50287"/>
    <cellStyle name="SAPBEXresItemX 2 3 2 5 2" xfId="50288"/>
    <cellStyle name="SAPBEXresItemX 2 3 2 6" xfId="50289"/>
    <cellStyle name="SAPBEXresItemX 2 3 3" xfId="50290"/>
    <cellStyle name="SAPBEXresItemX 2 3 3 2" xfId="50291"/>
    <cellStyle name="SAPBEXresItemX 2 3 3 2 2" xfId="50292"/>
    <cellStyle name="SAPBEXresItemX 2 3 3 2 2 2" xfId="50293"/>
    <cellStyle name="SAPBEXresItemX 2 3 3 2 2 2 2" xfId="50294"/>
    <cellStyle name="SAPBEXresItemX 2 3 3 2 2 3" xfId="50295"/>
    <cellStyle name="SAPBEXresItemX 2 3 3 2 3" xfId="50296"/>
    <cellStyle name="SAPBEXresItemX 2 3 3 2 3 2" xfId="50297"/>
    <cellStyle name="SAPBEXresItemX 2 3 3 2 4" xfId="50298"/>
    <cellStyle name="SAPBEXresItemX 2 3 3 3" xfId="50299"/>
    <cellStyle name="SAPBEXresItemX 2 3 3 3 2" xfId="50300"/>
    <cellStyle name="SAPBEXresItemX 2 3 3 3 2 2" xfId="50301"/>
    <cellStyle name="SAPBEXresItemX 2 3 3 3 3" xfId="50302"/>
    <cellStyle name="SAPBEXresItemX 2 3 3 4" xfId="50303"/>
    <cellStyle name="SAPBEXresItemX 2 3 3 4 2" xfId="50304"/>
    <cellStyle name="SAPBEXresItemX 2 3 3 5" xfId="50305"/>
    <cellStyle name="SAPBEXresItemX 2 3 4" xfId="50306"/>
    <cellStyle name="SAPBEXresItemX 2 3 4 2" xfId="50307"/>
    <cellStyle name="SAPBEXresItemX 2 3 4 2 2" xfId="50308"/>
    <cellStyle name="SAPBEXresItemX 2 3 4 3" xfId="50309"/>
    <cellStyle name="SAPBEXresItemX 2 3 5" xfId="50310"/>
    <cellStyle name="SAPBEXresItemX 2 3 5 2" xfId="50311"/>
    <cellStyle name="SAPBEXresItemX 2 3 5 2 2" xfId="50312"/>
    <cellStyle name="SAPBEXresItemX 2 3 5 3" xfId="50313"/>
    <cellStyle name="SAPBEXresItemX 2 3 6" xfId="50314"/>
    <cellStyle name="SAPBEXresItemX 2 3 6 2" xfId="50315"/>
    <cellStyle name="SAPBEXresItemX 2 3 6 2 2" xfId="50316"/>
    <cellStyle name="SAPBEXresItemX 2 3 6 3" xfId="50317"/>
    <cellStyle name="SAPBEXresItemX 2 3 7" xfId="50318"/>
    <cellStyle name="SAPBEXresItemX 2 3 7 2" xfId="50319"/>
    <cellStyle name="SAPBEXresItemX 2 3 8" xfId="50320"/>
    <cellStyle name="SAPBEXresItemX 2 4" xfId="50321"/>
    <cellStyle name="SAPBEXresItemX 2 4 2" xfId="50322"/>
    <cellStyle name="SAPBEXresItemX 2 4 2 2" xfId="50323"/>
    <cellStyle name="SAPBEXresItemX 2 4 2 2 2" xfId="50324"/>
    <cellStyle name="SAPBEXresItemX 2 4 2 2 2 2" xfId="50325"/>
    <cellStyle name="SAPBEXresItemX 2 4 2 2 3" xfId="50326"/>
    <cellStyle name="SAPBEXresItemX 2 4 2 3" xfId="50327"/>
    <cellStyle name="SAPBEXresItemX 2 4 2 3 2" xfId="50328"/>
    <cellStyle name="SAPBEXresItemX 2 4 2 3 2 2" xfId="50329"/>
    <cellStyle name="SAPBEXresItemX 2 4 2 3 3" xfId="50330"/>
    <cellStyle name="SAPBEXresItemX 2 4 2 4" xfId="50331"/>
    <cellStyle name="SAPBEXresItemX 2 4 2 4 2" xfId="50332"/>
    <cellStyle name="SAPBEXresItemX 2 4 2 5" xfId="50333"/>
    <cellStyle name="SAPBEXresItemX 2 4 3" xfId="50334"/>
    <cellStyle name="SAPBEXresItemX 2 4 3 2" xfId="50335"/>
    <cellStyle name="SAPBEXresItemX 2 4 3 2 2" xfId="50336"/>
    <cellStyle name="SAPBEXresItemX 2 4 3 2 2 2" xfId="50337"/>
    <cellStyle name="SAPBEXresItemX 2 4 3 2 3" xfId="50338"/>
    <cellStyle name="SAPBEXresItemX 2 4 3 3" xfId="50339"/>
    <cellStyle name="SAPBEXresItemX 2 4 3 3 2" xfId="50340"/>
    <cellStyle name="SAPBEXresItemX 2 4 3 4" xfId="50341"/>
    <cellStyle name="SAPBEXresItemX 2 4 4" xfId="50342"/>
    <cellStyle name="SAPBEXresItemX 2 4 4 2" xfId="50343"/>
    <cellStyle name="SAPBEXresItemX 2 4 4 2 2" xfId="50344"/>
    <cellStyle name="SAPBEXresItemX 2 4 4 3" xfId="50345"/>
    <cellStyle name="SAPBEXresItemX 2 4 5" xfId="50346"/>
    <cellStyle name="SAPBEXresItemX 2 4 5 2" xfId="50347"/>
    <cellStyle name="SAPBEXresItemX 2 4 6" xfId="50348"/>
    <cellStyle name="SAPBEXresItemX 2 5" xfId="50349"/>
    <cellStyle name="SAPBEXresItemX 2 5 2" xfId="50350"/>
    <cellStyle name="SAPBEXresItemX 2 5 2 2" xfId="50351"/>
    <cellStyle name="SAPBEXresItemX 2 5 2 2 2" xfId="50352"/>
    <cellStyle name="SAPBEXresItemX 2 5 2 2 2 2" xfId="50353"/>
    <cellStyle name="SAPBEXresItemX 2 5 2 2 3" xfId="50354"/>
    <cellStyle name="SAPBEXresItemX 2 5 2 3" xfId="50355"/>
    <cellStyle name="SAPBEXresItemX 2 5 2 3 2" xfId="50356"/>
    <cellStyle name="SAPBEXresItemX 2 5 2 4" xfId="50357"/>
    <cellStyle name="SAPBEXresItemX 2 5 3" xfId="50358"/>
    <cellStyle name="SAPBEXresItemX 2 5 3 2" xfId="50359"/>
    <cellStyle name="SAPBEXresItemX 2 5 3 2 2" xfId="50360"/>
    <cellStyle name="SAPBEXresItemX 2 5 3 3" xfId="50361"/>
    <cellStyle name="SAPBEXresItemX 2 5 4" xfId="50362"/>
    <cellStyle name="SAPBEXresItemX 2 5 4 2" xfId="50363"/>
    <cellStyle name="SAPBEXresItemX 2 5 5" xfId="50364"/>
    <cellStyle name="SAPBEXresItemX 2 6" xfId="50365"/>
    <cellStyle name="SAPBEXresItemX 2 6 2" xfId="50366"/>
    <cellStyle name="SAPBEXresItemX 2 6 2 2" xfId="50367"/>
    <cellStyle name="SAPBEXresItemX 2 6 3" xfId="50368"/>
    <cellStyle name="SAPBEXresItemX 2 7" xfId="50369"/>
    <cellStyle name="SAPBEXresItemX 2 7 2" xfId="50370"/>
    <cellStyle name="SAPBEXresItemX 2 7 2 2" xfId="50371"/>
    <cellStyle name="SAPBEXresItemX 2 7 3" xfId="50372"/>
    <cellStyle name="SAPBEXresItemX 2 8" xfId="50373"/>
    <cellStyle name="SAPBEXresItemX 2 8 2" xfId="50374"/>
    <cellStyle name="SAPBEXresItemX 2 8 2 2" xfId="50375"/>
    <cellStyle name="SAPBEXresItemX 2 8 3" xfId="50376"/>
    <cellStyle name="SAPBEXresItemX 2 9" xfId="50377"/>
    <cellStyle name="SAPBEXresItemX 2 9 2" xfId="50378"/>
    <cellStyle name="SAPBEXresItemX 3" xfId="50379"/>
    <cellStyle name="SAPBEXresItemX 3 2" xfId="50380"/>
    <cellStyle name="SAPBEXresItemX 3 2 2" xfId="50381"/>
    <cellStyle name="SAPBEXresItemX 3 2 2 2" xfId="50382"/>
    <cellStyle name="SAPBEXresItemX 3 2 2 2 2" xfId="50383"/>
    <cellStyle name="SAPBEXresItemX 3 2 2 2 2 2" xfId="50384"/>
    <cellStyle name="SAPBEXresItemX 3 2 2 2 3" xfId="50385"/>
    <cellStyle name="SAPBEXresItemX 3 2 2 3" xfId="50386"/>
    <cellStyle name="SAPBEXresItemX 3 2 2 3 2" xfId="50387"/>
    <cellStyle name="SAPBEXresItemX 3 2 2 4" xfId="50388"/>
    <cellStyle name="SAPBEXresItemX 3 2 3" xfId="50389"/>
    <cellStyle name="SAPBEXresItemX 3 2 3 2" xfId="50390"/>
    <cellStyle name="SAPBEXresItemX 3 2 3 2 2" xfId="50391"/>
    <cellStyle name="SAPBEXresItemX 3 2 3 3" xfId="50392"/>
    <cellStyle name="SAPBEXresItemX 3 2 4" xfId="50393"/>
    <cellStyle name="SAPBEXresItemX 3 2 4 2" xfId="50394"/>
    <cellStyle name="SAPBEXresItemX 3 2 4 2 2" xfId="50395"/>
    <cellStyle name="SAPBEXresItemX 3 2 4 3" xfId="50396"/>
    <cellStyle name="SAPBEXresItemX 3 2 5" xfId="50397"/>
    <cellStyle name="SAPBEXresItemX 3 2 5 2" xfId="50398"/>
    <cellStyle name="SAPBEXresItemX 3 2 5 2 2" xfId="50399"/>
    <cellStyle name="SAPBEXresItemX 3 2 5 3" xfId="50400"/>
    <cellStyle name="SAPBEXresItemX 3 2 6" xfId="50401"/>
    <cellStyle name="SAPBEXresItemX 3 2 6 2" xfId="50402"/>
    <cellStyle name="SAPBEXresItemX 3 2 7" xfId="50403"/>
    <cellStyle name="SAPBEXresItemX 3 3" xfId="50404"/>
    <cellStyle name="SAPBEXresItemX 3 3 2" xfId="50405"/>
    <cellStyle name="SAPBEXresItemX 3 3 2 2" xfId="50406"/>
    <cellStyle name="SAPBEXresItemX 3 3 2 2 2" xfId="50407"/>
    <cellStyle name="SAPBEXresItemX 3 3 2 2 2 2" xfId="50408"/>
    <cellStyle name="SAPBEXresItemX 3 3 2 2 3" xfId="50409"/>
    <cellStyle name="SAPBEXresItemX 3 3 2 3" xfId="50410"/>
    <cellStyle name="SAPBEXresItemX 3 3 2 3 2" xfId="50411"/>
    <cellStyle name="SAPBEXresItemX 3 3 2 4" xfId="50412"/>
    <cellStyle name="SAPBEXresItemX 3 3 3" xfId="50413"/>
    <cellStyle name="SAPBEXresItemX 3 3 3 2" xfId="50414"/>
    <cellStyle name="SAPBEXresItemX 3 3 3 2 2" xfId="50415"/>
    <cellStyle name="SAPBEXresItemX 3 3 3 3" xfId="50416"/>
    <cellStyle name="SAPBEXresItemX 3 3 4" xfId="50417"/>
    <cellStyle name="SAPBEXresItemX 3 3 4 2" xfId="50418"/>
    <cellStyle name="SAPBEXresItemX 3 3 5" xfId="50419"/>
    <cellStyle name="SAPBEXresItemX 3 4" xfId="50420"/>
    <cellStyle name="SAPBEXresItemX 3 4 2" xfId="50421"/>
    <cellStyle name="SAPBEXresItemX 3 4 2 2" xfId="50422"/>
    <cellStyle name="SAPBEXresItemX 3 4 3" xfId="50423"/>
    <cellStyle name="SAPBEXresItemX 3 5" xfId="50424"/>
    <cellStyle name="SAPBEXresItemX 3 5 2" xfId="50425"/>
    <cellStyle name="SAPBEXresItemX 3 5 2 2" xfId="50426"/>
    <cellStyle name="SAPBEXresItemX 3 5 3" xfId="50427"/>
    <cellStyle name="SAPBEXresItemX 3 6" xfId="50428"/>
    <cellStyle name="SAPBEXresItemX 3 6 2" xfId="50429"/>
    <cellStyle name="SAPBEXresItemX 3 6 2 2" xfId="50430"/>
    <cellStyle name="SAPBEXresItemX 3 6 3" xfId="50431"/>
    <cellStyle name="SAPBEXresItemX 3 7" xfId="50432"/>
    <cellStyle name="SAPBEXresItemX 3 7 2" xfId="50433"/>
    <cellStyle name="SAPBEXresItemX 3 8" xfId="50434"/>
    <cellStyle name="SAPBEXresItemX 4" xfId="50435"/>
    <cellStyle name="SAPBEXresItemX 4 2" xfId="50436"/>
    <cellStyle name="SAPBEXresItemX 4 2 2" xfId="50437"/>
    <cellStyle name="SAPBEXresItemX 4 2 2 2" xfId="50438"/>
    <cellStyle name="SAPBEXresItemX 4 2 2 2 2" xfId="50439"/>
    <cellStyle name="SAPBEXresItemX 4 2 2 2 2 2" xfId="50440"/>
    <cellStyle name="SAPBEXresItemX 4 2 2 2 3" xfId="50441"/>
    <cellStyle name="SAPBEXresItemX 4 2 2 3" xfId="50442"/>
    <cellStyle name="SAPBEXresItemX 4 2 2 3 2" xfId="50443"/>
    <cellStyle name="SAPBEXresItemX 4 2 2 4" xfId="50444"/>
    <cellStyle name="SAPBEXresItemX 4 2 3" xfId="50445"/>
    <cellStyle name="SAPBEXresItemX 4 2 3 2" xfId="50446"/>
    <cellStyle name="SAPBEXresItemX 4 2 3 2 2" xfId="50447"/>
    <cellStyle name="SAPBEXresItemX 4 2 3 3" xfId="50448"/>
    <cellStyle name="SAPBEXresItemX 4 2 4" xfId="50449"/>
    <cellStyle name="SAPBEXresItemX 4 2 4 2" xfId="50450"/>
    <cellStyle name="SAPBEXresItemX 4 2 4 2 2" xfId="50451"/>
    <cellStyle name="SAPBEXresItemX 4 2 4 3" xfId="50452"/>
    <cellStyle name="SAPBEXresItemX 4 2 5" xfId="50453"/>
    <cellStyle name="SAPBEXresItemX 4 2 5 2" xfId="50454"/>
    <cellStyle name="SAPBEXresItemX 4 2 5 2 2" xfId="50455"/>
    <cellStyle name="SAPBEXresItemX 4 2 5 3" xfId="50456"/>
    <cellStyle name="SAPBEXresItemX 4 2 6" xfId="50457"/>
    <cellStyle name="SAPBEXresItemX 4 2 6 2" xfId="50458"/>
    <cellStyle name="SAPBEXresItemX 4 2 7" xfId="50459"/>
    <cellStyle name="SAPBEXresItemX 4 3" xfId="50460"/>
    <cellStyle name="SAPBEXresItemX 4 3 2" xfId="50461"/>
    <cellStyle name="SAPBEXresItemX 4 3 2 2" xfId="50462"/>
    <cellStyle name="SAPBEXresItemX 4 3 2 2 2" xfId="50463"/>
    <cellStyle name="SAPBEXresItemX 4 3 2 2 2 2" xfId="50464"/>
    <cellStyle name="SAPBEXresItemX 4 3 2 2 2 2 2" xfId="50465"/>
    <cellStyle name="SAPBEXresItemX 4 3 2 2 2 3" xfId="50466"/>
    <cellStyle name="SAPBEXresItemX 4 3 2 2 3" xfId="50467"/>
    <cellStyle name="SAPBEXresItemX 4 3 2 2 3 2" xfId="50468"/>
    <cellStyle name="SAPBEXresItemX 4 3 2 2 4" xfId="50469"/>
    <cellStyle name="SAPBEXresItemX 4 3 2 3" xfId="50470"/>
    <cellStyle name="SAPBEXresItemX 4 3 2 3 2" xfId="50471"/>
    <cellStyle name="SAPBEXresItemX 4 3 2 3 2 2" xfId="50472"/>
    <cellStyle name="SAPBEXresItemX 4 3 2 3 3" xfId="50473"/>
    <cellStyle name="SAPBEXresItemX 4 3 2 4" xfId="50474"/>
    <cellStyle name="SAPBEXresItemX 4 3 2 4 2" xfId="50475"/>
    <cellStyle name="SAPBEXresItemX 4 3 2 4 2 2" xfId="50476"/>
    <cellStyle name="SAPBEXresItemX 4 3 2 4 3" xfId="50477"/>
    <cellStyle name="SAPBEXresItemX 4 3 2 5" xfId="50478"/>
    <cellStyle name="SAPBEXresItemX 4 3 2 5 2" xfId="50479"/>
    <cellStyle name="SAPBEXresItemX 4 3 2 6" xfId="50480"/>
    <cellStyle name="SAPBEXresItemX 4 3 3" xfId="50481"/>
    <cellStyle name="SAPBEXresItemX 4 3 3 2" xfId="50482"/>
    <cellStyle name="SAPBEXresItemX 4 3 3 2 2" xfId="50483"/>
    <cellStyle name="SAPBEXresItemX 4 3 3 2 2 2" xfId="50484"/>
    <cellStyle name="SAPBEXresItemX 4 3 3 2 2 2 2" xfId="50485"/>
    <cellStyle name="SAPBEXresItemX 4 3 3 2 2 3" xfId="50486"/>
    <cellStyle name="SAPBEXresItemX 4 3 3 2 3" xfId="50487"/>
    <cellStyle name="SAPBEXresItemX 4 3 3 2 3 2" xfId="50488"/>
    <cellStyle name="SAPBEXresItemX 4 3 3 2 4" xfId="50489"/>
    <cellStyle name="SAPBEXresItemX 4 3 3 3" xfId="50490"/>
    <cellStyle name="SAPBEXresItemX 4 3 3 3 2" xfId="50491"/>
    <cellStyle name="SAPBEXresItemX 4 3 3 3 2 2" xfId="50492"/>
    <cellStyle name="SAPBEXresItemX 4 3 3 3 3" xfId="50493"/>
    <cellStyle name="SAPBEXresItemX 4 3 3 4" xfId="50494"/>
    <cellStyle name="SAPBEXresItemX 4 3 3 4 2" xfId="50495"/>
    <cellStyle name="SAPBEXresItemX 4 3 3 5" xfId="50496"/>
    <cellStyle name="SAPBEXresItemX 4 3 4" xfId="50497"/>
    <cellStyle name="SAPBEXresItemX 4 3 4 2" xfId="50498"/>
    <cellStyle name="SAPBEXresItemX 4 3 4 2 2" xfId="50499"/>
    <cellStyle name="SAPBEXresItemX 4 3 4 3" xfId="50500"/>
    <cellStyle name="SAPBEXresItemX 4 3 5" xfId="50501"/>
    <cellStyle name="SAPBEXresItemX 4 3 5 2" xfId="50502"/>
    <cellStyle name="SAPBEXresItemX 4 3 5 2 2" xfId="50503"/>
    <cellStyle name="SAPBEXresItemX 4 3 5 3" xfId="50504"/>
    <cellStyle name="SAPBEXresItemX 4 3 6" xfId="50505"/>
    <cellStyle name="SAPBEXresItemX 4 3 6 2" xfId="50506"/>
    <cellStyle name="SAPBEXresItemX 4 3 6 2 2" xfId="50507"/>
    <cellStyle name="SAPBEXresItemX 4 3 6 3" xfId="50508"/>
    <cellStyle name="SAPBEXresItemX 4 3 7" xfId="50509"/>
    <cellStyle name="SAPBEXresItemX 4 3 7 2" xfId="50510"/>
    <cellStyle name="SAPBEXresItemX 4 3 8" xfId="50511"/>
    <cellStyle name="SAPBEXresItemX 4 4" xfId="50512"/>
    <cellStyle name="SAPBEXresItemX 4 4 2" xfId="50513"/>
    <cellStyle name="SAPBEXresItemX 4 4 2 2" xfId="50514"/>
    <cellStyle name="SAPBEXresItemX 4 4 2 2 2" xfId="50515"/>
    <cellStyle name="SAPBEXresItemX 4 4 2 2 2 2" xfId="50516"/>
    <cellStyle name="SAPBEXresItemX 4 4 2 2 3" xfId="50517"/>
    <cellStyle name="SAPBEXresItemX 4 4 2 3" xfId="50518"/>
    <cellStyle name="SAPBEXresItemX 4 4 2 3 2" xfId="50519"/>
    <cellStyle name="SAPBEXresItemX 4 4 2 4" xfId="50520"/>
    <cellStyle name="SAPBEXresItemX 4 4 3" xfId="50521"/>
    <cellStyle name="SAPBEXresItemX 4 4 3 2" xfId="50522"/>
    <cellStyle name="SAPBEXresItemX 4 4 3 2 2" xfId="50523"/>
    <cellStyle name="SAPBEXresItemX 4 4 3 3" xfId="50524"/>
    <cellStyle name="SAPBEXresItemX 4 4 4" xfId="50525"/>
    <cellStyle name="SAPBEXresItemX 4 4 4 2" xfId="50526"/>
    <cellStyle name="SAPBEXresItemX 4 4 5" xfId="50527"/>
    <cellStyle name="SAPBEXresItemX 4 5" xfId="50528"/>
    <cellStyle name="SAPBEXresItemX 4 5 2" xfId="50529"/>
    <cellStyle name="SAPBEXresItemX 4 5 2 2" xfId="50530"/>
    <cellStyle name="SAPBEXresItemX 4 5 3" xfId="50531"/>
    <cellStyle name="SAPBEXresItemX 4 6" xfId="50532"/>
    <cellStyle name="SAPBEXresItemX 4 6 2" xfId="50533"/>
    <cellStyle name="SAPBEXresItemX 4 6 2 2" xfId="50534"/>
    <cellStyle name="SAPBEXresItemX 4 6 3" xfId="50535"/>
    <cellStyle name="SAPBEXresItemX 4 7" xfId="50536"/>
    <cellStyle name="SAPBEXresItemX 4 7 2" xfId="50537"/>
    <cellStyle name="SAPBEXresItemX 4 7 2 2" xfId="50538"/>
    <cellStyle name="SAPBEXresItemX 4 7 3" xfId="50539"/>
    <cellStyle name="SAPBEXresItemX 4 8" xfId="50540"/>
    <cellStyle name="SAPBEXresItemX 4 8 2" xfId="50541"/>
    <cellStyle name="SAPBEXresItemX 4 9" xfId="50542"/>
    <cellStyle name="SAPBEXresItemX 5" xfId="50543"/>
    <cellStyle name="SAPBEXresItemX 5 2" xfId="50544"/>
    <cellStyle name="SAPBEXresItemX 5 2 2" xfId="50545"/>
    <cellStyle name="SAPBEXresItemX 5 2 2 2" xfId="50546"/>
    <cellStyle name="SAPBEXresItemX 5 2 2 2 2" xfId="50547"/>
    <cellStyle name="SAPBEXresItemX 5 2 2 3" xfId="50548"/>
    <cellStyle name="SAPBEXresItemX 5 2 3" xfId="50549"/>
    <cellStyle name="SAPBEXresItemX 5 2 3 2" xfId="50550"/>
    <cellStyle name="SAPBEXresItemX 5 2 4" xfId="50551"/>
    <cellStyle name="SAPBEXresItemX 5 3" xfId="50552"/>
    <cellStyle name="SAPBEXresItemX 5 3 2" xfId="50553"/>
    <cellStyle name="SAPBEXresItemX 5 3 2 2" xfId="50554"/>
    <cellStyle name="SAPBEXresItemX 5 3 3" xfId="50555"/>
    <cellStyle name="SAPBEXresItemX 5 4" xfId="50556"/>
    <cellStyle name="SAPBEXresItemX 5 4 2" xfId="50557"/>
    <cellStyle name="SAPBEXresItemX 5 4 2 2" xfId="50558"/>
    <cellStyle name="SAPBEXresItemX 5 4 3" xfId="50559"/>
    <cellStyle name="SAPBEXresItemX 5 5" xfId="50560"/>
    <cellStyle name="SAPBEXresItemX 5 5 2" xfId="50561"/>
    <cellStyle name="SAPBEXresItemX 5 5 2 2" xfId="50562"/>
    <cellStyle name="SAPBEXresItemX 5 5 3" xfId="50563"/>
    <cellStyle name="SAPBEXresItemX 5 6" xfId="50564"/>
    <cellStyle name="SAPBEXresItemX 5 6 2" xfId="50565"/>
    <cellStyle name="SAPBEXresItemX 5 7" xfId="50566"/>
    <cellStyle name="SAPBEXresItemX 6" xfId="50567"/>
    <cellStyle name="SAPBEXresItemX 6 2" xfId="50568"/>
    <cellStyle name="SAPBEXresItemX 6 2 2" xfId="50569"/>
    <cellStyle name="SAPBEXresItemX 6 3" xfId="50570"/>
    <cellStyle name="SAPBEXresItemX 6 3 2" xfId="50571"/>
    <cellStyle name="SAPBEXresItemX 6 3 2 2" xfId="50572"/>
    <cellStyle name="SAPBEXresItemX 6 3 3" xfId="50573"/>
    <cellStyle name="SAPBEXresItemX 6 4" xfId="50574"/>
    <cellStyle name="SAPBEXresItemX 6 4 2" xfId="50575"/>
    <cellStyle name="SAPBEXresItemX 6 4 2 2" xfId="50576"/>
    <cellStyle name="SAPBEXresItemX 6 4 3" xfId="50577"/>
    <cellStyle name="SAPBEXresItemX 6 5" xfId="50578"/>
    <cellStyle name="SAPBEXresItemX 7" xfId="50579"/>
    <cellStyle name="SAPBEXresItemX 7 2" xfId="50580"/>
    <cellStyle name="SAPBEXresItemX 7 2 2" xfId="50581"/>
    <cellStyle name="SAPBEXresItemX 7 2 2 2" xfId="50582"/>
    <cellStyle name="SAPBEXresItemX 7 2 3" xfId="50583"/>
    <cellStyle name="SAPBEXresItemX 7 2 3 2" xfId="50584"/>
    <cellStyle name="SAPBEXresItemX 7 2 3 2 2" xfId="50585"/>
    <cellStyle name="SAPBEXresItemX 7 2 3 3" xfId="50586"/>
    <cellStyle name="SAPBEXresItemX 7 2 4" xfId="50587"/>
    <cellStyle name="SAPBEXresItemX 7 3" xfId="50588"/>
    <cellStyle name="SAPBEXresItemX 7 3 2" xfId="50589"/>
    <cellStyle name="SAPBEXresItemX 7 3 2 2" xfId="50590"/>
    <cellStyle name="SAPBEXresItemX 7 3 3" xfId="50591"/>
    <cellStyle name="SAPBEXresItemX 7 4" xfId="50592"/>
    <cellStyle name="SAPBEXresItemX 7 4 2" xfId="50593"/>
    <cellStyle name="SAPBEXresItemX 7 4 2 2" xfId="50594"/>
    <cellStyle name="SAPBEXresItemX 7 4 3" xfId="50595"/>
    <cellStyle name="SAPBEXresItemX 7 5" xfId="50596"/>
    <cellStyle name="SAPBEXresItemX 7 5 2" xfId="50597"/>
    <cellStyle name="SAPBEXresItemX 7 5 2 2" xfId="50598"/>
    <cellStyle name="SAPBEXresItemX 7 5 3" xfId="50599"/>
    <cellStyle name="SAPBEXresItemX 7 6" xfId="50600"/>
    <cellStyle name="SAPBEXresItemX 8" xfId="50601"/>
    <cellStyle name="SAPBEXresItemX 8 2" xfId="50602"/>
    <cellStyle name="SAPBEXresItemX 8 2 2" xfId="50603"/>
    <cellStyle name="SAPBEXresItemX 8 3" xfId="50604"/>
    <cellStyle name="SAPBEXresItemX 9" xfId="50605"/>
    <cellStyle name="SAPBEXresItemX 9 2" xfId="50606"/>
    <cellStyle name="SAPBEXresItemX 9 2 2" xfId="50607"/>
    <cellStyle name="SAPBEXresItemX 9 3" xfId="50608"/>
    <cellStyle name="SAPBEXstdData" xfId="73"/>
    <cellStyle name="SAPBEXstdData 2" xfId="50609"/>
    <cellStyle name="SAPBEXstdData 2 2" xfId="50610"/>
    <cellStyle name="SAPBEXstdData 2 2 2" xfId="50611"/>
    <cellStyle name="SAPBEXstdData 2 2 2 2" xfId="50612"/>
    <cellStyle name="SAPBEXstdData 2 2 3" xfId="50613"/>
    <cellStyle name="SAPBEXstdData 2 3" xfId="50614"/>
    <cellStyle name="SAPBEXstdData 2 3 2" xfId="50615"/>
    <cellStyle name="SAPBEXstdData 2 3 2 2" xfId="50616"/>
    <cellStyle name="SAPBEXstdData 2 3 3" xfId="50617"/>
    <cellStyle name="SAPBEXstdData 2 4" xfId="50618"/>
    <cellStyle name="SAPBEXstdData 2 4 2" xfId="50619"/>
    <cellStyle name="SAPBEXstdData 2 4 2 2" xfId="50620"/>
    <cellStyle name="SAPBEXstdData 2 4 3" xfId="50621"/>
    <cellStyle name="SAPBEXstdData 2 5" xfId="50622"/>
    <cellStyle name="SAPBEXstdData 2 5 2" xfId="50623"/>
    <cellStyle name="SAPBEXstdData 2 6" xfId="50624"/>
    <cellStyle name="SAPBEXstdData 2 6 2" xfId="50625"/>
    <cellStyle name="SAPBEXstdData 2 6 2 2" xfId="50626"/>
    <cellStyle name="SAPBEXstdData 2 6 2 2 2" xfId="50627"/>
    <cellStyle name="SAPBEXstdData 2 6 2 3" xfId="50628"/>
    <cellStyle name="SAPBEXstdData 2 6 3" xfId="50629"/>
    <cellStyle name="SAPBEXstdData 2 6 3 2" xfId="50630"/>
    <cellStyle name="SAPBEXstdData 2 6 4" xfId="50631"/>
    <cellStyle name="SAPBEXstdData 2 7" xfId="50632"/>
    <cellStyle name="SAPBEXstdData 3" xfId="50633"/>
    <cellStyle name="SAPBEXstdData 3 2" xfId="50634"/>
    <cellStyle name="SAPBEXstdData 3 2 2" xfId="50635"/>
    <cellStyle name="SAPBEXstdData 3 2 2 2" xfId="50636"/>
    <cellStyle name="SAPBEXstdData 3 2 3" xfId="50637"/>
    <cellStyle name="SAPBEXstdData 3 3" xfId="50638"/>
    <cellStyle name="SAPBEXstdData 3 3 2" xfId="50639"/>
    <cellStyle name="SAPBEXstdData 3 4" xfId="50640"/>
    <cellStyle name="SAPBEXstdData 4" xfId="50641"/>
    <cellStyle name="SAPBEXstdData 4 2" xfId="50642"/>
    <cellStyle name="SAPBEXstdData 4 2 2" xfId="50643"/>
    <cellStyle name="SAPBEXstdData 4 3" xfId="50644"/>
    <cellStyle name="SAPBEXstdData 5" xfId="50645"/>
    <cellStyle name="SAPBEXstdData 5 2" xfId="50646"/>
    <cellStyle name="SAPBEXstdData 5 2 2" xfId="50647"/>
    <cellStyle name="SAPBEXstdData 5 3" xfId="50648"/>
    <cellStyle name="SAPBEXstdData 6" xfId="50649"/>
    <cellStyle name="SAPBEXstdData 6 2" xfId="50650"/>
    <cellStyle name="SAPBEXstdData 6 2 2" xfId="50651"/>
    <cellStyle name="SAPBEXstdData 6 3" xfId="50652"/>
    <cellStyle name="SAPBEXstdData 7" xfId="50653"/>
    <cellStyle name="SAPBEXstdData 7 2" xfId="50654"/>
    <cellStyle name="SAPBEXstdData 8" xfId="50655"/>
    <cellStyle name="SAPBEXstdData 8 2" xfId="50656"/>
    <cellStyle name="SAPBEXstdData 9" xfId="50657"/>
    <cellStyle name="SAPBEXstdDataEmph" xfId="74"/>
    <cellStyle name="SAPBEXstdDataEmph 2" xfId="50658"/>
    <cellStyle name="SAPBEXstdDataEmph 2 2" xfId="50659"/>
    <cellStyle name="SAPBEXstdDataEmph 2 2 2" xfId="50660"/>
    <cellStyle name="SAPBEXstdDataEmph 2 3" xfId="50661"/>
    <cellStyle name="SAPBEXstdDataEmph 2 3 2" xfId="50662"/>
    <cellStyle name="SAPBEXstdDataEmph 2 3 2 2" xfId="50663"/>
    <cellStyle name="SAPBEXstdDataEmph 2 3 3" xfId="50664"/>
    <cellStyle name="SAPBEXstdDataEmph 2 4" xfId="50665"/>
    <cellStyle name="SAPBEXstdDataEmph 2 4 2" xfId="50666"/>
    <cellStyle name="SAPBEXstdDataEmph 2 4 2 2" xfId="50667"/>
    <cellStyle name="SAPBEXstdDataEmph 2 4 3" xfId="50668"/>
    <cellStyle name="SAPBEXstdDataEmph 2 5" xfId="50669"/>
    <cellStyle name="SAPBEXstdDataEmph 3" xfId="50670"/>
    <cellStyle name="SAPBEXstdDataEmph 3 2" xfId="50671"/>
    <cellStyle name="SAPBEXstdDataEmph 3 2 2" xfId="50672"/>
    <cellStyle name="SAPBEXstdDataEmph 3 2 2 2" xfId="50673"/>
    <cellStyle name="SAPBEXstdDataEmph 3 2 3" xfId="50674"/>
    <cellStyle name="SAPBEXstdDataEmph 3 3" xfId="50675"/>
    <cellStyle name="SAPBEXstdDataEmph 3 3 2" xfId="50676"/>
    <cellStyle name="SAPBEXstdDataEmph 3 4" xfId="50677"/>
    <cellStyle name="SAPBEXstdDataEmph 4" xfId="50678"/>
    <cellStyle name="SAPBEXstdDataEmph 4 2" xfId="50679"/>
    <cellStyle name="SAPBEXstdDataEmph 4 2 2" xfId="50680"/>
    <cellStyle name="SAPBEXstdDataEmph 4 3" xfId="50681"/>
    <cellStyle name="SAPBEXstdDataEmph 5" xfId="50682"/>
    <cellStyle name="SAPBEXstdDataEmph 5 2" xfId="50683"/>
    <cellStyle name="SAPBEXstdDataEmph 5 2 2" xfId="50684"/>
    <cellStyle name="SAPBEXstdDataEmph 5 3" xfId="50685"/>
    <cellStyle name="SAPBEXstdDataEmph 6" xfId="50686"/>
    <cellStyle name="SAPBEXstdDataEmph 6 2" xfId="50687"/>
    <cellStyle name="SAPBEXstdDataEmph 6 2 2" xfId="50688"/>
    <cellStyle name="SAPBEXstdDataEmph 6 3" xfId="50689"/>
    <cellStyle name="SAPBEXstdDataEmph 7" xfId="50690"/>
    <cellStyle name="SAPBEXstdDataEmph 7 2" xfId="50691"/>
    <cellStyle name="SAPBEXstdDataEmph 8" xfId="50692"/>
    <cellStyle name="SAPBEXstdItem" xfId="75"/>
    <cellStyle name="SAPBEXstdItem 2" xfId="50693"/>
    <cellStyle name="SAPBEXstdItem 2 2" xfId="50694"/>
    <cellStyle name="SAPBEXstdItem 2 2 2" xfId="50695"/>
    <cellStyle name="SAPBEXstdItem 2 2 2 2" xfId="50696"/>
    <cellStyle name="SAPBEXstdItem 2 2 3" xfId="50697"/>
    <cellStyle name="SAPBEXstdItem 2 3" xfId="50698"/>
    <cellStyle name="SAPBEXstdItem 2 3 2" xfId="50699"/>
    <cellStyle name="SAPBEXstdItem 2 3 2 2" xfId="50700"/>
    <cellStyle name="SAPBEXstdItem 2 3 3" xfId="50701"/>
    <cellStyle name="SAPBEXstdItem 2 4" xfId="50702"/>
    <cellStyle name="SAPBEXstdItem 2 4 2" xfId="50703"/>
    <cellStyle name="SAPBEXstdItem 2 4 2 2" xfId="50704"/>
    <cellStyle name="SAPBEXstdItem 2 4 3" xfId="50705"/>
    <cellStyle name="SAPBEXstdItem 2 5" xfId="50706"/>
    <cellStyle name="SAPBEXstdItem 2 5 2" xfId="50707"/>
    <cellStyle name="SAPBEXstdItem 2 6" xfId="50708"/>
    <cellStyle name="SAPBEXstdItem 2 6 2" xfId="50709"/>
    <cellStyle name="SAPBEXstdItem 2 6 2 2" xfId="50710"/>
    <cellStyle name="SAPBEXstdItem 2 6 2 2 2" xfId="50711"/>
    <cellStyle name="SAPBEXstdItem 2 6 2 3" xfId="50712"/>
    <cellStyle name="SAPBEXstdItem 2 6 3" xfId="50713"/>
    <cellStyle name="SAPBEXstdItem 2 6 3 2" xfId="50714"/>
    <cellStyle name="SAPBEXstdItem 2 6 4" xfId="50715"/>
    <cellStyle name="SAPBEXstdItem 2 7" xfId="50716"/>
    <cellStyle name="SAPBEXstdItem 3" xfId="50717"/>
    <cellStyle name="SAPBEXstdItem 3 2" xfId="50718"/>
    <cellStyle name="SAPBEXstdItem 3 2 2" xfId="50719"/>
    <cellStyle name="SAPBEXstdItem 3 2 2 2" xfId="50720"/>
    <cellStyle name="SAPBEXstdItem 3 2 3" xfId="50721"/>
    <cellStyle name="SAPBEXstdItem 3 3" xfId="50722"/>
    <cellStyle name="SAPBEXstdItem 3 3 2" xfId="50723"/>
    <cellStyle name="SAPBEXstdItem 3 4" xfId="50724"/>
    <cellStyle name="SAPBEXstdItem 4" xfId="50725"/>
    <cellStyle name="SAPBEXstdItem 4 2" xfId="50726"/>
    <cellStyle name="SAPBEXstdItem 4 2 2" xfId="50727"/>
    <cellStyle name="SAPBEXstdItem 4 3" xfId="50728"/>
    <cellStyle name="SAPBEXstdItem 5" xfId="50729"/>
    <cellStyle name="SAPBEXstdItem 5 2" xfId="50730"/>
    <cellStyle name="SAPBEXstdItem 5 2 2" xfId="50731"/>
    <cellStyle name="SAPBEXstdItem 5 3" xfId="50732"/>
    <cellStyle name="SAPBEXstdItem 6" xfId="50733"/>
    <cellStyle name="SAPBEXstdItem 6 2" xfId="50734"/>
    <cellStyle name="SAPBEXstdItem 6 2 2" xfId="50735"/>
    <cellStyle name="SAPBEXstdItem 6 3" xfId="50736"/>
    <cellStyle name="SAPBEXstdItem 7" xfId="50737"/>
    <cellStyle name="SAPBEXstdItem 7 2" xfId="50738"/>
    <cellStyle name="SAPBEXstdItem 8" xfId="50739"/>
    <cellStyle name="SAPBEXstdItem 8 2" xfId="50740"/>
    <cellStyle name="SAPBEXstdItem 9" xfId="50741"/>
    <cellStyle name="SAPBEXstdItem_Forecast Template 3-31-11.updates (Alan Updates)" xfId="50742"/>
    <cellStyle name="SAPBEXstdItemX" xfId="76"/>
    <cellStyle name="SAPBEXstdItemX 10" xfId="50743"/>
    <cellStyle name="SAPBEXstdItemX 10 2" xfId="50744"/>
    <cellStyle name="SAPBEXstdItemX 10 2 2" xfId="50745"/>
    <cellStyle name="SAPBEXstdItemX 10 3" xfId="50746"/>
    <cellStyle name="SAPBEXstdItemX 11" xfId="50747"/>
    <cellStyle name="SAPBEXstdItemX 11 2" xfId="50748"/>
    <cellStyle name="SAPBEXstdItemX 12" xfId="50749"/>
    <cellStyle name="SAPBEXstdItemX 12 2" xfId="50750"/>
    <cellStyle name="SAPBEXstdItemX 12 2 2" xfId="50751"/>
    <cellStyle name="SAPBEXstdItemX 12 3" xfId="50752"/>
    <cellStyle name="SAPBEXstdItemX 12 3 2" xfId="50753"/>
    <cellStyle name="SAPBEXstdItemX 12 4" xfId="50754"/>
    <cellStyle name="SAPBEXstdItemX 13" xfId="50755"/>
    <cellStyle name="SAPBEXstdItemX 13 2" xfId="50756"/>
    <cellStyle name="SAPBEXstdItemX 14" xfId="50757"/>
    <cellStyle name="SAPBEXstdItemX 14 2" xfId="50758"/>
    <cellStyle name="SAPBEXstdItemX 15" xfId="50759"/>
    <cellStyle name="SAPBEXstdItemX 15 2" xfId="50760"/>
    <cellStyle name="SAPBEXstdItemX 16" xfId="50761"/>
    <cellStyle name="SAPBEXstdItemX 17" xfId="50762"/>
    <cellStyle name="SAPBEXstdItemX 2" xfId="50763"/>
    <cellStyle name="SAPBEXstdItemX 2 10" xfId="50764"/>
    <cellStyle name="SAPBEXstdItemX 2 2" xfId="50765"/>
    <cellStyle name="SAPBEXstdItemX 2 2 2" xfId="50766"/>
    <cellStyle name="SAPBEXstdItemX 2 2 2 2" xfId="50767"/>
    <cellStyle name="SAPBEXstdItemX 2 2 2 2 2" xfId="50768"/>
    <cellStyle name="SAPBEXstdItemX 2 2 2 2 2 2" xfId="50769"/>
    <cellStyle name="SAPBEXstdItemX 2 2 2 2 3" xfId="50770"/>
    <cellStyle name="SAPBEXstdItemX 2 2 2 3" xfId="50771"/>
    <cellStyle name="SAPBEXstdItemX 2 2 2 3 2" xfId="50772"/>
    <cellStyle name="SAPBEXstdItemX 2 2 2 4" xfId="50773"/>
    <cellStyle name="SAPBEXstdItemX 2 2 3" xfId="50774"/>
    <cellStyle name="SAPBEXstdItemX 2 2 3 2" xfId="50775"/>
    <cellStyle name="SAPBEXstdItemX 2 2 3 2 2" xfId="50776"/>
    <cellStyle name="SAPBEXstdItemX 2 2 3 3" xfId="50777"/>
    <cellStyle name="SAPBEXstdItemX 2 2 4" xfId="50778"/>
    <cellStyle name="SAPBEXstdItemX 2 2 4 2" xfId="50779"/>
    <cellStyle name="SAPBEXstdItemX 2 2 4 2 2" xfId="50780"/>
    <cellStyle name="SAPBEXstdItemX 2 2 4 3" xfId="50781"/>
    <cellStyle name="SAPBEXstdItemX 2 2 5" xfId="50782"/>
    <cellStyle name="SAPBEXstdItemX 2 2 5 2" xfId="50783"/>
    <cellStyle name="SAPBEXstdItemX 2 2 5 2 2" xfId="50784"/>
    <cellStyle name="SAPBEXstdItemX 2 2 5 3" xfId="50785"/>
    <cellStyle name="SAPBEXstdItemX 2 2 6" xfId="50786"/>
    <cellStyle name="SAPBEXstdItemX 2 2 6 2" xfId="50787"/>
    <cellStyle name="SAPBEXstdItemX 2 2 7" xfId="50788"/>
    <cellStyle name="SAPBEXstdItemX 2 3" xfId="50789"/>
    <cellStyle name="SAPBEXstdItemX 2 3 2" xfId="50790"/>
    <cellStyle name="SAPBEXstdItemX 2 3 2 2" xfId="50791"/>
    <cellStyle name="SAPBEXstdItemX 2 3 2 2 2" xfId="50792"/>
    <cellStyle name="SAPBEXstdItemX 2 3 2 2 2 2" xfId="50793"/>
    <cellStyle name="SAPBEXstdItemX 2 3 2 2 2 2 2" xfId="50794"/>
    <cellStyle name="SAPBEXstdItemX 2 3 2 2 2 3" xfId="50795"/>
    <cellStyle name="SAPBEXstdItemX 2 3 2 2 3" xfId="50796"/>
    <cellStyle name="SAPBEXstdItemX 2 3 2 2 3 2" xfId="50797"/>
    <cellStyle name="SAPBEXstdItemX 2 3 2 2 4" xfId="50798"/>
    <cellStyle name="SAPBEXstdItemX 2 3 2 3" xfId="50799"/>
    <cellStyle name="SAPBEXstdItemX 2 3 2 3 2" xfId="50800"/>
    <cellStyle name="SAPBEXstdItemX 2 3 2 3 2 2" xfId="50801"/>
    <cellStyle name="SAPBEXstdItemX 2 3 2 3 3" xfId="50802"/>
    <cellStyle name="SAPBEXstdItemX 2 3 2 4" xfId="50803"/>
    <cellStyle name="SAPBEXstdItemX 2 3 2 4 2" xfId="50804"/>
    <cellStyle name="SAPBEXstdItemX 2 3 2 4 2 2" xfId="50805"/>
    <cellStyle name="SAPBEXstdItemX 2 3 2 4 3" xfId="50806"/>
    <cellStyle name="SAPBEXstdItemX 2 3 2 5" xfId="50807"/>
    <cellStyle name="SAPBEXstdItemX 2 3 2 5 2" xfId="50808"/>
    <cellStyle name="SAPBEXstdItemX 2 3 2 6" xfId="50809"/>
    <cellStyle name="SAPBEXstdItemX 2 3 3" xfId="50810"/>
    <cellStyle name="SAPBEXstdItemX 2 3 3 2" xfId="50811"/>
    <cellStyle name="SAPBEXstdItemX 2 3 3 2 2" xfId="50812"/>
    <cellStyle name="SAPBEXstdItemX 2 3 3 2 2 2" xfId="50813"/>
    <cellStyle name="SAPBEXstdItemX 2 3 3 2 2 2 2" xfId="50814"/>
    <cellStyle name="SAPBEXstdItemX 2 3 3 2 2 3" xfId="50815"/>
    <cellStyle name="SAPBEXstdItemX 2 3 3 2 3" xfId="50816"/>
    <cellStyle name="SAPBEXstdItemX 2 3 3 2 3 2" xfId="50817"/>
    <cellStyle name="SAPBEXstdItemX 2 3 3 2 4" xfId="50818"/>
    <cellStyle name="SAPBEXstdItemX 2 3 3 3" xfId="50819"/>
    <cellStyle name="SAPBEXstdItemX 2 3 3 3 2" xfId="50820"/>
    <cellStyle name="SAPBEXstdItemX 2 3 3 3 2 2" xfId="50821"/>
    <cellStyle name="SAPBEXstdItemX 2 3 3 3 3" xfId="50822"/>
    <cellStyle name="SAPBEXstdItemX 2 3 3 4" xfId="50823"/>
    <cellStyle name="SAPBEXstdItemX 2 3 3 4 2" xfId="50824"/>
    <cellStyle name="SAPBEXstdItemX 2 3 3 5" xfId="50825"/>
    <cellStyle name="SAPBEXstdItemX 2 3 4" xfId="50826"/>
    <cellStyle name="SAPBEXstdItemX 2 3 4 2" xfId="50827"/>
    <cellStyle name="SAPBEXstdItemX 2 3 4 2 2" xfId="50828"/>
    <cellStyle name="SAPBEXstdItemX 2 3 4 3" xfId="50829"/>
    <cellStyle name="SAPBEXstdItemX 2 3 5" xfId="50830"/>
    <cellStyle name="SAPBEXstdItemX 2 3 5 2" xfId="50831"/>
    <cellStyle name="SAPBEXstdItemX 2 3 5 2 2" xfId="50832"/>
    <cellStyle name="SAPBEXstdItemX 2 3 5 3" xfId="50833"/>
    <cellStyle name="SAPBEXstdItemX 2 3 6" xfId="50834"/>
    <cellStyle name="SAPBEXstdItemX 2 3 6 2" xfId="50835"/>
    <cellStyle name="SAPBEXstdItemX 2 3 6 2 2" xfId="50836"/>
    <cellStyle name="SAPBEXstdItemX 2 3 6 3" xfId="50837"/>
    <cellStyle name="SAPBEXstdItemX 2 3 7" xfId="50838"/>
    <cellStyle name="SAPBEXstdItemX 2 3 7 2" xfId="50839"/>
    <cellStyle name="SAPBEXstdItemX 2 3 8" xfId="50840"/>
    <cellStyle name="SAPBEXstdItemX 2 4" xfId="50841"/>
    <cellStyle name="SAPBEXstdItemX 2 4 2" xfId="50842"/>
    <cellStyle name="SAPBEXstdItemX 2 4 2 2" xfId="50843"/>
    <cellStyle name="SAPBEXstdItemX 2 4 2 2 2" xfId="50844"/>
    <cellStyle name="SAPBEXstdItemX 2 4 2 2 2 2" xfId="50845"/>
    <cellStyle name="SAPBEXstdItemX 2 4 2 2 3" xfId="50846"/>
    <cellStyle name="SAPBEXstdItemX 2 4 2 3" xfId="50847"/>
    <cellStyle name="SAPBEXstdItemX 2 4 2 3 2" xfId="50848"/>
    <cellStyle name="SAPBEXstdItemX 2 4 2 3 2 2" xfId="50849"/>
    <cellStyle name="SAPBEXstdItemX 2 4 2 3 3" xfId="50850"/>
    <cellStyle name="SAPBEXstdItemX 2 4 2 4" xfId="50851"/>
    <cellStyle name="SAPBEXstdItemX 2 4 2 4 2" xfId="50852"/>
    <cellStyle name="SAPBEXstdItemX 2 4 2 5" xfId="50853"/>
    <cellStyle name="SAPBEXstdItemX 2 4 3" xfId="50854"/>
    <cellStyle name="SAPBEXstdItemX 2 4 3 2" xfId="50855"/>
    <cellStyle name="SAPBEXstdItemX 2 4 3 2 2" xfId="50856"/>
    <cellStyle name="SAPBEXstdItemX 2 4 3 2 2 2" xfId="50857"/>
    <cellStyle name="SAPBEXstdItemX 2 4 3 2 3" xfId="50858"/>
    <cellStyle name="SAPBEXstdItemX 2 4 3 3" xfId="50859"/>
    <cellStyle name="SAPBEXstdItemX 2 4 3 3 2" xfId="50860"/>
    <cellStyle name="SAPBEXstdItemX 2 4 3 4" xfId="50861"/>
    <cellStyle name="SAPBEXstdItemX 2 4 4" xfId="50862"/>
    <cellStyle name="SAPBEXstdItemX 2 4 4 2" xfId="50863"/>
    <cellStyle name="SAPBEXstdItemX 2 4 4 2 2" xfId="50864"/>
    <cellStyle name="SAPBEXstdItemX 2 4 4 3" xfId="50865"/>
    <cellStyle name="SAPBEXstdItemX 2 4 5" xfId="50866"/>
    <cellStyle name="SAPBEXstdItemX 2 4 5 2" xfId="50867"/>
    <cellStyle name="SAPBEXstdItemX 2 4 6" xfId="50868"/>
    <cellStyle name="SAPBEXstdItemX 2 5" xfId="50869"/>
    <cellStyle name="SAPBEXstdItemX 2 5 2" xfId="50870"/>
    <cellStyle name="SAPBEXstdItemX 2 5 2 2" xfId="50871"/>
    <cellStyle name="SAPBEXstdItemX 2 5 2 2 2" xfId="50872"/>
    <cellStyle name="SAPBEXstdItemX 2 5 2 2 2 2" xfId="50873"/>
    <cellStyle name="SAPBEXstdItemX 2 5 2 2 3" xfId="50874"/>
    <cellStyle name="SAPBEXstdItemX 2 5 2 3" xfId="50875"/>
    <cellStyle name="SAPBEXstdItemX 2 5 2 3 2" xfId="50876"/>
    <cellStyle name="SAPBEXstdItemX 2 5 2 4" xfId="50877"/>
    <cellStyle name="SAPBEXstdItemX 2 5 3" xfId="50878"/>
    <cellStyle name="SAPBEXstdItemX 2 5 3 2" xfId="50879"/>
    <cellStyle name="SAPBEXstdItemX 2 5 3 2 2" xfId="50880"/>
    <cellStyle name="SAPBEXstdItemX 2 5 3 3" xfId="50881"/>
    <cellStyle name="SAPBEXstdItemX 2 5 4" xfId="50882"/>
    <cellStyle name="SAPBEXstdItemX 2 5 4 2" xfId="50883"/>
    <cellStyle name="SAPBEXstdItemX 2 5 5" xfId="50884"/>
    <cellStyle name="SAPBEXstdItemX 2 6" xfId="50885"/>
    <cellStyle name="SAPBEXstdItemX 2 6 2" xfId="50886"/>
    <cellStyle name="SAPBEXstdItemX 2 6 2 2" xfId="50887"/>
    <cellStyle name="SAPBEXstdItemX 2 6 3" xfId="50888"/>
    <cellStyle name="SAPBEXstdItemX 2 7" xfId="50889"/>
    <cellStyle name="SAPBEXstdItemX 2 7 2" xfId="50890"/>
    <cellStyle name="SAPBEXstdItemX 2 7 2 2" xfId="50891"/>
    <cellStyle name="SAPBEXstdItemX 2 7 3" xfId="50892"/>
    <cellStyle name="SAPBEXstdItemX 2 8" xfId="50893"/>
    <cellStyle name="SAPBEXstdItemX 2 8 2" xfId="50894"/>
    <cellStyle name="SAPBEXstdItemX 2 8 2 2" xfId="50895"/>
    <cellStyle name="SAPBEXstdItemX 2 8 3" xfId="50896"/>
    <cellStyle name="SAPBEXstdItemX 2 9" xfId="50897"/>
    <cellStyle name="SAPBEXstdItemX 2 9 2" xfId="50898"/>
    <cellStyle name="SAPBEXstdItemX 3" xfId="50899"/>
    <cellStyle name="SAPBEXstdItemX 3 2" xfId="50900"/>
    <cellStyle name="SAPBEXstdItemX 3 2 2" xfId="50901"/>
    <cellStyle name="SAPBEXstdItemX 3 2 2 2" xfId="50902"/>
    <cellStyle name="SAPBEXstdItemX 3 2 2 2 2" xfId="50903"/>
    <cellStyle name="SAPBEXstdItemX 3 2 2 2 2 2" xfId="50904"/>
    <cellStyle name="SAPBEXstdItemX 3 2 2 2 3" xfId="50905"/>
    <cellStyle name="SAPBEXstdItemX 3 2 2 3" xfId="50906"/>
    <cellStyle name="SAPBEXstdItemX 3 2 2 3 2" xfId="50907"/>
    <cellStyle name="SAPBEXstdItemX 3 2 2 4" xfId="50908"/>
    <cellStyle name="SAPBEXstdItemX 3 2 3" xfId="50909"/>
    <cellStyle name="SAPBEXstdItemX 3 2 3 2" xfId="50910"/>
    <cellStyle name="SAPBEXstdItemX 3 2 3 2 2" xfId="50911"/>
    <cellStyle name="SAPBEXstdItemX 3 2 3 3" xfId="50912"/>
    <cellStyle name="SAPBEXstdItemX 3 2 4" xfId="50913"/>
    <cellStyle name="SAPBEXstdItemX 3 2 4 2" xfId="50914"/>
    <cellStyle name="SAPBEXstdItemX 3 2 4 2 2" xfId="50915"/>
    <cellStyle name="SAPBEXstdItemX 3 2 4 3" xfId="50916"/>
    <cellStyle name="SAPBEXstdItemX 3 2 5" xfId="50917"/>
    <cellStyle name="SAPBEXstdItemX 3 2 5 2" xfId="50918"/>
    <cellStyle name="SAPBEXstdItemX 3 2 5 2 2" xfId="50919"/>
    <cellStyle name="SAPBEXstdItemX 3 2 5 3" xfId="50920"/>
    <cellStyle name="SAPBEXstdItemX 3 2 6" xfId="50921"/>
    <cellStyle name="SAPBEXstdItemX 3 2 6 2" xfId="50922"/>
    <cellStyle name="SAPBEXstdItemX 3 2 7" xfId="50923"/>
    <cellStyle name="SAPBEXstdItemX 3 3" xfId="50924"/>
    <cellStyle name="SAPBEXstdItemX 3 3 2" xfId="50925"/>
    <cellStyle name="SAPBEXstdItemX 3 3 2 2" xfId="50926"/>
    <cellStyle name="SAPBEXstdItemX 3 3 2 2 2" xfId="50927"/>
    <cellStyle name="SAPBEXstdItemX 3 3 2 2 2 2" xfId="50928"/>
    <cellStyle name="SAPBEXstdItemX 3 3 2 2 3" xfId="50929"/>
    <cellStyle name="SAPBEXstdItemX 3 3 2 3" xfId="50930"/>
    <cellStyle name="SAPBEXstdItemX 3 3 2 3 2" xfId="50931"/>
    <cellStyle name="SAPBEXstdItemX 3 3 2 4" xfId="50932"/>
    <cellStyle name="SAPBEXstdItemX 3 3 3" xfId="50933"/>
    <cellStyle name="SAPBEXstdItemX 3 3 3 2" xfId="50934"/>
    <cellStyle name="SAPBEXstdItemX 3 3 3 2 2" xfId="50935"/>
    <cellStyle name="SAPBEXstdItemX 3 3 3 3" xfId="50936"/>
    <cellStyle name="SAPBEXstdItemX 3 3 4" xfId="50937"/>
    <cellStyle name="SAPBEXstdItemX 3 3 4 2" xfId="50938"/>
    <cellStyle name="SAPBEXstdItemX 3 3 5" xfId="50939"/>
    <cellStyle name="SAPBEXstdItemX 3 4" xfId="50940"/>
    <cellStyle name="SAPBEXstdItemX 3 4 2" xfId="50941"/>
    <cellStyle name="SAPBEXstdItemX 3 4 2 2" xfId="50942"/>
    <cellStyle name="SAPBEXstdItemX 3 4 3" xfId="50943"/>
    <cellStyle name="SAPBEXstdItemX 3 5" xfId="50944"/>
    <cellStyle name="SAPBEXstdItemX 3 5 2" xfId="50945"/>
    <cellStyle name="SAPBEXstdItemX 3 5 2 2" xfId="50946"/>
    <cellStyle name="SAPBEXstdItemX 3 5 3" xfId="50947"/>
    <cellStyle name="SAPBEXstdItemX 3 6" xfId="50948"/>
    <cellStyle name="SAPBEXstdItemX 3 6 2" xfId="50949"/>
    <cellStyle name="SAPBEXstdItemX 3 6 2 2" xfId="50950"/>
    <cellStyle name="SAPBEXstdItemX 3 6 3" xfId="50951"/>
    <cellStyle name="SAPBEXstdItemX 3 7" xfId="50952"/>
    <cellStyle name="SAPBEXstdItemX 3 7 2" xfId="50953"/>
    <cellStyle name="SAPBEXstdItemX 3 8" xfId="50954"/>
    <cellStyle name="SAPBEXstdItemX 4" xfId="50955"/>
    <cellStyle name="SAPBEXstdItemX 4 2" xfId="50956"/>
    <cellStyle name="SAPBEXstdItemX 4 2 2" xfId="50957"/>
    <cellStyle name="SAPBEXstdItemX 4 2 2 2" xfId="50958"/>
    <cellStyle name="SAPBEXstdItemX 4 2 2 2 2" xfId="50959"/>
    <cellStyle name="SAPBEXstdItemX 4 2 2 2 2 2" xfId="50960"/>
    <cellStyle name="SAPBEXstdItemX 4 2 2 2 3" xfId="50961"/>
    <cellStyle name="SAPBEXstdItemX 4 2 2 3" xfId="50962"/>
    <cellStyle name="SAPBEXstdItemX 4 2 2 3 2" xfId="50963"/>
    <cellStyle name="SAPBEXstdItemX 4 2 2 4" xfId="50964"/>
    <cellStyle name="SAPBEXstdItemX 4 2 3" xfId="50965"/>
    <cellStyle name="SAPBEXstdItemX 4 2 3 2" xfId="50966"/>
    <cellStyle name="SAPBEXstdItemX 4 2 3 2 2" xfId="50967"/>
    <cellStyle name="SAPBEXstdItemX 4 2 3 3" xfId="50968"/>
    <cellStyle name="SAPBEXstdItemX 4 2 4" xfId="50969"/>
    <cellStyle name="SAPBEXstdItemX 4 2 4 2" xfId="50970"/>
    <cellStyle name="SAPBEXstdItemX 4 2 4 2 2" xfId="50971"/>
    <cellStyle name="SAPBEXstdItemX 4 2 4 3" xfId="50972"/>
    <cellStyle name="SAPBEXstdItemX 4 2 5" xfId="50973"/>
    <cellStyle name="SAPBEXstdItemX 4 2 5 2" xfId="50974"/>
    <cellStyle name="SAPBEXstdItemX 4 2 5 2 2" xfId="50975"/>
    <cellStyle name="SAPBEXstdItemX 4 2 5 3" xfId="50976"/>
    <cellStyle name="SAPBEXstdItemX 4 2 6" xfId="50977"/>
    <cellStyle name="SAPBEXstdItemX 4 2 6 2" xfId="50978"/>
    <cellStyle name="SAPBEXstdItemX 4 2 7" xfId="50979"/>
    <cellStyle name="SAPBEXstdItemX 4 3" xfId="50980"/>
    <cellStyle name="SAPBEXstdItemX 4 3 2" xfId="50981"/>
    <cellStyle name="SAPBEXstdItemX 4 3 2 2" xfId="50982"/>
    <cellStyle name="SAPBEXstdItemX 4 3 2 2 2" xfId="50983"/>
    <cellStyle name="SAPBEXstdItemX 4 3 2 2 2 2" xfId="50984"/>
    <cellStyle name="SAPBEXstdItemX 4 3 2 2 2 2 2" xfId="50985"/>
    <cellStyle name="SAPBEXstdItemX 4 3 2 2 2 3" xfId="50986"/>
    <cellStyle name="SAPBEXstdItemX 4 3 2 2 3" xfId="50987"/>
    <cellStyle name="SAPBEXstdItemX 4 3 2 2 3 2" xfId="50988"/>
    <cellStyle name="SAPBEXstdItemX 4 3 2 2 4" xfId="50989"/>
    <cellStyle name="SAPBEXstdItemX 4 3 2 3" xfId="50990"/>
    <cellStyle name="SAPBEXstdItemX 4 3 2 3 2" xfId="50991"/>
    <cellStyle name="SAPBEXstdItemX 4 3 2 3 2 2" xfId="50992"/>
    <cellStyle name="SAPBEXstdItemX 4 3 2 3 3" xfId="50993"/>
    <cellStyle name="SAPBEXstdItemX 4 3 2 4" xfId="50994"/>
    <cellStyle name="SAPBEXstdItemX 4 3 2 4 2" xfId="50995"/>
    <cellStyle name="SAPBEXstdItemX 4 3 2 4 2 2" xfId="50996"/>
    <cellStyle name="SAPBEXstdItemX 4 3 2 4 3" xfId="50997"/>
    <cellStyle name="SAPBEXstdItemX 4 3 2 5" xfId="50998"/>
    <cellStyle name="SAPBEXstdItemX 4 3 2 5 2" xfId="50999"/>
    <cellStyle name="SAPBEXstdItemX 4 3 2 6" xfId="51000"/>
    <cellStyle name="SAPBEXstdItemX 4 3 3" xfId="51001"/>
    <cellStyle name="SAPBEXstdItemX 4 3 3 2" xfId="51002"/>
    <cellStyle name="SAPBEXstdItemX 4 3 3 2 2" xfId="51003"/>
    <cellStyle name="SAPBEXstdItemX 4 3 3 2 2 2" xfId="51004"/>
    <cellStyle name="SAPBEXstdItemX 4 3 3 2 2 2 2" xfId="51005"/>
    <cellStyle name="SAPBEXstdItemX 4 3 3 2 2 3" xfId="51006"/>
    <cellStyle name="SAPBEXstdItemX 4 3 3 2 3" xfId="51007"/>
    <cellStyle name="SAPBEXstdItemX 4 3 3 2 3 2" xfId="51008"/>
    <cellStyle name="SAPBEXstdItemX 4 3 3 2 4" xfId="51009"/>
    <cellStyle name="SAPBEXstdItemX 4 3 3 3" xfId="51010"/>
    <cellStyle name="SAPBEXstdItemX 4 3 3 3 2" xfId="51011"/>
    <cellStyle name="SAPBEXstdItemX 4 3 3 3 2 2" xfId="51012"/>
    <cellStyle name="SAPBEXstdItemX 4 3 3 3 3" xfId="51013"/>
    <cellStyle name="SAPBEXstdItemX 4 3 3 4" xfId="51014"/>
    <cellStyle name="SAPBEXstdItemX 4 3 3 4 2" xfId="51015"/>
    <cellStyle name="SAPBEXstdItemX 4 3 3 5" xfId="51016"/>
    <cellStyle name="SAPBEXstdItemX 4 3 4" xfId="51017"/>
    <cellStyle name="SAPBEXstdItemX 4 3 4 2" xfId="51018"/>
    <cellStyle name="SAPBEXstdItemX 4 3 4 2 2" xfId="51019"/>
    <cellStyle name="SAPBEXstdItemX 4 3 4 3" xfId="51020"/>
    <cellStyle name="SAPBEXstdItemX 4 3 5" xfId="51021"/>
    <cellStyle name="SAPBEXstdItemX 4 3 5 2" xfId="51022"/>
    <cellStyle name="SAPBEXstdItemX 4 3 5 2 2" xfId="51023"/>
    <cellStyle name="SAPBEXstdItemX 4 3 5 3" xfId="51024"/>
    <cellStyle name="SAPBEXstdItemX 4 3 6" xfId="51025"/>
    <cellStyle name="SAPBEXstdItemX 4 3 6 2" xfId="51026"/>
    <cellStyle name="SAPBEXstdItemX 4 3 6 2 2" xfId="51027"/>
    <cellStyle name="SAPBEXstdItemX 4 3 6 3" xfId="51028"/>
    <cellStyle name="SAPBEXstdItemX 4 3 7" xfId="51029"/>
    <cellStyle name="SAPBEXstdItemX 4 3 7 2" xfId="51030"/>
    <cellStyle name="SAPBEXstdItemX 4 3 8" xfId="51031"/>
    <cellStyle name="SAPBEXstdItemX 4 4" xfId="51032"/>
    <cellStyle name="SAPBEXstdItemX 4 4 2" xfId="51033"/>
    <cellStyle name="SAPBEXstdItemX 4 4 2 2" xfId="51034"/>
    <cellStyle name="SAPBEXstdItemX 4 4 2 2 2" xfId="51035"/>
    <cellStyle name="SAPBEXstdItemX 4 4 2 2 2 2" xfId="51036"/>
    <cellStyle name="SAPBEXstdItemX 4 4 2 2 3" xfId="51037"/>
    <cellStyle name="SAPBEXstdItemX 4 4 2 3" xfId="51038"/>
    <cellStyle name="SAPBEXstdItemX 4 4 2 3 2" xfId="51039"/>
    <cellStyle name="SAPBEXstdItemX 4 4 2 4" xfId="51040"/>
    <cellStyle name="SAPBEXstdItemX 4 4 3" xfId="51041"/>
    <cellStyle name="SAPBEXstdItemX 4 4 3 2" xfId="51042"/>
    <cellStyle name="SAPBEXstdItemX 4 4 3 2 2" xfId="51043"/>
    <cellStyle name="SAPBEXstdItemX 4 4 3 3" xfId="51044"/>
    <cellStyle name="SAPBEXstdItemX 4 4 4" xfId="51045"/>
    <cellStyle name="SAPBEXstdItemX 4 4 4 2" xfId="51046"/>
    <cellStyle name="SAPBEXstdItemX 4 4 5" xfId="51047"/>
    <cellStyle name="SAPBEXstdItemX 4 5" xfId="51048"/>
    <cellStyle name="SAPBEXstdItemX 4 5 2" xfId="51049"/>
    <cellStyle name="SAPBEXstdItemX 4 5 2 2" xfId="51050"/>
    <cellStyle name="SAPBEXstdItemX 4 5 3" xfId="51051"/>
    <cellStyle name="SAPBEXstdItemX 4 6" xfId="51052"/>
    <cellStyle name="SAPBEXstdItemX 4 6 2" xfId="51053"/>
    <cellStyle name="SAPBEXstdItemX 4 6 2 2" xfId="51054"/>
    <cellStyle name="SAPBEXstdItemX 4 6 3" xfId="51055"/>
    <cellStyle name="SAPBEXstdItemX 4 7" xfId="51056"/>
    <cellStyle name="SAPBEXstdItemX 4 7 2" xfId="51057"/>
    <cellStyle name="SAPBEXstdItemX 4 7 2 2" xfId="51058"/>
    <cellStyle name="SAPBEXstdItemX 4 7 3" xfId="51059"/>
    <cellStyle name="SAPBEXstdItemX 4 8" xfId="51060"/>
    <cellStyle name="SAPBEXstdItemX 4 8 2" xfId="51061"/>
    <cellStyle name="SAPBEXstdItemX 4 9" xfId="51062"/>
    <cellStyle name="SAPBEXstdItemX 5" xfId="51063"/>
    <cellStyle name="SAPBEXstdItemX 5 2" xfId="51064"/>
    <cellStyle name="SAPBEXstdItemX 5 2 2" xfId="51065"/>
    <cellStyle name="SAPBEXstdItemX 5 2 2 2" xfId="51066"/>
    <cellStyle name="SAPBEXstdItemX 5 2 2 2 2" xfId="51067"/>
    <cellStyle name="SAPBEXstdItemX 5 2 2 3" xfId="51068"/>
    <cellStyle name="SAPBEXstdItemX 5 2 3" xfId="51069"/>
    <cellStyle name="SAPBEXstdItemX 5 2 3 2" xfId="51070"/>
    <cellStyle name="SAPBEXstdItemX 5 2 4" xfId="51071"/>
    <cellStyle name="SAPBEXstdItemX 5 3" xfId="51072"/>
    <cellStyle name="SAPBEXstdItemX 5 3 2" xfId="51073"/>
    <cellStyle name="SAPBEXstdItemX 5 3 2 2" xfId="51074"/>
    <cellStyle name="SAPBEXstdItemX 5 3 3" xfId="51075"/>
    <cellStyle name="SAPBEXstdItemX 5 4" xfId="51076"/>
    <cellStyle name="SAPBEXstdItemX 5 4 2" xfId="51077"/>
    <cellStyle name="SAPBEXstdItemX 5 4 2 2" xfId="51078"/>
    <cellStyle name="SAPBEXstdItemX 5 4 3" xfId="51079"/>
    <cellStyle name="SAPBEXstdItemX 5 5" xfId="51080"/>
    <cellStyle name="SAPBEXstdItemX 5 5 2" xfId="51081"/>
    <cellStyle name="SAPBEXstdItemX 5 5 2 2" xfId="51082"/>
    <cellStyle name="SAPBEXstdItemX 5 5 3" xfId="51083"/>
    <cellStyle name="SAPBEXstdItemX 5 6" xfId="51084"/>
    <cellStyle name="SAPBEXstdItemX 5 6 2" xfId="51085"/>
    <cellStyle name="SAPBEXstdItemX 5 7" xfId="51086"/>
    <cellStyle name="SAPBEXstdItemX 6" xfId="51087"/>
    <cellStyle name="SAPBEXstdItemX 6 2" xfId="51088"/>
    <cellStyle name="SAPBEXstdItemX 6 2 2" xfId="51089"/>
    <cellStyle name="SAPBEXstdItemX 6 3" xfId="51090"/>
    <cellStyle name="SAPBEXstdItemX 6 3 2" xfId="51091"/>
    <cellStyle name="SAPBEXstdItemX 6 3 2 2" xfId="51092"/>
    <cellStyle name="SAPBEXstdItemX 6 3 3" xfId="51093"/>
    <cellStyle name="SAPBEXstdItemX 6 4" xfId="51094"/>
    <cellStyle name="SAPBEXstdItemX 6 4 2" xfId="51095"/>
    <cellStyle name="SAPBEXstdItemX 6 4 2 2" xfId="51096"/>
    <cellStyle name="SAPBEXstdItemX 6 4 3" xfId="51097"/>
    <cellStyle name="SAPBEXstdItemX 6 5" xfId="51098"/>
    <cellStyle name="SAPBEXstdItemX 7" xfId="51099"/>
    <cellStyle name="SAPBEXstdItemX 7 2" xfId="51100"/>
    <cellStyle name="SAPBEXstdItemX 7 2 2" xfId="51101"/>
    <cellStyle name="SAPBEXstdItemX 7 2 2 2" xfId="51102"/>
    <cellStyle name="SAPBEXstdItemX 7 2 3" xfId="51103"/>
    <cellStyle name="SAPBEXstdItemX 7 2 3 2" xfId="51104"/>
    <cellStyle name="SAPBEXstdItemX 7 2 3 2 2" xfId="51105"/>
    <cellStyle name="SAPBEXstdItemX 7 2 3 3" xfId="51106"/>
    <cellStyle name="SAPBEXstdItemX 7 2 4" xfId="51107"/>
    <cellStyle name="SAPBEXstdItemX 7 3" xfId="51108"/>
    <cellStyle name="SAPBEXstdItemX 7 3 2" xfId="51109"/>
    <cellStyle name="SAPBEXstdItemX 7 3 2 2" xfId="51110"/>
    <cellStyle name="SAPBEXstdItemX 7 3 3" xfId="51111"/>
    <cellStyle name="SAPBEXstdItemX 7 4" xfId="51112"/>
    <cellStyle name="SAPBEXstdItemX 7 4 2" xfId="51113"/>
    <cellStyle name="SAPBEXstdItemX 7 4 2 2" xfId="51114"/>
    <cellStyle name="SAPBEXstdItemX 7 4 3" xfId="51115"/>
    <cellStyle name="SAPBEXstdItemX 7 5" xfId="51116"/>
    <cellStyle name="SAPBEXstdItemX 7 5 2" xfId="51117"/>
    <cellStyle name="SAPBEXstdItemX 7 5 2 2" xfId="51118"/>
    <cellStyle name="SAPBEXstdItemX 7 5 3" xfId="51119"/>
    <cellStyle name="SAPBEXstdItemX 7 6" xfId="51120"/>
    <cellStyle name="SAPBEXstdItemX 8" xfId="51121"/>
    <cellStyle name="SAPBEXstdItemX 8 2" xfId="51122"/>
    <cellStyle name="SAPBEXstdItemX 8 2 2" xfId="51123"/>
    <cellStyle name="SAPBEXstdItemX 8 3" xfId="51124"/>
    <cellStyle name="SAPBEXstdItemX 9" xfId="51125"/>
    <cellStyle name="SAPBEXstdItemX 9 2" xfId="51126"/>
    <cellStyle name="SAPBEXstdItemX 9 2 2" xfId="51127"/>
    <cellStyle name="SAPBEXstdItemX 9 3" xfId="51128"/>
    <cellStyle name="SAPBEXtitle" xfId="77"/>
    <cellStyle name="SAPBEXtitle 10" xfId="51129"/>
    <cellStyle name="SAPBEXtitle 10 2" xfId="51130"/>
    <cellStyle name="SAPBEXtitle 11" xfId="51131"/>
    <cellStyle name="SAPBEXtitle 11 2" xfId="51132"/>
    <cellStyle name="SAPBEXtitle 12" xfId="51133"/>
    <cellStyle name="SAPBEXtitle 2" xfId="51134"/>
    <cellStyle name="SAPBEXtitle 2 2" xfId="51135"/>
    <cellStyle name="SAPBEXtitle 2 2 2" xfId="51136"/>
    <cellStyle name="SAPBEXtitle 2 2 2 2" xfId="51137"/>
    <cellStyle name="SAPBEXtitle 2 2 2 2 2" xfId="51138"/>
    <cellStyle name="SAPBEXtitle 2 2 2 2 2 2" xfId="51139"/>
    <cellStyle name="SAPBEXtitle 2 2 2 2 3" xfId="51140"/>
    <cellStyle name="SAPBEXtitle 2 2 2 3" xfId="51141"/>
    <cellStyle name="SAPBEXtitle 2 2 2 3 2" xfId="51142"/>
    <cellStyle name="SAPBEXtitle 2 2 2 4" xfId="51143"/>
    <cellStyle name="SAPBEXtitle 2 2 3" xfId="51144"/>
    <cellStyle name="SAPBEXtitle 2 2 3 2" xfId="51145"/>
    <cellStyle name="SAPBEXtitle 2 2 3 2 2" xfId="51146"/>
    <cellStyle name="SAPBEXtitle 2 2 3 3" xfId="51147"/>
    <cellStyle name="SAPBEXtitle 2 2 4" xfId="51148"/>
    <cellStyle name="SAPBEXtitle 2 2 4 2" xfId="51149"/>
    <cellStyle name="SAPBEXtitle 2 2 4 2 2" xfId="51150"/>
    <cellStyle name="SAPBEXtitle 2 2 4 3" xfId="51151"/>
    <cellStyle name="SAPBEXtitle 2 2 5" xfId="51152"/>
    <cellStyle name="SAPBEXtitle 2 2 5 2" xfId="51153"/>
    <cellStyle name="SAPBEXtitle 2 2 6" xfId="51154"/>
    <cellStyle name="SAPBEXtitle 2 3" xfId="51155"/>
    <cellStyle name="SAPBEXtitle 2 4" xfId="51156"/>
    <cellStyle name="SAPBEXtitle 2 4 2" xfId="51157"/>
    <cellStyle name="SAPBEXtitle 2 4 2 2" xfId="51158"/>
    <cellStyle name="SAPBEXtitle 2 4 3" xfId="51159"/>
    <cellStyle name="SAPBEXtitle 2 5" xfId="51160"/>
    <cellStyle name="SAPBEXtitle 2 5 2" xfId="51161"/>
    <cellStyle name="SAPBEXtitle 2 5 2 2" xfId="51162"/>
    <cellStyle name="SAPBEXtitle 2 5 3" xfId="51163"/>
    <cellStyle name="SAPBEXtitle 3" xfId="51164"/>
    <cellStyle name="SAPBEXtitle 3 2" xfId="51165"/>
    <cellStyle name="SAPBEXtitle 3 2 2" xfId="51166"/>
    <cellStyle name="SAPBEXtitle 3 3" xfId="51167"/>
    <cellStyle name="SAPBEXtitle 3 3 2" xfId="51168"/>
    <cellStyle name="SAPBEXtitle 3 3 2 2" xfId="51169"/>
    <cellStyle name="SAPBEXtitle 3 3 3" xfId="51170"/>
    <cellStyle name="SAPBEXtitle 3 4" xfId="51171"/>
    <cellStyle name="SAPBEXtitle 3 4 2" xfId="51172"/>
    <cellStyle name="SAPBEXtitle 3 4 2 2" xfId="51173"/>
    <cellStyle name="SAPBEXtitle 3 4 3" xfId="51174"/>
    <cellStyle name="SAPBEXtitle 3 5" xfId="51175"/>
    <cellStyle name="SAPBEXtitle 4" xfId="51176"/>
    <cellStyle name="SAPBEXtitle 4 2" xfId="51177"/>
    <cellStyle name="SAPBEXtitle 4 2 2" xfId="51178"/>
    <cellStyle name="SAPBEXtitle 4 2 2 2" xfId="51179"/>
    <cellStyle name="SAPBEXtitle 4 2 3" xfId="51180"/>
    <cellStyle name="SAPBEXtitle 4 2 3 2" xfId="51181"/>
    <cellStyle name="SAPBEXtitle 4 2 3 2 2" xfId="51182"/>
    <cellStyle name="SAPBEXtitle 4 2 3 3" xfId="51183"/>
    <cellStyle name="SAPBEXtitle 4 2 4" xfId="51184"/>
    <cellStyle name="SAPBEXtitle 4 3" xfId="51185"/>
    <cellStyle name="SAPBEXtitle 4 3 2" xfId="51186"/>
    <cellStyle name="SAPBEXtitle 4 3 2 2" xfId="51187"/>
    <cellStyle name="SAPBEXtitle 4 3 3" xfId="51188"/>
    <cellStyle name="SAPBEXtitle 4 4" xfId="51189"/>
    <cellStyle name="SAPBEXtitle 4 4 2" xfId="51190"/>
    <cellStyle name="SAPBEXtitle 4 4 2 2" xfId="51191"/>
    <cellStyle name="SAPBEXtitle 4 4 3" xfId="51192"/>
    <cellStyle name="SAPBEXtitle 4 5" xfId="51193"/>
    <cellStyle name="SAPBEXtitle 4 5 2" xfId="51194"/>
    <cellStyle name="SAPBEXtitle 4 5 2 2" xfId="51195"/>
    <cellStyle name="SAPBEXtitle 4 5 3" xfId="51196"/>
    <cellStyle name="SAPBEXtitle 4 6" xfId="51197"/>
    <cellStyle name="SAPBEXtitle 5" xfId="51198"/>
    <cellStyle name="SAPBEXtitle 5 2" xfId="51199"/>
    <cellStyle name="SAPBEXtitle 5 2 2" xfId="51200"/>
    <cellStyle name="SAPBEXtitle 5 3" xfId="51201"/>
    <cellStyle name="SAPBEXtitle 6" xfId="51202"/>
    <cellStyle name="SAPBEXtitle 6 2" xfId="51203"/>
    <cellStyle name="SAPBEXtitle 6 2 2" xfId="51204"/>
    <cellStyle name="SAPBEXtitle 6 3" xfId="51205"/>
    <cellStyle name="SAPBEXtitle 7" xfId="51206"/>
    <cellStyle name="SAPBEXtitle 7 2" xfId="51207"/>
    <cellStyle name="SAPBEXtitle 7 2 2" xfId="51208"/>
    <cellStyle name="SAPBEXtitle 7 3" xfId="51209"/>
    <cellStyle name="SAPBEXtitle 8" xfId="51210"/>
    <cellStyle name="SAPBEXtitle 8 2" xfId="51211"/>
    <cellStyle name="SAPBEXtitle 9" xfId="51212"/>
    <cellStyle name="SAPBEXtitle 9 2" xfId="51213"/>
    <cellStyle name="SAPBEXunassignedItem" xfId="51214"/>
    <cellStyle name="SAPBEXunassignedItem 10" xfId="51215"/>
    <cellStyle name="SAPBEXunassignedItem 11" xfId="51216"/>
    <cellStyle name="SAPBEXunassignedItem 2" xfId="51217"/>
    <cellStyle name="SAPBEXunassignedItem 2 2" xfId="51218"/>
    <cellStyle name="SAPBEXunassignedItem 2 2 2" xfId="51219"/>
    <cellStyle name="SAPBEXunassignedItem 2 2 2 2" xfId="51220"/>
    <cellStyle name="SAPBEXunassignedItem 2 2 3" xfId="51221"/>
    <cellStyle name="SAPBEXunassignedItem 2 2 3 2" xfId="51222"/>
    <cellStyle name="SAPBEXunassignedItem 2 2 3 2 2" xfId="51223"/>
    <cellStyle name="SAPBEXunassignedItem 2 2 3 3" xfId="51224"/>
    <cellStyle name="SAPBEXunassignedItem 2 2 4" xfId="51225"/>
    <cellStyle name="SAPBEXunassignedItem 2 2 4 2" xfId="51226"/>
    <cellStyle name="SAPBEXunassignedItem 2 2 4 2 2" xfId="51227"/>
    <cellStyle name="SAPBEXunassignedItem 2 2 4 3" xfId="51228"/>
    <cellStyle name="SAPBEXunassignedItem 2 2 5" xfId="51229"/>
    <cellStyle name="SAPBEXunassignedItem 2 3" xfId="51230"/>
    <cellStyle name="SAPBEXunassignedItem 2 3 2" xfId="51231"/>
    <cellStyle name="SAPBEXunassignedItem 2 3 2 2" xfId="51232"/>
    <cellStyle name="SAPBEXunassignedItem 2 3 2 2 2" xfId="51233"/>
    <cellStyle name="SAPBEXunassignedItem 2 3 2 3" xfId="51234"/>
    <cellStyle name="SAPBEXunassignedItem 2 3 2 3 2" xfId="51235"/>
    <cellStyle name="SAPBEXunassignedItem 2 3 2 3 2 2" xfId="51236"/>
    <cellStyle name="SAPBEXunassignedItem 2 3 2 3 3" xfId="51237"/>
    <cellStyle name="SAPBEXunassignedItem 2 3 2 4" xfId="51238"/>
    <cellStyle name="SAPBEXunassignedItem 2 3 3" xfId="51239"/>
    <cellStyle name="SAPBEXunassignedItem 2 3 3 2" xfId="51240"/>
    <cellStyle name="SAPBEXunassignedItem 2 3 3 2 2" xfId="51241"/>
    <cellStyle name="SAPBEXunassignedItem 2 3 3 3" xfId="51242"/>
    <cellStyle name="SAPBEXunassignedItem 2 3 4" xfId="51243"/>
    <cellStyle name="SAPBEXunassignedItem 2 3 4 2" xfId="51244"/>
    <cellStyle name="SAPBEXunassignedItem 2 3 4 2 2" xfId="51245"/>
    <cellStyle name="SAPBEXunassignedItem 2 3 4 3" xfId="51246"/>
    <cellStyle name="SAPBEXunassignedItem 2 3 5" xfId="51247"/>
    <cellStyle name="SAPBEXunassignedItem 2 3 5 2" xfId="51248"/>
    <cellStyle name="SAPBEXunassignedItem 2 3 5 2 2" xfId="51249"/>
    <cellStyle name="SAPBEXunassignedItem 2 3 5 3" xfId="51250"/>
    <cellStyle name="SAPBEXunassignedItem 2 3 6" xfId="51251"/>
    <cellStyle name="SAPBEXunassignedItem 2 4" xfId="51252"/>
    <cellStyle name="SAPBEXunassignedItem 2 4 2" xfId="51253"/>
    <cellStyle name="SAPBEXunassignedItem 2 4 2 2" xfId="51254"/>
    <cellStyle name="SAPBEXunassignedItem 2 4 3" xfId="51255"/>
    <cellStyle name="SAPBEXunassignedItem 2 5" xfId="51256"/>
    <cellStyle name="SAPBEXunassignedItem 2 5 2" xfId="51257"/>
    <cellStyle name="SAPBEXunassignedItem 2 5 2 2" xfId="51258"/>
    <cellStyle name="SAPBEXunassignedItem 2 5 3" xfId="51259"/>
    <cellStyle name="SAPBEXunassignedItem 2 6" xfId="51260"/>
    <cellStyle name="SAPBEXunassignedItem 2 6 2" xfId="51261"/>
    <cellStyle name="SAPBEXunassignedItem 2 6 2 2" xfId="51262"/>
    <cellStyle name="SAPBEXunassignedItem 2 6 3" xfId="51263"/>
    <cellStyle name="SAPBEXunassignedItem 2 7" xfId="51264"/>
    <cellStyle name="SAPBEXunassignedItem 3" xfId="51265"/>
    <cellStyle name="SAPBEXunassignedItem 3 2" xfId="51266"/>
    <cellStyle name="SAPBEXunassignedItem 3 2 2" xfId="51267"/>
    <cellStyle name="SAPBEXunassignedItem 3 2 2 2" xfId="51268"/>
    <cellStyle name="SAPBEXunassignedItem 3 2 3" xfId="51269"/>
    <cellStyle name="SAPBEXunassignedItem 3 2 3 2" xfId="51270"/>
    <cellStyle name="SAPBEXunassignedItem 3 2 3 2 2" xfId="51271"/>
    <cellStyle name="SAPBEXunassignedItem 3 2 3 3" xfId="51272"/>
    <cellStyle name="SAPBEXunassignedItem 3 2 4" xfId="51273"/>
    <cellStyle name="SAPBEXunassignedItem 3 2 4 2" xfId="51274"/>
    <cellStyle name="SAPBEXunassignedItem 3 2 4 2 2" xfId="51275"/>
    <cellStyle name="SAPBEXunassignedItem 3 2 4 3" xfId="51276"/>
    <cellStyle name="SAPBEXunassignedItem 3 2 5" xfId="51277"/>
    <cellStyle name="SAPBEXunassignedItem 3 3" xfId="51278"/>
    <cellStyle name="SAPBEXunassignedItem 3 3 2" xfId="51279"/>
    <cellStyle name="SAPBEXunassignedItem 3 3 2 2" xfId="51280"/>
    <cellStyle name="SAPBEXunassignedItem 3 3 3" xfId="51281"/>
    <cellStyle name="SAPBEXunassignedItem 3 4" xfId="51282"/>
    <cellStyle name="SAPBEXunassignedItem 3 4 2" xfId="51283"/>
    <cellStyle name="SAPBEXunassignedItem 3 4 2 2" xfId="51284"/>
    <cellStyle name="SAPBEXunassignedItem 3 4 3" xfId="51285"/>
    <cellStyle name="SAPBEXunassignedItem 3 5" xfId="51286"/>
    <cellStyle name="SAPBEXunassignedItem 3 5 2" xfId="51287"/>
    <cellStyle name="SAPBEXunassignedItem 3 5 2 2" xfId="51288"/>
    <cellStyle name="SAPBEXunassignedItem 3 5 3" xfId="51289"/>
    <cellStyle name="SAPBEXunassignedItem 3 6" xfId="51290"/>
    <cellStyle name="SAPBEXunassignedItem 4" xfId="51291"/>
    <cellStyle name="SAPBEXunassignedItem 4 2" xfId="51292"/>
    <cellStyle name="SAPBEXunassignedItem 4 2 2" xfId="51293"/>
    <cellStyle name="SAPBEXunassignedItem 4 3" xfId="51294"/>
    <cellStyle name="SAPBEXunassignedItem 4 3 2" xfId="51295"/>
    <cellStyle name="SAPBEXunassignedItem 4 3 2 2" xfId="51296"/>
    <cellStyle name="SAPBEXunassignedItem 4 3 3" xfId="51297"/>
    <cellStyle name="SAPBEXunassignedItem 4 4" xfId="51298"/>
    <cellStyle name="SAPBEXunassignedItem 4 4 2" xfId="51299"/>
    <cellStyle name="SAPBEXunassignedItem 4 4 2 2" xfId="51300"/>
    <cellStyle name="SAPBEXunassignedItem 4 4 3" xfId="51301"/>
    <cellStyle name="SAPBEXunassignedItem 4 5" xfId="51302"/>
    <cellStyle name="SAPBEXunassignedItem 5" xfId="51303"/>
    <cellStyle name="SAPBEXunassignedItem 5 2" xfId="51304"/>
    <cellStyle name="SAPBEXunassignedItem 5 2 2" xfId="51305"/>
    <cellStyle name="SAPBEXunassignedItem 5 3" xfId="51306"/>
    <cellStyle name="SAPBEXunassignedItem 6" xfId="51307"/>
    <cellStyle name="SAPBEXunassignedItem 6 2" xfId="51308"/>
    <cellStyle name="SAPBEXunassignedItem 6 2 2" xfId="51309"/>
    <cellStyle name="SAPBEXunassignedItem 6 3" xfId="51310"/>
    <cellStyle name="SAPBEXunassignedItem 7" xfId="51311"/>
    <cellStyle name="SAPBEXunassignedItem 7 2" xfId="51312"/>
    <cellStyle name="SAPBEXunassignedItem 7 2 2" xfId="51313"/>
    <cellStyle name="SAPBEXunassignedItem 7 3" xfId="51314"/>
    <cellStyle name="SAPBEXunassignedItem 8" xfId="51315"/>
    <cellStyle name="SAPBEXunassignedItem 8 2" xfId="51316"/>
    <cellStyle name="SAPBEXunassignedItem 9" xfId="51317"/>
    <cellStyle name="SAPBEXunassignedItem 9 2" xfId="51318"/>
    <cellStyle name="SAPBEXundefined" xfId="78"/>
    <cellStyle name="SAPBEXundefined 10" xfId="51319"/>
    <cellStyle name="SAPBEXundefined 10 2" xfId="51320"/>
    <cellStyle name="SAPBEXundefined 11" xfId="51321"/>
    <cellStyle name="SAPBEXundefined 11 2" xfId="51322"/>
    <cellStyle name="SAPBEXundefined 12" xfId="51323"/>
    <cellStyle name="SAPBEXundefined 13" xfId="51324"/>
    <cellStyle name="SAPBEXundefined 2" xfId="51325"/>
    <cellStyle name="SAPBEXundefined 2 2" xfId="51326"/>
    <cellStyle name="SAPBEXundefined 2 2 2" xfId="51327"/>
    <cellStyle name="SAPBEXundefined 2 2 2 2" xfId="51328"/>
    <cellStyle name="SAPBEXundefined 2 2 2 2 2" xfId="51329"/>
    <cellStyle name="SAPBEXundefined 2 2 2 2 2 2" xfId="51330"/>
    <cellStyle name="SAPBEXundefined 2 2 2 2 3" xfId="51331"/>
    <cellStyle name="SAPBEXundefined 2 2 2 3" xfId="51332"/>
    <cellStyle name="SAPBEXundefined 2 2 2 3 2" xfId="51333"/>
    <cellStyle name="SAPBEXundefined 2 2 2 4" xfId="51334"/>
    <cellStyle name="SAPBEXundefined 2 2 3" xfId="51335"/>
    <cellStyle name="SAPBEXundefined 2 2 3 2" xfId="51336"/>
    <cellStyle name="SAPBEXundefined 2 2 3 2 2" xfId="51337"/>
    <cellStyle name="SAPBEXundefined 2 2 3 3" xfId="51338"/>
    <cellStyle name="SAPBEXundefined 2 2 4" xfId="51339"/>
    <cellStyle name="SAPBEXundefined 2 2 4 2" xfId="51340"/>
    <cellStyle name="SAPBEXundefined 2 2 4 2 2" xfId="51341"/>
    <cellStyle name="SAPBEXundefined 2 2 4 3" xfId="51342"/>
    <cellStyle name="SAPBEXundefined 2 2 5" xfId="51343"/>
    <cellStyle name="SAPBEXundefined 2 2 5 2" xfId="51344"/>
    <cellStyle name="SAPBEXundefined 2 2 6" xfId="51345"/>
    <cellStyle name="SAPBEXundefined 2 3" xfId="51346"/>
    <cellStyle name="SAPBEXundefined 2 3 2" xfId="51347"/>
    <cellStyle name="SAPBEXundefined 2 4" xfId="51348"/>
    <cellStyle name="SAPBEXundefined 2 4 2" xfId="51349"/>
    <cellStyle name="SAPBEXundefined 2 4 2 2" xfId="51350"/>
    <cellStyle name="SAPBEXundefined 2 4 3" xfId="51351"/>
    <cellStyle name="SAPBEXundefined 2 5" xfId="51352"/>
    <cellStyle name="SAPBEXundefined 2 5 2" xfId="51353"/>
    <cellStyle name="SAPBEXundefined 2 5 2 2" xfId="51354"/>
    <cellStyle name="SAPBEXundefined 2 5 3" xfId="51355"/>
    <cellStyle name="SAPBEXundefined 2 6" xfId="51356"/>
    <cellStyle name="SAPBEXundefined 3" xfId="51357"/>
    <cellStyle name="SAPBEXundefined 3 2" xfId="51358"/>
    <cellStyle name="SAPBEXundefined 3 2 2" xfId="51359"/>
    <cellStyle name="SAPBEXundefined 3 3" xfId="51360"/>
    <cellStyle name="SAPBEXundefined 3 3 2" xfId="51361"/>
    <cellStyle name="SAPBEXundefined 3 3 2 2" xfId="51362"/>
    <cellStyle name="SAPBEXundefined 3 3 3" xfId="51363"/>
    <cellStyle name="SAPBEXundefined 3 4" xfId="51364"/>
    <cellStyle name="SAPBEXundefined 3 4 2" xfId="51365"/>
    <cellStyle name="SAPBEXundefined 3 4 2 2" xfId="51366"/>
    <cellStyle name="SAPBEXundefined 3 4 3" xfId="51367"/>
    <cellStyle name="SAPBEXundefined 3 5" xfId="51368"/>
    <cellStyle name="SAPBEXundefined 4" xfId="51369"/>
    <cellStyle name="SAPBEXundefined 4 2" xfId="51370"/>
    <cellStyle name="SAPBEXundefined 4 2 2" xfId="51371"/>
    <cellStyle name="SAPBEXundefined 4 2 2 2" xfId="51372"/>
    <cellStyle name="SAPBEXundefined 4 2 3" xfId="51373"/>
    <cellStyle name="SAPBEXundefined 4 2 3 2" xfId="51374"/>
    <cellStyle name="SAPBEXundefined 4 2 3 2 2" xfId="51375"/>
    <cellStyle name="SAPBEXundefined 4 2 3 3" xfId="51376"/>
    <cellStyle name="SAPBEXundefined 4 2 4" xfId="51377"/>
    <cellStyle name="SAPBEXundefined 4 3" xfId="51378"/>
    <cellStyle name="SAPBEXundefined 4 3 2" xfId="51379"/>
    <cellStyle name="SAPBEXundefined 4 3 2 2" xfId="51380"/>
    <cellStyle name="SAPBEXundefined 4 3 3" xfId="51381"/>
    <cellStyle name="SAPBEXundefined 4 4" xfId="51382"/>
    <cellStyle name="SAPBEXundefined 4 4 2" xfId="51383"/>
    <cellStyle name="SAPBEXundefined 4 4 2 2" xfId="51384"/>
    <cellStyle name="SAPBEXundefined 4 4 3" xfId="51385"/>
    <cellStyle name="SAPBEXundefined 4 5" xfId="51386"/>
    <cellStyle name="SAPBEXundefined 4 5 2" xfId="51387"/>
    <cellStyle name="SAPBEXundefined 4 5 2 2" xfId="51388"/>
    <cellStyle name="SAPBEXundefined 4 5 3" xfId="51389"/>
    <cellStyle name="SAPBEXundefined 4 6" xfId="51390"/>
    <cellStyle name="SAPBEXundefined 5" xfId="51391"/>
    <cellStyle name="SAPBEXundefined 5 2" xfId="51392"/>
    <cellStyle name="SAPBEXundefined 5 2 2" xfId="51393"/>
    <cellStyle name="SAPBEXundefined 5 3" xfId="51394"/>
    <cellStyle name="SAPBEXundefined 6" xfId="51395"/>
    <cellStyle name="SAPBEXundefined 6 2" xfId="51396"/>
    <cellStyle name="SAPBEXundefined 6 2 2" xfId="51397"/>
    <cellStyle name="SAPBEXundefined 6 3" xfId="51398"/>
    <cellStyle name="SAPBEXundefined 7" xfId="51399"/>
    <cellStyle name="SAPBEXundefined 7 2" xfId="51400"/>
    <cellStyle name="SAPBEXundefined 7 2 2" xfId="51401"/>
    <cellStyle name="SAPBEXundefined 7 3" xfId="51402"/>
    <cellStyle name="SAPBEXundefined 8" xfId="51403"/>
    <cellStyle name="SAPBEXundefined 8 2" xfId="51404"/>
    <cellStyle name="SAPBEXundefined 9" xfId="51405"/>
    <cellStyle name="SAPBEXundefined 9 2" xfId="51406"/>
    <cellStyle name="SHADEDSTORES" xfId="51407"/>
    <cellStyle name="SHADEDSTORES 10" xfId="51408"/>
    <cellStyle name="SHADEDSTORES 10 2" xfId="51409"/>
    <cellStyle name="SHADEDSTORES 10 2 2" xfId="51410"/>
    <cellStyle name="SHADEDSTORES 10 2 2 2" xfId="51411"/>
    <cellStyle name="SHADEDSTORES 10 2 2 2 2" xfId="51412"/>
    <cellStyle name="SHADEDSTORES 10 2 2 2 3" xfId="51413"/>
    <cellStyle name="SHADEDSTORES 10 2 2 3" xfId="51414"/>
    <cellStyle name="SHADEDSTORES 10 2 3" xfId="51415"/>
    <cellStyle name="SHADEDSTORES 10 3" xfId="51416"/>
    <cellStyle name="SHADEDSTORES 10 3 2" xfId="51417"/>
    <cellStyle name="SHADEDSTORES 10 3 2 2" xfId="51418"/>
    <cellStyle name="SHADEDSTORES 10 3 2 2 2" xfId="51419"/>
    <cellStyle name="SHADEDSTORES 10 3 2 2 3" xfId="51420"/>
    <cellStyle name="SHADEDSTORES 10 3 2 3" xfId="51421"/>
    <cellStyle name="SHADEDSTORES 10 3 3" xfId="51422"/>
    <cellStyle name="SHADEDSTORES 10 3 3 2" xfId="51423"/>
    <cellStyle name="SHADEDSTORES 10 3 3 3" xfId="51424"/>
    <cellStyle name="SHADEDSTORES 10 3 4" xfId="51425"/>
    <cellStyle name="SHADEDSTORES 10 4" xfId="51426"/>
    <cellStyle name="SHADEDSTORES 10 4 2" xfId="51427"/>
    <cellStyle name="SHADEDSTORES 10 4 2 2" xfId="51428"/>
    <cellStyle name="SHADEDSTORES 10 4 2 3" xfId="51429"/>
    <cellStyle name="SHADEDSTORES 10 4 3" xfId="51430"/>
    <cellStyle name="SHADEDSTORES 10 5" xfId="51431"/>
    <cellStyle name="SHADEDSTORES 10 5 2" xfId="51432"/>
    <cellStyle name="SHADEDSTORES 10 5 3" xfId="51433"/>
    <cellStyle name="SHADEDSTORES 10 6" xfId="51434"/>
    <cellStyle name="SHADEDSTORES 11" xfId="51435"/>
    <cellStyle name="SHADEDSTORES 2" xfId="51436"/>
    <cellStyle name="SHADEDSTORES 2 2" xfId="51437"/>
    <cellStyle name="SHADEDSTORES 2 2 2" xfId="51438"/>
    <cellStyle name="SHADEDSTORES 2 2 2 2" xfId="51439"/>
    <cellStyle name="SHADEDSTORES 2 2 2 2 2" xfId="51440"/>
    <cellStyle name="SHADEDSTORES 2 2 2 2 2 2" xfId="51441"/>
    <cellStyle name="SHADEDSTORES 2 2 2 2 2 2 2" xfId="51442"/>
    <cellStyle name="SHADEDSTORES 2 2 2 2 2 2 2 2" xfId="51443"/>
    <cellStyle name="SHADEDSTORES 2 2 2 2 2 2 2 3" xfId="51444"/>
    <cellStyle name="SHADEDSTORES 2 2 2 2 2 2 3" xfId="51445"/>
    <cellStyle name="SHADEDSTORES 2 2 2 2 2 3" xfId="51446"/>
    <cellStyle name="SHADEDSTORES 2 2 2 2 3" xfId="51447"/>
    <cellStyle name="SHADEDSTORES 2 2 2 2 3 2" xfId="51448"/>
    <cellStyle name="SHADEDSTORES 2 2 2 2 3 2 2" xfId="51449"/>
    <cellStyle name="SHADEDSTORES 2 2 2 2 3 2 2 2" xfId="51450"/>
    <cellStyle name="SHADEDSTORES 2 2 2 2 3 2 2 3" xfId="51451"/>
    <cellStyle name="SHADEDSTORES 2 2 2 2 3 2 3" xfId="51452"/>
    <cellStyle name="SHADEDSTORES 2 2 2 2 3 3" xfId="51453"/>
    <cellStyle name="SHADEDSTORES 2 2 2 2 3 3 2" xfId="51454"/>
    <cellStyle name="SHADEDSTORES 2 2 2 2 3 3 3" xfId="51455"/>
    <cellStyle name="SHADEDSTORES 2 2 2 2 3 4" xfId="51456"/>
    <cellStyle name="SHADEDSTORES 2 2 2 2 4" xfId="51457"/>
    <cellStyle name="SHADEDSTORES 2 2 2 2 4 2" xfId="51458"/>
    <cellStyle name="SHADEDSTORES 2 2 2 2 4 2 2" xfId="51459"/>
    <cellStyle name="SHADEDSTORES 2 2 2 2 4 2 3" xfId="51460"/>
    <cellStyle name="SHADEDSTORES 2 2 2 2 4 3" xfId="51461"/>
    <cellStyle name="SHADEDSTORES 2 2 2 2 5" xfId="51462"/>
    <cellStyle name="SHADEDSTORES 2 2 2 2 5 2" xfId="51463"/>
    <cellStyle name="SHADEDSTORES 2 2 2 2 5 3" xfId="51464"/>
    <cellStyle name="SHADEDSTORES 2 2 2 2 6" xfId="51465"/>
    <cellStyle name="SHADEDSTORES 2 2 2 3" xfId="51466"/>
    <cellStyle name="SHADEDSTORES 2 2 3" xfId="51467"/>
    <cellStyle name="SHADEDSTORES 2 2 3 2" xfId="51468"/>
    <cellStyle name="SHADEDSTORES 2 2 3 2 2" xfId="51469"/>
    <cellStyle name="SHADEDSTORES 2 2 3 3" xfId="51470"/>
    <cellStyle name="SHADEDSTORES 2 2 4" xfId="51471"/>
    <cellStyle name="SHADEDSTORES 2 2 4 2" xfId="51472"/>
    <cellStyle name="SHADEDSTORES 2 2 4 2 2" xfId="51473"/>
    <cellStyle name="SHADEDSTORES 2 2 4 3" xfId="51474"/>
    <cellStyle name="SHADEDSTORES 2 2 5" xfId="51475"/>
    <cellStyle name="SHADEDSTORES 2 2 5 2" xfId="51476"/>
    <cellStyle name="SHADEDSTORES 2 2 5 2 2" xfId="51477"/>
    <cellStyle name="SHADEDSTORES 2 2 5 2 2 2" xfId="51478"/>
    <cellStyle name="SHADEDSTORES 2 2 5 2 3" xfId="51479"/>
    <cellStyle name="SHADEDSTORES 2 2 5 3" xfId="51480"/>
    <cellStyle name="SHADEDSTORES 2 2 5 3 2" xfId="51481"/>
    <cellStyle name="SHADEDSTORES 2 2 5 4" xfId="51482"/>
    <cellStyle name="SHADEDSTORES 2 2 6" xfId="51483"/>
    <cellStyle name="SHADEDSTORES 2 3" xfId="51484"/>
    <cellStyle name="SHADEDSTORES 2 3 10" xfId="51485"/>
    <cellStyle name="SHADEDSTORES 2 3 2" xfId="51486"/>
    <cellStyle name="SHADEDSTORES 2 3 2 2" xfId="51487"/>
    <cellStyle name="SHADEDSTORES 2 3 2 2 2" xfId="51488"/>
    <cellStyle name="SHADEDSTORES 2 3 2 2 2 2" xfId="51489"/>
    <cellStyle name="SHADEDSTORES 2 3 2 2 2 2 2" xfId="51490"/>
    <cellStyle name="SHADEDSTORES 2 3 2 2 2 2 2 2" xfId="51491"/>
    <cellStyle name="SHADEDSTORES 2 3 2 2 2 2 3" xfId="51492"/>
    <cellStyle name="SHADEDSTORES 2 3 2 2 2 3" xfId="51493"/>
    <cellStyle name="SHADEDSTORES 2 3 2 2 2 3 2" xfId="51494"/>
    <cellStyle name="SHADEDSTORES 2 3 2 2 2 4" xfId="51495"/>
    <cellStyle name="SHADEDSTORES 2 3 2 2 3" xfId="51496"/>
    <cellStyle name="SHADEDSTORES 2 3 2 2 3 2" xfId="51497"/>
    <cellStyle name="SHADEDSTORES 2 3 2 2 3 2 2" xfId="51498"/>
    <cellStyle name="SHADEDSTORES 2 3 2 2 3 3" xfId="51499"/>
    <cellStyle name="SHADEDSTORES 2 3 2 2 3 3 2" xfId="51500"/>
    <cellStyle name="SHADEDSTORES 2 3 2 2 3 4" xfId="51501"/>
    <cellStyle name="SHADEDSTORES 2 3 2 2 4" xfId="51502"/>
    <cellStyle name="SHADEDSTORES 2 3 2 2 4 2" xfId="51503"/>
    <cellStyle name="SHADEDSTORES 2 3 2 2 5" xfId="51504"/>
    <cellStyle name="SHADEDSTORES 2 3 2 2 5 2" xfId="51505"/>
    <cellStyle name="SHADEDSTORES 2 3 2 2 6" xfId="51506"/>
    <cellStyle name="SHADEDSTORES 2 3 2 3" xfId="51507"/>
    <cellStyle name="SHADEDSTORES 2 3 2 3 2" xfId="51508"/>
    <cellStyle name="SHADEDSTORES 2 3 2 3 2 2" xfId="51509"/>
    <cellStyle name="SHADEDSTORES 2 3 2 3 3" xfId="51510"/>
    <cellStyle name="SHADEDSTORES 2 3 2 4" xfId="51511"/>
    <cellStyle name="SHADEDSTORES 2 3 2 4 2" xfId="51512"/>
    <cellStyle name="SHADEDSTORES 2 3 2 4 2 2" xfId="51513"/>
    <cellStyle name="SHADEDSTORES 2 3 2 4 2 2 2" xfId="51514"/>
    <cellStyle name="SHADEDSTORES 2 3 2 4 2 3" xfId="51515"/>
    <cellStyle name="SHADEDSTORES 2 3 2 4 3" xfId="51516"/>
    <cellStyle name="SHADEDSTORES 2 3 2 4 3 2" xfId="51517"/>
    <cellStyle name="SHADEDSTORES 2 3 2 4 4" xfId="51518"/>
    <cellStyle name="SHADEDSTORES 2 3 2 5" xfId="51519"/>
    <cellStyle name="SHADEDSTORES 2 3 2 5 2" xfId="51520"/>
    <cellStyle name="SHADEDSTORES 2 3 2 5 2 2" xfId="51521"/>
    <cellStyle name="SHADEDSTORES 2 3 2 5 3" xfId="51522"/>
    <cellStyle name="SHADEDSTORES 2 3 2 5 3 2" xfId="51523"/>
    <cellStyle name="SHADEDSTORES 2 3 2 5 4" xfId="51524"/>
    <cellStyle name="SHADEDSTORES 2 3 2 6" xfId="51525"/>
    <cellStyle name="SHADEDSTORES 2 3 2 6 2" xfId="51526"/>
    <cellStyle name="SHADEDSTORES 2 3 2 7" xfId="51527"/>
    <cellStyle name="SHADEDSTORES 2 3 2 7 2" xfId="51528"/>
    <cellStyle name="SHADEDSTORES 2 3 2 8" xfId="51529"/>
    <cellStyle name="SHADEDSTORES 2 3 3" xfId="51530"/>
    <cellStyle name="SHADEDSTORES 2 3 3 2" xfId="51531"/>
    <cellStyle name="SHADEDSTORES 2 3 3 2 2" xfId="51532"/>
    <cellStyle name="SHADEDSTORES 2 3 3 2 2 2" xfId="51533"/>
    <cellStyle name="SHADEDSTORES 2 3 3 2 2 2 2" xfId="51534"/>
    <cellStyle name="SHADEDSTORES 2 3 3 2 2 2 2 2" xfId="51535"/>
    <cellStyle name="SHADEDSTORES 2 3 3 2 2 2 3" xfId="51536"/>
    <cellStyle name="SHADEDSTORES 2 3 3 2 2 3" xfId="51537"/>
    <cellStyle name="SHADEDSTORES 2 3 3 2 2 3 2" xfId="51538"/>
    <cellStyle name="SHADEDSTORES 2 3 3 2 2 4" xfId="51539"/>
    <cellStyle name="SHADEDSTORES 2 3 3 2 3" xfId="51540"/>
    <cellStyle name="SHADEDSTORES 2 3 3 2 3 2" xfId="51541"/>
    <cellStyle name="SHADEDSTORES 2 3 3 2 3 2 2" xfId="51542"/>
    <cellStyle name="SHADEDSTORES 2 3 3 2 3 3" xfId="51543"/>
    <cellStyle name="SHADEDSTORES 2 3 3 2 3 3 2" xfId="51544"/>
    <cellStyle name="SHADEDSTORES 2 3 3 2 3 4" xfId="51545"/>
    <cellStyle name="SHADEDSTORES 2 3 3 2 4" xfId="51546"/>
    <cellStyle name="SHADEDSTORES 2 3 3 2 4 2" xfId="51547"/>
    <cellStyle name="SHADEDSTORES 2 3 3 2 5" xfId="51548"/>
    <cellStyle name="SHADEDSTORES 2 3 3 2 5 2" xfId="51549"/>
    <cellStyle name="SHADEDSTORES 2 3 3 2 6" xfId="51550"/>
    <cellStyle name="SHADEDSTORES 2 3 3 3" xfId="51551"/>
    <cellStyle name="SHADEDSTORES 2 3 3 3 2" xfId="51552"/>
    <cellStyle name="SHADEDSTORES 2 3 3 3 2 2" xfId="51553"/>
    <cellStyle name="SHADEDSTORES 2 3 3 3 2 2 2" xfId="51554"/>
    <cellStyle name="SHADEDSTORES 2 3 3 3 2 3" xfId="51555"/>
    <cellStyle name="SHADEDSTORES 2 3 3 3 3" xfId="51556"/>
    <cellStyle name="SHADEDSTORES 2 3 3 3 3 2" xfId="51557"/>
    <cellStyle name="SHADEDSTORES 2 3 3 3 4" xfId="51558"/>
    <cellStyle name="SHADEDSTORES 2 3 3 4" xfId="51559"/>
    <cellStyle name="SHADEDSTORES 2 3 3 4 2" xfId="51560"/>
    <cellStyle name="SHADEDSTORES 2 3 3 4 2 2" xfId="51561"/>
    <cellStyle name="SHADEDSTORES 2 3 3 4 3" xfId="51562"/>
    <cellStyle name="SHADEDSTORES 2 3 3 4 3 2" xfId="51563"/>
    <cellStyle name="SHADEDSTORES 2 3 3 4 4" xfId="51564"/>
    <cellStyle name="SHADEDSTORES 2 3 3 5" xfId="51565"/>
    <cellStyle name="SHADEDSTORES 2 3 3 5 2" xfId="51566"/>
    <cellStyle name="SHADEDSTORES 2 3 3 6" xfId="51567"/>
    <cellStyle name="SHADEDSTORES 2 3 3 6 2" xfId="51568"/>
    <cellStyle name="SHADEDSTORES 2 3 3 7" xfId="51569"/>
    <cellStyle name="SHADEDSTORES 2 3 4" xfId="51570"/>
    <cellStyle name="SHADEDSTORES 2 3 4 2" xfId="51571"/>
    <cellStyle name="SHADEDSTORES 2 3 4 2 2" xfId="51572"/>
    <cellStyle name="SHADEDSTORES 2 3 4 3" xfId="51573"/>
    <cellStyle name="SHADEDSTORES 2 3 5" xfId="51574"/>
    <cellStyle name="SHADEDSTORES 2 3 5 2" xfId="51575"/>
    <cellStyle name="SHADEDSTORES 2 3 5 2 2" xfId="51576"/>
    <cellStyle name="SHADEDSTORES 2 3 5 3" xfId="51577"/>
    <cellStyle name="SHADEDSTORES 2 3 6" xfId="51578"/>
    <cellStyle name="SHADEDSTORES 2 3 6 2" xfId="51579"/>
    <cellStyle name="SHADEDSTORES 2 3 6 2 2" xfId="51580"/>
    <cellStyle name="SHADEDSTORES 2 3 6 2 2 2" xfId="51581"/>
    <cellStyle name="SHADEDSTORES 2 3 6 2 3" xfId="51582"/>
    <cellStyle name="SHADEDSTORES 2 3 6 3" xfId="51583"/>
    <cellStyle name="SHADEDSTORES 2 3 6 3 2" xfId="51584"/>
    <cellStyle name="SHADEDSTORES 2 3 6 4" xfId="51585"/>
    <cellStyle name="SHADEDSTORES 2 3 7" xfId="51586"/>
    <cellStyle name="SHADEDSTORES 2 3 7 2" xfId="51587"/>
    <cellStyle name="SHADEDSTORES 2 3 7 2 2" xfId="51588"/>
    <cellStyle name="SHADEDSTORES 2 3 7 3" xfId="51589"/>
    <cellStyle name="SHADEDSTORES 2 3 7 3 2" xfId="51590"/>
    <cellStyle name="SHADEDSTORES 2 3 7 4" xfId="51591"/>
    <cellStyle name="SHADEDSTORES 2 3 8" xfId="51592"/>
    <cellStyle name="SHADEDSTORES 2 3 8 2" xfId="51593"/>
    <cellStyle name="SHADEDSTORES 2 3 9" xfId="51594"/>
    <cellStyle name="SHADEDSTORES 2 3 9 2" xfId="51595"/>
    <cellStyle name="SHADEDSTORES 2 4" xfId="51596"/>
    <cellStyle name="SHADEDSTORES 2 4 2" xfId="51597"/>
    <cellStyle name="SHADEDSTORES 2 4 2 2" xfId="51598"/>
    <cellStyle name="SHADEDSTORES 2 4 2 2 2" xfId="51599"/>
    <cellStyle name="SHADEDSTORES 2 4 2 2 2 2" xfId="51600"/>
    <cellStyle name="SHADEDSTORES 2 4 2 2 2 2 2" xfId="51601"/>
    <cellStyle name="SHADEDSTORES 2 4 2 2 2 3" xfId="51602"/>
    <cellStyle name="SHADEDSTORES 2 4 2 2 3" xfId="51603"/>
    <cellStyle name="SHADEDSTORES 2 4 2 2 3 2" xfId="51604"/>
    <cellStyle name="SHADEDSTORES 2 4 2 2 4" xfId="51605"/>
    <cellStyle name="SHADEDSTORES 2 4 2 3" xfId="51606"/>
    <cellStyle name="SHADEDSTORES 2 4 2 3 2" xfId="51607"/>
    <cellStyle name="SHADEDSTORES 2 4 2 3 2 2" xfId="51608"/>
    <cellStyle name="SHADEDSTORES 2 4 2 3 3" xfId="51609"/>
    <cellStyle name="SHADEDSTORES 2 4 2 3 3 2" xfId="51610"/>
    <cellStyle name="SHADEDSTORES 2 4 2 3 4" xfId="51611"/>
    <cellStyle name="SHADEDSTORES 2 4 2 4" xfId="51612"/>
    <cellStyle name="SHADEDSTORES 2 4 2 4 2" xfId="51613"/>
    <cellStyle name="SHADEDSTORES 2 4 2 5" xfId="51614"/>
    <cellStyle name="SHADEDSTORES 2 4 2 5 2" xfId="51615"/>
    <cellStyle name="SHADEDSTORES 2 4 2 6" xfId="51616"/>
    <cellStyle name="SHADEDSTORES 2 4 3" xfId="51617"/>
    <cellStyle name="SHADEDSTORES 2 4 3 2" xfId="51618"/>
    <cellStyle name="SHADEDSTORES 2 4 3 2 2" xfId="51619"/>
    <cellStyle name="SHADEDSTORES 2 4 3 2 2 2" xfId="51620"/>
    <cellStyle name="SHADEDSTORES 2 4 3 2 3" xfId="51621"/>
    <cellStyle name="SHADEDSTORES 2 4 3 3" xfId="51622"/>
    <cellStyle name="SHADEDSTORES 2 4 3 3 2" xfId="51623"/>
    <cellStyle name="SHADEDSTORES 2 4 3 4" xfId="51624"/>
    <cellStyle name="SHADEDSTORES 2 4 4" xfId="51625"/>
    <cellStyle name="SHADEDSTORES 2 4 4 2" xfId="51626"/>
    <cellStyle name="SHADEDSTORES 2 4 4 2 2" xfId="51627"/>
    <cellStyle name="SHADEDSTORES 2 4 4 3" xfId="51628"/>
    <cellStyle name="SHADEDSTORES 2 4 4 3 2" xfId="51629"/>
    <cellStyle name="SHADEDSTORES 2 4 4 4" xfId="51630"/>
    <cellStyle name="SHADEDSTORES 2 4 5" xfId="51631"/>
    <cellStyle name="SHADEDSTORES 2 4 5 2" xfId="51632"/>
    <cellStyle name="SHADEDSTORES 2 4 6" xfId="51633"/>
    <cellStyle name="SHADEDSTORES 2 4 6 2" xfId="51634"/>
    <cellStyle name="SHADEDSTORES 2 4 7" xfId="51635"/>
    <cellStyle name="SHADEDSTORES 2 5" xfId="51636"/>
    <cellStyle name="SHADEDSTORES 2 5 2" xfId="51637"/>
    <cellStyle name="SHADEDSTORES 2 5 2 2" xfId="51638"/>
    <cellStyle name="SHADEDSTORES 2 5 3" xfId="51639"/>
    <cellStyle name="SHADEDSTORES 2 6" xfId="51640"/>
    <cellStyle name="SHADEDSTORES 2 6 2" xfId="51641"/>
    <cellStyle name="SHADEDSTORES 2 6 2 2" xfId="51642"/>
    <cellStyle name="SHADEDSTORES 2 6 3" xfId="51643"/>
    <cellStyle name="SHADEDSTORES 2 7" xfId="51644"/>
    <cellStyle name="SHADEDSTORES 2 7 2" xfId="51645"/>
    <cellStyle name="SHADEDSTORES 2 7 2 2" xfId="51646"/>
    <cellStyle name="SHADEDSTORES 2 7 2 2 2" xfId="51647"/>
    <cellStyle name="SHADEDSTORES 2 7 2 3" xfId="51648"/>
    <cellStyle name="SHADEDSTORES 2 7 3" xfId="51649"/>
    <cellStyle name="SHADEDSTORES 2 7 3 2" xfId="51650"/>
    <cellStyle name="SHADEDSTORES 2 7 4" xfId="51651"/>
    <cellStyle name="SHADEDSTORES 2 8" xfId="51652"/>
    <cellStyle name="SHADEDSTORES 3" xfId="51653"/>
    <cellStyle name="SHADEDSTORES 3 10" xfId="51654"/>
    <cellStyle name="SHADEDSTORES 3 11" xfId="51655"/>
    <cellStyle name="SHADEDSTORES 3 2" xfId="51656"/>
    <cellStyle name="SHADEDSTORES 3 2 2" xfId="51657"/>
    <cellStyle name="SHADEDSTORES 3 2 2 2" xfId="51658"/>
    <cellStyle name="SHADEDSTORES 3 2 2 2 2" xfId="51659"/>
    <cellStyle name="SHADEDSTORES 3 2 2 2 2 2" xfId="51660"/>
    <cellStyle name="SHADEDSTORES 3 2 2 2 2 2 2" xfId="51661"/>
    <cellStyle name="SHADEDSTORES 3 2 2 2 2 3" xfId="51662"/>
    <cellStyle name="SHADEDSTORES 3 2 2 2 3" xfId="51663"/>
    <cellStyle name="SHADEDSTORES 3 2 2 2 3 2" xfId="51664"/>
    <cellStyle name="SHADEDSTORES 3 2 2 2 4" xfId="51665"/>
    <cellStyle name="SHADEDSTORES 3 2 2 3" xfId="51666"/>
    <cellStyle name="SHADEDSTORES 3 2 2 3 2" xfId="51667"/>
    <cellStyle name="SHADEDSTORES 3 2 2 3 2 2" xfId="51668"/>
    <cellStyle name="SHADEDSTORES 3 2 2 3 3" xfId="51669"/>
    <cellStyle name="SHADEDSTORES 3 2 2 3 3 2" xfId="51670"/>
    <cellStyle name="SHADEDSTORES 3 2 2 3 4" xfId="51671"/>
    <cellStyle name="SHADEDSTORES 3 2 2 4" xfId="51672"/>
    <cellStyle name="SHADEDSTORES 3 2 2 4 2" xfId="51673"/>
    <cellStyle name="SHADEDSTORES 3 2 2 5" xfId="51674"/>
    <cellStyle name="SHADEDSTORES 3 2 2 5 2" xfId="51675"/>
    <cellStyle name="SHADEDSTORES 3 2 2 6" xfId="51676"/>
    <cellStyle name="SHADEDSTORES 3 2 3" xfId="51677"/>
    <cellStyle name="SHADEDSTORES 3 2 3 2" xfId="51678"/>
    <cellStyle name="SHADEDSTORES 3 2 3 2 2" xfId="51679"/>
    <cellStyle name="SHADEDSTORES 3 2 3 3" xfId="51680"/>
    <cellStyle name="SHADEDSTORES 3 2 4" xfId="51681"/>
    <cellStyle name="SHADEDSTORES 3 2 4 2" xfId="51682"/>
    <cellStyle name="SHADEDSTORES 3 2 4 2 2" xfId="51683"/>
    <cellStyle name="SHADEDSTORES 3 2 4 3" xfId="51684"/>
    <cellStyle name="SHADEDSTORES 3 2 5" xfId="51685"/>
    <cellStyle name="SHADEDSTORES 3 2 5 2" xfId="51686"/>
    <cellStyle name="SHADEDSTORES 3 2 5 2 2" xfId="51687"/>
    <cellStyle name="SHADEDSTORES 3 2 5 2 2 2" xfId="51688"/>
    <cellStyle name="SHADEDSTORES 3 2 5 2 3" xfId="51689"/>
    <cellStyle name="SHADEDSTORES 3 2 5 3" xfId="51690"/>
    <cellStyle name="SHADEDSTORES 3 2 5 3 2" xfId="51691"/>
    <cellStyle name="SHADEDSTORES 3 2 5 4" xfId="51692"/>
    <cellStyle name="SHADEDSTORES 3 2 6" xfId="51693"/>
    <cellStyle name="SHADEDSTORES 3 2 6 2" xfId="51694"/>
    <cellStyle name="SHADEDSTORES 3 2 6 2 2" xfId="51695"/>
    <cellStyle name="SHADEDSTORES 3 2 6 3" xfId="51696"/>
    <cellStyle name="SHADEDSTORES 3 2 6 3 2" xfId="51697"/>
    <cellStyle name="SHADEDSTORES 3 2 6 4" xfId="51698"/>
    <cellStyle name="SHADEDSTORES 3 2 7" xfId="51699"/>
    <cellStyle name="SHADEDSTORES 3 2 7 2" xfId="51700"/>
    <cellStyle name="SHADEDSTORES 3 2 8" xfId="51701"/>
    <cellStyle name="SHADEDSTORES 3 2 8 2" xfId="51702"/>
    <cellStyle name="SHADEDSTORES 3 2 9" xfId="51703"/>
    <cellStyle name="SHADEDSTORES 3 3" xfId="51704"/>
    <cellStyle name="SHADEDSTORES 3 3 2" xfId="51705"/>
    <cellStyle name="SHADEDSTORES 3 3 2 2" xfId="51706"/>
    <cellStyle name="SHADEDSTORES 3 3 2 2 2" xfId="51707"/>
    <cellStyle name="SHADEDSTORES 3 3 2 2 2 2" xfId="51708"/>
    <cellStyle name="SHADEDSTORES 3 3 2 2 2 2 2" xfId="51709"/>
    <cellStyle name="SHADEDSTORES 3 3 2 2 2 3" xfId="51710"/>
    <cellStyle name="SHADEDSTORES 3 3 2 2 3" xfId="51711"/>
    <cellStyle name="SHADEDSTORES 3 3 2 2 3 2" xfId="51712"/>
    <cellStyle name="SHADEDSTORES 3 3 2 2 4" xfId="51713"/>
    <cellStyle name="SHADEDSTORES 3 3 2 3" xfId="51714"/>
    <cellStyle name="SHADEDSTORES 3 3 2 3 2" xfId="51715"/>
    <cellStyle name="SHADEDSTORES 3 3 2 3 2 2" xfId="51716"/>
    <cellStyle name="SHADEDSTORES 3 3 2 3 3" xfId="51717"/>
    <cellStyle name="SHADEDSTORES 3 3 2 3 3 2" xfId="51718"/>
    <cellStyle name="SHADEDSTORES 3 3 2 3 4" xfId="51719"/>
    <cellStyle name="SHADEDSTORES 3 3 2 4" xfId="51720"/>
    <cellStyle name="SHADEDSTORES 3 3 2 4 2" xfId="51721"/>
    <cellStyle name="SHADEDSTORES 3 3 2 5" xfId="51722"/>
    <cellStyle name="SHADEDSTORES 3 3 2 5 2" xfId="51723"/>
    <cellStyle name="SHADEDSTORES 3 3 2 6" xfId="51724"/>
    <cellStyle name="SHADEDSTORES 3 3 3" xfId="51725"/>
    <cellStyle name="SHADEDSTORES 3 3 3 2" xfId="51726"/>
    <cellStyle name="SHADEDSTORES 3 3 3 2 2" xfId="51727"/>
    <cellStyle name="SHADEDSTORES 3 3 3 2 2 2" xfId="51728"/>
    <cellStyle name="SHADEDSTORES 3 3 3 2 3" xfId="51729"/>
    <cellStyle name="SHADEDSTORES 3 3 3 3" xfId="51730"/>
    <cellStyle name="SHADEDSTORES 3 3 3 3 2" xfId="51731"/>
    <cellStyle name="SHADEDSTORES 3 3 3 4" xfId="51732"/>
    <cellStyle name="SHADEDSTORES 3 3 4" xfId="51733"/>
    <cellStyle name="SHADEDSTORES 3 3 4 2" xfId="51734"/>
    <cellStyle name="SHADEDSTORES 3 3 4 2 2" xfId="51735"/>
    <cellStyle name="SHADEDSTORES 3 3 4 3" xfId="51736"/>
    <cellStyle name="SHADEDSTORES 3 3 4 3 2" xfId="51737"/>
    <cellStyle name="SHADEDSTORES 3 3 4 4" xfId="51738"/>
    <cellStyle name="SHADEDSTORES 3 3 5" xfId="51739"/>
    <cellStyle name="SHADEDSTORES 3 3 5 2" xfId="51740"/>
    <cellStyle name="SHADEDSTORES 3 3 6" xfId="51741"/>
    <cellStyle name="SHADEDSTORES 3 3 6 2" xfId="51742"/>
    <cellStyle name="SHADEDSTORES 3 3 7" xfId="51743"/>
    <cellStyle name="SHADEDSTORES 3 4" xfId="51744"/>
    <cellStyle name="SHADEDSTORES 3 4 2" xfId="51745"/>
    <cellStyle name="SHADEDSTORES 3 4 2 2" xfId="51746"/>
    <cellStyle name="SHADEDSTORES 3 4 3" xfId="51747"/>
    <cellStyle name="SHADEDSTORES 3 5" xfId="51748"/>
    <cellStyle name="SHADEDSTORES 3 5 2" xfId="51749"/>
    <cellStyle name="SHADEDSTORES 3 5 2 2" xfId="51750"/>
    <cellStyle name="SHADEDSTORES 3 5 3" xfId="51751"/>
    <cellStyle name="SHADEDSTORES 3 6" xfId="51752"/>
    <cellStyle name="SHADEDSTORES 3 6 2" xfId="51753"/>
    <cellStyle name="SHADEDSTORES 3 6 2 2" xfId="51754"/>
    <cellStyle name="SHADEDSTORES 3 6 2 2 2" xfId="51755"/>
    <cellStyle name="SHADEDSTORES 3 6 2 3" xfId="51756"/>
    <cellStyle name="SHADEDSTORES 3 6 3" xfId="51757"/>
    <cellStyle name="SHADEDSTORES 3 6 3 2" xfId="51758"/>
    <cellStyle name="SHADEDSTORES 3 6 4" xfId="51759"/>
    <cellStyle name="SHADEDSTORES 3 7" xfId="51760"/>
    <cellStyle name="SHADEDSTORES 3 7 2" xfId="51761"/>
    <cellStyle name="SHADEDSTORES 3 7 2 2" xfId="51762"/>
    <cellStyle name="SHADEDSTORES 3 7 3" xfId="51763"/>
    <cellStyle name="SHADEDSTORES 3 7 3 2" xfId="51764"/>
    <cellStyle name="SHADEDSTORES 3 7 4" xfId="51765"/>
    <cellStyle name="SHADEDSTORES 3 8" xfId="51766"/>
    <cellStyle name="SHADEDSTORES 3 8 2" xfId="51767"/>
    <cellStyle name="SHADEDSTORES 3 9" xfId="51768"/>
    <cellStyle name="SHADEDSTORES 3 9 2" xfId="51769"/>
    <cellStyle name="SHADEDSTORES 4" xfId="51770"/>
    <cellStyle name="SHADEDSTORES 4 10" xfId="51771"/>
    <cellStyle name="SHADEDSTORES 4 11" xfId="51772"/>
    <cellStyle name="SHADEDSTORES 4 2" xfId="51773"/>
    <cellStyle name="SHADEDSTORES 4 2 2" xfId="51774"/>
    <cellStyle name="SHADEDSTORES 4 2 2 2" xfId="51775"/>
    <cellStyle name="SHADEDSTORES 4 2 2 2 2" xfId="51776"/>
    <cellStyle name="SHADEDSTORES 4 2 2 2 2 2" xfId="51777"/>
    <cellStyle name="SHADEDSTORES 4 2 2 2 2 2 2" xfId="51778"/>
    <cellStyle name="SHADEDSTORES 4 2 2 2 2 3" xfId="51779"/>
    <cellStyle name="SHADEDSTORES 4 2 2 2 3" xfId="51780"/>
    <cellStyle name="SHADEDSTORES 4 2 2 2 3 2" xfId="51781"/>
    <cellStyle name="SHADEDSTORES 4 2 2 2 4" xfId="51782"/>
    <cellStyle name="SHADEDSTORES 4 2 2 3" xfId="51783"/>
    <cellStyle name="SHADEDSTORES 4 2 2 3 2" xfId="51784"/>
    <cellStyle name="SHADEDSTORES 4 2 2 3 2 2" xfId="51785"/>
    <cellStyle name="SHADEDSTORES 4 2 2 3 3" xfId="51786"/>
    <cellStyle name="SHADEDSTORES 4 2 2 3 3 2" xfId="51787"/>
    <cellStyle name="SHADEDSTORES 4 2 2 3 4" xfId="51788"/>
    <cellStyle name="SHADEDSTORES 4 2 2 4" xfId="51789"/>
    <cellStyle name="SHADEDSTORES 4 2 2 4 2" xfId="51790"/>
    <cellStyle name="SHADEDSTORES 4 2 2 5" xfId="51791"/>
    <cellStyle name="SHADEDSTORES 4 2 2 5 2" xfId="51792"/>
    <cellStyle name="SHADEDSTORES 4 2 2 6" xfId="51793"/>
    <cellStyle name="SHADEDSTORES 4 2 3" xfId="51794"/>
    <cellStyle name="SHADEDSTORES 4 2 3 2" xfId="51795"/>
    <cellStyle name="SHADEDSTORES 4 2 3 2 2" xfId="51796"/>
    <cellStyle name="SHADEDSTORES 4 2 3 3" xfId="51797"/>
    <cellStyle name="SHADEDSTORES 4 2 4" xfId="51798"/>
    <cellStyle name="SHADEDSTORES 4 2 4 2" xfId="51799"/>
    <cellStyle name="SHADEDSTORES 4 2 4 2 2" xfId="51800"/>
    <cellStyle name="SHADEDSTORES 4 2 4 3" xfId="51801"/>
    <cellStyle name="SHADEDSTORES 4 2 5" xfId="51802"/>
    <cellStyle name="SHADEDSTORES 4 2 5 2" xfId="51803"/>
    <cellStyle name="SHADEDSTORES 4 2 5 2 2" xfId="51804"/>
    <cellStyle name="SHADEDSTORES 4 2 5 2 2 2" xfId="51805"/>
    <cellStyle name="SHADEDSTORES 4 2 5 2 3" xfId="51806"/>
    <cellStyle name="SHADEDSTORES 4 2 5 3" xfId="51807"/>
    <cellStyle name="SHADEDSTORES 4 2 5 3 2" xfId="51808"/>
    <cellStyle name="SHADEDSTORES 4 2 5 4" xfId="51809"/>
    <cellStyle name="SHADEDSTORES 4 2 6" xfId="51810"/>
    <cellStyle name="SHADEDSTORES 4 2 6 2" xfId="51811"/>
    <cellStyle name="SHADEDSTORES 4 2 6 2 2" xfId="51812"/>
    <cellStyle name="SHADEDSTORES 4 2 6 3" xfId="51813"/>
    <cellStyle name="SHADEDSTORES 4 2 6 3 2" xfId="51814"/>
    <cellStyle name="SHADEDSTORES 4 2 6 4" xfId="51815"/>
    <cellStyle name="SHADEDSTORES 4 2 7" xfId="51816"/>
    <cellStyle name="SHADEDSTORES 4 2 7 2" xfId="51817"/>
    <cellStyle name="SHADEDSTORES 4 2 8" xfId="51818"/>
    <cellStyle name="SHADEDSTORES 4 2 8 2" xfId="51819"/>
    <cellStyle name="SHADEDSTORES 4 2 9" xfId="51820"/>
    <cellStyle name="SHADEDSTORES 4 3" xfId="51821"/>
    <cellStyle name="SHADEDSTORES 4 3 2" xfId="51822"/>
    <cellStyle name="SHADEDSTORES 4 3 2 2" xfId="51823"/>
    <cellStyle name="SHADEDSTORES 4 3 2 2 2" xfId="51824"/>
    <cellStyle name="SHADEDSTORES 4 3 2 2 2 2" xfId="51825"/>
    <cellStyle name="SHADEDSTORES 4 3 2 2 2 2 2" xfId="51826"/>
    <cellStyle name="SHADEDSTORES 4 3 2 2 2 3" xfId="51827"/>
    <cellStyle name="SHADEDSTORES 4 3 2 2 3" xfId="51828"/>
    <cellStyle name="SHADEDSTORES 4 3 2 2 3 2" xfId="51829"/>
    <cellStyle name="SHADEDSTORES 4 3 2 2 4" xfId="51830"/>
    <cellStyle name="SHADEDSTORES 4 3 2 3" xfId="51831"/>
    <cellStyle name="SHADEDSTORES 4 3 2 3 2" xfId="51832"/>
    <cellStyle name="SHADEDSTORES 4 3 2 3 2 2" xfId="51833"/>
    <cellStyle name="SHADEDSTORES 4 3 2 3 3" xfId="51834"/>
    <cellStyle name="SHADEDSTORES 4 3 2 3 3 2" xfId="51835"/>
    <cellStyle name="SHADEDSTORES 4 3 2 3 4" xfId="51836"/>
    <cellStyle name="SHADEDSTORES 4 3 2 4" xfId="51837"/>
    <cellStyle name="SHADEDSTORES 4 3 2 4 2" xfId="51838"/>
    <cellStyle name="SHADEDSTORES 4 3 2 5" xfId="51839"/>
    <cellStyle name="SHADEDSTORES 4 3 2 5 2" xfId="51840"/>
    <cellStyle name="SHADEDSTORES 4 3 2 6" xfId="51841"/>
    <cellStyle name="SHADEDSTORES 4 3 3" xfId="51842"/>
    <cellStyle name="SHADEDSTORES 4 3 3 2" xfId="51843"/>
    <cellStyle name="SHADEDSTORES 4 3 3 2 2" xfId="51844"/>
    <cellStyle name="SHADEDSTORES 4 3 3 2 2 2" xfId="51845"/>
    <cellStyle name="SHADEDSTORES 4 3 3 2 3" xfId="51846"/>
    <cellStyle name="SHADEDSTORES 4 3 3 3" xfId="51847"/>
    <cellStyle name="SHADEDSTORES 4 3 3 3 2" xfId="51848"/>
    <cellStyle name="SHADEDSTORES 4 3 3 4" xfId="51849"/>
    <cellStyle name="SHADEDSTORES 4 3 4" xfId="51850"/>
    <cellStyle name="SHADEDSTORES 4 3 4 2" xfId="51851"/>
    <cellStyle name="SHADEDSTORES 4 3 4 2 2" xfId="51852"/>
    <cellStyle name="SHADEDSTORES 4 3 4 3" xfId="51853"/>
    <cellStyle name="SHADEDSTORES 4 3 4 3 2" xfId="51854"/>
    <cellStyle name="SHADEDSTORES 4 3 4 4" xfId="51855"/>
    <cellStyle name="SHADEDSTORES 4 3 5" xfId="51856"/>
    <cellStyle name="SHADEDSTORES 4 3 5 2" xfId="51857"/>
    <cellStyle name="SHADEDSTORES 4 3 6" xfId="51858"/>
    <cellStyle name="SHADEDSTORES 4 3 6 2" xfId="51859"/>
    <cellStyle name="SHADEDSTORES 4 3 7" xfId="51860"/>
    <cellStyle name="SHADEDSTORES 4 4" xfId="51861"/>
    <cellStyle name="SHADEDSTORES 4 4 2" xfId="51862"/>
    <cellStyle name="SHADEDSTORES 4 4 2 2" xfId="51863"/>
    <cellStyle name="SHADEDSTORES 4 4 3" xfId="51864"/>
    <cellStyle name="SHADEDSTORES 4 5" xfId="51865"/>
    <cellStyle name="SHADEDSTORES 4 5 2" xfId="51866"/>
    <cellStyle name="SHADEDSTORES 4 5 2 2" xfId="51867"/>
    <cellStyle name="SHADEDSTORES 4 5 3" xfId="51868"/>
    <cellStyle name="SHADEDSTORES 4 6" xfId="51869"/>
    <cellStyle name="SHADEDSTORES 4 6 2" xfId="51870"/>
    <cellStyle name="SHADEDSTORES 4 6 2 2" xfId="51871"/>
    <cellStyle name="SHADEDSTORES 4 6 2 2 2" xfId="51872"/>
    <cellStyle name="SHADEDSTORES 4 6 2 3" xfId="51873"/>
    <cellStyle name="SHADEDSTORES 4 6 3" xfId="51874"/>
    <cellStyle name="SHADEDSTORES 4 6 3 2" xfId="51875"/>
    <cellStyle name="SHADEDSTORES 4 6 4" xfId="51876"/>
    <cellStyle name="SHADEDSTORES 4 7" xfId="51877"/>
    <cellStyle name="SHADEDSTORES 4 7 2" xfId="51878"/>
    <cellStyle name="SHADEDSTORES 4 7 2 2" xfId="51879"/>
    <cellStyle name="SHADEDSTORES 4 7 3" xfId="51880"/>
    <cellStyle name="SHADEDSTORES 4 7 3 2" xfId="51881"/>
    <cellStyle name="SHADEDSTORES 4 7 4" xfId="51882"/>
    <cellStyle name="SHADEDSTORES 4 8" xfId="51883"/>
    <cellStyle name="SHADEDSTORES 4 8 2" xfId="51884"/>
    <cellStyle name="SHADEDSTORES 4 9" xfId="51885"/>
    <cellStyle name="SHADEDSTORES 4 9 2" xfId="51886"/>
    <cellStyle name="SHADEDSTORES 5" xfId="51887"/>
    <cellStyle name="SHADEDSTORES 5 2" xfId="51888"/>
    <cellStyle name="SHADEDSTORES 5 2 2" xfId="51889"/>
    <cellStyle name="SHADEDSTORES 5 2 2 2" xfId="51890"/>
    <cellStyle name="SHADEDSTORES 5 2 2 2 2" xfId="51891"/>
    <cellStyle name="SHADEDSTORES 5 2 2 2 2 2" xfId="51892"/>
    <cellStyle name="SHADEDSTORES 5 2 2 2 3" xfId="51893"/>
    <cellStyle name="SHADEDSTORES 5 2 2 3" xfId="51894"/>
    <cellStyle name="SHADEDSTORES 5 2 2 3 2" xfId="51895"/>
    <cellStyle name="SHADEDSTORES 5 2 2 4" xfId="51896"/>
    <cellStyle name="SHADEDSTORES 5 2 3" xfId="51897"/>
    <cellStyle name="SHADEDSTORES 5 2 3 2" xfId="51898"/>
    <cellStyle name="SHADEDSTORES 5 2 3 2 2" xfId="51899"/>
    <cellStyle name="SHADEDSTORES 5 2 3 3" xfId="51900"/>
    <cellStyle name="SHADEDSTORES 5 2 3 3 2" xfId="51901"/>
    <cellStyle name="SHADEDSTORES 5 2 3 4" xfId="51902"/>
    <cellStyle name="SHADEDSTORES 5 2 4" xfId="51903"/>
    <cellStyle name="SHADEDSTORES 5 2 4 2" xfId="51904"/>
    <cellStyle name="SHADEDSTORES 5 2 5" xfId="51905"/>
    <cellStyle name="SHADEDSTORES 5 2 5 2" xfId="51906"/>
    <cellStyle name="SHADEDSTORES 5 2 6" xfId="51907"/>
    <cellStyle name="SHADEDSTORES 5 3" xfId="51908"/>
    <cellStyle name="SHADEDSTORES 5 3 2" xfId="51909"/>
    <cellStyle name="SHADEDSTORES 5 3 2 2" xfId="51910"/>
    <cellStyle name="SHADEDSTORES 5 3 3" xfId="51911"/>
    <cellStyle name="SHADEDSTORES 5 4" xfId="51912"/>
    <cellStyle name="SHADEDSTORES 5 4 2" xfId="51913"/>
    <cellStyle name="SHADEDSTORES 5 4 2 2" xfId="51914"/>
    <cellStyle name="SHADEDSTORES 5 4 3" xfId="51915"/>
    <cellStyle name="SHADEDSTORES 5 5" xfId="51916"/>
    <cellStyle name="SHADEDSTORES 5 5 2" xfId="51917"/>
    <cellStyle name="SHADEDSTORES 5 5 2 2" xfId="51918"/>
    <cellStyle name="SHADEDSTORES 5 5 2 2 2" xfId="51919"/>
    <cellStyle name="SHADEDSTORES 5 5 2 3" xfId="51920"/>
    <cellStyle name="SHADEDSTORES 5 5 3" xfId="51921"/>
    <cellStyle name="SHADEDSTORES 5 5 3 2" xfId="51922"/>
    <cellStyle name="SHADEDSTORES 5 5 4" xfId="51923"/>
    <cellStyle name="SHADEDSTORES 5 6" xfId="51924"/>
    <cellStyle name="SHADEDSTORES 5 6 2" xfId="51925"/>
    <cellStyle name="SHADEDSTORES 5 6 2 2" xfId="51926"/>
    <cellStyle name="SHADEDSTORES 5 6 3" xfId="51927"/>
    <cellStyle name="SHADEDSTORES 5 6 3 2" xfId="51928"/>
    <cellStyle name="SHADEDSTORES 5 6 4" xfId="51929"/>
    <cellStyle name="SHADEDSTORES 5 7" xfId="51930"/>
    <cellStyle name="SHADEDSTORES 5 7 2" xfId="51931"/>
    <cellStyle name="SHADEDSTORES 5 8" xfId="51932"/>
    <cellStyle name="SHADEDSTORES 5 8 2" xfId="51933"/>
    <cellStyle name="SHADEDSTORES 5 9" xfId="51934"/>
    <cellStyle name="SHADEDSTORES 6" xfId="51935"/>
    <cellStyle name="SHADEDSTORES 6 2" xfId="51936"/>
    <cellStyle name="SHADEDSTORES 6 2 2" xfId="51937"/>
    <cellStyle name="SHADEDSTORES 6 2 2 2" xfId="51938"/>
    <cellStyle name="SHADEDSTORES 6 2 2 2 2" xfId="51939"/>
    <cellStyle name="SHADEDSTORES 6 2 2 2 2 2" xfId="51940"/>
    <cellStyle name="SHADEDSTORES 6 2 2 2 3" xfId="51941"/>
    <cellStyle name="SHADEDSTORES 6 2 2 3" xfId="51942"/>
    <cellStyle name="SHADEDSTORES 6 2 2 3 2" xfId="51943"/>
    <cellStyle name="SHADEDSTORES 6 2 2 4" xfId="51944"/>
    <cellStyle name="SHADEDSTORES 6 2 3" xfId="51945"/>
    <cellStyle name="SHADEDSTORES 6 2 3 2" xfId="51946"/>
    <cellStyle name="SHADEDSTORES 6 2 3 2 2" xfId="51947"/>
    <cellStyle name="SHADEDSTORES 6 2 3 3" xfId="51948"/>
    <cellStyle name="SHADEDSTORES 6 2 3 3 2" xfId="51949"/>
    <cellStyle name="SHADEDSTORES 6 2 3 4" xfId="51950"/>
    <cellStyle name="SHADEDSTORES 6 2 4" xfId="51951"/>
    <cellStyle name="SHADEDSTORES 6 2 4 2" xfId="51952"/>
    <cellStyle name="SHADEDSTORES 6 2 5" xfId="51953"/>
    <cellStyle name="SHADEDSTORES 6 2 5 2" xfId="51954"/>
    <cellStyle name="SHADEDSTORES 6 2 6" xfId="51955"/>
    <cellStyle name="SHADEDSTORES 6 3" xfId="51956"/>
    <cellStyle name="SHADEDSTORES 6 3 2" xfId="51957"/>
    <cellStyle name="SHADEDSTORES 6 3 2 2" xfId="51958"/>
    <cellStyle name="SHADEDSTORES 6 3 2 2 2" xfId="51959"/>
    <cellStyle name="SHADEDSTORES 6 3 2 3" xfId="51960"/>
    <cellStyle name="SHADEDSTORES 6 3 3" xfId="51961"/>
    <cellStyle name="SHADEDSTORES 6 3 3 2" xfId="51962"/>
    <cellStyle name="SHADEDSTORES 6 3 4" xfId="51963"/>
    <cellStyle name="SHADEDSTORES 6 4" xfId="51964"/>
    <cellStyle name="SHADEDSTORES 6 4 2" xfId="51965"/>
    <cellStyle name="SHADEDSTORES 6 4 2 2" xfId="51966"/>
    <cellStyle name="SHADEDSTORES 6 4 3" xfId="51967"/>
    <cellStyle name="SHADEDSTORES 6 4 3 2" xfId="51968"/>
    <cellStyle name="SHADEDSTORES 6 4 4" xfId="51969"/>
    <cellStyle name="SHADEDSTORES 6 5" xfId="51970"/>
    <cellStyle name="SHADEDSTORES 6 5 2" xfId="51971"/>
    <cellStyle name="SHADEDSTORES 6 6" xfId="51972"/>
    <cellStyle name="SHADEDSTORES 6 6 2" xfId="51973"/>
    <cellStyle name="SHADEDSTORES 6 7" xfId="51974"/>
    <cellStyle name="SHADEDSTORES 7" xfId="51975"/>
    <cellStyle name="SHADEDSTORES 7 2" xfId="51976"/>
    <cellStyle name="SHADEDSTORES 7 2 2" xfId="51977"/>
    <cellStyle name="SHADEDSTORES 7 3" xfId="51978"/>
    <cellStyle name="SHADEDSTORES 8" xfId="51979"/>
    <cellStyle name="SHADEDSTORES 8 2" xfId="51980"/>
    <cellStyle name="SHADEDSTORES 8 2 2" xfId="51981"/>
    <cellStyle name="SHADEDSTORES 8 3" xfId="51982"/>
    <cellStyle name="SHADEDSTORES 9" xfId="51983"/>
    <cellStyle name="SHADEDSTORES 9 2" xfId="51984"/>
    <cellStyle name="SHADEDSTORES 9 2 2" xfId="51985"/>
    <cellStyle name="SHADEDSTORES 9 2 2 2" xfId="51986"/>
    <cellStyle name="SHADEDSTORES 9 2 2 2 2" xfId="51987"/>
    <cellStyle name="SHADEDSTORES 9 2 2 3" xfId="51988"/>
    <cellStyle name="SHADEDSTORES 9 2 3" xfId="51989"/>
    <cellStyle name="SHADEDSTORES 9 2 3 2" xfId="51990"/>
    <cellStyle name="SHADEDSTORES 9 2 4" xfId="51991"/>
    <cellStyle name="SHADEDSTORES 9 3" xfId="51992"/>
    <cellStyle name="SHADEDSTORES 9 3 2" xfId="51993"/>
    <cellStyle name="SHADEDSTORES 9 3 2 2" xfId="51994"/>
    <cellStyle name="SHADEDSTORES 9 3 3" xfId="51995"/>
    <cellStyle name="SHADEDSTORES 9 3 3 2" xfId="51996"/>
    <cellStyle name="SHADEDSTORES 9 3 4" xfId="51997"/>
    <cellStyle name="SHADEDSTORES 9 4" xfId="51998"/>
    <cellStyle name="SHADEDSTORES 9 4 2" xfId="51999"/>
    <cellStyle name="SHADEDSTORES 9 5" xfId="52000"/>
    <cellStyle name="SHADEDSTORES 9 5 2" xfId="52001"/>
    <cellStyle name="SHADEDSTORES 9 6" xfId="52002"/>
    <cellStyle name="Sheet Title" xfId="79"/>
    <cellStyle name="Sheet Title 10" xfId="52003"/>
    <cellStyle name="Sheet Title 2" xfId="52004"/>
    <cellStyle name="Sheet Title 2 2" xfId="52005"/>
    <cellStyle name="Sheet Title 2 2 2" xfId="52006"/>
    <cellStyle name="Sheet Title 2 2 2 2" xfId="52007"/>
    <cellStyle name="Sheet Title 2 2 3" xfId="52008"/>
    <cellStyle name="Sheet Title 2 2 3 2" xfId="52009"/>
    <cellStyle name="Sheet Title 2 2 3 2 2" xfId="52010"/>
    <cellStyle name="Sheet Title 2 2 3 3" xfId="52011"/>
    <cellStyle name="Sheet Title 2 2 4" xfId="52012"/>
    <cellStyle name="Sheet Title 2 2 4 2" xfId="52013"/>
    <cellStyle name="Sheet Title 2 2 4 2 2" xfId="52014"/>
    <cellStyle name="Sheet Title 2 2 4 3" xfId="52015"/>
    <cellStyle name="Sheet Title 2 2 5" xfId="52016"/>
    <cellStyle name="Sheet Title 2 3" xfId="52017"/>
    <cellStyle name="Sheet Title 2 3 2" xfId="52018"/>
    <cellStyle name="Sheet Title 2 3 2 2" xfId="52019"/>
    <cellStyle name="Sheet Title 2 3 2 2 2" xfId="52020"/>
    <cellStyle name="Sheet Title 2 3 2 3" xfId="52021"/>
    <cellStyle name="Sheet Title 2 3 2 3 2" xfId="52022"/>
    <cellStyle name="Sheet Title 2 3 2 3 2 2" xfId="52023"/>
    <cellStyle name="Sheet Title 2 3 2 3 3" xfId="52024"/>
    <cellStyle name="Sheet Title 2 3 2 4" xfId="52025"/>
    <cellStyle name="Sheet Title 2 3 3" xfId="52026"/>
    <cellStyle name="Sheet Title 2 3 3 2" xfId="52027"/>
    <cellStyle name="Sheet Title 2 3 3 2 2" xfId="52028"/>
    <cellStyle name="Sheet Title 2 3 3 3" xfId="52029"/>
    <cellStyle name="Sheet Title 2 3 4" xfId="52030"/>
    <cellStyle name="Sheet Title 2 3 4 2" xfId="52031"/>
    <cellStyle name="Sheet Title 2 3 4 2 2" xfId="52032"/>
    <cellStyle name="Sheet Title 2 3 4 3" xfId="52033"/>
    <cellStyle name="Sheet Title 2 3 5" xfId="52034"/>
    <cellStyle name="Sheet Title 2 3 5 2" xfId="52035"/>
    <cellStyle name="Sheet Title 2 3 5 2 2" xfId="52036"/>
    <cellStyle name="Sheet Title 2 3 5 3" xfId="52037"/>
    <cellStyle name="Sheet Title 2 3 6" xfId="52038"/>
    <cellStyle name="Sheet Title 2 4" xfId="52039"/>
    <cellStyle name="Sheet Title 2 4 2" xfId="52040"/>
    <cellStyle name="Sheet Title 2 4 2 2" xfId="52041"/>
    <cellStyle name="Sheet Title 2 4 3" xfId="52042"/>
    <cellStyle name="Sheet Title 2 5" xfId="52043"/>
    <cellStyle name="Sheet Title 2 5 2" xfId="52044"/>
    <cellStyle name="Sheet Title 2 5 2 2" xfId="52045"/>
    <cellStyle name="Sheet Title 2 5 3" xfId="52046"/>
    <cellStyle name="Sheet Title 2 6" xfId="52047"/>
    <cellStyle name="Sheet Title 2 6 2" xfId="52048"/>
    <cellStyle name="Sheet Title 2 6 2 2" xfId="52049"/>
    <cellStyle name="Sheet Title 2 6 3" xfId="52050"/>
    <cellStyle name="Sheet Title 2 7" xfId="52051"/>
    <cellStyle name="Sheet Title 3" xfId="52052"/>
    <cellStyle name="Sheet Title 3 2" xfId="52053"/>
    <cellStyle name="Sheet Title 3 2 2" xfId="52054"/>
    <cellStyle name="Sheet Title 3 2 2 2" xfId="52055"/>
    <cellStyle name="Sheet Title 3 2 3" xfId="52056"/>
    <cellStyle name="Sheet Title 3 2 3 2" xfId="52057"/>
    <cellStyle name="Sheet Title 3 2 3 2 2" xfId="52058"/>
    <cellStyle name="Sheet Title 3 2 3 3" xfId="52059"/>
    <cellStyle name="Sheet Title 3 2 4" xfId="52060"/>
    <cellStyle name="Sheet Title 3 2 4 2" xfId="52061"/>
    <cellStyle name="Sheet Title 3 2 4 2 2" xfId="52062"/>
    <cellStyle name="Sheet Title 3 2 4 3" xfId="52063"/>
    <cellStyle name="Sheet Title 3 2 5" xfId="52064"/>
    <cellStyle name="Sheet Title 3 3" xfId="52065"/>
    <cellStyle name="Sheet Title 3 3 2" xfId="52066"/>
    <cellStyle name="Sheet Title 3 3 2 2" xfId="52067"/>
    <cellStyle name="Sheet Title 3 3 3" xfId="52068"/>
    <cellStyle name="Sheet Title 3 4" xfId="52069"/>
    <cellStyle name="Sheet Title 3 4 2" xfId="52070"/>
    <cellStyle name="Sheet Title 3 4 2 2" xfId="52071"/>
    <cellStyle name="Sheet Title 3 4 3" xfId="52072"/>
    <cellStyle name="Sheet Title 3 5" xfId="52073"/>
    <cellStyle name="Sheet Title 3 5 2" xfId="52074"/>
    <cellStyle name="Sheet Title 3 5 2 2" xfId="52075"/>
    <cellStyle name="Sheet Title 3 5 3" xfId="52076"/>
    <cellStyle name="Sheet Title 3 6" xfId="52077"/>
    <cellStyle name="Sheet Title 4" xfId="52078"/>
    <cellStyle name="Sheet Title 4 2" xfId="52079"/>
    <cellStyle name="Sheet Title 4 2 2" xfId="52080"/>
    <cellStyle name="Sheet Title 4 3" xfId="52081"/>
    <cellStyle name="Sheet Title 4 3 2" xfId="52082"/>
    <cellStyle name="Sheet Title 4 3 2 2" xfId="52083"/>
    <cellStyle name="Sheet Title 4 3 3" xfId="52084"/>
    <cellStyle name="Sheet Title 4 4" xfId="52085"/>
    <cellStyle name="Sheet Title 4 4 2" xfId="52086"/>
    <cellStyle name="Sheet Title 4 4 2 2" xfId="52087"/>
    <cellStyle name="Sheet Title 4 4 3" xfId="52088"/>
    <cellStyle name="Sheet Title 4 5" xfId="52089"/>
    <cellStyle name="Sheet Title 5" xfId="52090"/>
    <cellStyle name="Sheet Title 5 2" xfId="52091"/>
    <cellStyle name="Sheet Title 5 2 2" xfId="52092"/>
    <cellStyle name="Sheet Title 5 3" xfId="52093"/>
    <cellStyle name="Sheet Title 6" xfId="52094"/>
    <cellStyle name="Sheet Title 6 2" xfId="52095"/>
    <cellStyle name="Sheet Title 6 2 2" xfId="52096"/>
    <cellStyle name="Sheet Title 6 3" xfId="52097"/>
    <cellStyle name="Sheet Title 7" xfId="52098"/>
    <cellStyle name="Sheet Title 7 2" xfId="52099"/>
    <cellStyle name="Sheet Title 7 2 2" xfId="52100"/>
    <cellStyle name="Sheet Title 7 3" xfId="52101"/>
    <cellStyle name="Sheet Title 8" xfId="52102"/>
    <cellStyle name="Sheet Title 8 2" xfId="52103"/>
    <cellStyle name="Sheet Title 9" xfId="52104"/>
    <cellStyle name="specstores" xfId="52105"/>
    <cellStyle name="specstores 10" xfId="52106"/>
    <cellStyle name="specstores 2" xfId="52107"/>
    <cellStyle name="specstores 2 2" xfId="52108"/>
    <cellStyle name="specstores 2 2 2" xfId="52109"/>
    <cellStyle name="specstores 2 2 2 2" xfId="52110"/>
    <cellStyle name="specstores 2 2 3" xfId="52111"/>
    <cellStyle name="specstores 2 2 3 2" xfId="52112"/>
    <cellStyle name="specstores 2 2 3 2 2" xfId="52113"/>
    <cellStyle name="specstores 2 2 3 3" xfId="52114"/>
    <cellStyle name="specstores 2 2 4" xfId="52115"/>
    <cellStyle name="specstores 2 2 4 2" xfId="52116"/>
    <cellStyle name="specstores 2 2 4 2 2" xfId="52117"/>
    <cellStyle name="specstores 2 2 4 3" xfId="52118"/>
    <cellStyle name="specstores 2 2 5" xfId="52119"/>
    <cellStyle name="specstores 2 3" xfId="52120"/>
    <cellStyle name="specstores 2 3 2" xfId="52121"/>
    <cellStyle name="specstores 2 3 2 2" xfId="52122"/>
    <cellStyle name="specstores 2 3 2 2 2" xfId="52123"/>
    <cellStyle name="specstores 2 3 2 3" xfId="52124"/>
    <cellStyle name="specstores 2 3 2 3 2" xfId="52125"/>
    <cellStyle name="specstores 2 3 2 3 2 2" xfId="52126"/>
    <cellStyle name="specstores 2 3 2 3 3" xfId="52127"/>
    <cellStyle name="specstores 2 3 2 4" xfId="52128"/>
    <cellStyle name="specstores 2 3 3" xfId="52129"/>
    <cellStyle name="specstores 2 3 3 2" xfId="52130"/>
    <cellStyle name="specstores 2 3 3 2 2" xfId="52131"/>
    <cellStyle name="specstores 2 3 3 3" xfId="52132"/>
    <cellStyle name="specstores 2 3 4" xfId="52133"/>
    <cellStyle name="specstores 2 3 4 2" xfId="52134"/>
    <cellStyle name="specstores 2 3 4 2 2" xfId="52135"/>
    <cellStyle name="specstores 2 3 4 3" xfId="52136"/>
    <cellStyle name="specstores 2 3 5" xfId="52137"/>
    <cellStyle name="specstores 2 3 5 2" xfId="52138"/>
    <cellStyle name="specstores 2 3 5 2 2" xfId="52139"/>
    <cellStyle name="specstores 2 3 5 3" xfId="52140"/>
    <cellStyle name="specstores 2 3 6" xfId="52141"/>
    <cellStyle name="specstores 2 4" xfId="52142"/>
    <cellStyle name="specstores 2 4 2" xfId="52143"/>
    <cellStyle name="specstores 2 4 2 2" xfId="52144"/>
    <cellStyle name="specstores 2 4 3" xfId="52145"/>
    <cellStyle name="specstores 2 5" xfId="52146"/>
    <cellStyle name="specstores 2 5 2" xfId="52147"/>
    <cellStyle name="specstores 2 5 2 2" xfId="52148"/>
    <cellStyle name="specstores 2 5 3" xfId="52149"/>
    <cellStyle name="specstores 2 6" xfId="52150"/>
    <cellStyle name="specstores 2 6 2" xfId="52151"/>
    <cellStyle name="specstores 2 6 2 2" xfId="52152"/>
    <cellStyle name="specstores 2 6 3" xfId="52153"/>
    <cellStyle name="specstores 2 7" xfId="52154"/>
    <cellStyle name="specstores 3" xfId="52155"/>
    <cellStyle name="specstores 3 2" xfId="52156"/>
    <cellStyle name="specstores 3 2 2" xfId="52157"/>
    <cellStyle name="specstores 3 2 2 2" xfId="52158"/>
    <cellStyle name="specstores 3 2 3" xfId="52159"/>
    <cellStyle name="specstores 3 2 3 2" xfId="52160"/>
    <cellStyle name="specstores 3 2 3 2 2" xfId="52161"/>
    <cellStyle name="specstores 3 2 3 3" xfId="52162"/>
    <cellStyle name="specstores 3 2 4" xfId="52163"/>
    <cellStyle name="specstores 3 2 4 2" xfId="52164"/>
    <cellStyle name="specstores 3 2 4 2 2" xfId="52165"/>
    <cellStyle name="specstores 3 2 4 3" xfId="52166"/>
    <cellStyle name="specstores 3 2 5" xfId="52167"/>
    <cellStyle name="specstores 3 3" xfId="52168"/>
    <cellStyle name="specstores 3 3 2" xfId="52169"/>
    <cellStyle name="specstores 3 3 2 2" xfId="52170"/>
    <cellStyle name="specstores 3 3 3" xfId="52171"/>
    <cellStyle name="specstores 3 4" xfId="52172"/>
    <cellStyle name="specstores 3 4 2" xfId="52173"/>
    <cellStyle name="specstores 3 4 2 2" xfId="52174"/>
    <cellStyle name="specstores 3 4 3" xfId="52175"/>
    <cellStyle name="specstores 3 5" xfId="52176"/>
    <cellStyle name="specstores 3 5 2" xfId="52177"/>
    <cellStyle name="specstores 3 5 2 2" xfId="52178"/>
    <cellStyle name="specstores 3 5 3" xfId="52179"/>
    <cellStyle name="specstores 3 6" xfId="52180"/>
    <cellStyle name="specstores 4" xfId="52181"/>
    <cellStyle name="specstores 4 2" xfId="52182"/>
    <cellStyle name="specstores 4 2 2" xfId="52183"/>
    <cellStyle name="specstores 4 2 2 2" xfId="52184"/>
    <cellStyle name="specstores 4 2 3" xfId="52185"/>
    <cellStyle name="specstores 4 2 3 2" xfId="52186"/>
    <cellStyle name="specstores 4 2 3 2 2" xfId="52187"/>
    <cellStyle name="specstores 4 2 3 3" xfId="52188"/>
    <cellStyle name="specstores 4 2 4" xfId="52189"/>
    <cellStyle name="specstores 4 2 4 2" xfId="52190"/>
    <cellStyle name="specstores 4 2 4 2 2" xfId="52191"/>
    <cellStyle name="specstores 4 2 4 3" xfId="52192"/>
    <cellStyle name="specstores 4 2 5" xfId="52193"/>
    <cellStyle name="specstores 4 3" xfId="52194"/>
    <cellStyle name="specstores 4 3 2" xfId="52195"/>
    <cellStyle name="specstores 4 3 2 2" xfId="52196"/>
    <cellStyle name="specstores 4 3 3" xfId="52197"/>
    <cellStyle name="specstores 4 4" xfId="52198"/>
    <cellStyle name="specstores 4 4 2" xfId="52199"/>
    <cellStyle name="specstores 4 4 2 2" xfId="52200"/>
    <cellStyle name="specstores 4 4 3" xfId="52201"/>
    <cellStyle name="specstores 4 5" xfId="52202"/>
    <cellStyle name="specstores 4 5 2" xfId="52203"/>
    <cellStyle name="specstores 4 5 2 2" xfId="52204"/>
    <cellStyle name="specstores 4 5 3" xfId="52205"/>
    <cellStyle name="specstores 4 6" xfId="52206"/>
    <cellStyle name="specstores 5" xfId="52207"/>
    <cellStyle name="specstores 5 2" xfId="52208"/>
    <cellStyle name="specstores 5 2 2" xfId="52209"/>
    <cellStyle name="specstores 5 3" xfId="52210"/>
    <cellStyle name="specstores 5 3 2" xfId="52211"/>
    <cellStyle name="specstores 5 3 2 2" xfId="52212"/>
    <cellStyle name="specstores 5 3 3" xfId="52213"/>
    <cellStyle name="specstores 5 4" xfId="52214"/>
    <cellStyle name="specstores 5 4 2" xfId="52215"/>
    <cellStyle name="specstores 5 4 2 2" xfId="52216"/>
    <cellStyle name="specstores 5 4 3" xfId="52217"/>
    <cellStyle name="specstores 5 5" xfId="52218"/>
    <cellStyle name="specstores 6" xfId="52219"/>
    <cellStyle name="specstores 6 2" xfId="52220"/>
    <cellStyle name="specstores 6 2 2" xfId="52221"/>
    <cellStyle name="specstores 6 3" xfId="52222"/>
    <cellStyle name="specstores 7" xfId="52223"/>
    <cellStyle name="specstores 7 2" xfId="52224"/>
    <cellStyle name="specstores 7 2 2" xfId="52225"/>
    <cellStyle name="specstores 7 3" xfId="52226"/>
    <cellStyle name="specstores 8" xfId="52227"/>
    <cellStyle name="specstores 8 2" xfId="52228"/>
    <cellStyle name="specstores 8 2 2" xfId="52229"/>
    <cellStyle name="specstores 8 3" xfId="52230"/>
    <cellStyle name="specstores 9" xfId="52231"/>
    <cellStyle name="specstores 9 2" xfId="52232"/>
    <cellStyle name="StrategyDependent" xfId="52233"/>
    <cellStyle name="StrategyDependent 2" xfId="52234"/>
    <cellStyle name="StrategyDependent 2 2" xfId="52235"/>
    <cellStyle name="StrategyDependent 3" xfId="52236"/>
    <cellStyle name="StrategyDependent 3 2" xfId="52237"/>
    <cellStyle name="StrategyDependent 3 2 2" xfId="52238"/>
    <cellStyle name="StrategyDependent 3 3" xfId="52239"/>
    <cellStyle name="StrategyDependent 4" xfId="52240"/>
    <cellStyle name="StrategyDependent 4 2" xfId="52241"/>
    <cellStyle name="StrategyDependent 4 2 2" xfId="52242"/>
    <cellStyle name="StrategyDependent 4 3" xfId="52243"/>
    <cellStyle name="StrategyDependent 5" xfId="52244"/>
    <cellStyle name="Style 1" xfId="52245"/>
    <cellStyle name="Style 1 2" xfId="52246"/>
    <cellStyle name="Style 1 2 2" xfId="52247"/>
    <cellStyle name="Style 1 2 3" xfId="52248"/>
    <cellStyle name="Style 1 2 3 2" xfId="52249"/>
    <cellStyle name="Style 1 2 3 2 2" xfId="52250"/>
    <cellStyle name="Style 1 2 3 3" xfId="52251"/>
    <cellStyle name="Style 1 2 4" xfId="52252"/>
    <cellStyle name="Style 1 2 4 2" xfId="52253"/>
    <cellStyle name="Style 1 2 4 2 2" xfId="52254"/>
    <cellStyle name="Style 1 2 4 3" xfId="52255"/>
    <cellStyle name="Style 1 3" xfId="52256"/>
    <cellStyle name="Style 1 4" xfId="52257"/>
    <cellStyle name="Style 1 4 2" xfId="52258"/>
    <cellStyle name="Style 1 4 2 2" xfId="52259"/>
    <cellStyle name="Style 1 4 3" xfId="52260"/>
    <cellStyle name="Style 1 5" xfId="52261"/>
    <cellStyle name="Style 1 5 2" xfId="52262"/>
    <cellStyle name="Style 1 5 2 2" xfId="52263"/>
    <cellStyle name="Style 1 5 3" xfId="52264"/>
    <cellStyle name="Subtotal" xfId="52265"/>
    <cellStyle name="Subtotal 2" xfId="52266"/>
    <cellStyle name="Subtotal 3" xfId="52267"/>
    <cellStyle name="Subtotal 3 2" xfId="52268"/>
    <cellStyle name="Subtotal 3 2 2" xfId="52269"/>
    <cellStyle name="Subtotal 3 3" xfId="52270"/>
    <cellStyle name="Subtotal 4" xfId="52271"/>
    <cellStyle name="Subtotal 4 2" xfId="52272"/>
    <cellStyle name="Subtotal 4 2 2" xfId="52273"/>
    <cellStyle name="Subtotal 4 3" xfId="52274"/>
    <cellStyle name="Task" xfId="52275"/>
    <cellStyle name="Task 2" xfId="52276"/>
    <cellStyle name="Task 3" xfId="52277"/>
    <cellStyle name="Task 3 2" xfId="52278"/>
    <cellStyle name="Task 3 2 2" xfId="52279"/>
    <cellStyle name="Task 3 3" xfId="52280"/>
    <cellStyle name="Task 4" xfId="52281"/>
    <cellStyle name="Task 4 2" xfId="52282"/>
    <cellStyle name="Task 4 2 2" xfId="52283"/>
    <cellStyle name="Task 4 3" xfId="52284"/>
    <cellStyle name="Temp" xfId="52285"/>
    <cellStyle name="Temp 2" xfId="52286"/>
    <cellStyle name="Temp 2 2" xfId="52287"/>
    <cellStyle name="Temp 3" xfId="52288"/>
    <cellStyle name="Temp 3 2" xfId="52289"/>
    <cellStyle name="Temp 3 2 2" xfId="52290"/>
    <cellStyle name="Temp 3 3" xfId="52291"/>
    <cellStyle name="Temp 4" xfId="52292"/>
    <cellStyle name="Temp 4 2" xfId="52293"/>
    <cellStyle name="Temp 4 2 2" xfId="52294"/>
    <cellStyle name="Temp 4 3" xfId="52295"/>
    <cellStyle name="Temp 5" xfId="52296"/>
    <cellStyle name="Title 2" xfId="52297"/>
    <cellStyle name="Title 2 10" xfId="52298"/>
    <cellStyle name="Title 2 10 2" xfId="52299"/>
    <cellStyle name="Title 2 10 2 2" xfId="52300"/>
    <cellStyle name="Title 2 10 3" xfId="52301"/>
    <cellStyle name="Title 2 11" xfId="52302"/>
    <cellStyle name="Title 2 11 2" xfId="52303"/>
    <cellStyle name="Title 2 11 2 2" xfId="52304"/>
    <cellStyle name="Title 2 11 3" xfId="52305"/>
    <cellStyle name="Title 2 12" xfId="52306"/>
    <cellStyle name="Title 2 12 2" xfId="52307"/>
    <cellStyle name="Title 2 12 2 2" xfId="52308"/>
    <cellStyle name="Title 2 12 3" xfId="52309"/>
    <cellStyle name="Title 2 13" xfId="52310"/>
    <cellStyle name="Title 2 2" xfId="52311"/>
    <cellStyle name="Title 2 2 2" xfId="52312"/>
    <cellStyle name="Title 2 2 2 2" xfId="52313"/>
    <cellStyle name="Title 2 2 2 2 2" xfId="52314"/>
    <cellStyle name="Title 2 2 2 3" xfId="52315"/>
    <cellStyle name="Title 2 2 2 3 2" xfId="52316"/>
    <cellStyle name="Title 2 2 2 3 2 2" xfId="52317"/>
    <cellStyle name="Title 2 2 2 3 3" xfId="52318"/>
    <cellStyle name="Title 2 2 2 4" xfId="52319"/>
    <cellStyle name="Title 2 2 2 4 2" xfId="52320"/>
    <cellStyle name="Title 2 2 2 4 2 2" xfId="52321"/>
    <cellStyle name="Title 2 2 2 4 3" xfId="52322"/>
    <cellStyle name="Title 2 2 2 5" xfId="52323"/>
    <cellStyle name="Title 2 2 3" xfId="52324"/>
    <cellStyle name="Title 2 2 3 2" xfId="52325"/>
    <cellStyle name="Title 2 2 3 2 2" xfId="52326"/>
    <cellStyle name="Title 2 2 3 2 2 2" xfId="52327"/>
    <cellStyle name="Title 2 2 3 2 3" xfId="52328"/>
    <cellStyle name="Title 2 2 3 2 3 2" xfId="52329"/>
    <cellStyle name="Title 2 2 3 2 3 2 2" xfId="52330"/>
    <cellStyle name="Title 2 2 3 2 3 3" xfId="52331"/>
    <cellStyle name="Title 2 2 3 2 4" xfId="52332"/>
    <cellStyle name="Title 2 2 3 3" xfId="52333"/>
    <cellStyle name="Title 2 2 3 3 2" xfId="52334"/>
    <cellStyle name="Title 2 2 3 3 2 2" xfId="52335"/>
    <cellStyle name="Title 2 2 3 3 3" xfId="52336"/>
    <cellStyle name="Title 2 2 3 4" xfId="52337"/>
    <cellStyle name="Title 2 2 3 4 2" xfId="52338"/>
    <cellStyle name="Title 2 2 3 4 2 2" xfId="52339"/>
    <cellStyle name="Title 2 2 3 4 3" xfId="52340"/>
    <cellStyle name="Title 2 2 3 5" xfId="52341"/>
    <cellStyle name="Title 2 2 3 5 2" xfId="52342"/>
    <cellStyle name="Title 2 2 3 5 2 2" xfId="52343"/>
    <cellStyle name="Title 2 2 3 5 3" xfId="52344"/>
    <cellStyle name="Title 2 2 3 6" xfId="52345"/>
    <cellStyle name="Title 2 2 4" xfId="52346"/>
    <cellStyle name="Title 2 2 4 2" xfId="52347"/>
    <cellStyle name="Title 2 2 4 2 2" xfId="52348"/>
    <cellStyle name="Title 2 2 4 3" xfId="52349"/>
    <cellStyle name="Title 2 2 5" xfId="52350"/>
    <cellStyle name="Title 2 2 5 2" xfId="52351"/>
    <cellStyle name="Title 2 2 5 2 2" xfId="52352"/>
    <cellStyle name="Title 2 2 5 3" xfId="52353"/>
    <cellStyle name="Title 2 2 6" xfId="52354"/>
    <cellStyle name="Title 2 2 6 2" xfId="52355"/>
    <cellStyle name="Title 2 2 6 2 2" xfId="52356"/>
    <cellStyle name="Title 2 2 6 3" xfId="52357"/>
    <cellStyle name="Title 2 2 7" xfId="52358"/>
    <cellStyle name="Title 2 3" xfId="52359"/>
    <cellStyle name="Title 2 3 2" xfId="52360"/>
    <cellStyle name="Title 2 3 2 2" xfId="52361"/>
    <cellStyle name="Title 2 3 2 2 2" xfId="52362"/>
    <cellStyle name="Title 2 3 2 3" xfId="52363"/>
    <cellStyle name="Title 2 3 2 3 2" xfId="52364"/>
    <cellStyle name="Title 2 3 2 3 2 2" xfId="52365"/>
    <cellStyle name="Title 2 3 2 3 3" xfId="52366"/>
    <cellStyle name="Title 2 3 2 4" xfId="52367"/>
    <cellStyle name="Title 2 3 2 4 2" xfId="52368"/>
    <cellStyle name="Title 2 3 2 4 2 2" xfId="52369"/>
    <cellStyle name="Title 2 3 2 4 3" xfId="52370"/>
    <cellStyle name="Title 2 3 2 5" xfId="52371"/>
    <cellStyle name="Title 2 3 3" xfId="52372"/>
    <cellStyle name="Title 2 3 3 2" xfId="52373"/>
    <cellStyle name="Title 2 3 3 2 2" xfId="52374"/>
    <cellStyle name="Title 2 3 3 2 2 2" xfId="52375"/>
    <cellStyle name="Title 2 3 3 2 3" xfId="52376"/>
    <cellStyle name="Title 2 3 3 2 3 2" xfId="52377"/>
    <cellStyle name="Title 2 3 3 2 3 2 2" xfId="52378"/>
    <cellStyle name="Title 2 3 3 2 3 3" xfId="52379"/>
    <cellStyle name="Title 2 3 3 2 4" xfId="52380"/>
    <cellStyle name="Title 2 3 3 3" xfId="52381"/>
    <cellStyle name="Title 2 3 3 3 2" xfId="52382"/>
    <cellStyle name="Title 2 3 3 3 2 2" xfId="52383"/>
    <cellStyle name="Title 2 3 3 3 3" xfId="52384"/>
    <cellStyle name="Title 2 3 3 4" xfId="52385"/>
    <cellStyle name="Title 2 3 3 4 2" xfId="52386"/>
    <cellStyle name="Title 2 3 3 4 2 2" xfId="52387"/>
    <cellStyle name="Title 2 3 3 4 3" xfId="52388"/>
    <cellStyle name="Title 2 3 3 5" xfId="52389"/>
    <cellStyle name="Title 2 3 3 5 2" xfId="52390"/>
    <cellStyle name="Title 2 3 3 5 2 2" xfId="52391"/>
    <cellStyle name="Title 2 3 3 5 3" xfId="52392"/>
    <cellStyle name="Title 2 3 3 6" xfId="52393"/>
    <cellStyle name="Title 2 3 4" xfId="52394"/>
    <cellStyle name="Title 2 3 4 2" xfId="52395"/>
    <cellStyle name="Title 2 3 4 2 2" xfId="52396"/>
    <cellStyle name="Title 2 3 4 3" xfId="52397"/>
    <cellStyle name="Title 2 3 5" xfId="52398"/>
    <cellStyle name="Title 2 3 5 2" xfId="52399"/>
    <cellStyle name="Title 2 3 5 2 2" xfId="52400"/>
    <cellStyle name="Title 2 3 5 3" xfId="52401"/>
    <cellStyle name="Title 2 3 6" xfId="52402"/>
    <cellStyle name="Title 2 3 6 2" xfId="52403"/>
    <cellStyle name="Title 2 3 6 2 2" xfId="52404"/>
    <cellStyle name="Title 2 3 6 3" xfId="52405"/>
    <cellStyle name="Title 2 3 7" xfId="52406"/>
    <cellStyle name="Title 2 4" xfId="52407"/>
    <cellStyle name="Title 2 4 2" xfId="52408"/>
    <cellStyle name="Title 2 4 2 2" xfId="52409"/>
    <cellStyle name="Title 2 4 2 2 2" xfId="52410"/>
    <cellStyle name="Title 2 4 2 3" xfId="52411"/>
    <cellStyle name="Title 2 4 2 3 2" xfId="52412"/>
    <cellStyle name="Title 2 4 2 3 2 2" xfId="52413"/>
    <cellStyle name="Title 2 4 2 3 3" xfId="52414"/>
    <cellStyle name="Title 2 4 2 4" xfId="52415"/>
    <cellStyle name="Title 2 4 2 4 2" xfId="52416"/>
    <cellStyle name="Title 2 4 2 4 2 2" xfId="52417"/>
    <cellStyle name="Title 2 4 2 4 3" xfId="52418"/>
    <cellStyle name="Title 2 4 2 5" xfId="52419"/>
    <cellStyle name="Title 2 4 3" xfId="52420"/>
    <cellStyle name="Title 2 4 3 2" xfId="52421"/>
    <cellStyle name="Title 2 4 3 2 2" xfId="52422"/>
    <cellStyle name="Title 2 4 3 3" xfId="52423"/>
    <cellStyle name="Title 2 4 4" xfId="52424"/>
    <cellStyle name="Title 2 4 4 2" xfId="52425"/>
    <cellStyle name="Title 2 4 4 2 2" xfId="52426"/>
    <cellStyle name="Title 2 4 4 3" xfId="52427"/>
    <cellStyle name="Title 2 4 5" xfId="52428"/>
    <cellStyle name="Title 2 4 5 2" xfId="52429"/>
    <cellStyle name="Title 2 4 5 2 2" xfId="52430"/>
    <cellStyle name="Title 2 4 5 3" xfId="52431"/>
    <cellStyle name="Title 2 4 6" xfId="52432"/>
    <cellStyle name="Title 2 5" xfId="52433"/>
    <cellStyle name="Title 2 5 2" xfId="52434"/>
    <cellStyle name="Title 2 5 2 2" xfId="52435"/>
    <cellStyle name="Title 2 5 2 2 2" xfId="52436"/>
    <cellStyle name="Title 2 5 2 3" xfId="52437"/>
    <cellStyle name="Title 2 5 2 3 2" xfId="52438"/>
    <cellStyle name="Title 2 5 2 3 2 2" xfId="52439"/>
    <cellStyle name="Title 2 5 2 3 3" xfId="52440"/>
    <cellStyle name="Title 2 5 2 4" xfId="52441"/>
    <cellStyle name="Title 2 5 2 4 2" xfId="52442"/>
    <cellStyle name="Title 2 5 2 4 2 2" xfId="52443"/>
    <cellStyle name="Title 2 5 2 4 3" xfId="52444"/>
    <cellStyle name="Title 2 5 2 5" xfId="52445"/>
    <cellStyle name="Title 2 5 3" xfId="52446"/>
    <cellStyle name="Title 2 5 3 2" xfId="52447"/>
    <cellStyle name="Title 2 5 3 2 2" xfId="52448"/>
    <cellStyle name="Title 2 5 3 2 2 2" xfId="52449"/>
    <cellStyle name="Title 2 5 3 2 3" xfId="52450"/>
    <cellStyle name="Title 2 5 3 2 3 2" xfId="52451"/>
    <cellStyle name="Title 2 5 3 2 3 2 2" xfId="52452"/>
    <cellStyle name="Title 2 5 3 2 3 3" xfId="52453"/>
    <cellStyle name="Title 2 5 3 2 4" xfId="52454"/>
    <cellStyle name="Title 2 5 3 3" xfId="52455"/>
    <cellStyle name="Title 2 5 3 3 2" xfId="52456"/>
    <cellStyle name="Title 2 5 3 3 2 2" xfId="52457"/>
    <cellStyle name="Title 2 5 3 3 3" xfId="52458"/>
    <cellStyle name="Title 2 5 3 4" xfId="52459"/>
    <cellStyle name="Title 2 5 3 4 2" xfId="52460"/>
    <cellStyle name="Title 2 5 3 4 2 2" xfId="52461"/>
    <cellStyle name="Title 2 5 3 4 3" xfId="52462"/>
    <cellStyle name="Title 2 5 3 5" xfId="52463"/>
    <cellStyle name="Title 2 5 3 5 2" xfId="52464"/>
    <cellStyle name="Title 2 5 3 5 2 2" xfId="52465"/>
    <cellStyle name="Title 2 5 3 5 3" xfId="52466"/>
    <cellStyle name="Title 2 5 3 6" xfId="52467"/>
    <cellStyle name="Title 2 5 4" xfId="52468"/>
    <cellStyle name="Title 2 5 4 2" xfId="52469"/>
    <cellStyle name="Title 2 5 4 2 2" xfId="52470"/>
    <cellStyle name="Title 2 5 4 3" xfId="52471"/>
    <cellStyle name="Title 2 5 5" xfId="52472"/>
    <cellStyle name="Title 2 5 5 2" xfId="52473"/>
    <cellStyle name="Title 2 5 5 2 2" xfId="52474"/>
    <cellStyle name="Title 2 5 5 3" xfId="52475"/>
    <cellStyle name="Title 2 5 6" xfId="52476"/>
    <cellStyle name="Title 2 5 6 2" xfId="52477"/>
    <cellStyle name="Title 2 5 6 2 2" xfId="52478"/>
    <cellStyle name="Title 2 5 6 3" xfId="52479"/>
    <cellStyle name="Title 2 5 7" xfId="52480"/>
    <cellStyle name="Title 2 6" xfId="52481"/>
    <cellStyle name="Title 2 6 2" xfId="52482"/>
    <cellStyle name="Title 2 6 2 2" xfId="52483"/>
    <cellStyle name="Title 2 6 3" xfId="52484"/>
    <cellStyle name="Title 2 6 3 2" xfId="52485"/>
    <cellStyle name="Title 2 6 3 2 2" xfId="52486"/>
    <cellStyle name="Title 2 6 3 3" xfId="52487"/>
    <cellStyle name="Title 2 6 4" xfId="52488"/>
    <cellStyle name="Title 2 6 4 2" xfId="52489"/>
    <cellStyle name="Title 2 6 4 2 2" xfId="52490"/>
    <cellStyle name="Title 2 6 4 3" xfId="52491"/>
    <cellStyle name="Title 2 6 5" xfId="52492"/>
    <cellStyle name="Title 2 7" xfId="52493"/>
    <cellStyle name="Title 2 7 2" xfId="52494"/>
    <cellStyle name="Title 2 7 2 2" xfId="52495"/>
    <cellStyle name="Title 2 7 3" xfId="52496"/>
    <cellStyle name="Title 2 7 3 2" xfId="52497"/>
    <cellStyle name="Title 2 7 3 2 2" xfId="52498"/>
    <cellStyle name="Title 2 7 3 3" xfId="52499"/>
    <cellStyle name="Title 2 7 4" xfId="52500"/>
    <cellStyle name="Title 2 7 4 2" xfId="52501"/>
    <cellStyle name="Title 2 7 4 2 2" xfId="52502"/>
    <cellStyle name="Title 2 7 4 3" xfId="52503"/>
    <cellStyle name="Title 2 7 5" xfId="52504"/>
    <cellStyle name="Title 2 8" xfId="52505"/>
    <cellStyle name="Title 2 8 2" xfId="52506"/>
    <cellStyle name="Title 2 8 2 2" xfId="52507"/>
    <cellStyle name="Title 2 8 2 2 2" xfId="52508"/>
    <cellStyle name="Title 2 8 2 3" xfId="52509"/>
    <cellStyle name="Title 2 8 2 3 2" xfId="52510"/>
    <cellStyle name="Title 2 8 2 3 2 2" xfId="52511"/>
    <cellStyle name="Title 2 8 2 3 3" xfId="52512"/>
    <cellStyle name="Title 2 8 2 4" xfId="52513"/>
    <cellStyle name="Title 2 8 3" xfId="52514"/>
    <cellStyle name="Title 2 8 3 2" xfId="52515"/>
    <cellStyle name="Title 2 8 3 2 2" xfId="52516"/>
    <cellStyle name="Title 2 8 3 3" xfId="52517"/>
    <cellStyle name="Title 2 8 4" xfId="52518"/>
    <cellStyle name="Title 2 8 4 2" xfId="52519"/>
    <cellStyle name="Title 2 8 4 2 2" xfId="52520"/>
    <cellStyle name="Title 2 8 4 3" xfId="52521"/>
    <cellStyle name="Title 2 8 5" xfId="52522"/>
    <cellStyle name="Title 2 8 5 2" xfId="52523"/>
    <cellStyle name="Title 2 8 5 2 2" xfId="52524"/>
    <cellStyle name="Title 2 8 5 3" xfId="52525"/>
    <cellStyle name="Title 2 8 6" xfId="52526"/>
    <cellStyle name="Title 2 9" xfId="52527"/>
    <cellStyle name="Title 2 9 2" xfId="52528"/>
    <cellStyle name="Title 2 9 2 2" xfId="52529"/>
    <cellStyle name="Title 2 9 3" xfId="52530"/>
    <cellStyle name="Title 3" xfId="52531"/>
    <cellStyle name="Title 3 2" xfId="52532"/>
    <cellStyle name="Title 3 2 2" xfId="52533"/>
    <cellStyle name="Title 3 2 2 2" xfId="52534"/>
    <cellStyle name="Title 3 2 3" xfId="52535"/>
    <cellStyle name="Title 3 2 3 2" xfId="52536"/>
    <cellStyle name="Title 3 2 3 2 2" xfId="52537"/>
    <cellStyle name="Title 3 2 3 3" xfId="52538"/>
    <cellStyle name="Title 3 2 4" xfId="52539"/>
    <cellStyle name="Title 3 2 4 2" xfId="52540"/>
    <cellStyle name="Title 3 2 4 2 2" xfId="52541"/>
    <cellStyle name="Title 3 2 4 3" xfId="52542"/>
    <cellStyle name="Title 3 2 5" xfId="52543"/>
    <cellStyle name="Title 3 3" xfId="52544"/>
    <cellStyle name="Title 3 3 2" xfId="52545"/>
    <cellStyle name="Title 3 3 2 2" xfId="52546"/>
    <cellStyle name="Title 3 3 3" xfId="52547"/>
    <cellStyle name="Title 3 3 3 2" xfId="52548"/>
    <cellStyle name="Title 3 3 3 2 2" xfId="52549"/>
    <cellStyle name="Title 3 3 3 3" xfId="52550"/>
    <cellStyle name="Title 3 3 4" xfId="52551"/>
    <cellStyle name="Title 3 3 4 2" xfId="52552"/>
    <cellStyle name="Title 3 3 4 2 2" xfId="52553"/>
    <cellStyle name="Title 3 3 4 3" xfId="52554"/>
    <cellStyle name="Title 3 3 5" xfId="52555"/>
    <cellStyle name="Title 3 4" xfId="52556"/>
    <cellStyle name="Title 3 4 2" xfId="52557"/>
    <cellStyle name="Title 3 4 2 2" xfId="52558"/>
    <cellStyle name="Title 3 4 2 2 2" xfId="52559"/>
    <cellStyle name="Title 3 4 2 3" xfId="52560"/>
    <cellStyle name="Title 3 4 2 3 2" xfId="52561"/>
    <cellStyle name="Title 3 4 2 3 2 2" xfId="52562"/>
    <cellStyle name="Title 3 4 2 3 3" xfId="52563"/>
    <cellStyle name="Title 3 4 2 4" xfId="52564"/>
    <cellStyle name="Title 3 4 3" xfId="52565"/>
    <cellStyle name="Title 3 4 3 2" xfId="52566"/>
    <cellStyle name="Title 3 4 3 2 2" xfId="52567"/>
    <cellStyle name="Title 3 4 3 3" xfId="52568"/>
    <cellStyle name="Title 3 4 4" xfId="52569"/>
    <cellStyle name="Title 3 4 4 2" xfId="52570"/>
    <cellStyle name="Title 3 4 4 2 2" xfId="52571"/>
    <cellStyle name="Title 3 4 4 3" xfId="52572"/>
    <cellStyle name="Title 3 4 5" xfId="52573"/>
    <cellStyle name="Title 3 4 5 2" xfId="52574"/>
    <cellStyle name="Title 3 4 5 2 2" xfId="52575"/>
    <cellStyle name="Title 3 4 5 3" xfId="52576"/>
    <cellStyle name="Title 3 4 6" xfId="52577"/>
    <cellStyle name="Title 3 5" xfId="52578"/>
    <cellStyle name="Title 3 5 2" xfId="52579"/>
    <cellStyle name="Title 3 5 2 2" xfId="52580"/>
    <cellStyle name="Title 3 5 3" xfId="52581"/>
    <cellStyle name="Title 3 6" xfId="52582"/>
    <cellStyle name="Title 3 6 2" xfId="52583"/>
    <cellStyle name="Title 3 6 2 2" xfId="52584"/>
    <cellStyle name="Title 3 6 3" xfId="52585"/>
    <cellStyle name="Title 3 7" xfId="52586"/>
    <cellStyle name="Title 3 7 2" xfId="52587"/>
    <cellStyle name="Title 3 7 2 2" xfId="52588"/>
    <cellStyle name="Title 3 7 3" xfId="52589"/>
    <cellStyle name="Title 3 8" xfId="52590"/>
    <cellStyle name="Title 4" xfId="52591"/>
    <cellStyle name="Title 4 2" xfId="52592"/>
    <cellStyle name="Title 4 2 2" xfId="52593"/>
    <cellStyle name="Title 4 2 2 2" xfId="52594"/>
    <cellStyle name="Title 4 2 3" xfId="52595"/>
    <cellStyle name="Title 4 2 3 2" xfId="52596"/>
    <cellStyle name="Title 4 2 3 2 2" xfId="52597"/>
    <cellStyle name="Title 4 2 3 3" xfId="52598"/>
    <cellStyle name="Title 4 2 4" xfId="52599"/>
    <cellStyle name="Title 4 2 4 2" xfId="52600"/>
    <cellStyle name="Title 4 2 4 2 2" xfId="52601"/>
    <cellStyle name="Title 4 2 4 3" xfId="52602"/>
    <cellStyle name="Title 4 2 5" xfId="52603"/>
    <cellStyle name="Title 4 3" xfId="52604"/>
    <cellStyle name="Title 4 3 2" xfId="52605"/>
    <cellStyle name="Title 4 3 2 2" xfId="52606"/>
    <cellStyle name="Title 4 3 2 2 2" xfId="52607"/>
    <cellStyle name="Title 4 3 2 3" xfId="52608"/>
    <cellStyle name="Title 4 3 2 3 2" xfId="52609"/>
    <cellStyle name="Title 4 3 2 3 2 2" xfId="52610"/>
    <cellStyle name="Title 4 3 2 3 3" xfId="52611"/>
    <cellStyle name="Title 4 3 2 4" xfId="52612"/>
    <cellStyle name="Title 4 3 3" xfId="52613"/>
    <cellStyle name="Title 4 3 3 2" xfId="52614"/>
    <cellStyle name="Title 4 3 3 2 2" xfId="52615"/>
    <cellStyle name="Title 4 3 3 3" xfId="52616"/>
    <cellStyle name="Title 4 3 4" xfId="52617"/>
    <cellStyle name="Title 4 3 4 2" xfId="52618"/>
    <cellStyle name="Title 4 3 4 2 2" xfId="52619"/>
    <cellStyle name="Title 4 3 4 3" xfId="52620"/>
    <cellStyle name="Title 4 3 5" xfId="52621"/>
    <cellStyle name="Title 4 3 5 2" xfId="52622"/>
    <cellStyle name="Title 4 3 5 2 2" xfId="52623"/>
    <cellStyle name="Title 4 3 5 3" xfId="52624"/>
    <cellStyle name="Title 4 3 6" xfId="52625"/>
    <cellStyle name="Title 4 4" xfId="52626"/>
    <cellStyle name="Title 4 4 2" xfId="52627"/>
    <cellStyle name="Title 4 4 2 2" xfId="52628"/>
    <cellStyle name="Title 4 4 3" xfId="52629"/>
    <cellStyle name="Title 4 5" xfId="52630"/>
    <cellStyle name="Title 4 5 2" xfId="52631"/>
    <cellStyle name="Title 4 5 2 2" xfId="52632"/>
    <cellStyle name="Title 4 5 3" xfId="52633"/>
    <cellStyle name="Title 4 6" xfId="52634"/>
    <cellStyle name="Title 4 6 2" xfId="52635"/>
    <cellStyle name="Title 4 6 2 2" xfId="52636"/>
    <cellStyle name="Title 4 6 3" xfId="52637"/>
    <cellStyle name="Title 4 7" xfId="52638"/>
    <cellStyle name="Title 5" xfId="52639"/>
    <cellStyle name="Title 5 2" xfId="52640"/>
    <cellStyle name="Title 5 2 2" xfId="52641"/>
    <cellStyle name="Title 5 2 2 2" xfId="52642"/>
    <cellStyle name="Title 5 2 3" xfId="52643"/>
    <cellStyle name="Title 5 2 3 2" xfId="52644"/>
    <cellStyle name="Title 5 2 3 2 2" xfId="52645"/>
    <cellStyle name="Title 5 2 3 3" xfId="52646"/>
    <cellStyle name="Title 5 2 4" xfId="52647"/>
    <cellStyle name="Title 5 2 4 2" xfId="52648"/>
    <cellStyle name="Title 5 2 4 2 2" xfId="52649"/>
    <cellStyle name="Title 5 2 4 3" xfId="52650"/>
    <cellStyle name="Title 5 2 5" xfId="52651"/>
    <cellStyle name="Title 5 3" xfId="52652"/>
    <cellStyle name="Title 5 3 2" xfId="52653"/>
    <cellStyle name="Title 5 3 2 2" xfId="52654"/>
    <cellStyle name="Title 5 3 2 2 2" xfId="52655"/>
    <cellStyle name="Title 5 3 2 3" xfId="52656"/>
    <cellStyle name="Title 5 3 2 3 2" xfId="52657"/>
    <cellStyle name="Title 5 3 2 3 2 2" xfId="52658"/>
    <cellStyle name="Title 5 3 2 3 3" xfId="52659"/>
    <cellStyle name="Title 5 3 2 4" xfId="52660"/>
    <cellStyle name="Title 5 3 3" xfId="52661"/>
    <cellStyle name="Title 5 3 3 2" xfId="52662"/>
    <cellStyle name="Title 5 3 3 2 2" xfId="52663"/>
    <cellStyle name="Title 5 3 3 3" xfId="52664"/>
    <cellStyle name="Title 5 3 4" xfId="52665"/>
    <cellStyle name="Title 5 3 4 2" xfId="52666"/>
    <cellStyle name="Title 5 3 4 2 2" xfId="52667"/>
    <cellStyle name="Title 5 3 4 3" xfId="52668"/>
    <cellStyle name="Title 5 3 5" xfId="52669"/>
    <cellStyle name="Title 5 3 5 2" xfId="52670"/>
    <cellStyle name="Title 5 3 5 2 2" xfId="52671"/>
    <cellStyle name="Title 5 3 5 3" xfId="52672"/>
    <cellStyle name="Title 5 3 6" xfId="52673"/>
    <cellStyle name="Title 5 4" xfId="52674"/>
    <cellStyle name="Title 5 4 2" xfId="52675"/>
    <cellStyle name="Title 5 4 2 2" xfId="52676"/>
    <cellStyle name="Title 5 4 3" xfId="52677"/>
    <cellStyle name="Title 5 5" xfId="52678"/>
    <cellStyle name="Title 5 5 2" xfId="52679"/>
    <cellStyle name="Title 5 5 2 2" xfId="52680"/>
    <cellStyle name="Title 5 5 3" xfId="52681"/>
    <cellStyle name="Title 5 6" xfId="52682"/>
    <cellStyle name="Title 5 6 2" xfId="52683"/>
    <cellStyle name="Title 5 6 2 2" xfId="52684"/>
    <cellStyle name="Title 5 6 3" xfId="52685"/>
    <cellStyle name="Title 5 7" xfId="52686"/>
    <cellStyle name="Title 6" xfId="52687"/>
    <cellStyle name="Title 6 2" xfId="52688"/>
    <cellStyle name="Title 6 2 2" xfId="52689"/>
    <cellStyle name="Title 6 2 2 2" xfId="52690"/>
    <cellStyle name="Title 6 2 3" xfId="52691"/>
    <cellStyle name="Title 6 2 3 2" xfId="52692"/>
    <cellStyle name="Title 6 2 3 2 2" xfId="52693"/>
    <cellStyle name="Title 6 2 3 3" xfId="52694"/>
    <cellStyle name="Title 6 2 4" xfId="52695"/>
    <cellStyle name="Title 6 2 4 2" xfId="52696"/>
    <cellStyle name="Title 6 2 4 2 2" xfId="52697"/>
    <cellStyle name="Title 6 2 4 3" xfId="52698"/>
    <cellStyle name="Title 6 2 5" xfId="52699"/>
    <cellStyle name="Title 6 3" xfId="52700"/>
    <cellStyle name="Title 6 3 2" xfId="52701"/>
    <cellStyle name="Title 6 3 2 2" xfId="52702"/>
    <cellStyle name="Title 6 3 3" xfId="52703"/>
    <cellStyle name="Title 6 4" xfId="52704"/>
    <cellStyle name="Title 6 4 2" xfId="52705"/>
    <cellStyle name="Title 6 4 2 2" xfId="52706"/>
    <cellStyle name="Title 6 4 3" xfId="52707"/>
    <cellStyle name="Title 6 5" xfId="52708"/>
    <cellStyle name="Title 6 5 2" xfId="52709"/>
    <cellStyle name="Title 6 5 2 2" xfId="52710"/>
    <cellStyle name="Title 6 5 3" xfId="52711"/>
    <cellStyle name="Title 6 6" xfId="52712"/>
    <cellStyle name="Title 7" xfId="52713"/>
    <cellStyle name="Title 8" xfId="52714"/>
    <cellStyle name="Total 10" xfId="52715"/>
    <cellStyle name="Total 2" xfId="52716"/>
    <cellStyle name="Total 2 10" xfId="52717"/>
    <cellStyle name="Total 2 10 2" xfId="52718"/>
    <cellStyle name="Total 2 10 2 2" xfId="52719"/>
    <cellStyle name="Total 2 10 3" xfId="52720"/>
    <cellStyle name="Total 2 11" xfId="52721"/>
    <cellStyle name="Total 2 11 2" xfId="52722"/>
    <cellStyle name="Total 2 11 2 2" xfId="52723"/>
    <cellStyle name="Total 2 11 3" xfId="52724"/>
    <cellStyle name="Total 2 12" xfId="52725"/>
    <cellStyle name="Total 2 12 2" xfId="52726"/>
    <cellStyle name="Total 2 12 2 2" xfId="52727"/>
    <cellStyle name="Total 2 12 2 2 2" xfId="52728"/>
    <cellStyle name="Total 2 12 2 3" xfId="52729"/>
    <cellStyle name="Total 2 12 3" xfId="52730"/>
    <cellStyle name="Total 2 12 3 2" xfId="52731"/>
    <cellStyle name="Total 2 12 4" xfId="52732"/>
    <cellStyle name="Total 2 12 4 2" xfId="52733"/>
    <cellStyle name="Total 2 12 5" xfId="52734"/>
    <cellStyle name="Total 2 13" xfId="52735"/>
    <cellStyle name="Total 2 13 2" xfId="52736"/>
    <cellStyle name="Total 2 13 3" xfId="52737"/>
    <cellStyle name="Total 2 14" xfId="52738"/>
    <cellStyle name="Total 2 14 2" xfId="52739"/>
    <cellStyle name="Total 2 15" xfId="52740"/>
    <cellStyle name="Total 2 16" xfId="52741"/>
    <cellStyle name="Total 2 2" xfId="52742"/>
    <cellStyle name="Total 2 2 2" xfId="52743"/>
    <cellStyle name="Total 2 2 2 2" xfId="52744"/>
    <cellStyle name="Total 2 2 2 2 2" xfId="52745"/>
    <cellStyle name="Total 2 2 2 3" xfId="52746"/>
    <cellStyle name="Total 2 2 2 3 2" xfId="52747"/>
    <cellStyle name="Total 2 2 2 3 2 2" xfId="52748"/>
    <cellStyle name="Total 2 2 2 3 3" xfId="52749"/>
    <cellStyle name="Total 2 2 2 4" xfId="52750"/>
    <cellStyle name="Total 2 2 2 4 2" xfId="52751"/>
    <cellStyle name="Total 2 2 2 4 2 2" xfId="52752"/>
    <cellStyle name="Total 2 2 2 4 3" xfId="52753"/>
    <cellStyle name="Total 2 2 2 5" xfId="52754"/>
    <cellStyle name="Total 2 2 3" xfId="52755"/>
    <cellStyle name="Total 2 2 3 2" xfId="52756"/>
    <cellStyle name="Total 2 2 3 2 2" xfId="52757"/>
    <cellStyle name="Total 2 2 3 2 2 2" xfId="52758"/>
    <cellStyle name="Total 2 2 3 2 3" xfId="52759"/>
    <cellStyle name="Total 2 2 3 2 3 2" xfId="52760"/>
    <cellStyle name="Total 2 2 3 2 3 2 2" xfId="52761"/>
    <cellStyle name="Total 2 2 3 2 3 3" xfId="52762"/>
    <cellStyle name="Total 2 2 3 2 4" xfId="52763"/>
    <cellStyle name="Total 2 2 3 3" xfId="52764"/>
    <cellStyle name="Total 2 2 3 3 2" xfId="52765"/>
    <cellStyle name="Total 2 2 3 3 2 2" xfId="52766"/>
    <cellStyle name="Total 2 2 3 3 3" xfId="52767"/>
    <cellStyle name="Total 2 2 3 4" xfId="52768"/>
    <cellStyle name="Total 2 2 3 4 2" xfId="52769"/>
    <cellStyle name="Total 2 2 3 4 2 2" xfId="52770"/>
    <cellStyle name="Total 2 2 3 4 3" xfId="52771"/>
    <cellStyle name="Total 2 2 3 5" xfId="52772"/>
    <cellStyle name="Total 2 2 3 5 2" xfId="52773"/>
    <cellStyle name="Total 2 2 3 5 2 2" xfId="52774"/>
    <cellStyle name="Total 2 2 3 5 3" xfId="52775"/>
    <cellStyle name="Total 2 2 3 6" xfId="52776"/>
    <cellStyle name="Total 2 2 4" xfId="52777"/>
    <cellStyle name="Total 2 2 4 2" xfId="52778"/>
    <cellStyle name="Total 2 2 4 2 2" xfId="52779"/>
    <cellStyle name="Total 2 2 4 3" xfId="52780"/>
    <cellStyle name="Total 2 2 5" xfId="52781"/>
    <cellStyle name="Total 2 2 5 2" xfId="52782"/>
    <cellStyle name="Total 2 2 5 2 2" xfId="52783"/>
    <cellStyle name="Total 2 2 5 3" xfId="52784"/>
    <cellStyle name="Total 2 2 6" xfId="52785"/>
    <cellStyle name="Total 2 2 6 2" xfId="52786"/>
    <cellStyle name="Total 2 2 6 2 2" xfId="52787"/>
    <cellStyle name="Total 2 2 6 3" xfId="52788"/>
    <cellStyle name="Total 2 2 7" xfId="52789"/>
    <cellStyle name="Total 2 3" xfId="52790"/>
    <cellStyle name="Total 2 3 2" xfId="52791"/>
    <cellStyle name="Total 2 3 2 2" xfId="52792"/>
    <cellStyle name="Total 2 3 2 2 2" xfId="52793"/>
    <cellStyle name="Total 2 3 2 2 2 2" xfId="52794"/>
    <cellStyle name="Total 2 3 2 2 3" xfId="52795"/>
    <cellStyle name="Total 2 3 2 3" xfId="52796"/>
    <cellStyle name="Total 2 3 2 3 2" xfId="52797"/>
    <cellStyle name="Total 2 3 2 3 2 2" xfId="52798"/>
    <cellStyle name="Total 2 3 2 3 3" xfId="52799"/>
    <cellStyle name="Total 2 3 2 4" xfId="52800"/>
    <cellStyle name="Total 2 3 2 4 2" xfId="52801"/>
    <cellStyle name="Total 2 3 2 4 2 2" xfId="52802"/>
    <cellStyle name="Total 2 3 2 4 3" xfId="52803"/>
    <cellStyle name="Total 2 3 2 5" xfId="52804"/>
    <cellStyle name="Total 2 3 2 5 2" xfId="52805"/>
    <cellStyle name="Total 2 3 2 6" xfId="52806"/>
    <cellStyle name="Total 2 3 3" xfId="52807"/>
    <cellStyle name="Total 2 3 3 2" xfId="52808"/>
    <cellStyle name="Total 2 3 3 2 2" xfId="52809"/>
    <cellStyle name="Total 2 3 3 2 2 2" xfId="52810"/>
    <cellStyle name="Total 2 3 3 2 2 2 2" xfId="52811"/>
    <cellStyle name="Total 2 3 3 2 2 3" xfId="52812"/>
    <cellStyle name="Total 2 3 3 2 3" xfId="52813"/>
    <cellStyle name="Total 2 3 3 2 3 2" xfId="52814"/>
    <cellStyle name="Total 2 3 3 2 3 2 2" xfId="52815"/>
    <cellStyle name="Total 2 3 3 2 3 3" xfId="52816"/>
    <cellStyle name="Total 2 3 3 2 4" xfId="52817"/>
    <cellStyle name="Total 2 3 3 2 4 2" xfId="52818"/>
    <cellStyle name="Total 2 3 3 2 5" xfId="52819"/>
    <cellStyle name="Total 2 3 3 3" xfId="52820"/>
    <cellStyle name="Total 2 3 3 3 2" xfId="52821"/>
    <cellStyle name="Total 2 3 3 3 2 2" xfId="52822"/>
    <cellStyle name="Total 2 3 3 3 2 2 2" xfId="52823"/>
    <cellStyle name="Total 2 3 3 3 2 3" xfId="52824"/>
    <cellStyle name="Total 2 3 3 3 3" xfId="52825"/>
    <cellStyle name="Total 2 3 3 3 3 2" xfId="52826"/>
    <cellStyle name="Total 2 3 3 3 4" xfId="52827"/>
    <cellStyle name="Total 2 3 3 4" xfId="52828"/>
    <cellStyle name="Total 2 3 3 4 2" xfId="52829"/>
    <cellStyle name="Total 2 3 3 4 2 2" xfId="52830"/>
    <cellStyle name="Total 2 3 3 4 3" xfId="52831"/>
    <cellStyle name="Total 2 3 3 5" xfId="52832"/>
    <cellStyle name="Total 2 3 3 5 2" xfId="52833"/>
    <cellStyle name="Total 2 3 3 5 2 2" xfId="52834"/>
    <cellStyle name="Total 2 3 3 5 3" xfId="52835"/>
    <cellStyle name="Total 2 3 3 6" xfId="52836"/>
    <cellStyle name="Total 2 3 3 6 2" xfId="52837"/>
    <cellStyle name="Total 2 3 3 7" xfId="52838"/>
    <cellStyle name="Total 2 3 4" xfId="52839"/>
    <cellStyle name="Total 2 3 4 2" xfId="52840"/>
    <cellStyle name="Total 2 3 4 2 2" xfId="52841"/>
    <cellStyle name="Total 2 3 4 2 2 2" xfId="52842"/>
    <cellStyle name="Total 2 3 4 2 3" xfId="52843"/>
    <cellStyle name="Total 2 3 4 3" xfId="52844"/>
    <cellStyle name="Total 2 3 4 3 2" xfId="52845"/>
    <cellStyle name="Total 2 3 4 4" xfId="52846"/>
    <cellStyle name="Total 2 3 5" xfId="52847"/>
    <cellStyle name="Total 2 3 5 2" xfId="52848"/>
    <cellStyle name="Total 2 3 5 2 2" xfId="52849"/>
    <cellStyle name="Total 2 3 5 3" xfId="52850"/>
    <cellStyle name="Total 2 3 6" xfId="52851"/>
    <cellStyle name="Total 2 3 6 2" xfId="52852"/>
    <cellStyle name="Total 2 3 6 2 2" xfId="52853"/>
    <cellStyle name="Total 2 3 6 3" xfId="52854"/>
    <cellStyle name="Total 2 3 7" xfId="52855"/>
    <cellStyle name="Total 2 3 7 2" xfId="52856"/>
    <cellStyle name="Total 2 3 8" xfId="52857"/>
    <cellStyle name="Total 2 4" xfId="52858"/>
    <cellStyle name="Total 2 4 2" xfId="52859"/>
    <cellStyle name="Total 2 4 2 2" xfId="52860"/>
    <cellStyle name="Total 2 4 2 2 2" xfId="52861"/>
    <cellStyle name="Total 2 4 2 2 2 2" xfId="52862"/>
    <cellStyle name="Total 2 4 2 2 3" xfId="52863"/>
    <cellStyle name="Total 2 4 2 3" xfId="52864"/>
    <cellStyle name="Total 2 4 2 3 2" xfId="52865"/>
    <cellStyle name="Total 2 4 2 3 2 2" xfId="52866"/>
    <cellStyle name="Total 2 4 2 3 3" xfId="52867"/>
    <cellStyle name="Total 2 4 2 4" xfId="52868"/>
    <cellStyle name="Total 2 4 2 4 2" xfId="52869"/>
    <cellStyle name="Total 2 4 2 4 2 2" xfId="52870"/>
    <cellStyle name="Total 2 4 2 4 3" xfId="52871"/>
    <cellStyle name="Total 2 4 2 5" xfId="52872"/>
    <cellStyle name="Total 2 4 2 5 2" xfId="52873"/>
    <cellStyle name="Total 2 4 2 6" xfId="52874"/>
    <cellStyle name="Total 2 4 3" xfId="52875"/>
    <cellStyle name="Total 2 4 3 2" xfId="52876"/>
    <cellStyle name="Total 2 4 3 2 2" xfId="52877"/>
    <cellStyle name="Total 2 4 3 2 2 2" xfId="52878"/>
    <cellStyle name="Total 2 4 3 2 3" xfId="52879"/>
    <cellStyle name="Total 2 4 3 3" xfId="52880"/>
    <cellStyle name="Total 2 4 3 3 2" xfId="52881"/>
    <cellStyle name="Total 2 4 3 4" xfId="52882"/>
    <cellStyle name="Total 2 4 4" xfId="52883"/>
    <cellStyle name="Total 2 4 4 2" xfId="52884"/>
    <cellStyle name="Total 2 4 4 2 2" xfId="52885"/>
    <cellStyle name="Total 2 4 4 3" xfId="52886"/>
    <cellStyle name="Total 2 4 5" xfId="52887"/>
    <cellStyle name="Total 2 4 5 2" xfId="52888"/>
    <cellStyle name="Total 2 4 5 2 2" xfId="52889"/>
    <cellStyle name="Total 2 4 5 3" xfId="52890"/>
    <cellStyle name="Total 2 4 6" xfId="52891"/>
    <cellStyle name="Total 2 4 6 2" xfId="52892"/>
    <cellStyle name="Total 2 4 7" xfId="52893"/>
    <cellStyle name="Total 2 5" xfId="52894"/>
    <cellStyle name="Total 2 5 2" xfId="52895"/>
    <cellStyle name="Total 2 5 2 2" xfId="52896"/>
    <cellStyle name="Total 2 5 2 2 2" xfId="52897"/>
    <cellStyle name="Total 2 5 2 2 2 2" xfId="52898"/>
    <cellStyle name="Total 2 5 2 2 3" xfId="52899"/>
    <cellStyle name="Total 2 5 2 3" xfId="52900"/>
    <cellStyle name="Total 2 5 2 3 2" xfId="52901"/>
    <cellStyle name="Total 2 5 2 3 2 2" xfId="52902"/>
    <cellStyle name="Total 2 5 2 3 3" xfId="52903"/>
    <cellStyle name="Total 2 5 2 4" xfId="52904"/>
    <cellStyle name="Total 2 5 2 4 2" xfId="52905"/>
    <cellStyle name="Total 2 5 2 4 2 2" xfId="52906"/>
    <cellStyle name="Total 2 5 2 4 3" xfId="52907"/>
    <cellStyle name="Total 2 5 2 5" xfId="52908"/>
    <cellStyle name="Total 2 5 2 5 2" xfId="52909"/>
    <cellStyle name="Total 2 5 2 6" xfId="52910"/>
    <cellStyle name="Total 2 5 3" xfId="52911"/>
    <cellStyle name="Total 2 5 3 2" xfId="52912"/>
    <cellStyle name="Total 2 5 3 2 2" xfId="52913"/>
    <cellStyle name="Total 2 5 3 2 2 2" xfId="52914"/>
    <cellStyle name="Total 2 5 3 2 2 2 2" xfId="52915"/>
    <cellStyle name="Total 2 5 3 2 2 3" xfId="52916"/>
    <cellStyle name="Total 2 5 3 2 3" xfId="52917"/>
    <cellStyle name="Total 2 5 3 2 3 2" xfId="52918"/>
    <cellStyle name="Total 2 5 3 2 3 2 2" xfId="52919"/>
    <cellStyle name="Total 2 5 3 2 3 3" xfId="52920"/>
    <cellStyle name="Total 2 5 3 2 4" xfId="52921"/>
    <cellStyle name="Total 2 5 3 2 4 2" xfId="52922"/>
    <cellStyle name="Total 2 5 3 2 5" xfId="52923"/>
    <cellStyle name="Total 2 5 3 3" xfId="52924"/>
    <cellStyle name="Total 2 5 3 3 2" xfId="52925"/>
    <cellStyle name="Total 2 5 3 3 2 2" xfId="52926"/>
    <cellStyle name="Total 2 5 3 3 2 2 2" xfId="52927"/>
    <cellStyle name="Total 2 5 3 3 2 3" xfId="52928"/>
    <cellStyle name="Total 2 5 3 3 3" xfId="52929"/>
    <cellStyle name="Total 2 5 3 3 3 2" xfId="52930"/>
    <cellStyle name="Total 2 5 3 3 4" xfId="52931"/>
    <cellStyle name="Total 2 5 3 4" xfId="52932"/>
    <cellStyle name="Total 2 5 3 4 2" xfId="52933"/>
    <cellStyle name="Total 2 5 3 4 2 2" xfId="52934"/>
    <cellStyle name="Total 2 5 3 4 3" xfId="52935"/>
    <cellStyle name="Total 2 5 3 5" xfId="52936"/>
    <cellStyle name="Total 2 5 3 5 2" xfId="52937"/>
    <cellStyle name="Total 2 5 3 5 2 2" xfId="52938"/>
    <cellStyle name="Total 2 5 3 5 3" xfId="52939"/>
    <cellStyle name="Total 2 5 3 6" xfId="52940"/>
    <cellStyle name="Total 2 5 3 6 2" xfId="52941"/>
    <cellStyle name="Total 2 5 3 7" xfId="52942"/>
    <cellStyle name="Total 2 5 4" xfId="52943"/>
    <cellStyle name="Total 2 5 4 2" xfId="52944"/>
    <cellStyle name="Total 2 5 4 2 2" xfId="52945"/>
    <cellStyle name="Total 2 5 4 2 2 2" xfId="52946"/>
    <cellStyle name="Total 2 5 4 2 3" xfId="52947"/>
    <cellStyle name="Total 2 5 4 3" xfId="52948"/>
    <cellStyle name="Total 2 5 4 3 2" xfId="52949"/>
    <cellStyle name="Total 2 5 4 4" xfId="52950"/>
    <cellStyle name="Total 2 5 5" xfId="52951"/>
    <cellStyle name="Total 2 5 5 2" xfId="52952"/>
    <cellStyle name="Total 2 5 5 2 2" xfId="52953"/>
    <cellStyle name="Total 2 5 5 3" xfId="52954"/>
    <cellStyle name="Total 2 5 6" xfId="52955"/>
    <cellStyle name="Total 2 5 6 2" xfId="52956"/>
    <cellStyle name="Total 2 5 6 2 2" xfId="52957"/>
    <cellStyle name="Total 2 5 6 3" xfId="52958"/>
    <cellStyle name="Total 2 5 7" xfId="52959"/>
    <cellStyle name="Total 2 5 7 2" xfId="52960"/>
    <cellStyle name="Total 2 5 8" xfId="52961"/>
    <cellStyle name="Total 2 6" xfId="52962"/>
    <cellStyle name="Total 2 6 2" xfId="52963"/>
    <cellStyle name="Total 2 6 2 2" xfId="52964"/>
    <cellStyle name="Total 2 6 2 2 2" xfId="52965"/>
    <cellStyle name="Total 2 6 2 3" xfId="52966"/>
    <cellStyle name="Total 2 6 3" xfId="52967"/>
    <cellStyle name="Total 2 6 3 2" xfId="52968"/>
    <cellStyle name="Total 2 6 3 2 2" xfId="52969"/>
    <cellStyle name="Total 2 6 3 3" xfId="52970"/>
    <cellStyle name="Total 2 6 4" xfId="52971"/>
    <cellStyle name="Total 2 6 4 2" xfId="52972"/>
    <cellStyle name="Total 2 6 4 2 2" xfId="52973"/>
    <cellStyle name="Total 2 6 4 3" xfId="52974"/>
    <cellStyle name="Total 2 6 5" xfId="52975"/>
    <cellStyle name="Total 2 6 5 2" xfId="52976"/>
    <cellStyle name="Total 2 6 6" xfId="52977"/>
    <cellStyle name="Total 2 7" xfId="52978"/>
    <cellStyle name="Total 2 7 2" xfId="52979"/>
    <cellStyle name="Total 2 7 2 2" xfId="52980"/>
    <cellStyle name="Total 2 7 2 2 2" xfId="52981"/>
    <cellStyle name="Total 2 7 2 3" xfId="52982"/>
    <cellStyle name="Total 2 7 3" xfId="52983"/>
    <cellStyle name="Total 2 7 3 2" xfId="52984"/>
    <cellStyle name="Total 2 7 3 2 2" xfId="52985"/>
    <cellStyle name="Total 2 7 3 3" xfId="52986"/>
    <cellStyle name="Total 2 7 4" xfId="52987"/>
    <cellStyle name="Total 2 7 4 2" xfId="52988"/>
    <cellStyle name="Total 2 7 4 2 2" xfId="52989"/>
    <cellStyle name="Total 2 7 4 3" xfId="52990"/>
    <cellStyle name="Total 2 7 5" xfId="52991"/>
    <cellStyle name="Total 2 7 5 2" xfId="52992"/>
    <cellStyle name="Total 2 7 6" xfId="52993"/>
    <cellStyle name="Total 2 8" xfId="52994"/>
    <cellStyle name="Total 2 8 2" xfId="52995"/>
    <cellStyle name="Total 2 8 2 2" xfId="52996"/>
    <cellStyle name="Total 2 8 2 2 2" xfId="52997"/>
    <cellStyle name="Total 2 8 2 2 2 2" xfId="52998"/>
    <cellStyle name="Total 2 8 2 2 3" xfId="52999"/>
    <cellStyle name="Total 2 8 2 3" xfId="53000"/>
    <cellStyle name="Total 2 8 2 3 2" xfId="53001"/>
    <cellStyle name="Total 2 8 2 3 2 2" xfId="53002"/>
    <cellStyle name="Total 2 8 2 3 3" xfId="53003"/>
    <cellStyle name="Total 2 8 2 4" xfId="53004"/>
    <cellStyle name="Total 2 8 2 4 2" xfId="53005"/>
    <cellStyle name="Total 2 8 2 5" xfId="53006"/>
    <cellStyle name="Total 2 8 3" xfId="53007"/>
    <cellStyle name="Total 2 8 3 2" xfId="53008"/>
    <cellStyle name="Total 2 8 3 2 2" xfId="53009"/>
    <cellStyle name="Total 2 8 3 2 2 2" xfId="53010"/>
    <cellStyle name="Total 2 8 3 2 3" xfId="53011"/>
    <cellStyle name="Total 2 8 3 3" xfId="53012"/>
    <cellStyle name="Total 2 8 3 3 2" xfId="53013"/>
    <cellStyle name="Total 2 8 3 4" xfId="53014"/>
    <cellStyle name="Total 2 8 4" xfId="53015"/>
    <cellStyle name="Total 2 8 4 2" xfId="53016"/>
    <cellStyle name="Total 2 8 4 2 2" xfId="53017"/>
    <cellStyle name="Total 2 8 4 3" xfId="53018"/>
    <cellStyle name="Total 2 8 5" xfId="53019"/>
    <cellStyle name="Total 2 8 5 2" xfId="53020"/>
    <cellStyle name="Total 2 8 5 2 2" xfId="53021"/>
    <cellStyle name="Total 2 8 5 3" xfId="53022"/>
    <cellStyle name="Total 2 8 6" xfId="53023"/>
    <cellStyle name="Total 2 8 6 2" xfId="53024"/>
    <cellStyle name="Total 2 8 7" xfId="53025"/>
    <cellStyle name="Total 2 9" xfId="53026"/>
    <cellStyle name="Total 2 9 2" xfId="53027"/>
    <cellStyle name="Total 2 9 2 2" xfId="53028"/>
    <cellStyle name="Total 2 9 2 2 2" xfId="53029"/>
    <cellStyle name="Total 2 9 2 3" xfId="53030"/>
    <cellStyle name="Total 2 9 3" xfId="53031"/>
    <cellStyle name="Total 2 9 3 2" xfId="53032"/>
    <cellStyle name="Total 2 9 4" xfId="53033"/>
    <cellStyle name="Total 3" xfId="53034"/>
    <cellStyle name="Total 3 2" xfId="53035"/>
    <cellStyle name="Total 3 2 2" xfId="53036"/>
    <cellStyle name="Total 3 2 2 2" xfId="53037"/>
    <cellStyle name="Total 3 2 2 2 2" xfId="53038"/>
    <cellStyle name="Total 3 2 2 3" xfId="53039"/>
    <cellStyle name="Total 3 2 3" xfId="53040"/>
    <cellStyle name="Total 3 2 3 2" xfId="53041"/>
    <cellStyle name="Total 3 2 3 2 2" xfId="53042"/>
    <cellStyle name="Total 3 2 3 3" xfId="53043"/>
    <cellStyle name="Total 3 2 4" xfId="53044"/>
    <cellStyle name="Total 3 2 4 2" xfId="53045"/>
    <cellStyle name="Total 3 2 4 2 2" xfId="53046"/>
    <cellStyle name="Total 3 2 4 3" xfId="53047"/>
    <cellStyle name="Total 3 2 5" xfId="53048"/>
    <cellStyle name="Total 3 2 5 2" xfId="53049"/>
    <cellStyle name="Total 3 2 6" xfId="53050"/>
    <cellStyle name="Total 3 3" xfId="53051"/>
    <cellStyle name="Total 3 3 2" xfId="53052"/>
    <cellStyle name="Total 3 3 2 2" xfId="53053"/>
    <cellStyle name="Total 3 3 3" xfId="53054"/>
    <cellStyle name="Total 3 3 3 2" xfId="53055"/>
    <cellStyle name="Total 3 3 3 2 2" xfId="53056"/>
    <cellStyle name="Total 3 3 3 3" xfId="53057"/>
    <cellStyle name="Total 3 3 4" xfId="53058"/>
    <cellStyle name="Total 3 3 4 2" xfId="53059"/>
    <cellStyle name="Total 3 3 4 2 2" xfId="53060"/>
    <cellStyle name="Total 3 3 4 3" xfId="53061"/>
    <cellStyle name="Total 3 3 5" xfId="53062"/>
    <cellStyle name="Total 3 4" xfId="53063"/>
    <cellStyle name="Total 3 4 2" xfId="53064"/>
    <cellStyle name="Total 3 4 2 2" xfId="53065"/>
    <cellStyle name="Total 3 4 2 2 2" xfId="53066"/>
    <cellStyle name="Total 3 4 2 3" xfId="53067"/>
    <cellStyle name="Total 3 4 2 3 2" xfId="53068"/>
    <cellStyle name="Total 3 4 2 3 2 2" xfId="53069"/>
    <cellStyle name="Total 3 4 2 3 3" xfId="53070"/>
    <cellStyle name="Total 3 4 2 4" xfId="53071"/>
    <cellStyle name="Total 3 4 3" xfId="53072"/>
    <cellStyle name="Total 3 4 3 2" xfId="53073"/>
    <cellStyle name="Total 3 4 3 2 2" xfId="53074"/>
    <cellStyle name="Total 3 4 3 3" xfId="53075"/>
    <cellStyle name="Total 3 4 4" xfId="53076"/>
    <cellStyle name="Total 3 4 4 2" xfId="53077"/>
    <cellStyle name="Total 3 4 4 2 2" xfId="53078"/>
    <cellStyle name="Total 3 4 4 3" xfId="53079"/>
    <cellStyle name="Total 3 4 5" xfId="53080"/>
    <cellStyle name="Total 3 4 5 2" xfId="53081"/>
    <cellStyle name="Total 3 4 5 2 2" xfId="53082"/>
    <cellStyle name="Total 3 4 5 3" xfId="53083"/>
    <cellStyle name="Total 3 4 6" xfId="53084"/>
    <cellStyle name="Total 3 5" xfId="53085"/>
    <cellStyle name="Total 3 5 2" xfId="53086"/>
    <cellStyle name="Total 3 5 2 2" xfId="53087"/>
    <cellStyle name="Total 3 5 3" xfId="53088"/>
    <cellStyle name="Total 3 6" xfId="53089"/>
    <cellStyle name="Total 3 6 2" xfId="53090"/>
    <cellStyle name="Total 3 6 2 2" xfId="53091"/>
    <cellStyle name="Total 3 6 3" xfId="53092"/>
    <cellStyle name="Total 3 7" xfId="53093"/>
    <cellStyle name="Total 3 7 2" xfId="53094"/>
    <cellStyle name="Total 3 7 2 2" xfId="53095"/>
    <cellStyle name="Total 3 7 3" xfId="53096"/>
    <cellStyle name="Total 3 8" xfId="53097"/>
    <cellStyle name="Total 4" xfId="53098"/>
    <cellStyle name="Total 4 2" xfId="53099"/>
    <cellStyle name="Total 4 2 2" xfId="53100"/>
    <cellStyle name="Total 4 2 2 2" xfId="53101"/>
    <cellStyle name="Total 4 2 3" xfId="53102"/>
    <cellStyle name="Total 4 2 3 2" xfId="53103"/>
    <cellStyle name="Total 4 2 3 2 2" xfId="53104"/>
    <cellStyle name="Total 4 2 3 3" xfId="53105"/>
    <cellStyle name="Total 4 2 4" xfId="53106"/>
    <cellStyle name="Total 4 2 4 2" xfId="53107"/>
    <cellStyle name="Total 4 2 4 2 2" xfId="53108"/>
    <cellStyle name="Total 4 2 4 3" xfId="53109"/>
    <cellStyle name="Total 4 2 5" xfId="53110"/>
    <cellStyle name="Total 4 3" xfId="53111"/>
    <cellStyle name="Total 4 3 2" xfId="53112"/>
    <cellStyle name="Total 4 3 2 2" xfId="53113"/>
    <cellStyle name="Total 4 3 2 2 2" xfId="53114"/>
    <cellStyle name="Total 4 3 2 3" xfId="53115"/>
    <cellStyle name="Total 4 3 2 3 2" xfId="53116"/>
    <cellStyle name="Total 4 3 2 3 2 2" xfId="53117"/>
    <cellStyle name="Total 4 3 2 3 3" xfId="53118"/>
    <cellStyle name="Total 4 3 2 4" xfId="53119"/>
    <cellStyle name="Total 4 3 3" xfId="53120"/>
    <cellStyle name="Total 4 3 3 2" xfId="53121"/>
    <cellStyle name="Total 4 3 3 2 2" xfId="53122"/>
    <cellStyle name="Total 4 3 3 3" xfId="53123"/>
    <cellStyle name="Total 4 3 4" xfId="53124"/>
    <cellStyle name="Total 4 3 4 2" xfId="53125"/>
    <cellStyle name="Total 4 3 4 2 2" xfId="53126"/>
    <cellStyle name="Total 4 3 4 3" xfId="53127"/>
    <cellStyle name="Total 4 3 5" xfId="53128"/>
    <cellStyle name="Total 4 3 5 2" xfId="53129"/>
    <cellStyle name="Total 4 3 5 2 2" xfId="53130"/>
    <cellStyle name="Total 4 3 5 3" xfId="53131"/>
    <cellStyle name="Total 4 3 6" xfId="53132"/>
    <cellStyle name="Total 4 4" xfId="53133"/>
    <cellStyle name="Total 4 4 2" xfId="53134"/>
    <cellStyle name="Total 4 4 2 2" xfId="53135"/>
    <cellStyle name="Total 4 4 3" xfId="53136"/>
    <cellStyle name="Total 4 5" xfId="53137"/>
    <cellStyle name="Total 4 5 2" xfId="53138"/>
    <cellStyle name="Total 4 5 2 2" xfId="53139"/>
    <cellStyle name="Total 4 5 3" xfId="53140"/>
    <cellStyle name="Total 4 6" xfId="53141"/>
    <cellStyle name="Total 4 6 2" xfId="53142"/>
    <cellStyle name="Total 4 6 2 2" xfId="53143"/>
    <cellStyle name="Total 4 6 3" xfId="53144"/>
    <cellStyle name="Total 4 7" xfId="53145"/>
    <cellStyle name="Total 5" xfId="53146"/>
    <cellStyle name="Total 5 2" xfId="53147"/>
    <cellStyle name="Total 5 2 2" xfId="53148"/>
    <cellStyle name="Total 5 2 2 2" xfId="53149"/>
    <cellStyle name="Total 5 2 2 2 2" xfId="53150"/>
    <cellStyle name="Total 5 2 2 3" xfId="53151"/>
    <cellStyle name="Total 5 2 3" xfId="53152"/>
    <cellStyle name="Total 5 2 3 2" xfId="53153"/>
    <cellStyle name="Total 5 2 3 2 2" xfId="53154"/>
    <cellStyle name="Total 5 2 3 3" xfId="53155"/>
    <cellStyle name="Total 5 2 4" xfId="53156"/>
    <cellStyle name="Total 5 2 4 2" xfId="53157"/>
    <cellStyle name="Total 5 2 4 2 2" xfId="53158"/>
    <cellStyle name="Total 5 2 4 3" xfId="53159"/>
    <cellStyle name="Total 5 2 5" xfId="53160"/>
    <cellStyle name="Total 5 2 5 2" xfId="53161"/>
    <cellStyle name="Total 5 2 6" xfId="53162"/>
    <cellStyle name="Total 5 3" xfId="53163"/>
    <cellStyle name="Total 5 3 2" xfId="53164"/>
    <cellStyle name="Total 5 3 2 2" xfId="53165"/>
    <cellStyle name="Total 5 3 2 2 2" xfId="53166"/>
    <cellStyle name="Total 5 3 2 2 2 2" xfId="53167"/>
    <cellStyle name="Total 5 3 2 2 3" xfId="53168"/>
    <cellStyle name="Total 5 3 2 3" xfId="53169"/>
    <cellStyle name="Total 5 3 2 3 2" xfId="53170"/>
    <cellStyle name="Total 5 3 2 3 2 2" xfId="53171"/>
    <cellStyle name="Total 5 3 2 3 3" xfId="53172"/>
    <cellStyle name="Total 5 3 2 4" xfId="53173"/>
    <cellStyle name="Total 5 3 2 4 2" xfId="53174"/>
    <cellStyle name="Total 5 3 2 5" xfId="53175"/>
    <cellStyle name="Total 5 3 3" xfId="53176"/>
    <cellStyle name="Total 5 3 3 2" xfId="53177"/>
    <cellStyle name="Total 5 3 3 2 2" xfId="53178"/>
    <cellStyle name="Total 5 3 3 2 2 2" xfId="53179"/>
    <cellStyle name="Total 5 3 3 2 3" xfId="53180"/>
    <cellStyle name="Total 5 3 3 3" xfId="53181"/>
    <cellStyle name="Total 5 3 3 3 2" xfId="53182"/>
    <cellStyle name="Total 5 3 3 4" xfId="53183"/>
    <cellStyle name="Total 5 3 4" xfId="53184"/>
    <cellStyle name="Total 5 3 4 2" xfId="53185"/>
    <cellStyle name="Total 5 3 4 2 2" xfId="53186"/>
    <cellStyle name="Total 5 3 4 3" xfId="53187"/>
    <cellStyle name="Total 5 3 5" xfId="53188"/>
    <cellStyle name="Total 5 3 5 2" xfId="53189"/>
    <cellStyle name="Total 5 3 5 2 2" xfId="53190"/>
    <cellStyle name="Total 5 3 5 3" xfId="53191"/>
    <cellStyle name="Total 5 3 6" xfId="53192"/>
    <cellStyle name="Total 5 3 6 2" xfId="53193"/>
    <cellStyle name="Total 5 3 7" xfId="53194"/>
    <cellStyle name="Total 5 4" xfId="53195"/>
    <cellStyle name="Total 5 4 2" xfId="53196"/>
    <cellStyle name="Total 5 4 2 2" xfId="53197"/>
    <cellStyle name="Total 5 4 2 2 2" xfId="53198"/>
    <cellStyle name="Total 5 4 2 3" xfId="53199"/>
    <cellStyle name="Total 5 4 3" xfId="53200"/>
    <cellStyle name="Total 5 4 3 2" xfId="53201"/>
    <cellStyle name="Total 5 4 4" xfId="53202"/>
    <cellStyle name="Total 5 5" xfId="53203"/>
    <cellStyle name="Total 5 5 2" xfId="53204"/>
    <cellStyle name="Total 5 5 2 2" xfId="53205"/>
    <cellStyle name="Total 5 5 3" xfId="53206"/>
    <cellStyle name="Total 5 6" xfId="53207"/>
    <cellStyle name="Total 5 6 2" xfId="53208"/>
    <cellStyle name="Total 5 6 2 2" xfId="53209"/>
    <cellStyle name="Total 5 6 3" xfId="53210"/>
    <cellStyle name="Total 5 7" xfId="53211"/>
    <cellStyle name="Total 5 7 2" xfId="53212"/>
    <cellStyle name="Total 5 8" xfId="53213"/>
    <cellStyle name="Total 6" xfId="53214"/>
    <cellStyle name="Total 6 2" xfId="53215"/>
    <cellStyle name="Total 6 2 2" xfId="53216"/>
    <cellStyle name="Total 6 2 2 2" xfId="53217"/>
    <cellStyle name="Total 6 2 2 2 2" xfId="53218"/>
    <cellStyle name="Total 6 2 2 2 2 2" xfId="53219"/>
    <cellStyle name="Total 6 2 2 2 3" xfId="53220"/>
    <cellStyle name="Total 6 2 2 3" xfId="53221"/>
    <cellStyle name="Total 6 2 2 3 2" xfId="53222"/>
    <cellStyle name="Total 6 2 2 3 2 2" xfId="53223"/>
    <cellStyle name="Total 6 2 2 3 3" xfId="53224"/>
    <cellStyle name="Total 6 2 2 4" xfId="53225"/>
    <cellStyle name="Total 6 2 2 4 2" xfId="53226"/>
    <cellStyle name="Total 6 2 2 4 2 2" xfId="53227"/>
    <cellStyle name="Total 6 2 2 4 3" xfId="53228"/>
    <cellStyle name="Total 6 2 2 5" xfId="53229"/>
    <cellStyle name="Total 6 2 2 5 2" xfId="53230"/>
    <cellStyle name="Total 6 2 2 6" xfId="53231"/>
    <cellStyle name="Total 6 2 3" xfId="53232"/>
    <cellStyle name="Total 6 2 3 2" xfId="53233"/>
    <cellStyle name="Total 6 2 3 2 2" xfId="53234"/>
    <cellStyle name="Total 6 2 3 2 2 2" xfId="53235"/>
    <cellStyle name="Total 6 2 3 2 3" xfId="53236"/>
    <cellStyle name="Total 6 2 3 3" xfId="53237"/>
    <cellStyle name="Total 6 2 3 3 2" xfId="53238"/>
    <cellStyle name="Total 6 2 3 4" xfId="53239"/>
    <cellStyle name="Total 6 2 4" xfId="53240"/>
    <cellStyle name="Total 6 2 4 2" xfId="53241"/>
    <cellStyle name="Total 6 2 4 2 2" xfId="53242"/>
    <cellStyle name="Total 6 2 4 3" xfId="53243"/>
    <cellStyle name="Total 6 2 5" xfId="53244"/>
    <cellStyle name="Total 6 2 5 2" xfId="53245"/>
    <cellStyle name="Total 6 2 5 2 2" xfId="53246"/>
    <cellStyle name="Total 6 2 5 3" xfId="53247"/>
    <cellStyle name="Total 6 2 6" xfId="53248"/>
    <cellStyle name="Total 6 2 6 2" xfId="53249"/>
    <cellStyle name="Total 6 2 7" xfId="53250"/>
    <cellStyle name="Total 6 3" xfId="53251"/>
    <cellStyle name="Total 6 4" xfId="53252"/>
    <cellStyle name="Total 6 4 2" xfId="53253"/>
    <cellStyle name="Total 6 4 2 2" xfId="53254"/>
    <cellStyle name="Total 6 4 3" xfId="53255"/>
    <cellStyle name="Total 6 5" xfId="53256"/>
    <cellStyle name="Total 6 5 2" xfId="53257"/>
    <cellStyle name="Total 6 5 2 2" xfId="53258"/>
    <cellStyle name="Total 6 5 3" xfId="53259"/>
    <cellStyle name="Total 7" xfId="53260"/>
    <cellStyle name="Total 7 2" xfId="53261"/>
    <cellStyle name="Total 8" xfId="53262"/>
    <cellStyle name="Total 8 2" xfId="53263"/>
    <cellStyle name="Total 9" xfId="53264"/>
    <cellStyle name="Unprot" xfId="53265"/>
    <cellStyle name="Unprot 2" xfId="53266"/>
    <cellStyle name="Unprot 2 2" xfId="53267"/>
    <cellStyle name="Unprot 2 3" xfId="53268"/>
    <cellStyle name="Unprot 2 3 2" xfId="53269"/>
    <cellStyle name="Unprot 2 3 2 2" xfId="53270"/>
    <cellStyle name="Unprot 2 3 3" xfId="53271"/>
    <cellStyle name="Unprot 2 4" xfId="53272"/>
    <cellStyle name="Unprot 2 4 2" xfId="53273"/>
    <cellStyle name="Unprot 2 4 2 2" xfId="53274"/>
    <cellStyle name="Unprot 2 4 3" xfId="53275"/>
    <cellStyle name="Unprot 3" xfId="53276"/>
    <cellStyle name="Unprot 4" xfId="53277"/>
    <cellStyle name="Unprot 4 2" xfId="53278"/>
    <cellStyle name="Unprot 4 2 2" xfId="53279"/>
    <cellStyle name="Unprot 4 3" xfId="53280"/>
    <cellStyle name="Unprot 5" xfId="53281"/>
    <cellStyle name="Unprot 5 2" xfId="53282"/>
    <cellStyle name="Unprot 5 2 2" xfId="53283"/>
    <cellStyle name="Unprot 5 3" xfId="53284"/>
    <cellStyle name="Unprot$" xfId="53285"/>
    <cellStyle name="Unprot$ 2" xfId="53286"/>
    <cellStyle name="Unprot$ 2 2" xfId="53287"/>
    <cellStyle name="Unprot$ 2 3" xfId="53288"/>
    <cellStyle name="Unprot$ 2 3 2" xfId="53289"/>
    <cellStyle name="Unprot$ 2 3 2 2" xfId="53290"/>
    <cellStyle name="Unprot$ 2 3 3" xfId="53291"/>
    <cellStyle name="Unprot$ 2 4" xfId="53292"/>
    <cellStyle name="Unprot$ 2 4 2" xfId="53293"/>
    <cellStyle name="Unprot$ 2 4 2 2" xfId="53294"/>
    <cellStyle name="Unprot$ 2 4 3" xfId="53295"/>
    <cellStyle name="Unprot$ 3" xfId="53296"/>
    <cellStyle name="Unprot$ 4" xfId="53297"/>
    <cellStyle name="Unprot$ 4 2" xfId="53298"/>
    <cellStyle name="Unprot$ 4 2 2" xfId="53299"/>
    <cellStyle name="Unprot$ 4 3" xfId="53300"/>
    <cellStyle name="Unprot$ 5" xfId="53301"/>
    <cellStyle name="Unprot$ 5 2" xfId="53302"/>
    <cellStyle name="Unprot$ 5 2 2" xfId="53303"/>
    <cellStyle name="Unprot$ 5 3" xfId="53304"/>
    <cellStyle name="Unprot$ 6" xfId="53305"/>
    <cellStyle name="Unprot_Atlas" xfId="53306"/>
    <cellStyle name="Unprotect" xfId="53307"/>
    <cellStyle name="Unprotect 2" xfId="53308"/>
    <cellStyle name="Unprotect 3" xfId="53309"/>
    <cellStyle name="Unprotect 3 2" xfId="53310"/>
    <cellStyle name="Unprotect 3 2 2" xfId="53311"/>
    <cellStyle name="Unprotect 3 3" xfId="53312"/>
    <cellStyle name="Unprotect 4" xfId="53313"/>
    <cellStyle name="Unprotect 4 2" xfId="53314"/>
    <cellStyle name="Unprotect 4 2 2" xfId="53315"/>
    <cellStyle name="Unprotect 4 3" xfId="53316"/>
    <cellStyle name="Warning Text 2" xfId="53317"/>
    <cellStyle name="Warning Text 2 10" xfId="53318"/>
    <cellStyle name="Warning Text 2 10 2" xfId="53319"/>
    <cellStyle name="Warning Text 2 11" xfId="53320"/>
    <cellStyle name="Warning Text 2 12" xfId="53321"/>
    <cellStyle name="Warning Text 2 2" xfId="53322"/>
    <cellStyle name="Warning Text 2 2 2" xfId="53323"/>
    <cellStyle name="Warning Text 2 2 2 2" xfId="53324"/>
    <cellStyle name="Warning Text 2 2 2 2 2" xfId="53325"/>
    <cellStyle name="Warning Text 2 2 2 3" xfId="53326"/>
    <cellStyle name="Warning Text 2 2 2 3 2" xfId="53327"/>
    <cellStyle name="Warning Text 2 2 2 3 2 2" xfId="53328"/>
    <cellStyle name="Warning Text 2 2 2 3 3" xfId="53329"/>
    <cellStyle name="Warning Text 2 2 2 4" xfId="53330"/>
    <cellStyle name="Warning Text 2 2 2 4 2" xfId="53331"/>
    <cellStyle name="Warning Text 2 2 2 4 2 2" xfId="53332"/>
    <cellStyle name="Warning Text 2 2 2 4 3" xfId="53333"/>
    <cellStyle name="Warning Text 2 2 2 5" xfId="53334"/>
    <cellStyle name="Warning Text 2 2 3" xfId="53335"/>
    <cellStyle name="Warning Text 2 2 3 2" xfId="53336"/>
    <cellStyle name="Warning Text 2 2 3 2 2" xfId="53337"/>
    <cellStyle name="Warning Text 2 2 3 2 2 2" xfId="53338"/>
    <cellStyle name="Warning Text 2 2 3 2 3" xfId="53339"/>
    <cellStyle name="Warning Text 2 2 3 2 3 2" xfId="53340"/>
    <cellStyle name="Warning Text 2 2 3 2 3 2 2" xfId="53341"/>
    <cellStyle name="Warning Text 2 2 3 2 3 3" xfId="53342"/>
    <cellStyle name="Warning Text 2 2 3 2 4" xfId="53343"/>
    <cellStyle name="Warning Text 2 2 3 3" xfId="53344"/>
    <cellStyle name="Warning Text 2 2 3 3 2" xfId="53345"/>
    <cellStyle name="Warning Text 2 2 3 3 2 2" xfId="53346"/>
    <cellStyle name="Warning Text 2 2 3 3 3" xfId="53347"/>
    <cellStyle name="Warning Text 2 2 3 4" xfId="53348"/>
    <cellStyle name="Warning Text 2 2 3 4 2" xfId="53349"/>
    <cellStyle name="Warning Text 2 2 3 4 2 2" xfId="53350"/>
    <cellStyle name="Warning Text 2 2 3 4 3" xfId="53351"/>
    <cellStyle name="Warning Text 2 2 3 5" xfId="53352"/>
    <cellStyle name="Warning Text 2 2 3 5 2" xfId="53353"/>
    <cellStyle name="Warning Text 2 2 3 5 2 2" xfId="53354"/>
    <cellStyle name="Warning Text 2 2 3 5 3" xfId="53355"/>
    <cellStyle name="Warning Text 2 2 3 6" xfId="53356"/>
    <cellStyle name="Warning Text 2 2 4" xfId="53357"/>
    <cellStyle name="Warning Text 2 2 4 2" xfId="53358"/>
    <cellStyle name="Warning Text 2 2 4 2 2" xfId="53359"/>
    <cellStyle name="Warning Text 2 2 4 3" xfId="53360"/>
    <cellStyle name="Warning Text 2 2 5" xfId="53361"/>
    <cellStyle name="Warning Text 2 2 5 2" xfId="53362"/>
    <cellStyle name="Warning Text 2 2 5 2 2" xfId="53363"/>
    <cellStyle name="Warning Text 2 2 5 3" xfId="53364"/>
    <cellStyle name="Warning Text 2 2 6" xfId="53365"/>
    <cellStyle name="Warning Text 2 2 6 2" xfId="53366"/>
    <cellStyle name="Warning Text 2 2 6 2 2" xfId="53367"/>
    <cellStyle name="Warning Text 2 2 6 3" xfId="53368"/>
    <cellStyle name="Warning Text 2 2 7" xfId="53369"/>
    <cellStyle name="Warning Text 2 3" xfId="53370"/>
    <cellStyle name="Warning Text 2 3 2" xfId="53371"/>
    <cellStyle name="Warning Text 2 3 2 2" xfId="53372"/>
    <cellStyle name="Warning Text 2 3 2 2 2" xfId="53373"/>
    <cellStyle name="Warning Text 2 3 2 3" xfId="53374"/>
    <cellStyle name="Warning Text 2 3 2 3 2" xfId="53375"/>
    <cellStyle name="Warning Text 2 3 2 3 2 2" xfId="53376"/>
    <cellStyle name="Warning Text 2 3 2 3 3" xfId="53377"/>
    <cellStyle name="Warning Text 2 3 2 4" xfId="53378"/>
    <cellStyle name="Warning Text 2 3 2 4 2" xfId="53379"/>
    <cellStyle name="Warning Text 2 3 2 4 2 2" xfId="53380"/>
    <cellStyle name="Warning Text 2 3 2 4 3" xfId="53381"/>
    <cellStyle name="Warning Text 2 3 2 5" xfId="53382"/>
    <cellStyle name="Warning Text 2 3 3" xfId="53383"/>
    <cellStyle name="Warning Text 2 3 3 2" xfId="53384"/>
    <cellStyle name="Warning Text 2 3 3 2 2" xfId="53385"/>
    <cellStyle name="Warning Text 2 3 3 2 2 2" xfId="53386"/>
    <cellStyle name="Warning Text 2 3 3 2 3" xfId="53387"/>
    <cellStyle name="Warning Text 2 3 3 2 3 2" xfId="53388"/>
    <cellStyle name="Warning Text 2 3 3 2 3 2 2" xfId="53389"/>
    <cellStyle name="Warning Text 2 3 3 2 3 3" xfId="53390"/>
    <cellStyle name="Warning Text 2 3 3 2 4" xfId="53391"/>
    <cellStyle name="Warning Text 2 3 3 3" xfId="53392"/>
    <cellStyle name="Warning Text 2 3 3 3 2" xfId="53393"/>
    <cellStyle name="Warning Text 2 3 3 3 2 2" xfId="53394"/>
    <cellStyle name="Warning Text 2 3 3 3 3" xfId="53395"/>
    <cellStyle name="Warning Text 2 3 3 4" xfId="53396"/>
    <cellStyle name="Warning Text 2 3 3 4 2" xfId="53397"/>
    <cellStyle name="Warning Text 2 3 3 4 2 2" xfId="53398"/>
    <cellStyle name="Warning Text 2 3 3 4 3" xfId="53399"/>
    <cellStyle name="Warning Text 2 3 3 5" xfId="53400"/>
    <cellStyle name="Warning Text 2 3 3 5 2" xfId="53401"/>
    <cellStyle name="Warning Text 2 3 3 5 2 2" xfId="53402"/>
    <cellStyle name="Warning Text 2 3 3 5 3" xfId="53403"/>
    <cellStyle name="Warning Text 2 3 3 6" xfId="53404"/>
    <cellStyle name="Warning Text 2 3 4" xfId="53405"/>
    <cellStyle name="Warning Text 2 3 4 2" xfId="53406"/>
    <cellStyle name="Warning Text 2 3 4 2 2" xfId="53407"/>
    <cellStyle name="Warning Text 2 3 4 3" xfId="53408"/>
    <cellStyle name="Warning Text 2 3 5" xfId="53409"/>
    <cellStyle name="Warning Text 2 3 5 2" xfId="53410"/>
    <cellStyle name="Warning Text 2 3 5 2 2" xfId="53411"/>
    <cellStyle name="Warning Text 2 3 5 3" xfId="53412"/>
    <cellStyle name="Warning Text 2 3 6" xfId="53413"/>
    <cellStyle name="Warning Text 2 3 6 2" xfId="53414"/>
    <cellStyle name="Warning Text 2 3 6 2 2" xfId="53415"/>
    <cellStyle name="Warning Text 2 3 6 3" xfId="53416"/>
    <cellStyle name="Warning Text 2 3 7" xfId="53417"/>
    <cellStyle name="Warning Text 2 4" xfId="53418"/>
    <cellStyle name="Warning Text 2 4 2" xfId="53419"/>
    <cellStyle name="Warning Text 2 4 2 2" xfId="53420"/>
    <cellStyle name="Warning Text 2 4 2 2 2" xfId="53421"/>
    <cellStyle name="Warning Text 2 4 2 3" xfId="53422"/>
    <cellStyle name="Warning Text 2 4 2 3 2" xfId="53423"/>
    <cellStyle name="Warning Text 2 4 2 3 2 2" xfId="53424"/>
    <cellStyle name="Warning Text 2 4 2 3 3" xfId="53425"/>
    <cellStyle name="Warning Text 2 4 2 4" xfId="53426"/>
    <cellStyle name="Warning Text 2 4 2 4 2" xfId="53427"/>
    <cellStyle name="Warning Text 2 4 2 4 2 2" xfId="53428"/>
    <cellStyle name="Warning Text 2 4 2 4 3" xfId="53429"/>
    <cellStyle name="Warning Text 2 4 2 5" xfId="53430"/>
    <cellStyle name="Warning Text 2 4 3" xfId="53431"/>
    <cellStyle name="Warning Text 2 4 3 2" xfId="53432"/>
    <cellStyle name="Warning Text 2 4 3 2 2" xfId="53433"/>
    <cellStyle name="Warning Text 2 4 3 3" xfId="53434"/>
    <cellStyle name="Warning Text 2 4 4" xfId="53435"/>
    <cellStyle name="Warning Text 2 4 4 2" xfId="53436"/>
    <cellStyle name="Warning Text 2 4 4 2 2" xfId="53437"/>
    <cellStyle name="Warning Text 2 4 4 3" xfId="53438"/>
    <cellStyle name="Warning Text 2 4 5" xfId="53439"/>
    <cellStyle name="Warning Text 2 4 5 2" xfId="53440"/>
    <cellStyle name="Warning Text 2 4 5 2 2" xfId="53441"/>
    <cellStyle name="Warning Text 2 4 5 3" xfId="53442"/>
    <cellStyle name="Warning Text 2 4 6" xfId="53443"/>
    <cellStyle name="Warning Text 2 5" xfId="53444"/>
    <cellStyle name="Warning Text 2 5 2" xfId="53445"/>
    <cellStyle name="Warning Text 2 5 2 2" xfId="53446"/>
    <cellStyle name="Warning Text 2 5 2 2 2" xfId="53447"/>
    <cellStyle name="Warning Text 2 5 2 3" xfId="53448"/>
    <cellStyle name="Warning Text 2 5 2 3 2" xfId="53449"/>
    <cellStyle name="Warning Text 2 5 2 3 2 2" xfId="53450"/>
    <cellStyle name="Warning Text 2 5 2 3 3" xfId="53451"/>
    <cellStyle name="Warning Text 2 5 2 4" xfId="53452"/>
    <cellStyle name="Warning Text 2 5 2 4 2" xfId="53453"/>
    <cellStyle name="Warning Text 2 5 2 4 2 2" xfId="53454"/>
    <cellStyle name="Warning Text 2 5 2 4 3" xfId="53455"/>
    <cellStyle name="Warning Text 2 5 2 5" xfId="53456"/>
    <cellStyle name="Warning Text 2 5 3" xfId="53457"/>
    <cellStyle name="Warning Text 2 5 3 2" xfId="53458"/>
    <cellStyle name="Warning Text 2 5 3 2 2" xfId="53459"/>
    <cellStyle name="Warning Text 2 5 3 3" xfId="53460"/>
    <cellStyle name="Warning Text 2 5 3 3 2" xfId="53461"/>
    <cellStyle name="Warning Text 2 5 3 3 2 2" xfId="53462"/>
    <cellStyle name="Warning Text 2 5 3 3 3" xfId="53463"/>
    <cellStyle name="Warning Text 2 5 3 4" xfId="53464"/>
    <cellStyle name="Warning Text 2 5 4" xfId="53465"/>
    <cellStyle name="Warning Text 2 5 4 2" xfId="53466"/>
    <cellStyle name="Warning Text 2 5 4 2 2" xfId="53467"/>
    <cellStyle name="Warning Text 2 5 4 3" xfId="53468"/>
    <cellStyle name="Warning Text 2 5 5" xfId="53469"/>
    <cellStyle name="Warning Text 2 5 5 2" xfId="53470"/>
    <cellStyle name="Warning Text 2 5 5 2 2" xfId="53471"/>
    <cellStyle name="Warning Text 2 5 5 3" xfId="53472"/>
    <cellStyle name="Warning Text 2 5 6" xfId="53473"/>
    <cellStyle name="Warning Text 2 5 6 2" xfId="53474"/>
    <cellStyle name="Warning Text 2 5 6 2 2" xfId="53475"/>
    <cellStyle name="Warning Text 2 5 6 3" xfId="53476"/>
    <cellStyle name="Warning Text 2 5 7" xfId="53477"/>
    <cellStyle name="Warning Text 2 6" xfId="53478"/>
    <cellStyle name="Warning Text 2 6 2" xfId="53479"/>
    <cellStyle name="Warning Text 2 6 2 2" xfId="53480"/>
    <cellStyle name="Warning Text 2 6 3" xfId="53481"/>
    <cellStyle name="Warning Text 2 7" xfId="53482"/>
    <cellStyle name="Warning Text 2 7 2" xfId="53483"/>
    <cellStyle name="Warning Text 2 7 2 2" xfId="53484"/>
    <cellStyle name="Warning Text 2 7 3" xfId="53485"/>
    <cellStyle name="Warning Text 2 8" xfId="53486"/>
    <cellStyle name="Warning Text 2 8 2" xfId="53487"/>
    <cellStyle name="Warning Text 2 8 2 2" xfId="53488"/>
    <cellStyle name="Warning Text 2 8 3" xfId="53489"/>
    <cellStyle name="Warning Text 2 9" xfId="53490"/>
    <cellStyle name="Warning Text 2 9 2" xfId="53491"/>
    <cellStyle name="Warning Text 2 9 2 2" xfId="53492"/>
    <cellStyle name="Warning Text 2 9 3" xfId="53493"/>
    <cellStyle name="Warning Text 3" xfId="53494"/>
    <cellStyle name="Warning Text 3 2" xfId="53495"/>
    <cellStyle name="Warning Text 3 2 2" xfId="53496"/>
    <cellStyle name="Warning Text 3 2 2 2" xfId="53497"/>
    <cellStyle name="Warning Text 3 2 3" xfId="53498"/>
    <cellStyle name="Warning Text 3 2 3 2" xfId="53499"/>
    <cellStyle name="Warning Text 3 2 3 2 2" xfId="53500"/>
    <cellStyle name="Warning Text 3 2 3 3" xfId="53501"/>
    <cellStyle name="Warning Text 3 2 4" xfId="53502"/>
    <cellStyle name="Warning Text 3 2 4 2" xfId="53503"/>
    <cellStyle name="Warning Text 3 2 4 2 2" xfId="53504"/>
    <cellStyle name="Warning Text 3 2 4 3" xfId="53505"/>
    <cellStyle name="Warning Text 3 2 5" xfId="53506"/>
    <cellStyle name="Warning Text 3 3" xfId="53507"/>
    <cellStyle name="Warning Text 3 3 2" xfId="53508"/>
    <cellStyle name="Warning Text 3 3 2 2" xfId="53509"/>
    <cellStyle name="Warning Text 3 3 3" xfId="53510"/>
    <cellStyle name="Warning Text 3 3 3 2" xfId="53511"/>
    <cellStyle name="Warning Text 3 3 3 2 2" xfId="53512"/>
    <cellStyle name="Warning Text 3 3 3 3" xfId="53513"/>
    <cellStyle name="Warning Text 3 3 4" xfId="53514"/>
    <cellStyle name="Warning Text 3 3 4 2" xfId="53515"/>
    <cellStyle name="Warning Text 3 3 4 2 2" xfId="53516"/>
    <cellStyle name="Warning Text 3 3 4 3" xfId="53517"/>
    <cellStyle name="Warning Text 3 3 5" xfId="53518"/>
    <cellStyle name="Warning Text 3 4" xfId="53519"/>
    <cellStyle name="Warning Text 3 4 2" xfId="53520"/>
    <cellStyle name="Warning Text 3 4 2 2" xfId="53521"/>
    <cellStyle name="Warning Text 3 4 2 2 2" xfId="53522"/>
    <cellStyle name="Warning Text 3 4 2 3" xfId="53523"/>
    <cellStyle name="Warning Text 3 4 2 3 2" xfId="53524"/>
    <cellStyle name="Warning Text 3 4 2 3 2 2" xfId="53525"/>
    <cellStyle name="Warning Text 3 4 2 3 3" xfId="53526"/>
    <cellStyle name="Warning Text 3 4 2 4" xfId="53527"/>
    <cellStyle name="Warning Text 3 4 3" xfId="53528"/>
    <cellStyle name="Warning Text 3 4 3 2" xfId="53529"/>
    <cellStyle name="Warning Text 3 4 3 2 2" xfId="53530"/>
    <cellStyle name="Warning Text 3 4 3 3" xfId="53531"/>
    <cellStyle name="Warning Text 3 4 4" xfId="53532"/>
    <cellStyle name="Warning Text 3 4 4 2" xfId="53533"/>
    <cellStyle name="Warning Text 3 4 4 2 2" xfId="53534"/>
    <cellStyle name="Warning Text 3 4 4 3" xfId="53535"/>
    <cellStyle name="Warning Text 3 4 5" xfId="53536"/>
    <cellStyle name="Warning Text 3 4 5 2" xfId="53537"/>
    <cellStyle name="Warning Text 3 4 5 2 2" xfId="53538"/>
    <cellStyle name="Warning Text 3 4 5 3" xfId="53539"/>
    <cellStyle name="Warning Text 3 4 6" xfId="53540"/>
    <cellStyle name="Warning Text 3 5" xfId="53541"/>
    <cellStyle name="Warning Text 3 5 2" xfId="53542"/>
    <cellStyle name="Warning Text 3 5 2 2" xfId="53543"/>
    <cellStyle name="Warning Text 3 5 3" xfId="53544"/>
    <cellStyle name="Warning Text 3 6" xfId="53545"/>
    <cellStyle name="Warning Text 3 6 2" xfId="53546"/>
    <cellStyle name="Warning Text 3 6 2 2" xfId="53547"/>
    <cellStyle name="Warning Text 3 6 3" xfId="53548"/>
    <cellStyle name="Warning Text 3 7" xfId="53549"/>
    <cellStyle name="Warning Text 3 7 2" xfId="53550"/>
    <cellStyle name="Warning Text 3 7 2 2" xfId="53551"/>
    <cellStyle name="Warning Text 3 7 3" xfId="53552"/>
    <cellStyle name="Warning Text 3 8" xfId="53553"/>
    <cellStyle name="Warning Text 4" xfId="53554"/>
    <cellStyle name="Warning Text 4 2" xfId="53555"/>
    <cellStyle name="Warning Text 4 2 2" xfId="53556"/>
    <cellStyle name="Warning Text 4 2 2 2" xfId="53557"/>
    <cellStyle name="Warning Text 4 2 3" xfId="53558"/>
    <cellStyle name="Warning Text 4 2 3 2" xfId="53559"/>
    <cellStyle name="Warning Text 4 2 3 2 2" xfId="53560"/>
    <cellStyle name="Warning Text 4 2 3 3" xfId="53561"/>
    <cellStyle name="Warning Text 4 2 4" xfId="53562"/>
    <cellStyle name="Warning Text 4 2 4 2" xfId="53563"/>
    <cellStyle name="Warning Text 4 2 4 2 2" xfId="53564"/>
    <cellStyle name="Warning Text 4 2 4 3" xfId="53565"/>
    <cellStyle name="Warning Text 4 2 5" xfId="53566"/>
    <cellStyle name="Warning Text 4 3" xfId="53567"/>
    <cellStyle name="Warning Text 4 3 2" xfId="53568"/>
    <cellStyle name="Warning Text 4 3 2 2" xfId="53569"/>
    <cellStyle name="Warning Text 4 3 2 2 2" xfId="53570"/>
    <cellStyle name="Warning Text 4 3 2 3" xfId="53571"/>
    <cellStyle name="Warning Text 4 3 2 3 2" xfId="53572"/>
    <cellStyle name="Warning Text 4 3 2 3 2 2" xfId="53573"/>
    <cellStyle name="Warning Text 4 3 2 3 3" xfId="53574"/>
    <cellStyle name="Warning Text 4 3 2 4" xfId="53575"/>
    <cellStyle name="Warning Text 4 3 3" xfId="53576"/>
    <cellStyle name="Warning Text 4 3 3 2" xfId="53577"/>
    <cellStyle name="Warning Text 4 3 3 2 2" xfId="53578"/>
    <cellStyle name="Warning Text 4 3 3 3" xfId="53579"/>
    <cellStyle name="Warning Text 4 3 4" xfId="53580"/>
    <cellStyle name="Warning Text 4 3 4 2" xfId="53581"/>
    <cellStyle name="Warning Text 4 3 4 2 2" xfId="53582"/>
    <cellStyle name="Warning Text 4 3 4 3" xfId="53583"/>
    <cellStyle name="Warning Text 4 3 5" xfId="53584"/>
    <cellStyle name="Warning Text 4 3 5 2" xfId="53585"/>
    <cellStyle name="Warning Text 4 3 5 2 2" xfId="53586"/>
    <cellStyle name="Warning Text 4 3 5 3" xfId="53587"/>
    <cellStyle name="Warning Text 4 3 6" xfId="53588"/>
    <cellStyle name="Warning Text 4 4" xfId="53589"/>
    <cellStyle name="Warning Text 4 4 2" xfId="53590"/>
    <cellStyle name="Warning Text 4 4 2 2" xfId="53591"/>
    <cellStyle name="Warning Text 4 4 3" xfId="53592"/>
    <cellStyle name="Warning Text 4 5" xfId="53593"/>
    <cellStyle name="Warning Text 4 5 2" xfId="53594"/>
    <cellStyle name="Warning Text 4 5 2 2" xfId="53595"/>
    <cellStyle name="Warning Text 4 5 3" xfId="53596"/>
    <cellStyle name="Warning Text 4 6" xfId="53597"/>
    <cellStyle name="Warning Text 4 6 2" xfId="53598"/>
    <cellStyle name="Warning Text 4 6 2 2" xfId="53599"/>
    <cellStyle name="Warning Text 4 6 3" xfId="53600"/>
    <cellStyle name="Warning Text 4 7" xfId="53601"/>
    <cellStyle name="Warning Text 5" xfId="53602"/>
    <cellStyle name="Warning Text 5 2" xfId="53603"/>
    <cellStyle name="Warning Text 5 2 2" xfId="53604"/>
    <cellStyle name="Warning Text 5 2 2 2" xfId="53605"/>
    <cellStyle name="Warning Text 5 2 3" xfId="53606"/>
    <cellStyle name="Warning Text 5 2 3 2" xfId="53607"/>
    <cellStyle name="Warning Text 5 2 3 2 2" xfId="53608"/>
    <cellStyle name="Warning Text 5 2 3 3" xfId="53609"/>
    <cellStyle name="Warning Text 5 2 4" xfId="53610"/>
    <cellStyle name="Warning Text 5 2 4 2" xfId="53611"/>
    <cellStyle name="Warning Text 5 2 4 2 2" xfId="53612"/>
    <cellStyle name="Warning Text 5 2 4 3" xfId="53613"/>
    <cellStyle name="Warning Text 5 2 5" xfId="53614"/>
    <cellStyle name="Warning Text 5 3" xfId="53615"/>
    <cellStyle name="Warning Text 5 3 2" xfId="53616"/>
    <cellStyle name="Warning Text 5 3 2 2" xfId="53617"/>
    <cellStyle name="Warning Text 5 3 2 2 2" xfId="53618"/>
    <cellStyle name="Warning Text 5 3 2 3" xfId="53619"/>
    <cellStyle name="Warning Text 5 3 2 3 2" xfId="53620"/>
    <cellStyle name="Warning Text 5 3 2 3 2 2" xfId="53621"/>
    <cellStyle name="Warning Text 5 3 2 3 3" xfId="53622"/>
    <cellStyle name="Warning Text 5 3 2 4" xfId="53623"/>
    <cellStyle name="Warning Text 5 3 3" xfId="53624"/>
    <cellStyle name="Warning Text 5 3 3 2" xfId="53625"/>
    <cellStyle name="Warning Text 5 3 3 2 2" xfId="53626"/>
    <cellStyle name="Warning Text 5 3 3 3" xfId="53627"/>
    <cellStyle name="Warning Text 5 3 4" xfId="53628"/>
    <cellStyle name="Warning Text 5 3 4 2" xfId="53629"/>
    <cellStyle name="Warning Text 5 3 4 2 2" xfId="53630"/>
    <cellStyle name="Warning Text 5 3 4 3" xfId="53631"/>
    <cellStyle name="Warning Text 5 3 5" xfId="53632"/>
    <cellStyle name="Warning Text 5 3 5 2" xfId="53633"/>
    <cellStyle name="Warning Text 5 3 5 2 2" xfId="53634"/>
    <cellStyle name="Warning Text 5 3 5 3" xfId="53635"/>
    <cellStyle name="Warning Text 5 3 6" xfId="53636"/>
    <cellStyle name="Warning Text 5 4" xfId="53637"/>
    <cellStyle name="Warning Text 5 4 2" xfId="53638"/>
    <cellStyle name="Warning Text 5 4 2 2" xfId="53639"/>
    <cellStyle name="Warning Text 5 4 3" xfId="53640"/>
    <cellStyle name="Warning Text 5 5" xfId="53641"/>
    <cellStyle name="Warning Text 5 5 2" xfId="53642"/>
    <cellStyle name="Warning Text 5 5 2 2" xfId="53643"/>
    <cellStyle name="Warning Text 5 5 3" xfId="53644"/>
    <cellStyle name="Warning Text 5 6" xfId="53645"/>
    <cellStyle name="Warning Text 5 6 2" xfId="53646"/>
    <cellStyle name="Warning Text 5 6 2 2" xfId="53647"/>
    <cellStyle name="Warning Text 5 6 3" xfId="53648"/>
    <cellStyle name="Warning Text 5 7" xfId="53649"/>
    <cellStyle name="Warning Text 6" xfId="53650"/>
    <cellStyle name="Warning Text 6 2" xfId="53651"/>
    <cellStyle name="Warning Text 6 2 2" xfId="53652"/>
    <cellStyle name="Warning Text 6 2 2 2" xfId="53653"/>
    <cellStyle name="Warning Text 6 2 3" xfId="53654"/>
    <cellStyle name="Warning Text 6 2 3 2" xfId="53655"/>
    <cellStyle name="Warning Text 6 2 3 2 2" xfId="53656"/>
    <cellStyle name="Warning Text 6 2 3 3" xfId="53657"/>
    <cellStyle name="Warning Text 6 2 4" xfId="53658"/>
    <cellStyle name="Warning Text 6 2 4 2" xfId="53659"/>
    <cellStyle name="Warning Text 6 2 4 2 2" xfId="53660"/>
    <cellStyle name="Warning Text 6 2 4 3" xfId="53661"/>
    <cellStyle name="Warning Text 6 2 5" xfId="53662"/>
    <cellStyle name="Warning Text 6 3" xfId="53663"/>
    <cellStyle name="Warning Text 6 3 2" xfId="53664"/>
    <cellStyle name="Warning Text 6 3 2 2" xfId="53665"/>
    <cellStyle name="Warning Text 6 3 3" xfId="53666"/>
    <cellStyle name="Warning Text 6 4" xfId="53667"/>
    <cellStyle name="Warning Text 6 4 2" xfId="53668"/>
    <cellStyle name="Warning Text 6 4 2 2" xfId="53669"/>
    <cellStyle name="Warning Text 6 4 3" xfId="53670"/>
    <cellStyle name="Warning Text 6 5" xfId="53671"/>
    <cellStyle name="Warning Text 6 5 2" xfId="53672"/>
    <cellStyle name="Warning Text 6 5 2 2" xfId="53673"/>
    <cellStyle name="Warning Text 6 5 3" xfId="53674"/>
    <cellStyle name="Warning Text 6 6" xfId="53675"/>
    <cellStyle name="Warning Text 7" xfId="53676"/>
    <cellStyle name="Warning Text 7 2" xfId="53677"/>
    <cellStyle name="Warning Text 8" xfId="53678"/>
    <cellStyle name="Warning Text 9" xfId="53679"/>
    <cellStyle name="white" xfId="53680"/>
    <cellStyle name="white 2" xfId="53681"/>
    <cellStyle name="white 3" xfId="53682"/>
    <cellStyle name="white 3 2" xfId="53683"/>
    <cellStyle name="white 3 2 2" xfId="53684"/>
    <cellStyle name="white 3 3" xfId="53685"/>
    <cellStyle name="white 4" xfId="53686"/>
    <cellStyle name="white 4 2" xfId="53687"/>
    <cellStyle name="white 4 2 2" xfId="53688"/>
    <cellStyle name="white 4 3" xfId="53689"/>
    <cellStyle name="wrap" xfId="53690"/>
    <cellStyle name="wrap 2" xfId="53691"/>
    <cellStyle name="wrap 3" xfId="53692"/>
    <cellStyle name="wrap 3 2" xfId="53693"/>
    <cellStyle name="wrap 3 2 2" xfId="53694"/>
    <cellStyle name="wrap 3 3" xfId="53695"/>
    <cellStyle name="wrap 4" xfId="53696"/>
    <cellStyle name="wrap 4 2" xfId="53697"/>
    <cellStyle name="wrap 4 2 2" xfId="53698"/>
    <cellStyle name="wrap 4 3" xfId="53699"/>
  </cellStyles>
  <dxfs count="1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FFCC99"/>
      <color rgb="FFCCFFCC"/>
      <color rgb="FFCCECFF"/>
      <color rgb="FFFFCC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tabSelected="1" zoomScaleNormal="100" workbookViewId="0"/>
  </sheetViews>
  <sheetFormatPr defaultRowHeight="13.2"/>
  <cols>
    <col min="3" max="3" width="8.44140625" customWidth="1"/>
  </cols>
  <sheetData>
    <row r="2" spans="1:11" ht="28.2">
      <c r="C2" s="1366"/>
      <c r="D2" s="1367"/>
      <c r="E2" s="1367"/>
      <c r="F2" s="1367"/>
      <c r="G2" s="1367"/>
      <c r="H2" s="1367"/>
    </row>
    <row r="3" spans="1:11" s="999" customFormat="1">
      <c r="D3" s="477"/>
    </row>
    <row r="4" spans="1:11" ht="22.8">
      <c r="B4" s="1370"/>
      <c r="C4" s="1370"/>
      <c r="D4" s="1370"/>
      <c r="E4" s="1370"/>
      <c r="F4" s="1370"/>
      <c r="G4" s="1370"/>
      <c r="H4" s="1370"/>
      <c r="I4" s="1370"/>
    </row>
    <row r="5" spans="1:11" s="999" customFormat="1" ht="24.6">
      <c r="A5" s="1368" t="s">
        <v>2879</v>
      </c>
      <c r="B5" s="1371"/>
      <c r="C5" s="1371"/>
      <c r="D5" s="1371"/>
      <c r="E5" s="1371"/>
      <c r="F5" s="1371"/>
      <c r="G5" s="1371"/>
      <c r="H5" s="1371"/>
      <c r="I5" s="1371"/>
      <c r="J5" s="1371"/>
      <c r="K5" s="1371"/>
    </row>
    <row r="6" spans="1:11" s="999" customFormat="1" ht="22.8">
      <c r="A6" s="1364"/>
      <c r="B6" s="1365"/>
      <c r="C6" s="1365"/>
      <c r="D6" s="1365"/>
      <c r="E6" s="1365"/>
      <c r="F6" s="1365"/>
      <c r="G6" s="1365"/>
      <c r="H6" s="1365"/>
      <c r="I6" s="1365"/>
      <c r="J6" s="1365"/>
      <c r="K6" s="1365"/>
    </row>
    <row r="7" spans="1:11" s="999" customFormat="1" ht="22.8">
      <c r="A7" s="1370" t="s">
        <v>2881</v>
      </c>
      <c r="B7" s="1371"/>
      <c r="C7" s="1371"/>
      <c r="D7" s="1371"/>
      <c r="E7" s="1371"/>
      <c r="F7" s="1371"/>
      <c r="G7" s="1371"/>
      <c r="H7" s="1371"/>
      <c r="I7" s="1371"/>
      <c r="J7" s="1371"/>
      <c r="K7" s="1371"/>
    </row>
    <row r="8" spans="1:11" s="999" customFormat="1" ht="17.399999999999999">
      <c r="A8" s="1372" t="s">
        <v>2882</v>
      </c>
      <c r="B8" s="1373"/>
      <c r="C8" s="1373"/>
      <c r="D8" s="1373"/>
      <c r="E8" s="1373"/>
      <c r="F8" s="1373"/>
      <c r="G8" s="1373"/>
      <c r="H8" s="1373"/>
      <c r="I8" s="1373"/>
      <c r="J8" s="1373"/>
      <c r="K8" s="1373"/>
    </row>
    <row r="9" spans="1:11" s="999" customFormat="1" ht="22.8">
      <c r="A9" s="1364"/>
      <c r="B9" s="1365"/>
      <c r="C9" s="1365"/>
      <c r="D9" s="1365"/>
      <c r="E9" s="1365"/>
      <c r="F9" s="1365"/>
      <c r="G9" s="1365"/>
      <c r="H9" s="1365"/>
      <c r="I9" s="1365"/>
      <c r="J9" s="1365"/>
      <c r="K9" s="1365"/>
    </row>
    <row r="10" spans="1:11" s="999" customFormat="1" ht="22.8">
      <c r="A10" s="1370" t="s">
        <v>2880</v>
      </c>
      <c r="B10" s="1371"/>
      <c r="C10" s="1371"/>
      <c r="D10" s="1371"/>
      <c r="E10" s="1371"/>
      <c r="F10" s="1371"/>
      <c r="G10" s="1371"/>
      <c r="H10" s="1371"/>
      <c r="I10" s="1371"/>
      <c r="J10" s="1371"/>
      <c r="K10" s="1371"/>
    </row>
    <row r="11" spans="1:11" s="999" customFormat="1" ht="22.8">
      <c r="B11" s="1216"/>
      <c r="C11" s="1216"/>
      <c r="D11" s="1216"/>
      <c r="E11" s="498"/>
      <c r="F11" s="498"/>
      <c r="G11" s="498"/>
      <c r="H11" s="1216"/>
      <c r="I11" s="1216"/>
    </row>
    <row r="13" spans="1:11" ht="24.6">
      <c r="A13" s="1368" t="s">
        <v>1888</v>
      </c>
      <c r="B13" s="1368"/>
      <c r="C13" s="1368"/>
      <c r="D13" s="1368"/>
      <c r="E13" s="1368"/>
      <c r="F13" s="1368"/>
      <c r="G13" s="1368"/>
      <c r="H13" s="1368"/>
      <c r="I13" s="1368"/>
      <c r="J13" s="1368"/>
      <c r="K13" s="1368"/>
    </row>
    <row r="14" spans="1:11">
      <c r="D14" s="1"/>
    </row>
    <row r="15" spans="1:11" ht="21">
      <c r="A15" s="1369" t="s">
        <v>1889</v>
      </c>
      <c r="B15" s="1369"/>
      <c r="C15" s="1369"/>
      <c r="D15" s="1369"/>
      <c r="E15" s="1369"/>
      <c r="F15" s="1369"/>
      <c r="G15" s="1369"/>
      <c r="H15" s="1369"/>
      <c r="I15" s="1369"/>
      <c r="J15" s="1369"/>
      <c r="K15" s="1369"/>
    </row>
  </sheetData>
  <mergeCells count="8">
    <mergeCell ref="C2:H2"/>
    <mergeCell ref="A13:K13"/>
    <mergeCell ref="A15:K15"/>
    <mergeCell ref="B4:I4"/>
    <mergeCell ref="A5:K5"/>
    <mergeCell ref="A7:K7"/>
    <mergeCell ref="A8:K8"/>
    <mergeCell ref="A10:K10"/>
  </mergeCells>
  <pageMargins left="0.7" right="0.7" top="0.75" bottom="0.75" header="0.3" footer="0.3"/>
  <pageSetup scale="92" orientation="portrait" r:id="rId1"/>
  <headerFooter>
    <oddHeader>&amp;C&amp;"Arial,Bold"
&amp;RExhibit SCE-4
TO2019A Formula Rate Spreadsheet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Normal="100" workbookViewId="0"/>
  </sheetViews>
  <sheetFormatPr defaultRowHeight="13.2"/>
  <cols>
    <col min="1" max="1" width="2.6640625" customWidth="1"/>
    <col min="2" max="2" width="18.6640625" customWidth="1"/>
    <col min="3" max="3" width="10.6640625" customWidth="1"/>
    <col min="4" max="4" width="66.6640625" customWidth="1"/>
  </cols>
  <sheetData>
    <row r="1" spans="1:4">
      <c r="A1" s="1" t="s">
        <v>1142</v>
      </c>
      <c r="C1" s="1"/>
    </row>
    <row r="3" spans="1:4">
      <c r="B3" s="3" t="s">
        <v>1143</v>
      </c>
      <c r="C3" s="3" t="s">
        <v>1211</v>
      </c>
      <c r="D3" s="389" t="s">
        <v>525</v>
      </c>
    </row>
    <row r="4" spans="1:4">
      <c r="B4" s="373" t="s">
        <v>1088</v>
      </c>
      <c r="C4" s="61"/>
      <c r="D4" s="12" t="s">
        <v>1145</v>
      </c>
    </row>
    <row r="5" spans="1:4">
      <c r="B5" s="590" t="s">
        <v>1144</v>
      </c>
      <c r="C5" s="61">
        <v>1</v>
      </c>
      <c r="D5" s="477" t="s">
        <v>2190</v>
      </c>
    </row>
    <row r="6" spans="1:4">
      <c r="B6" s="590" t="s">
        <v>1099</v>
      </c>
      <c r="C6" s="61">
        <v>2</v>
      </c>
      <c r="D6" s="12" t="s">
        <v>1152</v>
      </c>
    </row>
    <row r="7" spans="1:4">
      <c r="B7" s="590" t="s">
        <v>1100</v>
      </c>
      <c r="C7" s="61">
        <v>3</v>
      </c>
      <c r="D7" s="12" t="s">
        <v>1153</v>
      </c>
    </row>
    <row r="8" spans="1:4">
      <c r="B8" s="590" t="s">
        <v>1500</v>
      </c>
      <c r="C8" s="61">
        <v>4</v>
      </c>
      <c r="D8" s="477" t="s">
        <v>1501</v>
      </c>
    </row>
    <row r="9" spans="1:4">
      <c r="B9" s="590" t="s">
        <v>1089</v>
      </c>
      <c r="C9" s="61">
        <v>5</v>
      </c>
      <c r="D9" s="12" t="s">
        <v>1146</v>
      </c>
    </row>
    <row r="10" spans="1:4">
      <c r="B10" s="590" t="s">
        <v>1092</v>
      </c>
      <c r="C10" s="61">
        <v>6</v>
      </c>
      <c r="D10" s="12" t="s">
        <v>1149</v>
      </c>
    </row>
    <row r="11" spans="1:4">
      <c r="B11" s="590" t="s">
        <v>1093</v>
      </c>
      <c r="C11" s="61">
        <v>7</v>
      </c>
      <c r="D11" s="12" t="s">
        <v>1447</v>
      </c>
    </row>
    <row r="12" spans="1:4">
      <c r="B12" s="590" t="s">
        <v>1102</v>
      </c>
      <c r="C12" s="61">
        <v>8</v>
      </c>
      <c r="D12" s="12" t="s">
        <v>1154</v>
      </c>
    </row>
    <row r="13" spans="1:4">
      <c r="B13" s="590" t="s">
        <v>201</v>
      </c>
      <c r="C13" s="61">
        <v>9</v>
      </c>
      <c r="D13" s="12" t="s">
        <v>98</v>
      </c>
    </row>
    <row r="14" spans="1:4">
      <c r="B14" s="590" t="s">
        <v>1</v>
      </c>
      <c r="C14" s="61">
        <v>10</v>
      </c>
      <c r="D14" s="477" t="s">
        <v>2191</v>
      </c>
    </row>
    <row r="15" spans="1:4">
      <c r="B15" s="590" t="s">
        <v>1094</v>
      </c>
      <c r="C15" s="61">
        <v>11</v>
      </c>
      <c r="D15" s="12" t="s">
        <v>1197</v>
      </c>
    </row>
    <row r="16" spans="1:4">
      <c r="B16" s="590" t="s">
        <v>1095</v>
      </c>
      <c r="C16" s="61">
        <v>12</v>
      </c>
      <c r="D16" s="12" t="s">
        <v>1150</v>
      </c>
    </row>
    <row r="17" spans="2:4">
      <c r="B17" s="590" t="s">
        <v>1101</v>
      </c>
      <c r="C17" s="61">
        <v>13</v>
      </c>
      <c r="D17" s="12" t="s">
        <v>1164</v>
      </c>
    </row>
    <row r="18" spans="2:4">
      <c r="B18" s="590" t="s">
        <v>1096</v>
      </c>
      <c r="C18" s="61">
        <v>14</v>
      </c>
      <c r="D18" s="12" t="s">
        <v>1151</v>
      </c>
    </row>
    <row r="19" spans="2:4">
      <c r="B19" s="590" t="s">
        <v>1097</v>
      </c>
      <c r="C19" s="61">
        <v>15</v>
      </c>
      <c r="D19" s="477" t="s">
        <v>1698</v>
      </c>
    </row>
    <row r="20" spans="2:4">
      <c r="B20" s="590" t="s">
        <v>1098</v>
      </c>
      <c r="C20" s="61">
        <v>16</v>
      </c>
      <c r="D20" s="12" t="s">
        <v>1204</v>
      </c>
    </row>
    <row r="21" spans="2:4">
      <c r="B21" s="590" t="s">
        <v>1090</v>
      </c>
      <c r="C21" s="61">
        <v>17</v>
      </c>
      <c r="D21" s="12" t="s">
        <v>1147</v>
      </c>
    </row>
    <row r="22" spans="2:4">
      <c r="B22" s="590" t="s">
        <v>1091</v>
      </c>
      <c r="C22" s="61">
        <v>18</v>
      </c>
      <c r="D22" s="12" t="s">
        <v>1148</v>
      </c>
    </row>
    <row r="23" spans="2:4">
      <c r="B23" s="590" t="s">
        <v>1103</v>
      </c>
      <c r="C23" s="61">
        <v>19</v>
      </c>
      <c r="D23" s="12" t="s">
        <v>1155</v>
      </c>
    </row>
    <row r="24" spans="2:4">
      <c r="B24" s="590" t="s">
        <v>1104</v>
      </c>
      <c r="C24" s="61">
        <v>20</v>
      </c>
      <c r="D24" s="477" t="s">
        <v>282</v>
      </c>
    </row>
    <row r="25" spans="2:4">
      <c r="B25" s="590" t="s">
        <v>1121</v>
      </c>
      <c r="C25" s="61">
        <v>21</v>
      </c>
      <c r="D25" s="12" t="s">
        <v>1156</v>
      </c>
    </row>
    <row r="26" spans="2:4">
      <c r="B26" s="590" t="s">
        <v>1122</v>
      </c>
      <c r="C26" s="61">
        <v>22</v>
      </c>
      <c r="D26" s="12" t="s">
        <v>1203</v>
      </c>
    </row>
    <row r="27" spans="2:4">
      <c r="B27" s="590" t="s">
        <v>1123</v>
      </c>
      <c r="C27" s="61">
        <v>23</v>
      </c>
      <c r="D27" s="12" t="s">
        <v>1157</v>
      </c>
    </row>
    <row r="28" spans="2:4" ht="12.75" customHeight="1">
      <c r="B28" s="590" t="s">
        <v>1434</v>
      </c>
      <c r="C28" s="61">
        <v>24</v>
      </c>
      <c r="D28" s="12" t="s">
        <v>1435</v>
      </c>
    </row>
    <row r="29" spans="2:4">
      <c r="B29" s="590" t="s">
        <v>1375</v>
      </c>
      <c r="C29" s="61">
        <v>25</v>
      </c>
      <c r="D29" s="12" t="s">
        <v>1376</v>
      </c>
    </row>
    <row r="30" spans="2:4">
      <c r="B30" s="590" t="s">
        <v>1126</v>
      </c>
      <c r="C30" s="61">
        <v>26</v>
      </c>
      <c r="D30" s="12" t="s">
        <v>1158</v>
      </c>
    </row>
    <row r="31" spans="2:4">
      <c r="B31" s="590" t="s">
        <v>1125</v>
      </c>
      <c r="C31" s="61">
        <v>27</v>
      </c>
      <c r="D31" s="12" t="s">
        <v>202</v>
      </c>
    </row>
    <row r="32" spans="2:4">
      <c r="B32" s="590" t="s">
        <v>1124</v>
      </c>
      <c r="C32" s="61">
        <v>28</v>
      </c>
      <c r="D32" s="12" t="s">
        <v>1159</v>
      </c>
    </row>
    <row r="33" spans="2:4">
      <c r="B33" s="590" t="s">
        <v>1127</v>
      </c>
      <c r="C33" s="61">
        <v>29</v>
      </c>
      <c r="D33" s="12" t="s">
        <v>1160</v>
      </c>
    </row>
    <row r="34" spans="2:4">
      <c r="B34" s="590" t="s">
        <v>1128</v>
      </c>
      <c r="C34" s="61">
        <v>30</v>
      </c>
      <c r="D34" s="12" t="s">
        <v>1205</v>
      </c>
    </row>
    <row r="35" spans="2:4">
      <c r="B35" s="590" t="s">
        <v>1129</v>
      </c>
      <c r="C35" s="61">
        <v>31</v>
      </c>
      <c r="D35" s="12" t="s">
        <v>1161</v>
      </c>
    </row>
    <row r="36" spans="2:4">
      <c r="B36" s="590" t="s">
        <v>1130</v>
      </c>
      <c r="C36" s="61">
        <v>32</v>
      </c>
      <c r="D36" s="12" t="s">
        <v>1162</v>
      </c>
    </row>
    <row r="37" spans="2:4">
      <c r="B37" s="590" t="s">
        <v>1131</v>
      </c>
      <c r="C37" s="468">
        <v>33</v>
      </c>
      <c r="D37" s="12" t="s">
        <v>1163</v>
      </c>
    </row>
    <row r="38" spans="2:4">
      <c r="B38" s="590" t="s">
        <v>1981</v>
      </c>
      <c r="C38" s="870">
        <v>34</v>
      </c>
      <c r="D38" s="479" t="s">
        <v>2004</v>
      </c>
    </row>
    <row r="39" spans="2:4">
      <c r="B39" s="12"/>
    </row>
    <row r="40" spans="2:4">
      <c r="B40" s="12"/>
    </row>
    <row r="41" spans="2:4">
      <c r="B41" s="12"/>
    </row>
    <row r="42" spans="2:4">
      <c r="B42"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8" location="'34-UnfundedReserves'!Print_Area" display="Unfunded Reserves"/>
  </hyperlinks>
  <pageMargins left="0.7" right="0.7" top="0.75" bottom="0.75" header="0.3" footer="0.3"/>
  <pageSetup scale="90" orientation="portrait" cellComments="asDisplayed" r:id="rId1"/>
  <headerFooter>
    <oddHeader>&amp;RExhibit SCE-4
TO2019A Formula Rate Spreadsheet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B1" sqref="A1:B1"/>
    </sheetView>
  </sheetViews>
  <sheetFormatPr defaultRowHeight="13.2"/>
  <cols>
    <col min="1" max="1" width="3.6640625" customWidth="1"/>
    <col min="2" max="2" width="45.6640625" customWidth="1"/>
    <col min="3" max="3" width="13.88671875" bestFit="1" customWidth="1"/>
  </cols>
  <sheetData>
    <row r="1" spans="1:6">
      <c r="A1" s="1" t="s">
        <v>1436</v>
      </c>
    </row>
    <row r="3" spans="1:6">
      <c r="A3" s="477" t="s">
        <v>1656</v>
      </c>
    </row>
    <row r="5" spans="1:6">
      <c r="B5" s="3" t="s">
        <v>174</v>
      </c>
      <c r="C5" s="3" t="s">
        <v>175</v>
      </c>
    </row>
    <row r="6" spans="1:6">
      <c r="B6" t="s">
        <v>95</v>
      </c>
      <c r="C6" s="7">
        <f>'1-BaseTRR'!K141</f>
        <v>1258035094.5046067</v>
      </c>
    </row>
    <row r="7" spans="1:6">
      <c r="B7" t="s">
        <v>320</v>
      </c>
      <c r="C7" s="7">
        <f>'1-BaseTRR'!K147</f>
        <v>132737261.08519316</v>
      </c>
    </row>
    <row r="8" spans="1:6">
      <c r="B8" t="s">
        <v>96</v>
      </c>
      <c r="C8" s="101">
        <f>'1-BaseTRR'!K148</f>
        <v>-62477614.724062338</v>
      </c>
      <c r="E8" s="1"/>
    </row>
    <row r="9" spans="1:6">
      <c r="B9" s="479" t="s">
        <v>1892</v>
      </c>
      <c r="C9" s="91">
        <f>'1-BaseTRR'!K149</f>
        <v>0</v>
      </c>
      <c r="E9" s="1"/>
    </row>
    <row r="10" spans="1:6">
      <c r="B10" t="s">
        <v>1657</v>
      </c>
      <c r="C10" s="7">
        <f>SUM(C6:C9)</f>
        <v>1328294740.8657374</v>
      </c>
    </row>
    <row r="12" spans="1:6">
      <c r="A12" t="s">
        <v>551</v>
      </c>
    </row>
    <row r="14" spans="1:6">
      <c r="B14" t="s">
        <v>203</v>
      </c>
    </row>
    <row r="15" spans="1:6">
      <c r="B15" s="481" t="s">
        <v>1791</v>
      </c>
      <c r="E15" s="14"/>
      <c r="F15" s="14"/>
    </row>
    <row r="16" spans="1:6">
      <c r="B16" s="16"/>
    </row>
    <row r="17" spans="2:2">
      <c r="B17" t="s">
        <v>550</v>
      </c>
    </row>
    <row r="18" spans="2:2">
      <c r="B18" s="479" t="s">
        <v>1792</v>
      </c>
    </row>
    <row r="19" spans="2:2">
      <c r="B19" s="16"/>
    </row>
    <row r="20" spans="2:2">
      <c r="B20" s="65" t="s">
        <v>1214</v>
      </c>
    </row>
    <row r="21" spans="2:2">
      <c r="B21" s="476" t="s">
        <v>1793</v>
      </c>
    </row>
    <row r="23" spans="2:2">
      <c r="B23" s="479" t="s">
        <v>1893</v>
      </c>
    </row>
  </sheetData>
  <phoneticPr fontId="22" type="noConversion"/>
  <pageMargins left="0.75" right="0.75" top="1.25" bottom="1" header="0.5" footer="0.5"/>
  <pageSetup orientation="landscape" r:id="rId1"/>
  <headerFooter alignWithMargins="0">
    <oddHeader>&amp;COverview
&amp;RExhibit SCE-4
TO2019A Formula Rate Spreadsheet</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zoomScaleNormal="100" zoomScalePageLayoutView="85" workbookViewId="0"/>
  </sheetViews>
  <sheetFormatPr defaultRowHeight="13.2"/>
  <cols>
    <col min="1" max="1" width="4.6640625" customWidth="1"/>
    <col min="8" max="8" width="25.6640625" customWidth="1"/>
    <col min="9" max="9" width="29.33203125" customWidth="1"/>
    <col min="10" max="10" width="2.6640625" customWidth="1"/>
    <col min="11" max="11" width="19" bestFit="1" customWidth="1"/>
    <col min="12" max="12" width="1.88671875" customWidth="1"/>
  </cols>
  <sheetData>
    <row r="1" spans="1:13">
      <c r="A1" s="1" t="s">
        <v>166</v>
      </c>
    </row>
    <row r="2" spans="1:13">
      <c r="I2" s="97" t="s">
        <v>303</v>
      </c>
      <c r="J2" s="97"/>
      <c r="K2" s="14"/>
      <c r="L2" s="14"/>
    </row>
    <row r="3" spans="1:13">
      <c r="A3" s="1" t="s">
        <v>167</v>
      </c>
      <c r="L3" s="14"/>
    </row>
    <row r="4" spans="1:13">
      <c r="H4" s="2"/>
      <c r="I4" s="2" t="s">
        <v>169</v>
      </c>
      <c r="K4" s="249">
        <v>2017</v>
      </c>
    </row>
    <row r="5" spans="1:13">
      <c r="A5" s="53" t="s">
        <v>321</v>
      </c>
      <c r="H5" s="3" t="s">
        <v>168</v>
      </c>
      <c r="I5" s="3" t="s">
        <v>170</v>
      </c>
      <c r="K5" s="3" t="s">
        <v>171</v>
      </c>
    </row>
    <row r="7" spans="1:13">
      <c r="A7" s="10" t="s">
        <v>176</v>
      </c>
      <c r="B7" s="11"/>
      <c r="C7" s="11"/>
      <c r="D7" s="11"/>
      <c r="E7" s="11"/>
      <c r="F7" s="11"/>
      <c r="G7" s="11"/>
      <c r="H7" s="9"/>
      <c r="I7" s="9"/>
      <c r="J7" s="9"/>
      <c r="K7" s="9"/>
    </row>
    <row r="9" spans="1:13">
      <c r="A9" s="2">
        <v>1</v>
      </c>
      <c r="B9" s="50" t="s">
        <v>1053</v>
      </c>
      <c r="I9" s="15" t="str">
        <f>"6-PlantInService, Line "&amp;'6-PlantInService'!A43&amp;""</f>
        <v>6-PlantInService, Line 19</v>
      </c>
      <c r="K9" s="7">
        <f>'6-PlantInService'!D43</f>
        <v>8573445553.3305378</v>
      </c>
      <c r="M9" s="14"/>
    </row>
    <row r="10" spans="1:13">
      <c r="A10" s="2">
        <f>A9+1</f>
        <v>2</v>
      </c>
      <c r="B10" s="50" t="s">
        <v>319</v>
      </c>
      <c r="I10" s="15" t="str">
        <f>"6-PlantInService, Line "&amp;'6-PlantInService'!A63&amp;""</f>
        <v>6-PlantInService, Line 27</v>
      </c>
      <c r="K10" s="7">
        <f>'6-PlantInService'!F63</f>
        <v>266256630.63265046</v>
      </c>
      <c r="M10" s="14"/>
    </row>
    <row r="11" spans="1:13">
      <c r="A11" s="2">
        <f>A10+1</f>
        <v>3</v>
      </c>
      <c r="B11" s="50" t="s">
        <v>157</v>
      </c>
      <c r="I11" s="15" t="str">
        <f>"11-PHFU, Line "&amp;'11-PHFU'!A38&amp;""</f>
        <v>11-PHFU, Line 8</v>
      </c>
      <c r="K11" s="7">
        <f>'11-PHFU'!E38</f>
        <v>9942155</v>
      </c>
      <c r="M11" s="14"/>
    </row>
    <row r="12" spans="1:13">
      <c r="A12" s="2">
        <f>A11+1</f>
        <v>4</v>
      </c>
      <c r="B12" s="110" t="s">
        <v>314</v>
      </c>
      <c r="C12" s="14"/>
      <c r="D12" s="14"/>
      <c r="E12" s="14"/>
      <c r="F12" s="14"/>
      <c r="G12" s="14"/>
      <c r="H12" s="14"/>
      <c r="I12" s="15" t="str">
        <f>"12-AbandonedPlant, Line "&amp;'12-AbandonedPlant'!A20&amp;""</f>
        <v>12-AbandonedPlant, Line 3</v>
      </c>
      <c r="K12" s="7">
        <f>'12-AbandonedPlant'!G20</f>
        <v>0</v>
      </c>
      <c r="M12" s="14"/>
    </row>
    <row r="13" spans="1:13">
      <c r="A13" s="2"/>
      <c r="B13" s="110"/>
      <c r="C13" s="14"/>
      <c r="D13" s="14"/>
      <c r="E13" s="14"/>
      <c r="F13" s="14"/>
      <c r="G13" s="14"/>
      <c r="H13" s="14"/>
      <c r="I13" s="14"/>
      <c r="K13" s="7"/>
      <c r="M13" s="14"/>
    </row>
    <row r="14" spans="1:13">
      <c r="A14" s="2"/>
      <c r="B14" s="45" t="s">
        <v>245</v>
      </c>
      <c r="C14" s="14"/>
      <c r="D14" s="14"/>
      <c r="E14" s="14"/>
      <c r="F14" s="14"/>
      <c r="G14" s="14"/>
      <c r="H14" s="14"/>
      <c r="I14" s="14"/>
      <c r="K14" s="7"/>
      <c r="M14" s="14"/>
    </row>
    <row r="15" spans="1:13">
      <c r="A15" s="2">
        <f>A12+1</f>
        <v>5</v>
      </c>
      <c r="B15" s="13" t="s">
        <v>91</v>
      </c>
      <c r="I15" s="15" t="str">
        <f>"13-WorkCap, Line "&amp;'13-WorkCap'!A26&amp;""</f>
        <v>13-WorkCap, Line 16</v>
      </c>
      <c r="K15" s="7">
        <f>'13-WorkCap'!F26</f>
        <v>14314525.767238792</v>
      </c>
      <c r="M15" s="14"/>
    </row>
    <row r="16" spans="1:13">
      <c r="A16" s="2">
        <f>A15+1</f>
        <v>6</v>
      </c>
      <c r="B16" s="16" t="s">
        <v>92</v>
      </c>
      <c r="I16" s="15" t="str">
        <f>"13-WorkCap, Line "&amp;'13-WorkCap'!A55&amp;""</f>
        <v>13-WorkCap, Line 36</v>
      </c>
      <c r="K16" s="7">
        <f>'13-WorkCap'!F55</f>
        <v>13703824.167555664</v>
      </c>
      <c r="M16" s="14"/>
    </row>
    <row r="17" spans="1:13">
      <c r="A17" s="2">
        <f>A16+1</f>
        <v>7</v>
      </c>
      <c r="B17" s="13" t="s">
        <v>172</v>
      </c>
      <c r="I17" s="15" t="str">
        <f>"(Line "&amp;A124&amp;" + Line "&amp;A125&amp;") / 8"</f>
        <v>(Line 66 + Line 67) / 8</v>
      </c>
      <c r="K17" s="102">
        <f>(K124+K125)/8</f>
        <v>16239767.973393591</v>
      </c>
      <c r="M17" s="14"/>
    </row>
    <row r="18" spans="1:13">
      <c r="A18" s="2">
        <f>A17+1</f>
        <v>8</v>
      </c>
      <c r="B18" s="13" t="s">
        <v>90</v>
      </c>
      <c r="I18" s="15" t="str">
        <f>"Line "&amp;A15&amp;" + Line "&amp;A16&amp;" + Line "&amp;A17&amp;""</f>
        <v>Line 5 + Line 6 + Line 7</v>
      </c>
      <c r="K18" s="7">
        <f>SUM(K15:K17)</f>
        <v>44258117.908188045</v>
      </c>
      <c r="M18" s="14"/>
    </row>
    <row r="19" spans="1:13">
      <c r="A19" s="2"/>
      <c r="B19" s="13"/>
      <c r="I19" s="14"/>
      <c r="K19" s="7"/>
      <c r="M19" s="14"/>
    </row>
    <row r="20" spans="1:13">
      <c r="A20" s="2"/>
      <c r="B20" s="76" t="s">
        <v>165</v>
      </c>
      <c r="I20" s="14"/>
      <c r="K20" s="7"/>
      <c r="M20" s="14"/>
    </row>
    <row r="21" spans="1:13">
      <c r="A21" s="2">
        <f>A18+1</f>
        <v>9</v>
      </c>
      <c r="B21" s="13" t="s">
        <v>1056</v>
      </c>
      <c r="H21" t="s">
        <v>151</v>
      </c>
      <c r="I21" s="15" t="str">
        <f>"8-AccDep, Line "&amp;'8-AccDep'!A24&amp;", Col. 12"</f>
        <v>8-AccDep, Line 13, Col. 12</v>
      </c>
      <c r="K21" s="7">
        <f>-'8-AccDep'!N24</f>
        <v>-1633677099.9991164</v>
      </c>
      <c r="M21" s="14"/>
    </row>
    <row r="22" spans="1:13">
      <c r="A22" s="2">
        <f>A21+1</f>
        <v>10</v>
      </c>
      <c r="B22" s="13" t="s">
        <v>1057</v>
      </c>
      <c r="H22" t="s">
        <v>151</v>
      </c>
      <c r="I22" s="15" t="str">
        <f>"8-AccDep, Line "&amp;'8-AccDep'!A34&amp;", Col. 5"</f>
        <v>8-AccDep, Line 16, Col. 5</v>
      </c>
      <c r="K22" s="7">
        <f>-'8-AccDep'!G34</f>
        <v>0</v>
      </c>
      <c r="M22" s="14"/>
    </row>
    <row r="23" spans="1:13">
      <c r="A23" s="2">
        <f>A22+1</f>
        <v>11</v>
      </c>
      <c r="B23" s="13" t="s">
        <v>310</v>
      </c>
      <c r="C23" s="22"/>
      <c r="H23" t="s">
        <v>151</v>
      </c>
      <c r="I23" s="15" t="str">
        <f>"8-AccDep, Line "&amp;'8-AccDep'!A60&amp;""</f>
        <v>8-AccDep, Line 26</v>
      </c>
      <c r="K23" s="57">
        <f>-'8-AccDep'!F60</f>
        <v>-104458767.12060079</v>
      </c>
      <c r="M23" s="14"/>
    </row>
    <row r="24" spans="1:13">
      <c r="A24" s="2">
        <f>A23+1</f>
        <v>12</v>
      </c>
      <c r="B24" s="77" t="s">
        <v>163</v>
      </c>
      <c r="C24" s="22"/>
      <c r="I24" s="15" t="str">
        <f>"Line "&amp;A21&amp;" + Line "&amp;A22&amp;" + Line "&amp;A23&amp;""</f>
        <v>Line 9 + Line 10 + Line 11</v>
      </c>
      <c r="K24" s="7">
        <f>SUM(K21:K23)</f>
        <v>-1738135867.1197171</v>
      </c>
      <c r="M24" s="14"/>
    </row>
    <row r="25" spans="1:13">
      <c r="B25" s="12"/>
      <c r="I25" s="14"/>
      <c r="K25" s="7"/>
      <c r="M25" s="14"/>
    </row>
    <row r="26" spans="1:13">
      <c r="A26" s="2">
        <f>A24+1</f>
        <v>13</v>
      </c>
      <c r="B26" s="65" t="s">
        <v>164</v>
      </c>
      <c r="H26" t="s">
        <v>151</v>
      </c>
      <c r="I26" s="15" t="str">
        <f>"9-ADIT, Line "&amp;'9-ADIT'!A14&amp;", Col. 2"</f>
        <v>9-ADIT, Line 5, Col. 2</v>
      </c>
      <c r="K26" s="7">
        <f>'9-ADIT'!D14</f>
        <v>-1649088770.0130017</v>
      </c>
      <c r="M26" s="14"/>
    </row>
    <row r="27" spans="1:13">
      <c r="A27" s="2"/>
      <c r="B27" s="65"/>
      <c r="I27" s="14"/>
      <c r="M27" s="14"/>
    </row>
    <row r="28" spans="1:13">
      <c r="A28" s="2">
        <f>A26+1</f>
        <v>14</v>
      </c>
      <c r="B28" s="50" t="s">
        <v>242</v>
      </c>
      <c r="I28" s="15" t="str">
        <f>"14-IncentivePlant, L "&amp;'14-IncentivePlant'!A37&amp;", Col 1"</f>
        <v>14-IncentivePlant, L 12, Col 1</v>
      </c>
      <c r="K28" s="7">
        <f>'14-IncentivePlant'!E37</f>
        <v>221778479.72000003</v>
      </c>
      <c r="M28" s="14"/>
    </row>
    <row r="29" spans="1:13">
      <c r="A29" s="2"/>
      <c r="B29" s="50"/>
      <c r="I29" s="14"/>
      <c r="K29" s="7"/>
      <c r="M29" s="14"/>
    </row>
    <row r="30" spans="1:13">
      <c r="A30" s="2">
        <f>A28+1</f>
        <v>15</v>
      </c>
      <c r="B30" s="50" t="s">
        <v>364</v>
      </c>
      <c r="I30" s="15" t="str">
        <f>"23-RegAssets, Line "&amp;'23-RegAssets'!A17&amp;""</f>
        <v>23-RegAssets, Line 14</v>
      </c>
      <c r="K30" s="63">
        <f>'23-RegAssets'!E17</f>
        <v>0</v>
      </c>
      <c r="M30" s="14"/>
    </row>
    <row r="31" spans="1:13">
      <c r="A31" s="571">
        <f t="shared" ref="A31:A32" si="0">A30+1</f>
        <v>16</v>
      </c>
      <c r="B31" s="871" t="s">
        <v>1981</v>
      </c>
      <c r="C31" s="14"/>
      <c r="D31" s="14"/>
      <c r="E31" s="14"/>
      <c r="F31" s="14"/>
      <c r="G31" s="14"/>
      <c r="H31" s="14"/>
      <c r="I31" s="15" t="str">
        <f>"34-UnfundedReserves, Line "&amp;'34-UnfundedReserves'!A9&amp;""</f>
        <v>34-UnfundedReserves, Line 6</v>
      </c>
      <c r="J31" s="14"/>
      <c r="K31" s="63">
        <f>'34-UnfundedReserves'!K9</f>
        <v>-10717922.245167419</v>
      </c>
      <c r="M31" s="14"/>
    </row>
    <row r="32" spans="1:13">
      <c r="A32" s="571">
        <f t="shared" si="0"/>
        <v>17</v>
      </c>
      <c r="B32" s="871" t="s">
        <v>55</v>
      </c>
      <c r="C32" s="14"/>
      <c r="D32" s="14"/>
      <c r="E32" s="14"/>
      <c r="F32" s="14"/>
      <c r="G32" s="14"/>
      <c r="H32" s="14" t="s">
        <v>151</v>
      </c>
      <c r="I32" s="15" t="str">
        <f>"22-NUCs, Line "&amp;'22-NUCs'!A11&amp;""</f>
        <v>22-NUCs, Line 4</v>
      </c>
      <c r="J32" s="14"/>
      <c r="K32" s="63">
        <f>-'22-NUCs'!E11</f>
        <v>-93345104.709999993</v>
      </c>
      <c r="M32" s="14"/>
    </row>
    <row r="33" spans="1:13">
      <c r="A33" s="111"/>
      <c r="B33" s="871"/>
      <c r="C33" s="14"/>
      <c r="D33" s="14"/>
      <c r="E33" s="14"/>
      <c r="F33" s="14"/>
      <c r="G33" s="14"/>
      <c r="H33" s="14"/>
      <c r="I33" s="14"/>
      <c r="J33" s="14"/>
      <c r="K33" s="14"/>
      <c r="M33" s="14"/>
    </row>
    <row r="34" spans="1:13">
      <c r="A34" s="571">
        <f>A32+1</f>
        <v>18</v>
      </c>
      <c r="B34" s="14" t="s">
        <v>173</v>
      </c>
      <c r="C34" s="14"/>
      <c r="D34" s="14"/>
      <c r="E34" s="14"/>
      <c r="F34" s="14"/>
      <c r="G34" s="14"/>
      <c r="H34" s="14"/>
      <c r="I34" s="15" t="str">
        <f>"L"&amp;A9&amp;" + L"&amp;A10&amp;" + L"&amp;A11&amp;" + L"&amp;A12&amp;" + L"&amp;A18&amp;" + L"&amp;A24&amp;" +"</f>
        <v>L1 + L2 + L3 + L4 + L8 + L12 +</v>
      </c>
      <c r="J34" s="14"/>
      <c r="K34" s="63">
        <f>K9+K10+K11+K12+K18+K24+K26+K28+K30+K31+K32</f>
        <v>5624393272.5034904</v>
      </c>
      <c r="M34" s="14"/>
    </row>
    <row r="35" spans="1:13">
      <c r="A35" s="111"/>
      <c r="B35" s="14"/>
      <c r="C35" s="14"/>
      <c r="D35" s="14"/>
      <c r="E35" s="14"/>
      <c r="F35" s="14"/>
      <c r="G35" s="14"/>
      <c r="H35" s="14"/>
      <c r="I35" s="110" t="str">
        <f>"L"&amp;A26&amp;" + L"&amp;A28&amp;"+ L"&amp;A30&amp;"+ L"&amp;A31&amp;" + L"&amp;A32&amp;""</f>
        <v>L13 + L14+ L15+ L16 + L17</v>
      </c>
      <c r="J35" s="14"/>
      <c r="K35" s="63"/>
      <c r="M35" s="14"/>
    </row>
    <row r="36" spans="1:13">
      <c r="M36" s="14"/>
    </row>
    <row r="37" spans="1:13">
      <c r="A37" s="10" t="s">
        <v>253</v>
      </c>
      <c r="B37" s="11"/>
      <c r="C37" s="11"/>
      <c r="D37" s="11"/>
      <c r="E37" s="11"/>
      <c r="F37" s="11"/>
      <c r="G37" s="11"/>
      <c r="H37" s="9"/>
      <c r="I37" s="9"/>
      <c r="J37" s="9"/>
      <c r="K37" s="9"/>
      <c r="M37" s="14"/>
    </row>
    <row r="38" spans="1:13">
      <c r="M38" s="14"/>
    </row>
    <row r="39" spans="1:13">
      <c r="A39" s="2">
        <f>A34+1</f>
        <v>19</v>
      </c>
      <c r="B39" s="479" t="s">
        <v>1778</v>
      </c>
      <c r="C39" s="14"/>
      <c r="D39" s="14"/>
      <c r="H39" s="1005" t="s">
        <v>2614</v>
      </c>
      <c r="I39" s="477" t="s">
        <v>2325</v>
      </c>
      <c r="K39" s="6">
        <v>298376268</v>
      </c>
      <c r="L39" s="479"/>
      <c r="M39" s="14"/>
    </row>
    <row r="40" spans="1:13">
      <c r="A40" s="2">
        <f>A39+1</f>
        <v>20</v>
      </c>
      <c r="B40" s="114" t="s">
        <v>57</v>
      </c>
      <c r="C40" s="14"/>
      <c r="D40" s="14"/>
      <c r="H40" s="999"/>
      <c r="I40" s="15" t="str">
        <f>"27-Allocators, Line "&amp;'27-Allocators'!A27&amp;""</f>
        <v>27-Allocators, Line 22</v>
      </c>
      <c r="K40" s="8">
        <f>'27-Allocators'!G27</f>
        <v>0.19148424914638884</v>
      </c>
      <c r="L40" s="14"/>
      <c r="M40" s="14"/>
    </row>
    <row r="41" spans="1:13">
      <c r="A41" s="2">
        <f>A40+1</f>
        <v>21</v>
      </c>
      <c r="B41" s="14" t="s">
        <v>60</v>
      </c>
      <c r="C41" s="14"/>
      <c r="D41" s="14"/>
      <c r="H41" s="999"/>
      <c r="I41" s="15" t="str">
        <f>"Line "&amp;A39&amp;" * Line "&amp;A40&amp;""</f>
        <v>Line 19 * Line 20</v>
      </c>
      <c r="K41" s="7">
        <f>K39*K40</f>
        <v>57134355.641081691</v>
      </c>
      <c r="L41" s="14"/>
      <c r="M41" s="14"/>
    </row>
    <row r="42" spans="1:13">
      <c r="A42" s="2" t="s">
        <v>330</v>
      </c>
      <c r="B42" s="14"/>
      <c r="C42" s="14"/>
      <c r="D42" s="14"/>
      <c r="H42" s="477"/>
      <c r="I42" s="14"/>
      <c r="K42" s="8"/>
      <c r="L42" s="14"/>
      <c r="M42" s="14"/>
    </row>
    <row r="43" spans="1:13">
      <c r="A43" s="2">
        <f>A41+1</f>
        <v>22</v>
      </c>
      <c r="B43" s="15" t="s">
        <v>254</v>
      </c>
      <c r="C43" s="14"/>
      <c r="D43" s="14"/>
      <c r="H43" s="999"/>
      <c r="I43" s="14"/>
      <c r="K43" s="8"/>
      <c r="L43" s="14"/>
      <c r="M43" s="14"/>
    </row>
    <row r="44" spans="1:13">
      <c r="A44" s="2">
        <f t="shared" ref="A44:A56" si="1">A43+1</f>
        <v>23</v>
      </c>
      <c r="B44" s="114" t="s">
        <v>16</v>
      </c>
      <c r="C44" s="14"/>
      <c r="D44" s="14"/>
      <c r="E44" s="1"/>
      <c r="F44" s="1"/>
      <c r="G44" s="1"/>
      <c r="H44" s="999"/>
      <c r="I44" s="15" t="str">
        <f>"Line "&amp;A45&amp;" + Line "&amp;A46&amp;"+ Line "&amp;A47&amp;""</f>
        <v>Line 24 + Line 25+ Line 26</v>
      </c>
      <c r="K44" s="63">
        <f>SUM(K45:K47)</f>
        <v>106921364</v>
      </c>
      <c r="L44" s="14"/>
      <c r="M44" s="14"/>
    </row>
    <row r="45" spans="1:13">
      <c r="A45" s="2">
        <f t="shared" si="1"/>
        <v>24</v>
      </c>
      <c r="B45" s="377" t="s">
        <v>39</v>
      </c>
      <c r="C45" s="14"/>
      <c r="D45" s="14"/>
      <c r="E45" s="1"/>
      <c r="F45" s="1"/>
      <c r="G45" s="1"/>
      <c r="H45" s="1005" t="s">
        <v>2609</v>
      </c>
      <c r="I45" s="477" t="s">
        <v>2325</v>
      </c>
      <c r="K45" s="6">
        <v>106811420</v>
      </c>
      <c r="L45" s="479"/>
      <c r="M45" s="14"/>
    </row>
    <row r="46" spans="1:13">
      <c r="A46" s="2">
        <f t="shared" si="1"/>
        <v>25</v>
      </c>
      <c r="B46" s="377" t="s">
        <v>40</v>
      </c>
      <c r="C46" s="14"/>
      <c r="D46" s="14"/>
      <c r="E46" s="1"/>
      <c r="F46" s="1"/>
      <c r="G46" s="1"/>
      <c r="H46" s="1005" t="s">
        <v>2610</v>
      </c>
      <c r="I46" s="477" t="s">
        <v>2325</v>
      </c>
      <c r="K46" s="6">
        <v>80115</v>
      </c>
      <c r="L46" s="479"/>
      <c r="M46" s="14"/>
    </row>
    <row r="47" spans="1:13">
      <c r="A47" s="2">
        <f t="shared" si="1"/>
        <v>26</v>
      </c>
      <c r="B47" s="377" t="s">
        <v>41</v>
      </c>
      <c r="C47" s="14"/>
      <c r="D47" s="14"/>
      <c r="E47" s="1"/>
      <c r="F47" s="1"/>
      <c r="G47" s="1"/>
      <c r="H47" s="1005" t="s">
        <v>2611</v>
      </c>
      <c r="I47" s="477" t="s">
        <v>2325</v>
      </c>
      <c r="K47" s="6">
        <v>29829</v>
      </c>
      <c r="L47" s="479"/>
      <c r="M47" s="14"/>
    </row>
    <row r="48" spans="1:13">
      <c r="A48" s="2">
        <f t="shared" si="1"/>
        <v>27</v>
      </c>
      <c r="B48" s="476" t="s">
        <v>1779</v>
      </c>
      <c r="C48" s="14"/>
      <c r="D48" s="14"/>
      <c r="H48" s="1005" t="s">
        <v>2612</v>
      </c>
      <c r="I48" s="477" t="s">
        <v>2325</v>
      </c>
      <c r="K48" s="6">
        <v>5909370</v>
      </c>
      <c r="L48" s="479"/>
      <c r="M48" s="14"/>
    </row>
    <row r="49" spans="1:13">
      <c r="A49" s="2">
        <f t="shared" si="1"/>
        <v>28</v>
      </c>
      <c r="B49" s="114" t="s">
        <v>1780</v>
      </c>
      <c r="C49" s="14"/>
      <c r="D49" s="14"/>
      <c r="H49" s="1005" t="s">
        <v>2613</v>
      </c>
      <c r="I49" s="477" t="s">
        <v>2325</v>
      </c>
      <c r="K49" s="6">
        <v>2620285</v>
      </c>
      <c r="L49" s="479"/>
      <c r="M49" s="14"/>
    </row>
    <row r="50" spans="1:13">
      <c r="A50" s="556">
        <f t="shared" si="1"/>
        <v>29</v>
      </c>
      <c r="B50" s="114" t="s">
        <v>1638</v>
      </c>
      <c r="C50" s="14"/>
      <c r="D50" s="14"/>
      <c r="H50" s="1005" t="s">
        <v>2615</v>
      </c>
      <c r="I50" s="477" t="s">
        <v>2325</v>
      </c>
      <c r="K50" s="6">
        <v>1555582</v>
      </c>
      <c r="L50" s="479"/>
      <c r="M50" s="14"/>
    </row>
    <row r="51" spans="1:13">
      <c r="A51" s="556">
        <f t="shared" si="1"/>
        <v>30</v>
      </c>
      <c r="B51" s="114" t="s">
        <v>1781</v>
      </c>
      <c r="C51" s="14"/>
      <c r="D51" s="14"/>
      <c r="H51" s="1005" t="s">
        <v>2616</v>
      </c>
      <c r="I51" s="477" t="s">
        <v>2325</v>
      </c>
      <c r="K51" s="6">
        <v>42940</v>
      </c>
      <c r="L51" s="479"/>
      <c r="M51" s="14"/>
    </row>
    <row r="52" spans="1:13">
      <c r="A52" s="556">
        <f t="shared" si="1"/>
        <v>31</v>
      </c>
      <c r="B52" t="s">
        <v>61</v>
      </c>
      <c r="I52" s="15" t="str">
        <f>"Line "&amp;A44&amp;" + (Line "&amp;A48&amp;" to Line "&amp;A51&amp;")"</f>
        <v>Line 23 + (Line 27 to Line 30)</v>
      </c>
      <c r="K52" s="7">
        <f>K44+K48+K49+K50+K51</f>
        <v>117049541</v>
      </c>
      <c r="M52" s="14"/>
    </row>
    <row r="53" spans="1:13">
      <c r="A53" s="556">
        <f t="shared" si="1"/>
        <v>32</v>
      </c>
      <c r="B53" s="479" t="s">
        <v>1639</v>
      </c>
      <c r="C53" s="14"/>
      <c r="D53" s="14"/>
      <c r="E53" s="14"/>
      <c r="F53" s="14"/>
      <c r="G53" s="14"/>
      <c r="H53" s="479"/>
      <c r="I53" s="479" t="str">
        <f>"26-TaxRates, Line "&amp;'26-TaxRates'!A22&amp;""</f>
        <v>26-TaxRates, Line 16</v>
      </c>
      <c r="K53" s="235">
        <f>'26-TaxRates'!F22</f>
        <v>46585717.318000004</v>
      </c>
      <c r="M53" s="14"/>
    </row>
    <row r="54" spans="1:13">
      <c r="A54" s="556">
        <f t="shared" si="1"/>
        <v>33</v>
      </c>
      <c r="B54" s="14" t="s">
        <v>1326</v>
      </c>
      <c r="C54" s="14"/>
      <c r="D54" s="14"/>
      <c r="E54" s="14"/>
      <c r="F54" s="14"/>
      <c r="G54" s="14"/>
      <c r="I54" s="15" t="str">
        <f>"Line "&amp;A52&amp;" - Line "&amp;A53&amp;""</f>
        <v>Line 31 - Line 32</v>
      </c>
      <c r="K54" s="7">
        <f>K52-K53</f>
        <v>70463823.681999996</v>
      </c>
      <c r="M54" s="14"/>
    </row>
    <row r="55" spans="1:13">
      <c r="A55" s="556">
        <f t="shared" si="1"/>
        <v>34</v>
      </c>
      <c r="B55" s="13" t="s">
        <v>93</v>
      </c>
      <c r="I55" s="15" t="str">
        <f>"27-Allocators, Line "&amp;'27-Allocators'!A14&amp;""</f>
        <v>27-Allocators, Line 9</v>
      </c>
      <c r="K55" s="8">
        <f>'27-Allocators'!G14</f>
        <v>6.0143362776597958E-2</v>
      </c>
      <c r="M55" s="14"/>
    </row>
    <row r="56" spans="1:13">
      <c r="A56" s="556">
        <f t="shared" si="1"/>
        <v>35</v>
      </c>
      <c r="B56" s="50" t="s">
        <v>254</v>
      </c>
      <c r="I56" s="15" t="str">
        <f>"Line "&amp;A54&amp;" * Line "&amp;A55&amp;""</f>
        <v>Line 33 * Line 34</v>
      </c>
      <c r="K56" s="7">
        <f>K54*K55</f>
        <v>4237931.3103327602</v>
      </c>
      <c r="M56" s="14"/>
    </row>
    <row r="57" spans="1:13">
      <c r="A57" s="2"/>
      <c r="K57" s="7"/>
      <c r="M57" s="14"/>
    </row>
    <row r="58" spans="1:13">
      <c r="A58" s="2">
        <f>A56+1</f>
        <v>36</v>
      </c>
      <c r="B58" s="12" t="s">
        <v>79</v>
      </c>
      <c r="H58" s="477" t="s">
        <v>361</v>
      </c>
      <c r="I58" s="12" t="str">
        <f>"Line "&amp;A41&amp;" + Line "&amp;A56&amp;""</f>
        <v>Line 21 + Line 35</v>
      </c>
      <c r="K58" s="7">
        <f>K41+K56</f>
        <v>61372286.951414451</v>
      </c>
      <c r="M58" s="14"/>
    </row>
    <row r="59" spans="1:13">
      <c r="M59" s="14"/>
    </row>
    <row r="60" spans="1:13">
      <c r="A60" s="10" t="s">
        <v>177</v>
      </c>
      <c r="B60" s="11"/>
      <c r="C60" s="11"/>
      <c r="D60" s="11"/>
      <c r="E60" s="11"/>
      <c r="F60" s="11"/>
      <c r="G60" s="11"/>
      <c r="H60" s="9"/>
      <c r="I60" s="9"/>
      <c r="J60" s="9"/>
      <c r="K60" s="9"/>
      <c r="M60" s="14"/>
    </row>
    <row r="61" spans="1:13">
      <c r="A61" s="44"/>
      <c r="B61" s="15"/>
      <c r="C61" s="15"/>
      <c r="D61" s="15"/>
      <c r="E61" s="15"/>
      <c r="F61" s="15"/>
      <c r="G61" s="15"/>
      <c r="H61" s="15"/>
      <c r="I61" s="15"/>
      <c r="J61" s="15"/>
      <c r="K61" s="15"/>
      <c r="M61" s="14"/>
    </row>
    <row r="62" spans="1:13">
      <c r="A62" s="106"/>
      <c r="B62" s="45" t="s">
        <v>26</v>
      </c>
      <c r="C62" s="15"/>
      <c r="D62" s="15"/>
      <c r="E62" s="15"/>
      <c r="F62" s="15"/>
      <c r="G62" s="15"/>
      <c r="H62" s="15"/>
      <c r="I62" s="15"/>
      <c r="J62" s="15"/>
      <c r="K62" s="15"/>
      <c r="M62" s="14"/>
    </row>
    <row r="63" spans="1:13">
      <c r="A63" s="111">
        <f>A58+1</f>
        <v>37</v>
      </c>
      <c r="B63" s="15" t="s">
        <v>209</v>
      </c>
      <c r="C63" s="15"/>
      <c r="D63" s="15"/>
      <c r="E63" s="15"/>
      <c r="F63" s="15"/>
      <c r="G63" s="15"/>
      <c r="H63" s="15"/>
      <c r="I63" s="15" t="str">
        <f>"5-ROR-1, Line "&amp;'5-ROR-1'!A20&amp;""</f>
        <v>5-ROR-1, Line 13</v>
      </c>
      <c r="J63" s="15"/>
      <c r="K63" s="47">
        <f>'5-ROR-1'!L20</f>
        <v>10746567193.02977</v>
      </c>
      <c r="M63" s="14"/>
    </row>
    <row r="64" spans="1:13">
      <c r="A64" s="2">
        <f>A63+1</f>
        <v>38</v>
      </c>
      <c r="B64" s="15" t="s">
        <v>255</v>
      </c>
      <c r="C64" s="15"/>
      <c r="D64" s="15"/>
      <c r="E64" s="15"/>
      <c r="F64" s="15"/>
      <c r="G64" s="15"/>
      <c r="H64" s="15"/>
      <c r="I64" s="479" t="str">
        <f>"Line "&amp;A63&amp;" * Line "&amp;A65&amp;""</f>
        <v>Line 37 * Line 39</v>
      </c>
      <c r="J64" s="479"/>
      <c r="K64" s="491">
        <f>K63*K65</f>
        <v>519339120.83870655</v>
      </c>
      <c r="M64" s="14"/>
    </row>
    <row r="65" spans="1:13">
      <c r="A65" s="2">
        <f>A64+1</f>
        <v>39</v>
      </c>
      <c r="B65" s="15" t="s">
        <v>256</v>
      </c>
      <c r="C65" s="15"/>
      <c r="D65" s="15"/>
      <c r="E65" s="15"/>
      <c r="F65" s="15"/>
      <c r="G65" s="15"/>
      <c r="I65" s="479" t="str">
        <f>"5-ROR-3, Line "&amp;'5-ROR-3'!A17&amp;""</f>
        <v>5-ROR-3, Line 12</v>
      </c>
      <c r="J65" s="15"/>
      <c r="K65" s="403">
        <f>'5-ROR-3'!E17</f>
        <v>4.8326047891418783E-2</v>
      </c>
      <c r="M65" s="14"/>
    </row>
    <row r="66" spans="1:13">
      <c r="A66" s="111"/>
      <c r="B66" s="15"/>
      <c r="C66" s="15"/>
      <c r="D66" s="15"/>
      <c r="E66" s="15"/>
      <c r="F66" s="15"/>
      <c r="G66" s="15"/>
      <c r="I66" s="15"/>
      <c r="J66" s="15"/>
      <c r="K66" s="48"/>
      <c r="M66" s="14"/>
    </row>
    <row r="67" spans="1:13">
      <c r="A67" s="111"/>
      <c r="B67" s="45" t="s">
        <v>27</v>
      </c>
      <c r="C67" s="15"/>
      <c r="D67" s="15"/>
      <c r="E67" s="15"/>
      <c r="F67" s="15"/>
      <c r="G67" s="15"/>
      <c r="H67" s="15"/>
      <c r="I67" s="15"/>
      <c r="J67" s="15"/>
      <c r="K67" s="15"/>
      <c r="M67" s="14"/>
    </row>
    <row r="68" spans="1:13">
      <c r="A68" s="111">
        <f>A65+1</f>
        <v>40</v>
      </c>
      <c r="B68" s="479" t="s">
        <v>47</v>
      </c>
      <c r="C68" s="15"/>
      <c r="D68" s="15"/>
      <c r="E68" s="15"/>
      <c r="F68" s="15"/>
      <c r="G68" s="15"/>
      <c r="H68" s="15"/>
      <c r="I68" s="479" t="str">
        <f>"5-ROR-1, Line "&amp;'5-ROR-1'!A26&amp;""</f>
        <v>5-ROR-1, Line 17</v>
      </c>
      <c r="J68" s="479"/>
      <c r="K68" s="491">
        <f>'5-ROR-1'!L26</f>
        <v>2224620928.7883053</v>
      </c>
      <c r="M68" s="14"/>
    </row>
    <row r="69" spans="1:13">
      <c r="A69" s="2">
        <f>A68+1</f>
        <v>41</v>
      </c>
      <c r="B69" s="479" t="s">
        <v>25</v>
      </c>
      <c r="C69" s="15"/>
      <c r="D69" s="15"/>
      <c r="E69" s="15"/>
      <c r="F69" s="15"/>
      <c r="G69" s="15"/>
      <c r="H69" s="15"/>
      <c r="I69" s="479" t="s">
        <v>2567</v>
      </c>
      <c r="J69" s="479"/>
      <c r="K69" s="491">
        <f>K68*K70</f>
        <v>126985859.63280323</v>
      </c>
      <c r="M69" s="14"/>
    </row>
    <row r="70" spans="1:13">
      <c r="A70" s="2">
        <f>A69+1</f>
        <v>42</v>
      </c>
      <c r="B70" s="479" t="s">
        <v>43</v>
      </c>
      <c r="C70" s="15"/>
      <c r="D70" s="15"/>
      <c r="E70" s="15"/>
      <c r="F70" s="15"/>
      <c r="G70" s="15"/>
      <c r="I70" s="479" t="str">
        <f>"5-ROR-4, Line "&amp;'5-ROR-4'!A14&amp;""</f>
        <v>5-ROR-4, Line 9</v>
      </c>
      <c r="J70" s="479"/>
      <c r="K70" s="403">
        <f>'5-ROR-4'!E14</f>
        <v>5.7082021475887673E-2</v>
      </c>
      <c r="M70" s="14"/>
    </row>
    <row r="71" spans="1:13">
      <c r="A71" s="111"/>
      <c r="B71" s="15"/>
      <c r="C71" s="15"/>
      <c r="D71" s="15"/>
      <c r="E71" s="15"/>
      <c r="F71" s="15"/>
      <c r="G71" s="15"/>
      <c r="I71" s="15"/>
      <c r="J71" s="15"/>
      <c r="K71" s="48"/>
      <c r="M71" s="14"/>
    </row>
    <row r="72" spans="1:13">
      <c r="A72" s="111"/>
      <c r="B72" s="45" t="s">
        <v>28</v>
      </c>
      <c r="C72" s="15"/>
      <c r="D72" s="15"/>
      <c r="E72" s="15"/>
      <c r="F72" s="15"/>
      <c r="G72" s="15"/>
      <c r="H72" s="15"/>
      <c r="I72" s="15"/>
      <c r="J72" s="15"/>
      <c r="K72" s="15"/>
      <c r="M72" s="14"/>
    </row>
    <row r="73" spans="1:13">
      <c r="A73" s="111">
        <f>A70+1</f>
        <v>43</v>
      </c>
      <c r="B73" s="15" t="s">
        <v>44</v>
      </c>
      <c r="C73" s="15"/>
      <c r="D73" s="15"/>
      <c r="E73" s="15"/>
      <c r="F73" s="15"/>
      <c r="G73" s="15"/>
      <c r="H73" s="15"/>
      <c r="I73" s="479" t="str">
        <f>"5-ROR-1, Line "&amp;'5-ROR-1'!A34&amp;""</f>
        <v>5-ROR-1, Line 23</v>
      </c>
      <c r="J73" s="479"/>
      <c r="K73" s="491">
        <f>'5-ROR-1'!L34</f>
        <v>12575222879.990946</v>
      </c>
      <c r="M73" s="14"/>
    </row>
    <row r="74" spans="1:13">
      <c r="A74" s="111"/>
      <c r="B74" s="15"/>
      <c r="C74" s="15"/>
      <c r="D74" s="15"/>
      <c r="E74" s="15"/>
      <c r="F74" s="15"/>
      <c r="G74" s="15"/>
      <c r="H74" s="15"/>
      <c r="I74" s="64"/>
      <c r="J74" s="15"/>
      <c r="K74" s="15"/>
      <c r="M74" s="14"/>
    </row>
    <row r="75" spans="1:13">
      <c r="A75" s="2">
        <f>A73+1</f>
        <v>44</v>
      </c>
      <c r="B75" s="15" t="s">
        <v>46</v>
      </c>
      <c r="C75" s="15"/>
      <c r="D75" s="15"/>
      <c r="E75" s="15"/>
      <c r="F75" s="15"/>
      <c r="G75" s="15"/>
      <c r="H75" s="15"/>
      <c r="I75" s="12" t="str">
        <f>"Line "&amp;A63&amp;" + Line "&amp;A68&amp;" + Line "&amp;A73&amp;""</f>
        <v>Line 37 + Line 40 + Line 43</v>
      </c>
      <c r="J75" s="15"/>
      <c r="K75" s="47">
        <f>K63+K68+K73</f>
        <v>25546411001.809021</v>
      </c>
      <c r="M75" s="14"/>
    </row>
    <row r="76" spans="1:13">
      <c r="A76" s="111"/>
      <c r="B76" s="46"/>
      <c r="C76" s="15"/>
      <c r="D76" s="15"/>
      <c r="E76" s="15"/>
      <c r="F76" s="15"/>
      <c r="G76" s="15"/>
      <c r="I76" s="15"/>
      <c r="J76" s="15"/>
      <c r="K76" s="47"/>
      <c r="M76" s="14"/>
    </row>
    <row r="77" spans="1:13">
      <c r="A77" s="111"/>
      <c r="B77" s="45" t="s">
        <v>48</v>
      </c>
      <c r="C77" s="15"/>
      <c r="D77" s="15"/>
      <c r="E77" s="15"/>
      <c r="F77" s="15"/>
      <c r="G77" s="15"/>
      <c r="H77" s="15"/>
      <c r="I77" s="15"/>
      <c r="J77" s="15"/>
      <c r="K77" s="15"/>
      <c r="M77" s="14"/>
    </row>
    <row r="78" spans="1:13">
      <c r="A78" s="111">
        <f>A75+1</f>
        <v>45</v>
      </c>
      <c r="B78" s="15" t="s">
        <v>257</v>
      </c>
      <c r="C78" s="15"/>
      <c r="D78" s="15"/>
      <c r="E78" s="15"/>
      <c r="F78" s="15"/>
      <c r="G78" s="15"/>
      <c r="H78" s="15"/>
      <c r="I78" s="12" t="str">
        <f>"Line "&amp;A63&amp;" / Line "&amp;A75&amp;""</f>
        <v>Line 37 / Line 44</v>
      </c>
      <c r="J78" s="15"/>
      <c r="K78" s="48">
        <f>K63/K75</f>
        <v>0.42066837460137835</v>
      </c>
      <c r="M78" s="14"/>
    </row>
    <row r="79" spans="1:13">
      <c r="A79" s="2">
        <f>A78+1</f>
        <v>46</v>
      </c>
      <c r="B79" s="479" t="s">
        <v>258</v>
      </c>
      <c r="C79" s="15"/>
      <c r="D79" s="15"/>
      <c r="E79" s="15"/>
      <c r="F79" s="15"/>
      <c r="G79" s="15"/>
      <c r="H79" s="15"/>
      <c r="I79" s="12" t="str">
        <f>"Line "&amp;A68&amp;" / Line "&amp;A75&amp;""</f>
        <v>Line 40 / Line 44</v>
      </c>
      <c r="J79" s="15"/>
      <c r="K79" s="48">
        <f>K68/K75</f>
        <v>8.7081544590775314E-2</v>
      </c>
      <c r="M79" s="14"/>
    </row>
    <row r="80" spans="1:13">
      <c r="A80" s="2">
        <f>A79+1</f>
        <v>47</v>
      </c>
      <c r="B80" s="15" t="s">
        <v>49</v>
      </c>
      <c r="C80" s="15"/>
      <c r="D80" s="15"/>
      <c r="E80" s="15"/>
      <c r="F80" s="15"/>
      <c r="G80" s="15"/>
      <c r="H80" s="15"/>
      <c r="I80" s="12" t="str">
        <f>"Line "&amp;A73&amp;" / Line "&amp;A75&amp;""</f>
        <v>Line 43 / Line 44</v>
      </c>
      <c r="J80" s="15"/>
      <c r="K80" s="49">
        <f>K73/K75</f>
        <v>0.49225008080784638</v>
      </c>
      <c r="M80" s="14"/>
    </row>
    <row r="81" spans="1:13">
      <c r="A81" s="111"/>
      <c r="B81" s="15"/>
      <c r="C81" s="15"/>
      <c r="D81" s="15"/>
      <c r="E81" s="15"/>
      <c r="F81" s="15"/>
      <c r="G81" s="15"/>
      <c r="H81" s="15"/>
      <c r="I81" s="12" t="str">
        <f>"Line "&amp;A78&amp;" + Line "&amp;A79&amp;"+ Line "&amp;A80&amp;""</f>
        <v>Line 45 + Line 46+ Line 47</v>
      </c>
      <c r="J81" s="15"/>
      <c r="K81" s="48">
        <f>SUM(K78:K80)</f>
        <v>1</v>
      </c>
      <c r="M81" s="14"/>
    </row>
    <row r="82" spans="1:13">
      <c r="A82" s="111"/>
      <c r="B82" s="45" t="s">
        <v>220</v>
      </c>
      <c r="C82" s="15"/>
      <c r="D82" s="15"/>
      <c r="E82" s="15"/>
      <c r="F82" s="15"/>
      <c r="G82" s="15"/>
      <c r="H82" s="15"/>
      <c r="I82" s="15"/>
      <c r="J82" s="15"/>
      <c r="K82" s="48"/>
      <c r="M82" s="14"/>
    </row>
    <row r="83" spans="1:13">
      <c r="A83" s="111">
        <f>A80+1</f>
        <v>48</v>
      </c>
      <c r="B83" s="15" t="s">
        <v>256</v>
      </c>
      <c r="C83" s="15"/>
      <c r="D83" s="15"/>
      <c r="E83" s="15"/>
      <c r="F83" s="15"/>
      <c r="G83" s="15"/>
      <c r="I83" s="12" t="str">
        <f>"Line "&amp;A65&amp;""</f>
        <v>Line 39</v>
      </c>
      <c r="J83" s="15"/>
      <c r="K83" s="48">
        <f>K65</f>
        <v>4.8326047891418783E-2</v>
      </c>
      <c r="M83" s="14"/>
    </row>
    <row r="84" spans="1:13">
      <c r="A84" s="2">
        <f>A83+1</f>
        <v>49</v>
      </c>
      <c r="B84" s="479" t="s">
        <v>43</v>
      </c>
      <c r="C84" s="15"/>
      <c r="D84" s="15"/>
      <c r="E84" s="15"/>
      <c r="F84" s="15"/>
      <c r="G84" s="15"/>
      <c r="I84" s="12" t="str">
        <f>"Line "&amp;A70&amp;""</f>
        <v>Line 42</v>
      </c>
      <c r="J84" s="15"/>
      <c r="K84" s="48">
        <f>K70</f>
        <v>5.7082021475887673E-2</v>
      </c>
      <c r="M84" s="14"/>
    </row>
    <row r="85" spans="1:13">
      <c r="A85" s="2">
        <f>A84+1</f>
        <v>50</v>
      </c>
      <c r="B85" s="479" t="s">
        <v>1732</v>
      </c>
      <c r="C85" s="15"/>
      <c r="D85" s="15"/>
      <c r="E85" s="15"/>
      <c r="F85" s="15"/>
      <c r="G85" s="15"/>
      <c r="H85" s="477" t="s">
        <v>362</v>
      </c>
      <c r="I85" s="15" t="s">
        <v>213</v>
      </c>
      <c r="J85" s="15"/>
      <c r="K85" s="964">
        <v>0.1762</v>
      </c>
      <c r="M85" s="14"/>
    </row>
    <row r="86" spans="1:13">
      <c r="A86" s="111"/>
      <c r="B86" s="15"/>
      <c r="C86" s="15"/>
      <c r="D86" s="15"/>
      <c r="E86" s="15"/>
      <c r="F86" s="15"/>
      <c r="G86" s="15"/>
      <c r="I86" s="69"/>
      <c r="J86" s="15"/>
      <c r="K86" s="48"/>
      <c r="M86" s="14"/>
    </row>
    <row r="87" spans="1:13">
      <c r="A87" s="111"/>
      <c r="B87" s="45" t="s">
        <v>261</v>
      </c>
      <c r="C87" s="15"/>
      <c r="D87" s="15"/>
      <c r="E87" s="15"/>
      <c r="F87" s="15"/>
      <c r="G87" s="15"/>
      <c r="H87" s="15"/>
      <c r="I87" s="15"/>
      <c r="J87" s="15"/>
      <c r="K87" s="15"/>
      <c r="M87" s="14"/>
    </row>
    <row r="88" spans="1:13">
      <c r="A88" s="111">
        <f>A85+1</f>
        <v>51</v>
      </c>
      <c r="B88" s="15" t="s">
        <v>50</v>
      </c>
      <c r="C88" s="15"/>
      <c r="D88" s="15"/>
      <c r="E88" s="15"/>
      <c r="F88" s="15"/>
      <c r="G88" s="15"/>
      <c r="I88" s="12" t="str">
        <f>"Line "&amp;A65&amp;" * Line "&amp;A78&amp;""</f>
        <v>Line 39 * Line 45</v>
      </c>
      <c r="J88" s="15"/>
      <c r="K88" s="48">
        <f>K65*K78</f>
        <v>2.0329240017391507E-2</v>
      </c>
      <c r="M88" s="14"/>
    </row>
    <row r="89" spans="1:13">
      <c r="A89" s="2">
        <f>A88+1</f>
        <v>52</v>
      </c>
      <c r="B89" s="479" t="s">
        <v>51</v>
      </c>
      <c r="C89" s="15"/>
      <c r="D89" s="15"/>
      <c r="E89" s="15"/>
      <c r="F89" s="15"/>
      <c r="G89" s="15"/>
      <c r="I89" s="12" t="str">
        <f>"Line "&amp;A70&amp;" * Line "&amp;A79&amp;""</f>
        <v>Line 42 * Line 46</v>
      </c>
      <c r="J89" s="15"/>
      <c r="K89" s="48">
        <f>K70*K79</f>
        <v>4.9707905984841061E-3</v>
      </c>
      <c r="M89" s="14"/>
    </row>
    <row r="90" spans="1:13">
      <c r="A90" s="2">
        <f>A89+1</f>
        <v>53</v>
      </c>
      <c r="B90" s="15" t="s">
        <v>52</v>
      </c>
      <c r="C90" s="15"/>
      <c r="D90" s="15"/>
      <c r="E90" s="15"/>
      <c r="F90" s="15"/>
      <c r="G90" s="15"/>
      <c r="I90" s="12" t="str">
        <f>"Line "&amp;A80&amp;" * Line "&amp;A85&amp;""</f>
        <v>Line 47 * Line 50</v>
      </c>
      <c r="J90" s="15"/>
      <c r="K90" s="49">
        <f>K80*K85</f>
        <v>8.6734464238342524E-2</v>
      </c>
      <c r="M90" s="14"/>
    </row>
    <row r="91" spans="1:13">
      <c r="A91" s="111">
        <f>A90+1</f>
        <v>54</v>
      </c>
      <c r="B91" s="46" t="s">
        <v>53</v>
      </c>
      <c r="C91" s="15"/>
      <c r="D91" s="15"/>
      <c r="E91" s="15"/>
      <c r="F91" s="15"/>
      <c r="G91" s="15"/>
      <c r="H91" s="14"/>
      <c r="I91" s="15" t="str">
        <f>"Line "&amp;A88&amp;" + Line "&amp;A89&amp;" + Line "&amp;A90&amp;""</f>
        <v>Line 51 + Line 52 + Line 53</v>
      </c>
      <c r="J91" s="15"/>
      <c r="K91" s="403">
        <f>SUM(K88:K90)</f>
        <v>0.11203449485421814</v>
      </c>
      <c r="M91" s="14"/>
    </row>
    <row r="92" spans="1:13">
      <c r="A92" s="111"/>
      <c r="B92" s="46"/>
      <c r="C92" s="15"/>
      <c r="D92" s="15"/>
      <c r="E92" s="15"/>
      <c r="F92" s="15"/>
      <c r="G92" s="15"/>
      <c r="I92" s="15"/>
      <c r="J92" s="15"/>
      <c r="K92" s="1148"/>
      <c r="M92" s="14"/>
    </row>
    <row r="93" spans="1:13">
      <c r="A93" s="111">
        <f>A91+1</f>
        <v>55</v>
      </c>
      <c r="B93" s="873" t="s">
        <v>1733</v>
      </c>
      <c r="C93" s="15"/>
      <c r="D93" s="15"/>
      <c r="E93" s="15"/>
      <c r="F93" s="15"/>
      <c r="G93" s="15"/>
      <c r="H93" s="15" t="s">
        <v>215</v>
      </c>
      <c r="I93" s="15" t="str">
        <f>"Line "&amp;A89&amp;" + Line "&amp;A90&amp;""</f>
        <v>Line 52 + Line 53</v>
      </c>
      <c r="J93" s="15"/>
      <c r="K93" s="403">
        <f>K89+K90</f>
        <v>9.1705254836826636E-2</v>
      </c>
      <c r="M93" s="14"/>
    </row>
    <row r="94" spans="1:13">
      <c r="A94" s="111"/>
      <c r="B94" s="15"/>
      <c r="C94" s="15"/>
      <c r="D94" s="15"/>
      <c r="E94" s="15"/>
      <c r="F94" s="15"/>
      <c r="G94" s="15"/>
      <c r="I94" s="15"/>
      <c r="J94" s="15"/>
      <c r="K94" s="1148"/>
      <c r="M94" s="14"/>
    </row>
    <row r="95" spans="1:13">
      <c r="A95" s="2">
        <f>A93+1</f>
        <v>56</v>
      </c>
      <c r="B95" s="15" t="s">
        <v>54</v>
      </c>
      <c r="C95" s="15"/>
      <c r="D95" s="15"/>
      <c r="E95" s="15"/>
      <c r="F95" s="15"/>
      <c r="G95" s="15"/>
      <c r="I95" s="12" t="str">
        <f>"Line "&amp;A34&amp;" * Line "&amp;A91&amp;""</f>
        <v>Line 18 * Line 54</v>
      </c>
      <c r="J95" s="15"/>
      <c r="K95" s="47">
        <f>K34*K91</f>
        <v>630126059.14639139</v>
      </c>
      <c r="M95" s="14"/>
    </row>
    <row r="96" spans="1:13">
      <c r="A96" s="87"/>
      <c r="B96" s="12"/>
      <c r="C96" s="12"/>
      <c r="D96" s="12"/>
      <c r="E96" s="12"/>
      <c r="F96" s="12"/>
      <c r="G96" s="12"/>
      <c r="H96" s="12"/>
      <c r="I96" s="12"/>
      <c r="J96" s="12"/>
      <c r="K96" s="12"/>
      <c r="M96" s="14"/>
    </row>
    <row r="97" spans="1:13">
      <c r="A97" s="12"/>
      <c r="B97" s="12"/>
      <c r="C97" s="12"/>
      <c r="D97" s="12"/>
      <c r="E97" s="12"/>
      <c r="F97" s="12"/>
      <c r="G97" s="12"/>
      <c r="H97" s="12"/>
      <c r="I97" s="12"/>
      <c r="J97" s="12"/>
      <c r="K97" s="12"/>
      <c r="M97" s="14"/>
    </row>
    <row r="98" spans="1:13">
      <c r="A98" s="10" t="s">
        <v>178</v>
      </c>
      <c r="B98" s="11"/>
      <c r="C98" s="11"/>
      <c r="D98" s="11"/>
      <c r="E98" s="11"/>
      <c r="F98" s="11"/>
      <c r="G98" s="11"/>
      <c r="H98" s="9"/>
      <c r="I98" s="9"/>
      <c r="J98" s="9"/>
      <c r="K98" s="9"/>
      <c r="M98" s="14"/>
    </row>
    <row r="99" spans="1:13">
      <c r="M99" s="14"/>
    </row>
    <row r="100" spans="1:13">
      <c r="A100" s="111">
        <f>A95+1</f>
        <v>57</v>
      </c>
      <c r="B100" t="s">
        <v>214</v>
      </c>
      <c r="I100" s="14" t="str">
        <f>"26-Tax Rates, Line "&amp;'26-TaxRates'!A7&amp;""</f>
        <v>26-Tax Rates, Line 1</v>
      </c>
      <c r="K100" s="67">
        <f>'26-TaxRates'!D7</f>
        <v>0.21</v>
      </c>
      <c r="M100" s="14"/>
    </row>
    <row r="101" spans="1:13">
      <c r="A101" s="2">
        <f>A100+1</f>
        <v>58</v>
      </c>
      <c r="B101" s="12" t="s">
        <v>260</v>
      </c>
      <c r="I101" s="14" t="str">
        <f>"26-Tax Rates, Line "&amp;'26-TaxRates'!A14&amp;""</f>
        <v>26-Tax Rates, Line 8</v>
      </c>
      <c r="K101" s="67">
        <f>'26-TaxRates'!D14</f>
        <v>8.8400000000000006E-2</v>
      </c>
      <c r="M101" s="14"/>
    </row>
    <row r="102" spans="1:13">
      <c r="A102" s="2">
        <f>A101+1</f>
        <v>59</v>
      </c>
      <c r="B102" s="12" t="s">
        <v>259</v>
      </c>
      <c r="H102" s="52" t="s">
        <v>1652</v>
      </c>
      <c r="I102" s="12" t="str">
        <f>"(L"&amp;A100&amp;" + L"&amp;A101&amp;") - (L"&amp;A100&amp;" * L"&amp;A101&amp;")"</f>
        <v>(L57 + L58) - (L57 * L58)</v>
      </c>
      <c r="K102" s="8">
        <f>(K100+K101)-(K100*K101)</f>
        <v>0.27983599999999997</v>
      </c>
      <c r="M102" s="14"/>
    </row>
    <row r="103" spans="1:13">
      <c r="A103" s="2"/>
      <c r="K103" s="8"/>
      <c r="M103" s="14"/>
    </row>
    <row r="104" spans="1:13">
      <c r="A104" s="2"/>
      <c r="B104" s="75" t="s">
        <v>262</v>
      </c>
      <c r="K104" s="8"/>
      <c r="M104" s="14"/>
    </row>
    <row r="105" spans="1:13">
      <c r="A105" s="111">
        <f>A102+1</f>
        <v>60</v>
      </c>
      <c r="B105" s="551" t="s">
        <v>2777</v>
      </c>
      <c r="C105" s="14"/>
      <c r="D105" s="14"/>
      <c r="E105" s="14"/>
      <c r="F105" s="14"/>
      <c r="G105" s="14"/>
      <c r="H105" s="477" t="s">
        <v>1170</v>
      </c>
      <c r="I105" s="14"/>
      <c r="K105" s="1023">
        <v>200</v>
      </c>
      <c r="M105" s="14"/>
    </row>
    <row r="106" spans="1:13">
      <c r="A106" s="111">
        <f>A105+1</f>
        <v>61</v>
      </c>
      <c r="B106" s="551" t="s">
        <v>1829</v>
      </c>
      <c r="C106" s="14"/>
      <c r="D106" s="14"/>
      <c r="E106" s="14"/>
      <c r="F106" s="14"/>
      <c r="G106" s="14"/>
      <c r="H106" s="477" t="s">
        <v>1170</v>
      </c>
      <c r="I106" s="14"/>
      <c r="K106" s="1023">
        <v>-520000</v>
      </c>
      <c r="M106" s="14"/>
    </row>
    <row r="107" spans="1:13">
      <c r="A107" s="111">
        <f t="shared" ref="A107:A108" si="2">A106+1</f>
        <v>62</v>
      </c>
      <c r="B107" s="551" t="s">
        <v>1830</v>
      </c>
      <c r="C107" s="14"/>
      <c r="D107" s="14"/>
      <c r="E107" s="14"/>
      <c r="F107" s="14"/>
      <c r="G107" s="14"/>
      <c r="H107" s="477" t="s">
        <v>1170</v>
      </c>
      <c r="I107" s="14"/>
      <c r="K107" s="112">
        <v>2606000</v>
      </c>
      <c r="M107" s="14"/>
    </row>
    <row r="108" spans="1:13">
      <c r="A108" s="111">
        <f t="shared" si="2"/>
        <v>63</v>
      </c>
      <c r="B108" s="13" t="s">
        <v>263</v>
      </c>
      <c r="I108" s="477" t="str">
        <f>"Line "&amp;A105&amp;" + Line "&amp;A106&amp;"+ Line "&amp;A107&amp;""</f>
        <v>Line 60 + Line 61+ Line 62</v>
      </c>
      <c r="K108" s="63">
        <f>SUM(K105:K107)</f>
        <v>2086200</v>
      </c>
      <c r="M108" s="14"/>
    </row>
    <row r="109" spans="1:13">
      <c r="A109" s="1243"/>
      <c r="M109" s="14"/>
    </row>
    <row r="110" spans="1:13">
      <c r="A110" s="111">
        <f>A108+1</f>
        <v>64</v>
      </c>
      <c r="B110" s="12" t="s">
        <v>264</v>
      </c>
      <c r="I110" t="str">
        <f>"Formula on Line "&amp;A112&amp;""</f>
        <v>Formula on Line 65</v>
      </c>
      <c r="K110" s="63">
        <f>(((K34*K93) + K119)*(K102/(1-K102)))+(K108/(1-K102))</f>
        <v>204691114.00136057</v>
      </c>
      <c r="M110" s="14"/>
    </row>
    <row r="111" spans="1:13">
      <c r="A111" s="111"/>
      <c r="M111" s="14"/>
    </row>
    <row r="112" spans="1:13">
      <c r="A112" s="111">
        <f>A110+1</f>
        <v>65</v>
      </c>
      <c r="B112" s="479" t="s">
        <v>2186</v>
      </c>
      <c r="C112" s="479"/>
      <c r="D112" s="479"/>
      <c r="E112" s="479"/>
      <c r="F112" s="479"/>
      <c r="G112" s="479"/>
      <c r="M112" s="14"/>
    </row>
    <row r="113" spans="1:13">
      <c r="A113" s="61"/>
      <c r="I113" s="12"/>
      <c r="M113" s="14"/>
    </row>
    <row r="114" spans="1:13">
      <c r="A114" s="61"/>
      <c r="C114" t="s">
        <v>216</v>
      </c>
      <c r="M114" s="14"/>
    </row>
    <row r="115" spans="1:13">
      <c r="A115" s="61"/>
      <c r="C115" s="114" t="s">
        <v>217</v>
      </c>
      <c r="D115" s="14"/>
      <c r="E115" s="14"/>
      <c r="F115" s="14"/>
      <c r="G115" s="14"/>
      <c r="H115" s="14"/>
      <c r="I115" s="15" t="str">
        <f>"Line "&amp;A34&amp;""</f>
        <v>Line 18</v>
      </c>
      <c r="M115" s="14"/>
    </row>
    <row r="116" spans="1:13">
      <c r="A116" s="61"/>
      <c r="C116" s="476" t="s">
        <v>1734</v>
      </c>
      <c r="D116" s="14"/>
      <c r="E116" s="14"/>
      <c r="F116" s="14"/>
      <c r="G116" s="14"/>
      <c r="H116" s="14"/>
      <c r="I116" s="15" t="str">
        <f>"Line "&amp;A93&amp;""</f>
        <v>Line 55</v>
      </c>
      <c r="M116" s="14"/>
    </row>
    <row r="117" spans="1:13">
      <c r="A117" s="61"/>
      <c r="C117" s="114" t="s">
        <v>218</v>
      </c>
      <c r="D117" s="14"/>
      <c r="E117" s="14"/>
      <c r="F117" s="14"/>
      <c r="G117" s="14"/>
      <c r="H117" s="14"/>
      <c r="I117" s="15" t="str">
        <f>"Line "&amp;A102&amp;""</f>
        <v>Line 59</v>
      </c>
      <c r="M117" s="14"/>
    </row>
    <row r="118" spans="1:13">
      <c r="A118" s="61"/>
      <c r="C118" s="114" t="s">
        <v>219</v>
      </c>
      <c r="D118" s="14"/>
      <c r="E118" s="14"/>
      <c r="F118" s="14"/>
      <c r="G118" s="14"/>
      <c r="H118" s="14"/>
      <c r="I118" s="15" t="str">
        <f>"Line "&amp;A108&amp;""</f>
        <v>Line 63</v>
      </c>
      <c r="M118" s="14"/>
    </row>
    <row r="119" spans="1:13">
      <c r="A119" s="498"/>
      <c r="C119" s="114" t="s">
        <v>1731</v>
      </c>
      <c r="D119" s="14"/>
      <c r="E119" s="14"/>
      <c r="F119" s="14"/>
      <c r="G119" s="14"/>
      <c r="H119" s="14"/>
      <c r="I119" s="14" t="s">
        <v>33</v>
      </c>
      <c r="K119" s="511">
        <v>3535511</v>
      </c>
      <c r="M119" s="14"/>
    </row>
    <row r="120" spans="1:13">
      <c r="M120" s="14"/>
    </row>
    <row r="121" spans="1:13">
      <c r="A121" s="10" t="s">
        <v>62</v>
      </c>
      <c r="B121" s="11"/>
      <c r="C121" s="11"/>
      <c r="D121" s="11"/>
      <c r="E121" s="11"/>
      <c r="F121" s="11"/>
      <c r="G121" s="11"/>
      <c r="H121" s="9"/>
      <c r="I121" s="9"/>
      <c r="J121" s="9"/>
      <c r="K121" s="9"/>
      <c r="M121" s="14"/>
    </row>
    <row r="122" spans="1:13">
      <c r="M122" s="14"/>
    </row>
    <row r="123" spans="1:13">
      <c r="B123" s="75" t="s">
        <v>265</v>
      </c>
      <c r="M123" s="14"/>
    </row>
    <row r="124" spans="1:13">
      <c r="A124" s="111">
        <f>A112+1</f>
        <v>66</v>
      </c>
      <c r="B124" t="s">
        <v>101</v>
      </c>
      <c r="H124" s="16"/>
      <c r="I124" s="14" t="str">
        <f>"19-OandM, Line "&amp;'19-OandM'!A124&amp;", Col. 6"</f>
        <v>19-OandM, Line 91, Col. 6</v>
      </c>
      <c r="K124" s="63">
        <f>'19-OandM'!G124</f>
        <v>77531619.044176176</v>
      </c>
      <c r="M124" s="14"/>
    </row>
    <row r="125" spans="1:13">
      <c r="A125" s="111">
        <f t="shared" ref="A125:A139" si="3">A124+1</f>
        <v>67</v>
      </c>
      <c r="B125" s="12" t="s">
        <v>266</v>
      </c>
      <c r="H125" s="16"/>
      <c r="I125" s="14" t="str">
        <f>"20-AandG, Line "&amp;'20-AandG'!A30&amp;""</f>
        <v>20-AandG, Line 23</v>
      </c>
      <c r="K125" s="63">
        <f>'20-AandG'!F30</f>
        <v>52386524.742972553</v>
      </c>
      <c r="M125" s="14"/>
    </row>
    <row r="126" spans="1:13">
      <c r="A126" s="111">
        <f t="shared" si="3"/>
        <v>68</v>
      </c>
      <c r="B126" t="s">
        <v>56</v>
      </c>
      <c r="H126" s="16"/>
      <c r="I126" s="15" t="str">
        <f>"22-NUCs, Line "&amp;'22-NUCs'!A17&amp;""</f>
        <v>22-NUCs, Line 8</v>
      </c>
      <c r="K126" s="7">
        <f>'22-NUCs'!E17</f>
        <v>6116850.9299999997</v>
      </c>
      <c r="M126" s="14"/>
    </row>
    <row r="127" spans="1:13">
      <c r="A127" s="111">
        <f t="shared" si="3"/>
        <v>69</v>
      </c>
      <c r="B127" s="12" t="s">
        <v>252</v>
      </c>
      <c r="H127" s="16"/>
      <c r="I127" s="14" t="str">
        <f>"17-Depreciation, Line "&amp;'17-Depreciation'!A94&amp;""</f>
        <v>17-Depreciation, Line 70</v>
      </c>
      <c r="K127" s="7">
        <f>'17-Depreciation'!F94</f>
        <v>241415720.66978657</v>
      </c>
      <c r="M127" s="14"/>
    </row>
    <row r="128" spans="1:13">
      <c r="A128" s="111">
        <f t="shared" si="3"/>
        <v>70</v>
      </c>
      <c r="B128" s="12" t="s">
        <v>293</v>
      </c>
      <c r="H128" s="16"/>
      <c r="I128" s="14" t="str">
        <f>"12-AbandonedPlant, Line "&amp;'12-AbandonedPlant'!A18&amp;""</f>
        <v>12-AbandonedPlant, Line 1</v>
      </c>
      <c r="K128" s="7">
        <f>'12-AbandonedPlant'!G18</f>
        <v>0</v>
      </c>
      <c r="M128" s="14"/>
    </row>
    <row r="129" spans="1:13">
      <c r="A129" s="111">
        <f t="shared" si="3"/>
        <v>71</v>
      </c>
      <c r="B129" s="12" t="s">
        <v>79</v>
      </c>
      <c r="H129" s="16"/>
      <c r="I129" s="14" t="str">
        <f>"Line "&amp;A58&amp;""</f>
        <v>Line 36</v>
      </c>
      <c r="K129" s="7">
        <f>K58</f>
        <v>61372286.951414451</v>
      </c>
      <c r="M129" s="14"/>
    </row>
    <row r="130" spans="1:13">
      <c r="A130" s="111">
        <f t="shared" si="3"/>
        <v>72</v>
      </c>
      <c r="B130" t="s">
        <v>11</v>
      </c>
      <c r="H130" s="46" t="s">
        <v>151</v>
      </c>
      <c r="I130" s="14" t="str">
        <f>"21-Revenue Credits, Line "&amp;'21-RevenueCredits'!A219&amp;""</f>
        <v>21-Revenue Credits, Line 44</v>
      </c>
      <c r="K130" s="7">
        <f>-'21-RevenueCredits'!E219</f>
        <v>-58832605.54180719</v>
      </c>
      <c r="M130" s="14"/>
    </row>
    <row r="131" spans="1:13">
      <c r="A131" s="111">
        <f t="shared" si="3"/>
        <v>73</v>
      </c>
      <c r="B131" t="s">
        <v>87</v>
      </c>
      <c r="H131" s="16"/>
      <c r="I131" s="14" t="str">
        <f>"Line "&amp;A95&amp;""</f>
        <v>Line 56</v>
      </c>
      <c r="K131" s="7">
        <f>K95</f>
        <v>630126059.14639139</v>
      </c>
      <c r="M131" s="14"/>
    </row>
    <row r="132" spans="1:13">
      <c r="A132" s="111">
        <f t="shared" si="3"/>
        <v>74</v>
      </c>
      <c r="B132" t="s">
        <v>5</v>
      </c>
      <c r="H132" s="16"/>
      <c r="I132" s="14" t="str">
        <f>"Line "&amp;A110&amp;""</f>
        <v>Line 64</v>
      </c>
      <c r="K132" s="101">
        <f>K110</f>
        <v>204691114.00136057</v>
      </c>
      <c r="M132" s="14"/>
    </row>
    <row r="133" spans="1:13">
      <c r="A133" s="111">
        <f t="shared" si="3"/>
        <v>75</v>
      </c>
      <c r="B133" t="s">
        <v>955</v>
      </c>
      <c r="H133" s="13" t="s">
        <v>1165</v>
      </c>
      <c r="I133" s="15" t="str">
        <f>"11-PHFU, Line "&amp;'11-PHFU'!A46&amp;""</f>
        <v>11-PHFU, Line 10</v>
      </c>
      <c r="K133" s="47">
        <f>-'11-PHFU'!E46</f>
        <v>0</v>
      </c>
      <c r="M133" s="14"/>
    </row>
    <row r="134" spans="1:13">
      <c r="A134" s="111">
        <f t="shared" si="3"/>
        <v>76</v>
      </c>
      <c r="B134" s="587" t="s">
        <v>1720</v>
      </c>
      <c r="C134" s="693"/>
      <c r="D134" s="14"/>
      <c r="E134" s="14"/>
      <c r="H134" s="16"/>
      <c r="I134" s="15" t="str">
        <f>"23-RegAssets, Line "&amp;'23-RegAssets'!A19&amp;""</f>
        <v>23-RegAssets, Line 16</v>
      </c>
      <c r="K134" s="47">
        <f>'23-RegAssets'!E19</f>
        <v>0</v>
      </c>
      <c r="M134" s="14"/>
    </row>
    <row r="135" spans="1:13">
      <c r="A135" s="111">
        <f t="shared" si="3"/>
        <v>77</v>
      </c>
      <c r="B135" s="12" t="s">
        <v>267</v>
      </c>
      <c r="H135" s="16"/>
      <c r="I135" s="14" t="str">
        <f>"15-IncentiveAdder, Line "&amp;'15-IncentiveAdder'!A44&amp;""</f>
        <v>15-IncentiveAdder, Line 14</v>
      </c>
      <c r="K135" s="91">
        <f>'15-IncentiveAdder'!G44</f>
        <v>28785307.397874426</v>
      </c>
      <c r="M135" s="14"/>
    </row>
    <row r="136" spans="1:13">
      <c r="A136" s="111">
        <f t="shared" si="3"/>
        <v>78</v>
      </c>
      <c r="B136" s="12" t="s">
        <v>1448</v>
      </c>
      <c r="H136" s="16"/>
      <c r="I136" s="14" t="str">
        <f>"Sum of Lines "&amp;A124&amp;" to "&amp;A135&amp;""</f>
        <v>Sum of Lines 66 to 77</v>
      </c>
      <c r="K136" s="7">
        <f>SUM(K124:K135)</f>
        <v>1243592877.342169</v>
      </c>
      <c r="M136" s="14"/>
    </row>
    <row r="137" spans="1:13">
      <c r="A137" s="1243"/>
      <c r="B137" s="12"/>
      <c r="H137" s="16"/>
      <c r="I137" s="14"/>
      <c r="K137" s="7"/>
      <c r="M137" s="14"/>
    </row>
    <row r="138" spans="1:13">
      <c r="A138" s="111">
        <f>A136+1</f>
        <v>79</v>
      </c>
      <c r="B138" s="12" t="s">
        <v>288</v>
      </c>
      <c r="I138" s="14" t="str">
        <f>"L "&amp;A136&amp;" * FF Factor (28-FFU, L "&amp;'28-FFU'!A22&amp;")"</f>
        <v>L 78 * FF Factor (28-FFU, L 5)</v>
      </c>
      <c r="J138" s="14"/>
      <c r="K138" s="7">
        <f>'28-FFU'!D22*K136</f>
        <v>11448142.950948806</v>
      </c>
      <c r="M138" s="14"/>
    </row>
    <row r="139" spans="1:13">
      <c r="A139" s="111">
        <f t="shared" si="3"/>
        <v>80</v>
      </c>
      <c r="B139" s="12" t="s">
        <v>287</v>
      </c>
      <c r="I139" s="14" t="str">
        <f>"L "&amp;A136&amp;" * U Factor (28-FFU, L "&amp;'28-FFU'!A22&amp;")"</f>
        <v>L 78 * U Factor (28-FFU, L 5)</v>
      </c>
      <c r="J139" s="14"/>
      <c r="K139" s="7">
        <f>'28-FFU'!E22*K136</f>
        <v>2994074.2114890064</v>
      </c>
      <c r="M139" s="14"/>
    </row>
    <row r="140" spans="1:13">
      <c r="A140" s="111"/>
      <c r="B140" s="12"/>
      <c r="K140" s="7"/>
      <c r="M140" s="14"/>
    </row>
    <row r="141" spans="1:13">
      <c r="A141" s="111">
        <f>A139+1</f>
        <v>81</v>
      </c>
      <c r="B141" s="12" t="s">
        <v>95</v>
      </c>
      <c r="I141" t="str">
        <f>"Line "&amp;A136&amp;" + Line "&amp;A138&amp;"+ Line "&amp;A139&amp;""</f>
        <v>Line 78 + Line 79+ Line 80</v>
      </c>
      <c r="K141" s="7">
        <f>K136+K138+K139</f>
        <v>1258035094.5046067</v>
      </c>
      <c r="M141" s="14"/>
    </row>
    <row r="142" spans="1:13">
      <c r="M142" s="14"/>
    </row>
    <row r="143" spans="1:13">
      <c r="A143" s="10" t="s">
        <v>268</v>
      </c>
      <c r="B143" s="11"/>
      <c r="C143" s="11"/>
      <c r="D143" s="11"/>
      <c r="E143" s="11"/>
      <c r="F143" s="11"/>
      <c r="G143" s="11"/>
      <c r="H143" s="9"/>
      <c r="I143" s="9"/>
      <c r="J143" s="9"/>
      <c r="K143" s="9"/>
      <c r="M143" s="14"/>
    </row>
    <row r="144" spans="1:13">
      <c r="M144" s="14"/>
    </row>
    <row r="145" spans="1:13">
      <c r="B145" s="75" t="s">
        <v>1642</v>
      </c>
      <c r="M145" s="14"/>
    </row>
    <row r="146" spans="1:13">
      <c r="A146" s="111">
        <f>A141+1</f>
        <v>82</v>
      </c>
      <c r="B146" t="s">
        <v>95</v>
      </c>
      <c r="I146" t="str">
        <f>"Line "&amp;A141&amp;""</f>
        <v>Line 81</v>
      </c>
      <c r="K146" s="7">
        <f>K141</f>
        <v>1258035094.5046067</v>
      </c>
      <c r="M146" s="14"/>
    </row>
    <row r="147" spans="1:13">
      <c r="A147" s="111">
        <f>A146+1</f>
        <v>83</v>
      </c>
      <c r="B147" t="s">
        <v>320</v>
      </c>
      <c r="I147" s="15" t="str">
        <f>"2-IFPTRR, Line "&amp;'2-IFPTRR'!A91&amp;""</f>
        <v>2-IFPTRR, Line 82</v>
      </c>
      <c r="K147" s="7">
        <f>'2-IFPTRR'!D91</f>
        <v>132737261.08519316</v>
      </c>
      <c r="M147" s="14"/>
    </row>
    <row r="148" spans="1:13">
      <c r="A148" s="111">
        <f>A147+1</f>
        <v>84</v>
      </c>
      <c r="B148" s="12" t="s">
        <v>29</v>
      </c>
      <c r="H148" s="12"/>
      <c r="I148" s="15" t="str">
        <f>"3-TrueUpAdjust, Line "&amp;'3-TrueUpAdjust'!A44&amp;""</f>
        <v>3-TrueUpAdjust, Line 30</v>
      </c>
      <c r="K148" s="101">
        <f>'3-TrueUpAdjust'!E44</f>
        <v>-62477614.724062338</v>
      </c>
      <c r="M148" s="14"/>
    </row>
    <row r="149" spans="1:13">
      <c r="A149" s="111">
        <f>A148+1</f>
        <v>85</v>
      </c>
      <c r="B149" s="479" t="s">
        <v>1892</v>
      </c>
      <c r="C149" s="14"/>
      <c r="H149" s="477" t="s">
        <v>1185</v>
      </c>
      <c r="I149" s="14"/>
      <c r="K149" s="120">
        <v>0</v>
      </c>
      <c r="M149" s="14"/>
    </row>
    <row r="150" spans="1:13">
      <c r="A150" s="111"/>
      <c r="I150" s="14"/>
      <c r="K150" s="7"/>
      <c r="M150" s="14"/>
    </row>
    <row r="151" spans="1:13">
      <c r="A151" s="111">
        <f>A149+1</f>
        <v>86</v>
      </c>
      <c r="B151" s="477" t="s">
        <v>1640</v>
      </c>
      <c r="H151" s="12" t="s">
        <v>269</v>
      </c>
      <c r="I151" s="14" t="str">
        <f>"L "&amp;A146&amp;" + L "&amp;A147&amp;" + L "&amp;A148&amp;" + L "&amp;A149&amp;""</f>
        <v>L 82 + L 83 + L 84 + L 85</v>
      </c>
      <c r="K151" s="7">
        <f>K146+K147+K148+K149</f>
        <v>1328294740.8657374</v>
      </c>
      <c r="M151" s="14"/>
    </row>
    <row r="152" spans="1:13">
      <c r="A152" s="111"/>
      <c r="I152" s="14"/>
      <c r="K152" s="7"/>
      <c r="M152" s="14"/>
    </row>
    <row r="153" spans="1:13">
      <c r="A153" s="111"/>
      <c r="B153" s="75" t="s">
        <v>1641</v>
      </c>
      <c r="I153" s="14"/>
      <c r="K153" s="7"/>
      <c r="M153" s="14"/>
    </row>
    <row r="154" spans="1:13">
      <c r="A154" s="111">
        <f>A151+1</f>
        <v>87</v>
      </c>
      <c r="B154" t="s">
        <v>1379</v>
      </c>
      <c r="I154" s="14" t="str">
        <f>"Line "&amp;A151&amp;""</f>
        <v>Line 86</v>
      </c>
      <c r="K154" s="7">
        <f>K151</f>
        <v>1328294740.8657374</v>
      </c>
      <c r="M154" s="14"/>
    </row>
    <row r="155" spans="1:13">
      <c r="A155" s="111">
        <f>A154+1</f>
        <v>88</v>
      </c>
      <c r="B155" t="s">
        <v>1378</v>
      </c>
      <c r="I155" s="15" t="str">
        <f>"25-WholesaleDifference, Line "&amp;'25-WholesaleDifference'!A93&amp;""</f>
        <v>25-WholesaleDifference, Line 45</v>
      </c>
      <c r="K155" s="91">
        <f>'25-WholesaleDifference'!H93</f>
        <v>-6100719.4599634316</v>
      </c>
      <c r="M155" s="14"/>
    </row>
    <row r="156" spans="1:13">
      <c r="A156" s="111">
        <f>A155+1</f>
        <v>89</v>
      </c>
      <c r="B156" t="s">
        <v>1641</v>
      </c>
      <c r="I156" t="str">
        <f>"Line "&amp;A154&amp;" + Line "&amp;A155&amp;""</f>
        <v>Line 87 + Line 88</v>
      </c>
      <c r="K156" s="7">
        <f>K154+K155</f>
        <v>1322194021.4057741</v>
      </c>
      <c r="M156" s="14"/>
    </row>
    <row r="157" spans="1:13">
      <c r="A157" s="14"/>
      <c r="H157" s="12"/>
    </row>
    <row r="159" spans="1:13">
      <c r="B159" s="51" t="s">
        <v>232</v>
      </c>
    </row>
    <row r="160" spans="1:13" s="999" customFormat="1">
      <c r="B160" s="477" t="s">
        <v>2326</v>
      </c>
    </row>
    <row r="161" spans="2:11" s="999" customFormat="1">
      <c r="B161" s="481" t="s">
        <v>2327</v>
      </c>
    </row>
    <row r="162" spans="2:11">
      <c r="B162" s="479" t="s">
        <v>2328</v>
      </c>
      <c r="C162" s="14"/>
      <c r="D162" s="14"/>
      <c r="E162" s="14"/>
      <c r="F162" s="14"/>
      <c r="G162" s="14"/>
      <c r="H162" s="14"/>
      <c r="I162" s="14"/>
      <c r="J162" s="14"/>
      <c r="K162" s="14"/>
    </row>
    <row r="163" spans="2:11">
      <c r="B163" s="477" t="s">
        <v>1658</v>
      </c>
    </row>
    <row r="164" spans="2:11">
      <c r="B164" s="479" t="s">
        <v>1824</v>
      </c>
      <c r="C164" s="14"/>
      <c r="D164" s="14"/>
      <c r="E164" s="14"/>
      <c r="F164" s="14"/>
      <c r="G164" s="14"/>
      <c r="H164" s="14"/>
      <c r="I164" s="14"/>
      <c r="J164" s="14"/>
      <c r="K164" s="14"/>
    </row>
    <row r="165" spans="2:11">
      <c r="B165" s="479"/>
      <c r="C165" s="14" t="s">
        <v>1823</v>
      </c>
      <c r="D165" s="14"/>
      <c r="E165" s="14"/>
      <c r="F165" s="97"/>
      <c r="G165" s="97"/>
      <c r="H165" s="97"/>
      <c r="I165" s="14"/>
      <c r="J165" s="14"/>
      <c r="K165" s="14"/>
    </row>
    <row r="166" spans="2:11">
      <c r="B166" s="477" t="s">
        <v>2782</v>
      </c>
      <c r="C166" s="479"/>
      <c r="D166" s="479"/>
      <c r="E166" s="479"/>
      <c r="F166" s="479"/>
      <c r="G166" s="479"/>
      <c r="H166" s="479"/>
      <c r="I166" s="14"/>
    </row>
    <row r="167" spans="2:11">
      <c r="B167" s="481" t="s">
        <v>2477</v>
      </c>
    </row>
    <row r="168" spans="2:11">
      <c r="B168" s="481" t="s">
        <v>2478</v>
      </c>
    </row>
    <row r="169" spans="2:11">
      <c r="B169" s="479" t="s">
        <v>2329</v>
      </c>
    </row>
  </sheetData>
  <phoneticPr fontId="22" type="noConversion"/>
  <pageMargins left="0.75" right="0.75" top="1" bottom="1" header="0.5" footer="0.5"/>
  <pageSetup scale="66" orientation="portrait" cellComments="asDisplayed" r:id="rId1"/>
  <headerFooter alignWithMargins="0">
    <oddHeader>&amp;CSchedule 1
Base TRR
&amp;RExhibit SCE-4
TO2019A Formula Rate Spreadsheet</oddHeader>
    <oddFooter>&amp;R&amp;A</oddFooter>
  </headerFooter>
  <rowBreaks count="2" manualBreakCount="2">
    <brk id="59" max="16383" man="1"/>
    <brk id="12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Normal="100" workbookViewId="0"/>
  </sheetViews>
  <sheetFormatPr defaultRowHeight="13.2"/>
  <cols>
    <col min="1" max="1" width="4.6640625" customWidth="1"/>
    <col min="2" max="2" width="20.6640625" customWidth="1"/>
    <col min="3" max="4" width="16.6640625" customWidth="1"/>
    <col min="5" max="5" width="24.6640625" customWidth="1"/>
    <col min="6" max="6" width="9.109375" customWidth="1"/>
    <col min="10" max="10" width="18.5546875" customWidth="1"/>
    <col min="11" max="11" width="20.88671875" customWidth="1"/>
  </cols>
  <sheetData>
    <row r="1" spans="1:6">
      <c r="A1" s="1" t="s">
        <v>1075</v>
      </c>
    </row>
    <row r="2" spans="1:6">
      <c r="A2" s="1"/>
    </row>
    <row r="3" spans="1:6">
      <c r="B3" s="12" t="s">
        <v>408</v>
      </c>
    </row>
    <row r="4" spans="1:6">
      <c r="A4" s="1"/>
      <c r="B4" s="13" t="s">
        <v>340</v>
      </c>
    </row>
    <row r="5" spans="1:6">
      <c r="A5" s="1"/>
      <c r="B5" s="13" t="s">
        <v>341</v>
      </c>
    </row>
    <row r="7" spans="1:6">
      <c r="B7" s="1" t="s">
        <v>1005</v>
      </c>
    </row>
    <row r="8" spans="1:6">
      <c r="E8" s="16"/>
    </row>
    <row r="9" spans="1:6">
      <c r="A9" s="51" t="s">
        <v>331</v>
      </c>
      <c r="B9" s="70" t="s">
        <v>1074</v>
      </c>
    </row>
    <row r="10" spans="1:6">
      <c r="A10" s="2">
        <v>1</v>
      </c>
    </row>
    <row r="11" spans="1:6">
      <c r="A11" s="2">
        <f>A10+1</f>
        <v>2</v>
      </c>
      <c r="B11" s="376" t="s">
        <v>1442</v>
      </c>
      <c r="C11" s="14"/>
      <c r="D11" s="14"/>
      <c r="E11" s="14"/>
      <c r="F11" s="14"/>
    </row>
    <row r="12" spans="1:6">
      <c r="A12" s="2">
        <f t="shared" ref="A12:A87" si="0">A11+1</f>
        <v>3</v>
      </c>
      <c r="B12" s="376" t="s">
        <v>1051</v>
      </c>
      <c r="C12" s="14"/>
      <c r="D12" s="14"/>
      <c r="E12" s="14"/>
      <c r="F12" s="14"/>
    </row>
    <row r="13" spans="1:6">
      <c r="A13" s="2">
        <f t="shared" si="0"/>
        <v>4</v>
      </c>
      <c r="B13" s="376"/>
      <c r="C13" s="14"/>
      <c r="D13" s="14"/>
      <c r="E13" s="14"/>
      <c r="F13" s="14"/>
    </row>
    <row r="14" spans="1:6">
      <c r="A14" s="2">
        <f t="shared" si="0"/>
        <v>5</v>
      </c>
      <c r="B14" s="877" t="s">
        <v>2203</v>
      </c>
      <c r="C14" s="14"/>
      <c r="D14" s="14"/>
      <c r="E14" s="14"/>
      <c r="F14" s="14"/>
    </row>
    <row r="15" spans="1:6">
      <c r="A15" s="2">
        <f t="shared" si="0"/>
        <v>6</v>
      </c>
      <c r="B15" s="377"/>
      <c r="C15" s="14"/>
      <c r="D15" s="14"/>
      <c r="E15" s="14"/>
      <c r="F15" s="14"/>
    </row>
    <row r="16" spans="1:6">
      <c r="A16" s="2">
        <f t="shared" si="0"/>
        <v>7</v>
      </c>
      <c r="B16" s="376" t="s">
        <v>365</v>
      </c>
      <c r="C16" s="14"/>
      <c r="D16" s="14"/>
      <c r="E16" s="14"/>
      <c r="F16" s="374"/>
    </row>
    <row r="17" spans="1:7">
      <c r="A17" s="2">
        <f t="shared" si="0"/>
        <v>8</v>
      </c>
      <c r="B17" s="378" t="s">
        <v>1047</v>
      </c>
      <c r="C17" s="14"/>
      <c r="D17" s="14"/>
      <c r="E17" s="14"/>
      <c r="F17" s="67"/>
    </row>
    <row r="18" spans="1:7">
      <c r="A18" s="2">
        <f t="shared" si="0"/>
        <v>9</v>
      </c>
      <c r="B18" s="378" t="s">
        <v>1048</v>
      </c>
      <c r="C18" s="14"/>
      <c r="D18" s="14"/>
      <c r="E18" s="14"/>
      <c r="F18" s="67"/>
    </row>
    <row r="19" spans="1:7">
      <c r="A19" s="2">
        <f t="shared" si="0"/>
        <v>10</v>
      </c>
      <c r="B19" s="378" t="s">
        <v>218</v>
      </c>
      <c r="C19" s="14"/>
      <c r="D19" s="14"/>
      <c r="E19" s="364"/>
      <c r="F19" s="63"/>
    </row>
    <row r="20" spans="1:7">
      <c r="A20" s="2">
        <f t="shared" si="0"/>
        <v>11</v>
      </c>
      <c r="B20" s="44"/>
      <c r="C20" s="14"/>
      <c r="D20" s="364"/>
      <c r="E20" s="125" t="s">
        <v>205</v>
      </c>
      <c r="F20" s="14"/>
    </row>
    <row r="21" spans="1:7">
      <c r="A21" s="2">
        <f t="shared" si="0"/>
        <v>12</v>
      </c>
      <c r="C21" s="364" t="s">
        <v>1084</v>
      </c>
      <c r="D21" s="375">
        <f>'1-BaseTRR'!K88</f>
        <v>2.0329240017391507E-2</v>
      </c>
      <c r="E21" s="46" t="str">
        <f>"1-BaseTRR, Line "&amp;'1-BaseTRR'!A88&amp;""</f>
        <v>1-BaseTRR, Line 51</v>
      </c>
      <c r="F21" s="14"/>
    </row>
    <row r="22" spans="1:7">
      <c r="A22" s="2">
        <f t="shared" si="0"/>
        <v>13</v>
      </c>
      <c r="C22" s="364" t="s">
        <v>1085</v>
      </c>
      <c r="D22" s="375">
        <f>'1-BaseTRR'!K93</f>
        <v>9.1705254836826636E-2</v>
      </c>
      <c r="E22" s="46" t="str">
        <f>"1-BaseTRR, Line "&amp;'1-BaseTRR'!A93&amp;""</f>
        <v>1-BaseTRR, Line 55</v>
      </c>
      <c r="F22" s="14"/>
    </row>
    <row r="23" spans="1:7">
      <c r="A23" s="2">
        <f t="shared" si="0"/>
        <v>14</v>
      </c>
      <c r="C23" s="364" t="s">
        <v>1050</v>
      </c>
      <c r="D23" s="375">
        <f>'1-BaseTRR'!K102</f>
        <v>0.27983599999999997</v>
      </c>
      <c r="E23" s="46" t="str">
        <f>"1-BaseTRR, Line "&amp;'1-BaseTRR'!A102&amp;""</f>
        <v>1-BaseTRR, Line 59</v>
      </c>
      <c r="F23" s="14"/>
    </row>
    <row r="24" spans="1:7">
      <c r="A24" s="2">
        <f t="shared" si="0"/>
        <v>15</v>
      </c>
      <c r="B24" s="15"/>
      <c r="C24" s="14"/>
      <c r="D24" s="375"/>
      <c r="E24" s="46"/>
      <c r="F24" s="14"/>
    </row>
    <row r="25" spans="1:7">
      <c r="A25" s="2">
        <f t="shared" si="0"/>
        <v>16</v>
      </c>
      <c r="C25" s="364" t="s">
        <v>1049</v>
      </c>
      <c r="D25" s="375">
        <f>D21 + (D22*(1/(1-D23)))</f>
        <v>0.14766864442642422</v>
      </c>
      <c r="E25" s="46" t="str">
        <f>"Line "&amp;A21&amp;" + (Line "&amp;A22&amp;" * (1/(1 - Line "&amp;A23&amp;")))"</f>
        <v>Line 12 + (Line 13 * (1/(1 - Line 14)))</v>
      </c>
      <c r="F25" s="14"/>
      <c r="G25" s="14"/>
    </row>
    <row r="26" spans="1:7">
      <c r="A26" s="2">
        <f t="shared" si="0"/>
        <v>17</v>
      </c>
      <c r="B26" s="15"/>
      <c r="C26" s="14"/>
      <c r="D26" s="364"/>
      <c r="E26" s="46"/>
      <c r="F26" s="14"/>
    </row>
    <row r="27" spans="1:7">
      <c r="A27" s="2">
        <f t="shared" si="0"/>
        <v>18</v>
      </c>
      <c r="B27" s="70" t="s">
        <v>1003</v>
      </c>
      <c r="C27" s="14"/>
      <c r="D27" s="364"/>
      <c r="E27" s="46"/>
      <c r="F27" s="14"/>
    </row>
    <row r="28" spans="1:7">
      <c r="A28" s="2">
        <f t="shared" si="0"/>
        <v>19</v>
      </c>
      <c r="B28" s="15"/>
      <c r="C28" s="14"/>
      <c r="D28" s="364"/>
      <c r="E28" s="46"/>
      <c r="F28" s="14"/>
    </row>
    <row r="29" spans="1:7">
      <c r="A29" s="2">
        <f t="shared" si="0"/>
        <v>20</v>
      </c>
      <c r="B29" s="376" t="s">
        <v>1086</v>
      </c>
      <c r="C29" s="14"/>
      <c r="D29" s="364"/>
      <c r="E29" s="46"/>
      <c r="F29" s="14"/>
    </row>
    <row r="30" spans="1:7">
      <c r="A30" s="2">
        <f t="shared" si="0"/>
        <v>21</v>
      </c>
      <c r="B30" s="376" t="s">
        <v>1087</v>
      </c>
      <c r="C30" s="14"/>
      <c r="D30" s="364"/>
      <c r="E30" s="46"/>
      <c r="F30" s="14"/>
    </row>
    <row r="31" spans="1:7">
      <c r="A31" s="2">
        <f t="shared" si="0"/>
        <v>22</v>
      </c>
      <c r="C31" s="14"/>
      <c r="D31" s="364"/>
      <c r="E31" s="46"/>
      <c r="F31" s="14"/>
    </row>
    <row r="32" spans="1:7">
      <c r="A32" s="2">
        <f t="shared" si="0"/>
        <v>23</v>
      </c>
      <c r="B32" s="378" t="s">
        <v>1052</v>
      </c>
      <c r="C32" s="14"/>
      <c r="D32" s="364"/>
      <c r="E32" s="46"/>
      <c r="F32" s="14"/>
    </row>
    <row r="33" spans="1:11">
      <c r="A33" s="2">
        <f t="shared" si="0"/>
        <v>24</v>
      </c>
      <c r="F33" s="14"/>
    </row>
    <row r="34" spans="1:11">
      <c r="A34" s="2">
        <f t="shared" si="0"/>
        <v>25</v>
      </c>
      <c r="B34" s="70" t="s">
        <v>1073</v>
      </c>
      <c r="F34" s="14"/>
    </row>
    <row r="35" spans="1:11">
      <c r="A35" s="2">
        <f t="shared" si="0"/>
        <v>26</v>
      </c>
      <c r="B35" s="12"/>
      <c r="E35" s="3" t="s">
        <v>205</v>
      </c>
      <c r="F35" s="14"/>
    </row>
    <row r="36" spans="1:11">
      <c r="A36" s="2">
        <f t="shared" si="0"/>
        <v>27</v>
      </c>
      <c r="C36" s="94" t="s">
        <v>1058</v>
      </c>
      <c r="D36" s="101">
        <f>'6-PlantInService'!M23</f>
        <v>8573445553.3305378</v>
      </c>
      <c r="E36" s="46" t="str">
        <f>"6-PlantInService, Line "&amp;'6-PlantInService'!A23&amp;""</f>
        <v>6-PlantInService, Line 13</v>
      </c>
      <c r="F36" s="14"/>
      <c r="G36" s="14"/>
    </row>
    <row r="37" spans="1:11">
      <c r="A37" s="2">
        <f t="shared" si="0"/>
        <v>28</v>
      </c>
      <c r="C37" s="94" t="s">
        <v>1059</v>
      </c>
      <c r="D37" s="101">
        <f>'6-PlantInService'!F35</f>
        <v>0</v>
      </c>
      <c r="E37" s="46" t="str">
        <f>"6-PlantInService, Line "&amp;'6-PlantInService'!A35&amp;""</f>
        <v>6-PlantInService, Line 16</v>
      </c>
      <c r="F37" s="14"/>
      <c r="G37" s="14"/>
    </row>
    <row r="38" spans="1:11">
      <c r="A38" s="2">
        <f t="shared" si="0"/>
        <v>29</v>
      </c>
      <c r="C38" s="94" t="s">
        <v>1071</v>
      </c>
      <c r="D38" s="101">
        <f>'8-AccDep'!N24</f>
        <v>1633677099.9991164</v>
      </c>
      <c r="E38" s="46" t="str">
        <f>"8-AccDep, Line "&amp;'8-AccDep'!A24&amp;""</f>
        <v>8-AccDep, Line 13</v>
      </c>
      <c r="F38" s="14"/>
      <c r="G38" s="14"/>
    </row>
    <row r="39" spans="1:11">
      <c r="A39" s="2">
        <f t="shared" si="0"/>
        <v>30</v>
      </c>
      <c r="C39" s="94" t="s">
        <v>1072</v>
      </c>
      <c r="D39" s="91">
        <f>'8-AccDep'!G34</f>
        <v>0</v>
      </c>
      <c r="E39" s="46" t="str">
        <f>"8-AccDep, Line "&amp;'8-AccDep'!A34&amp;""</f>
        <v>8-AccDep, Line 16</v>
      </c>
      <c r="F39" s="14"/>
      <c r="G39" s="14"/>
    </row>
    <row r="40" spans="1:11">
      <c r="A40" s="2">
        <f t="shared" si="0"/>
        <v>31</v>
      </c>
      <c r="C40" s="94" t="s">
        <v>1004</v>
      </c>
      <c r="D40" s="7">
        <f>(D36+D37)-(D38+D39)</f>
        <v>6939768453.3314209</v>
      </c>
      <c r="E40" s="46" t="str">
        <f>"(L"&amp;A36&amp;" + L"&amp;A37&amp;") - (L"&amp;A38&amp;" + L"&amp;A39&amp;")"</f>
        <v>(L27 + L28) - (L29 + L30)</v>
      </c>
      <c r="F40" s="14"/>
      <c r="G40" s="14"/>
    </row>
    <row r="41" spans="1:11">
      <c r="A41" s="2">
        <f t="shared" si="0"/>
        <v>32</v>
      </c>
      <c r="C41" s="94"/>
      <c r="D41" s="7"/>
      <c r="E41" s="46"/>
      <c r="F41" s="14"/>
      <c r="G41" s="14"/>
    </row>
    <row r="42" spans="1:11">
      <c r="A42" s="2">
        <f t="shared" si="0"/>
        <v>33</v>
      </c>
      <c r="B42" s="70" t="s">
        <v>1423</v>
      </c>
      <c r="E42" s="14"/>
      <c r="F42" s="14"/>
      <c r="G42" s="14"/>
    </row>
    <row r="43" spans="1:11">
      <c r="A43" s="467">
        <f t="shared" si="0"/>
        <v>34</v>
      </c>
      <c r="B43" s="70"/>
      <c r="E43" s="14"/>
      <c r="F43" s="14"/>
      <c r="G43" s="14"/>
    </row>
    <row r="44" spans="1:11">
      <c r="A44" s="467">
        <f t="shared" si="0"/>
        <v>35</v>
      </c>
      <c r="B44" s="70" t="s">
        <v>1424</v>
      </c>
      <c r="E44" s="14"/>
      <c r="F44" s="14"/>
      <c r="G44" s="14"/>
    </row>
    <row r="45" spans="1:11">
      <c r="A45" s="467">
        <f t="shared" si="0"/>
        <v>36</v>
      </c>
      <c r="B45" s="55" t="s">
        <v>1425</v>
      </c>
      <c r="E45" s="14"/>
      <c r="F45" s="14"/>
      <c r="G45" s="14"/>
    </row>
    <row r="46" spans="1:11">
      <c r="A46" s="467">
        <f t="shared" si="0"/>
        <v>37</v>
      </c>
      <c r="B46" s="70"/>
      <c r="C46" s="94" t="s">
        <v>1443</v>
      </c>
      <c r="D46" s="101">
        <f>'10-CWIP'!D25</f>
        <v>221778479.72000003</v>
      </c>
      <c r="E46" s="46" t="str">
        <f>"10-CWIP, L "&amp;'10-CWIP'!A25&amp;" C1"</f>
        <v>10-CWIP, L 13 C1</v>
      </c>
      <c r="F46" s="14"/>
      <c r="G46" s="14"/>
      <c r="K46" s="7"/>
    </row>
    <row r="47" spans="1:11">
      <c r="A47" s="467">
        <f t="shared" si="0"/>
        <v>38</v>
      </c>
      <c r="B47" s="70"/>
      <c r="C47" s="94" t="s">
        <v>353</v>
      </c>
      <c r="D47" s="126">
        <f>D25</f>
        <v>0.14766864442642422</v>
      </c>
      <c r="E47" s="46" t="str">
        <f>"Line "&amp;A25&amp;""</f>
        <v>Line 16</v>
      </c>
      <c r="F47" s="14"/>
      <c r="G47" s="14"/>
      <c r="K47" s="7"/>
    </row>
    <row r="48" spans="1:11">
      <c r="A48" s="467">
        <f t="shared" si="0"/>
        <v>39</v>
      </c>
      <c r="B48" s="70"/>
      <c r="C48" s="94" t="s">
        <v>1418</v>
      </c>
      <c r="D48" s="101">
        <f>D46*D47</f>
        <v>32749727.463205617</v>
      </c>
      <c r="E48" s="46" t="str">
        <f>"Line "&amp;A46&amp;" * Line "&amp;A47&amp;""</f>
        <v>Line 37 * Line 38</v>
      </c>
      <c r="F48" s="14"/>
      <c r="G48" s="14"/>
      <c r="K48" s="7"/>
    </row>
    <row r="49" spans="1:11">
      <c r="A49" s="467">
        <f t="shared" si="0"/>
        <v>40</v>
      </c>
      <c r="B49" s="70"/>
      <c r="C49" s="94"/>
      <c r="D49" s="101"/>
      <c r="E49" s="46"/>
      <c r="F49" s="14"/>
      <c r="G49" s="14"/>
      <c r="K49" s="7"/>
    </row>
    <row r="50" spans="1:11">
      <c r="A50" s="467">
        <f t="shared" si="0"/>
        <v>41</v>
      </c>
      <c r="B50" s="55" t="s">
        <v>1426</v>
      </c>
      <c r="E50" s="14"/>
      <c r="F50" s="14"/>
      <c r="G50" s="14"/>
      <c r="K50" s="7"/>
    </row>
    <row r="51" spans="1:11">
      <c r="A51" s="467">
        <f t="shared" si="0"/>
        <v>42</v>
      </c>
      <c r="B51" s="70"/>
      <c r="C51" s="94" t="s">
        <v>1432</v>
      </c>
      <c r="D51" s="101">
        <f>'15-IncentiveAdder'!G17</f>
        <v>6835.2497598858918</v>
      </c>
      <c r="E51" s="114" t="str">
        <f>"15-IncentiveAdder, Line "&amp;'15-IncentiveAdder'!A17&amp;""</f>
        <v>15-IncentiveAdder, Line 3</v>
      </c>
      <c r="F51" s="14"/>
      <c r="G51" s="14"/>
      <c r="K51" s="7"/>
    </row>
    <row r="52" spans="1:11">
      <c r="A52" s="467">
        <f t="shared" si="0"/>
        <v>43</v>
      </c>
      <c r="B52" s="70"/>
      <c r="C52" s="94"/>
      <c r="E52" s="14"/>
      <c r="F52" s="14"/>
      <c r="G52" s="14"/>
      <c r="K52" s="7"/>
    </row>
    <row r="53" spans="1:11">
      <c r="A53" s="467">
        <f t="shared" si="0"/>
        <v>44</v>
      </c>
      <c r="B53" s="70"/>
      <c r="C53" s="94" t="s">
        <v>1405</v>
      </c>
      <c r="D53" s="7">
        <f>'10-CWIP'!E25</f>
        <v>150976.49</v>
      </c>
      <c r="E53" s="46" t="str">
        <f>"10-CWIP, Line "&amp;'10-CWIP'!A25&amp;""</f>
        <v>10-CWIP, Line 13</v>
      </c>
      <c r="F53" s="15"/>
      <c r="G53" s="14"/>
      <c r="K53" s="7"/>
    </row>
    <row r="54" spans="1:11">
      <c r="A54" s="467">
        <f t="shared" si="0"/>
        <v>45</v>
      </c>
      <c r="B54" s="70"/>
      <c r="C54" s="94" t="s">
        <v>1429</v>
      </c>
      <c r="D54" s="42">
        <f>'15-IncentiveAdder'!E26</f>
        <v>1.2500000000000001E-2</v>
      </c>
      <c r="E54" s="114" t="str">
        <f>"15-IncentiveAdder, Line "&amp;'15-IncentiveAdder'!A26&amp;""</f>
        <v>15-IncentiveAdder, Line 5</v>
      </c>
      <c r="F54" s="15"/>
      <c r="G54" s="14"/>
      <c r="K54" s="7"/>
    </row>
    <row r="55" spans="1:11">
      <c r="A55" s="467">
        <f t="shared" si="0"/>
        <v>46</v>
      </c>
      <c r="B55" s="70"/>
      <c r="C55" s="94" t="s">
        <v>1428</v>
      </c>
      <c r="D55" s="7">
        <f>(D53/1000000)*($D$51*(D54/0.01))</f>
        <v>1289.9525212761432</v>
      </c>
      <c r="E55" s="476" t="str">
        <f>"Formula on Line "&amp;A61&amp;""</f>
        <v>Formula on Line 52</v>
      </c>
      <c r="F55" s="14"/>
      <c r="G55" s="14"/>
      <c r="K55" s="7"/>
    </row>
    <row r="56" spans="1:11">
      <c r="A56" s="467">
        <f t="shared" si="0"/>
        <v>47</v>
      </c>
      <c r="B56" s="70"/>
      <c r="C56" s="94"/>
      <c r="E56" s="63"/>
      <c r="F56" s="14"/>
      <c r="G56" s="14"/>
      <c r="K56" s="7"/>
    </row>
    <row r="57" spans="1:11">
      <c r="A57" s="467">
        <f t="shared" si="0"/>
        <v>48</v>
      </c>
      <c r="C57" s="94" t="s">
        <v>1427</v>
      </c>
      <c r="D57" s="7">
        <f>'10-CWIP'!F25</f>
        <v>0</v>
      </c>
      <c r="E57" s="46" t="str">
        <f>"10-CWIP, Line "&amp;'10-CWIP'!A25&amp;""</f>
        <v>10-CWIP, Line 13</v>
      </c>
      <c r="F57" s="14"/>
      <c r="G57" s="14"/>
      <c r="K57" s="7"/>
    </row>
    <row r="58" spans="1:11">
      <c r="A58" s="467">
        <f t="shared" si="0"/>
        <v>49</v>
      </c>
      <c r="C58" s="94" t="s">
        <v>1430</v>
      </c>
      <c r="D58" s="42">
        <f>'15-IncentiveAdder'!E27</f>
        <v>0.01</v>
      </c>
      <c r="E58" s="114" t="str">
        <f>"15-IncentiveAdder, Line "&amp;'15-IncentiveAdder'!A27&amp;""</f>
        <v>15-IncentiveAdder, Line 6</v>
      </c>
      <c r="F58" s="14"/>
      <c r="G58" s="14"/>
      <c r="K58" s="7"/>
    </row>
    <row r="59" spans="1:11">
      <c r="A59" s="467">
        <f t="shared" si="0"/>
        <v>50</v>
      </c>
      <c r="C59" s="94" t="s">
        <v>1431</v>
      </c>
      <c r="D59" s="7">
        <f>(D57/1000000)*($D$51*(D58/0.01))</f>
        <v>0</v>
      </c>
      <c r="E59" s="46" t="str">
        <f>"Formula on Line "&amp;A61&amp;""</f>
        <v>Formula on Line 52</v>
      </c>
      <c r="F59" s="14"/>
      <c r="G59" s="14"/>
      <c r="K59" s="7"/>
    </row>
    <row r="60" spans="1:11">
      <c r="A60" s="467">
        <f t="shared" si="0"/>
        <v>51</v>
      </c>
      <c r="C60" s="94"/>
      <c r="D60" s="7"/>
      <c r="E60" s="46"/>
      <c r="F60" s="14"/>
      <c r="G60" s="14"/>
      <c r="K60" s="7"/>
    </row>
    <row r="61" spans="1:11">
      <c r="A61" s="467">
        <f t="shared" si="0"/>
        <v>52</v>
      </c>
      <c r="C61" s="50" t="s">
        <v>1407</v>
      </c>
      <c r="D61" s="7"/>
      <c r="E61" s="46"/>
      <c r="F61" s="14"/>
      <c r="G61" s="14"/>
      <c r="K61" s="7"/>
    </row>
    <row r="62" spans="1:11">
      <c r="A62" s="467">
        <f t="shared" si="0"/>
        <v>53</v>
      </c>
      <c r="E62" s="14"/>
      <c r="F62" s="14"/>
      <c r="G62" s="14"/>
      <c r="K62" s="7"/>
    </row>
    <row r="63" spans="1:11">
      <c r="A63" s="467">
        <f t="shared" si="0"/>
        <v>54</v>
      </c>
      <c r="C63" s="475" t="s">
        <v>1462</v>
      </c>
      <c r="D63" s="101">
        <f>D48+D55+D59</f>
        <v>32751017.415726893</v>
      </c>
      <c r="E63" s="46" t="str">
        <f>"Line "&amp;A48&amp;" + Line "&amp;A55&amp;" + Line "&amp;A59&amp;""</f>
        <v>Line 39 + Line 46 + Line 50</v>
      </c>
      <c r="F63" s="14"/>
      <c r="G63" s="14"/>
      <c r="K63" s="7"/>
    </row>
    <row r="64" spans="1:11">
      <c r="A64" s="474">
        <f t="shared" si="0"/>
        <v>55</v>
      </c>
      <c r="C64" s="475" t="s">
        <v>1461</v>
      </c>
      <c r="D64" s="91">
        <f>('28-FFU'!D22+'28-FFU'!E22)*D63</f>
        <v>380347.3905540611</v>
      </c>
      <c r="E64" s="476" t="str">
        <f>"(28-FFU, L"&amp;'28-FFU'!A22&amp;" FF Factor + U Factor) * L"&amp;A63&amp;""</f>
        <v>(28-FFU, L5 FF Factor + U Factor) * L54</v>
      </c>
      <c r="F64" s="14"/>
      <c r="G64" s="14"/>
      <c r="K64" s="7"/>
    </row>
    <row r="65" spans="1:11">
      <c r="A65" s="474">
        <f t="shared" si="0"/>
        <v>56</v>
      </c>
      <c r="C65" s="475" t="s">
        <v>1463</v>
      </c>
      <c r="D65" s="101">
        <f>SUM(D63:D64)</f>
        <v>33131364.806280952</v>
      </c>
      <c r="E65" s="46" t="str">
        <f>"Line "&amp;A63&amp;" + Line "&amp;A64&amp;""</f>
        <v>Line 54 + Line 55</v>
      </c>
      <c r="F65" s="14"/>
      <c r="K65" s="7"/>
    </row>
    <row r="66" spans="1:11">
      <c r="A66" s="474">
        <f t="shared" si="0"/>
        <v>57</v>
      </c>
      <c r="C66" s="94"/>
      <c r="D66" s="101"/>
      <c r="E66" s="46"/>
      <c r="F66" s="14"/>
      <c r="K66" s="7"/>
    </row>
    <row r="67" spans="1:11">
      <c r="A67" s="474">
        <f t="shared" si="0"/>
        <v>58</v>
      </c>
      <c r="B67" s="70" t="s">
        <v>1433</v>
      </c>
      <c r="C67" s="94"/>
      <c r="D67" s="101"/>
      <c r="E67" s="46"/>
      <c r="F67" s="14"/>
      <c r="K67" s="7"/>
    </row>
    <row r="68" spans="1:11">
      <c r="A68" s="474">
        <f t="shared" si="0"/>
        <v>59</v>
      </c>
      <c r="F68" s="14"/>
      <c r="K68" s="7"/>
    </row>
    <row r="69" spans="1:11">
      <c r="A69" s="111">
        <f t="shared" si="0"/>
        <v>60</v>
      </c>
      <c r="B69" s="14"/>
      <c r="C69" s="874" t="s">
        <v>1462</v>
      </c>
      <c r="D69" s="47">
        <f>D63</f>
        <v>32751017.415726893</v>
      </c>
      <c r="E69" s="46" t="str">
        <f>"Line "&amp;A63&amp;""</f>
        <v>Line 54</v>
      </c>
      <c r="F69" s="14"/>
      <c r="K69" s="7"/>
    </row>
    <row r="70" spans="1:11">
      <c r="A70" s="111">
        <f t="shared" si="0"/>
        <v>61</v>
      </c>
      <c r="B70" s="14"/>
      <c r="C70" s="874" t="s">
        <v>1727</v>
      </c>
      <c r="D70" s="47">
        <f>'1-BaseTRR'!K136</f>
        <v>1243592877.342169</v>
      </c>
      <c r="E70" s="46" t="str">
        <f>"1-BaseTRR, Line "&amp;'1-BaseTRR'!A136&amp;""</f>
        <v>1-BaseTRR, Line 78</v>
      </c>
      <c r="F70" s="14"/>
      <c r="K70" s="7"/>
    </row>
    <row r="71" spans="1:11">
      <c r="A71" s="111">
        <f t="shared" si="0"/>
        <v>62</v>
      </c>
      <c r="B71" s="14"/>
      <c r="C71" s="364" t="s">
        <v>1444</v>
      </c>
      <c r="D71" s="47">
        <f>D70-D69</f>
        <v>1210841859.9264421</v>
      </c>
      <c r="E71" s="46" t="str">
        <f>"Line "&amp;A70&amp;" - Line "&amp;A69&amp;""</f>
        <v>Line 61 - Line 60</v>
      </c>
      <c r="F71" s="14"/>
      <c r="K71" s="7"/>
    </row>
    <row r="72" spans="1:11">
      <c r="A72" s="111">
        <f t="shared" si="0"/>
        <v>63</v>
      </c>
      <c r="B72" s="14"/>
      <c r="C72" s="875" t="s">
        <v>1839</v>
      </c>
      <c r="D72" s="63">
        <f>('1-BaseTRR'!K124+'1-BaseTRR'!K125)*0.75</f>
        <v>97438607.84036155</v>
      </c>
      <c r="E72" s="46" t="str">
        <f>"(1-BaseTRR, Line "&amp;'1-BaseTRR'!A124&amp;" + Line "&amp;'1-BaseTRR'!A125&amp;") * .75"</f>
        <v>(1-BaseTRR, Line 66 + Line 67) * .75</v>
      </c>
      <c r="F72" s="14"/>
      <c r="G72" s="14"/>
      <c r="K72" s="7"/>
    </row>
    <row r="73" spans="1:11">
      <c r="A73" s="111">
        <f t="shared" si="0"/>
        <v>64</v>
      </c>
      <c r="B73" s="14"/>
      <c r="C73" s="364" t="s">
        <v>273</v>
      </c>
      <c r="D73" s="872">
        <f xml:space="preserve"> (D71-D72)/D40</f>
        <v>0.16043809812582346</v>
      </c>
      <c r="E73" s="46" t="str">
        <f>"(Line "&amp;A71&amp;" - Line "&amp;A72&amp;") / Line "&amp;A40&amp;""</f>
        <v>(Line 62 - Line 63) / Line 31</v>
      </c>
      <c r="F73" s="14"/>
      <c r="K73" s="7"/>
    </row>
    <row r="74" spans="1:11">
      <c r="A74" s="111">
        <f t="shared" si="0"/>
        <v>65</v>
      </c>
      <c r="B74" s="14"/>
      <c r="C74" s="14"/>
      <c r="D74" s="63"/>
      <c r="E74" s="46"/>
      <c r="F74" s="14"/>
    </row>
    <row r="75" spans="1:11">
      <c r="A75" s="111">
        <f t="shared" si="0"/>
        <v>66</v>
      </c>
      <c r="B75" s="44" t="s">
        <v>351</v>
      </c>
      <c r="C75" s="14"/>
      <c r="D75" s="14"/>
      <c r="E75" s="14"/>
      <c r="F75" s="14"/>
    </row>
    <row r="76" spans="1:11">
      <c r="A76" s="111">
        <f t="shared" si="0"/>
        <v>67</v>
      </c>
      <c r="B76" s="14"/>
      <c r="C76" s="14"/>
      <c r="D76" s="14"/>
      <c r="E76" s="14"/>
      <c r="F76" s="14"/>
    </row>
    <row r="77" spans="1:11">
      <c r="A77" s="111">
        <f t="shared" si="0"/>
        <v>68</v>
      </c>
      <c r="B77" s="14"/>
      <c r="C77" s="14"/>
      <c r="D77" s="14"/>
      <c r="E77" s="125" t="s">
        <v>205</v>
      </c>
      <c r="F77" s="14"/>
      <c r="I77" s="1"/>
    </row>
    <row r="78" spans="1:11">
      <c r="A78" s="111">
        <f t="shared" si="0"/>
        <v>69</v>
      </c>
      <c r="B78" s="14"/>
      <c r="C78" s="364" t="s">
        <v>272</v>
      </c>
      <c r="D78" s="63">
        <f>'16-PlantAdditions'!N37</f>
        <v>540379821.85890818</v>
      </c>
      <c r="E78" s="46" t="str">
        <f>"16-PlantAdditions, L "&amp;'16-PlantAdditions'!A37&amp;", C10"</f>
        <v>16-PlantAdditions, L 25, C10</v>
      </c>
      <c r="F78" s="14"/>
      <c r="K78" s="7"/>
    </row>
    <row r="79" spans="1:11">
      <c r="A79" s="111">
        <f t="shared" si="0"/>
        <v>70</v>
      </c>
      <c r="B79" s="14"/>
      <c r="C79" s="364" t="s">
        <v>273</v>
      </c>
      <c r="D79" s="876">
        <f>D73</f>
        <v>0.16043809812582346</v>
      </c>
      <c r="E79" s="46" t="str">
        <f>"Line "&amp;A73&amp;""</f>
        <v>Line 64</v>
      </c>
      <c r="F79" s="14"/>
      <c r="K79" s="690"/>
    </row>
    <row r="80" spans="1:11">
      <c r="A80" s="111">
        <f t="shared" si="0"/>
        <v>71</v>
      </c>
      <c r="B80" s="14"/>
      <c r="C80" s="364" t="s">
        <v>352</v>
      </c>
      <c r="D80" s="63">
        <f>D78*D79</f>
        <v>86697510.884614512</v>
      </c>
      <c r="E80" s="46" t="str">
        <f>"Line "&amp;A78&amp;" * Line "&amp;A79&amp;""</f>
        <v>Line 69 * Line 70</v>
      </c>
      <c r="F80" s="14"/>
      <c r="K80" s="7"/>
    </row>
    <row r="81" spans="1:11">
      <c r="A81" s="111">
        <f t="shared" si="0"/>
        <v>72</v>
      </c>
      <c r="B81" s="14"/>
      <c r="C81" s="14"/>
      <c r="D81" s="14"/>
      <c r="E81" s="14"/>
      <c r="F81" s="14"/>
      <c r="K81" s="7"/>
    </row>
    <row r="82" spans="1:11">
      <c r="A82" s="111">
        <f t="shared" si="0"/>
        <v>73</v>
      </c>
      <c r="B82" s="14"/>
      <c r="C82" s="364" t="s">
        <v>355</v>
      </c>
      <c r="D82" s="63">
        <f>'10-CWIP'!K79</f>
        <v>301458236.65036386</v>
      </c>
      <c r="E82" s="46" t="str">
        <f>"10-CWIP, L "&amp;'10-CWIP'!A79&amp;", C8"</f>
        <v>10-CWIP, L 54, C8</v>
      </c>
      <c r="F82" s="14"/>
      <c r="K82" s="7"/>
    </row>
    <row r="83" spans="1:11">
      <c r="A83" s="111">
        <f t="shared" si="0"/>
        <v>74</v>
      </c>
      <c r="B83" s="14"/>
      <c r="C83" s="364" t="s">
        <v>353</v>
      </c>
      <c r="D83" s="876">
        <f>D25</f>
        <v>0.14766864442642422</v>
      </c>
      <c r="E83" s="46" t="str">
        <f>"Line "&amp;A25&amp;""</f>
        <v>Line 16</v>
      </c>
      <c r="F83" s="14"/>
      <c r="K83" s="690"/>
    </row>
    <row r="84" spans="1:11">
      <c r="A84" s="111">
        <f t="shared" si="0"/>
        <v>75</v>
      </c>
      <c r="B84" s="14"/>
      <c r="C84" s="364" t="s">
        <v>354</v>
      </c>
      <c r="D84" s="63">
        <f>D82*D83</f>
        <v>44515929.157339424</v>
      </c>
      <c r="E84" s="46" t="str">
        <f>"Line "&amp;A82&amp;" * Line "&amp;A83&amp;""</f>
        <v>Line 73 * Line 74</v>
      </c>
      <c r="F84" s="14"/>
      <c r="K84" s="7"/>
    </row>
    <row r="85" spans="1:11">
      <c r="A85" s="111">
        <f t="shared" si="0"/>
        <v>76</v>
      </c>
      <c r="B85" s="14"/>
      <c r="C85" s="14"/>
      <c r="D85" s="14"/>
      <c r="E85" s="14"/>
      <c r="F85" s="14"/>
      <c r="K85" s="7"/>
    </row>
    <row r="86" spans="1:11">
      <c r="A86" s="111">
        <f t="shared" si="0"/>
        <v>77</v>
      </c>
      <c r="B86" s="14"/>
      <c r="C86" s="364" t="s">
        <v>1449</v>
      </c>
      <c r="D86" s="63">
        <f>D80+D84</f>
        <v>131213440.04195394</v>
      </c>
      <c r="E86" s="46" t="str">
        <f>"Line "&amp;A80&amp;" + Line "&amp;A84&amp;""</f>
        <v>Line 71 + Line 75</v>
      </c>
      <c r="F86" s="14"/>
      <c r="K86" s="7"/>
    </row>
    <row r="87" spans="1:11">
      <c r="A87" s="111">
        <f t="shared" si="0"/>
        <v>78</v>
      </c>
      <c r="B87" s="14"/>
      <c r="C87" s="14"/>
      <c r="D87" s="14"/>
      <c r="E87" s="14"/>
      <c r="F87" s="14"/>
      <c r="K87" s="7"/>
    </row>
    <row r="88" spans="1:11">
      <c r="A88" s="111">
        <f t="shared" ref="A88:A91" si="1">A87+1</f>
        <v>79</v>
      </c>
      <c r="B88" s="14"/>
      <c r="C88" s="364" t="s">
        <v>1450</v>
      </c>
      <c r="D88" s="63">
        <f>'28-FFU'!D22*D86</f>
        <v>1207911.5649942155</v>
      </c>
      <c r="E88" s="114" t="str">
        <f>"Line "&amp;A86&amp;" * FF (from 28-FFU, L "&amp;'28-FFU'!A22&amp;")"</f>
        <v>Line 77 * FF (from 28-FFU, L 5)</v>
      </c>
      <c r="F88" s="14"/>
      <c r="K88" s="7"/>
    </row>
    <row r="89" spans="1:11">
      <c r="A89" s="111">
        <f t="shared" si="1"/>
        <v>80</v>
      </c>
      <c r="B89" s="14"/>
      <c r="C89" s="79" t="s">
        <v>1451</v>
      </c>
      <c r="D89" s="63">
        <f>'28-FFU'!E22*D86</f>
        <v>315909.47824500833</v>
      </c>
      <c r="E89" s="114" t="str">
        <f>"Line "&amp;A86&amp;" * U (from 28-FFU, L "&amp;'28-FFU'!A22&amp;")"</f>
        <v>Line 77 * U (from 28-FFU, L 5)</v>
      </c>
      <c r="F89" s="14"/>
      <c r="K89" s="7"/>
    </row>
    <row r="90" spans="1:11">
      <c r="A90" s="111">
        <f t="shared" si="1"/>
        <v>81</v>
      </c>
      <c r="B90" s="14"/>
      <c r="C90" s="14"/>
      <c r="D90" s="63"/>
      <c r="E90" s="14"/>
      <c r="F90" s="14"/>
      <c r="K90" s="7"/>
    </row>
    <row r="91" spans="1:11">
      <c r="A91" s="111">
        <f t="shared" si="1"/>
        <v>82</v>
      </c>
      <c r="B91" s="14"/>
      <c r="C91" s="79" t="s">
        <v>356</v>
      </c>
      <c r="D91" s="63">
        <f>D86+D88+D89</f>
        <v>132737261.08519316</v>
      </c>
      <c r="E91" s="46" t="str">
        <f>"Line "&amp;A86&amp;" + Line "&amp;A88&amp;" + Line "&amp;A89&amp;""</f>
        <v>Line 77 + Line 79 + Line 80</v>
      </c>
      <c r="F91" s="14"/>
      <c r="K91" s="7"/>
    </row>
  </sheetData>
  <phoneticPr fontId="22" type="noConversion"/>
  <pageMargins left="0.75" right="0.75" top="1" bottom="1" header="0.5" footer="0.5"/>
  <pageSetup scale="75" orientation="portrait" cellComments="asDisplayed" r:id="rId1"/>
  <headerFooter alignWithMargins="0">
    <oddHeader>&amp;CSchedule 2
Incremental Forecast Period TRR
&amp;RExhibit SCE-4
TO2019A Formula Rate Spreadsheet</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topLeftCell="A13" zoomScaleNormal="100" workbookViewId="0">
      <selection activeCell="D33" sqref="D33"/>
    </sheetView>
  </sheetViews>
  <sheetFormatPr defaultRowHeight="13.2"/>
  <cols>
    <col min="1" max="1" width="4.6640625" customWidth="1"/>
    <col min="2" max="2" width="6.6640625" customWidth="1"/>
    <col min="3" max="5" width="14.6640625" customWidth="1"/>
    <col min="6" max="6" width="15.5546875" customWidth="1"/>
    <col min="7" max="7" width="14.6640625" customWidth="1"/>
    <col min="8" max="8" width="15.88671875" customWidth="1"/>
    <col min="9" max="9" width="15.6640625" customWidth="1"/>
    <col min="10" max="10" width="15.109375" customWidth="1"/>
    <col min="11" max="11" width="14.6640625" customWidth="1"/>
    <col min="12" max="12" width="15.33203125" customWidth="1"/>
    <col min="13" max="16" width="12.6640625" customWidth="1"/>
  </cols>
  <sheetData>
    <row r="1" spans="1:12">
      <c r="A1" s="1" t="s">
        <v>1689</v>
      </c>
      <c r="B1" s="231"/>
      <c r="C1" s="231"/>
      <c r="D1" s="231"/>
      <c r="E1" s="231"/>
      <c r="F1" s="231"/>
      <c r="G1" s="231"/>
      <c r="H1" s="231"/>
      <c r="I1" s="231"/>
      <c r="J1" s="231"/>
      <c r="K1" s="231"/>
      <c r="L1" s="231"/>
    </row>
    <row r="2" spans="1:12">
      <c r="A2" s="231"/>
      <c r="B2" s="231"/>
      <c r="C2" s="231"/>
      <c r="D2" s="231"/>
      <c r="E2" s="231"/>
      <c r="F2" s="231"/>
      <c r="G2" s="231"/>
      <c r="H2" s="231"/>
      <c r="I2" s="231"/>
      <c r="J2" s="231"/>
      <c r="K2" s="231"/>
      <c r="L2" s="231"/>
    </row>
    <row r="3" spans="1:12">
      <c r="A3" s="231"/>
      <c r="B3" s="1" t="s">
        <v>493</v>
      </c>
      <c r="C3" s="231"/>
      <c r="D3" s="231"/>
      <c r="E3" s="231"/>
      <c r="F3" s="231"/>
      <c r="G3" s="231"/>
      <c r="H3" s="231"/>
      <c r="I3" s="231"/>
      <c r="J3" s="231"/>
      <c r="K3" s="231"/>
      <c r="L3" s="231"/>
    </row>
    <row r="4" spans="1:12">
      <c r="A4" s="231"/>
      <c r="B4" s="481" t="s">
        <v>2297</v>
      </c>
      <c r="C4" s="231"/>
      <c r="D4" s="231"/>
      <c r="E4" s="231"/>
      <c r="F4" s="231"/>
      <c r="G4" s="231"/>
      <c r="H4" s="231"/>
      <c r="I4" s="231"/>
      <c r="J4" s="231"/>
      <c r="K4" s="231"/>
      <c r="L4" s="231"/>
    </row>
    <row r="5" spans="1:12">
      <c r="A5" s="231"/>
      <c r="B5" s="13" t="s">
        <v>1496</v>
      </c>
      <c r="C5" s="231"/>
      <c r="D5" s="231"/>
      <c r="E5" s="231"/>
      <c r="F5" s="231"/>
      <c r="G5" s="231"/>
      <c r="H5" s="231"/>
      <c r="I5" s="231"/>
      <c r="J5" s="231"/>
      <c r="K5" s="231"/>
      <c r="L5" s="231"/>
    </row>
    <row r="6" spans="1:12">
      <c r="A6" s="231"/>
      <c r="B6" s="481" t="s">
        <v>1060</v>
      </c>
      <c r="C6" s="231"/>
      <c r="D6" s="231"/>
      <c r="E6" s="231"/>
      <c r="F6" s="231"/>
      <c r="G6" s="231"/>
      <c r="H6" s="231"/>
      <c r="I6" s="231"/>
      <c r="J6" s="231"/>
      <c r="K6" s="231"/>
      <c r="L6" s="231"/>
    </row>
    <row r="7" spans="1:12">
      <c r="A7" s="231"/>
      <c r="B7" s="481" t="str">
        <f>"d) Include previous Annual Update Cumulative Excess or Shortfall in Prior Year (from Previous Annual Update Line "&amp;A36&amp;")"</f>
        <v>d) Include previous Annual Update Cumulative Excess or Shortfall in Prior Year (from Previous Annual Update Line 23)</v>
      </c>
      <c r="C7" s="231"/>
      <c r="D7" s="231"/>
      <c r="E7" s="231"/>
      <c r="F7" s="231"/>
      <c r="G7" s="231"/>
      <c r="H7" s="231"/>
      <c r="I7" s="231"/>
      <c r="J7" s="231"/>
      <c r="K7" s="231"/>
      <c r="L7" s="231"/>
    </row>
    <row r="8" spans="1:12">
      <c r="A8" s="231"/>
      <c r="B8" s="1088" t="str">
        <f>"and any One-Time Adjustments in Column 4 (Lines "&amp;A24&amp;" and "&amp;A25&amp;" respectively)."</f>
        <v>and any One-Time Adjustments in Column 4 (Lines 11 and 12 respectively).</v>
      </c>
      <c r="C8" s="231"/>
      <c r="D8" s="231"/>
      <c r="E8" s="231"/>
      <c r="F8" s="231"/>
      <c r="G8" s="231"/>
      <c r="H8" s="231"/>
      <c r="I8" s="231"/>
      <c r="J8" s="231"/>
      <c r="K8" s="231"/>
      <c r="L8" s="231"/>
    </row>
    <row r="9" spans="1:12">
      <c r="A9" s="231"/>
      <c r="B9" s="13" t="str">
        <f>"e) Continue interest calculation through the end of the Prior Year (Line "&amp;A36&amp;") to determine Cumulative Excess or Shortfall for this Annual Update."</f>
        <v>e) Continue interest calculation through the end of the Prior Year (Line 23) to determine Cumulative Excess or Shortfall for this Annual Update.</v>
      </c>
      <c r="C9" s="231"/>
      <c r="D9" s="231"/>
      <c r="E9" s="231"/>
      <c r="F9" s="231"/>
      <c r="G9" s="231"/>
      <c r="H9" s="231"/>
      <c r="I9" s="231"/>
      <c r="J9" s="231"/>
      <c r="K9" s="231"/>
      <c r="L9" s="231"/>
    </row>
    <row r="10" spans="1:12">
      <c r="A10" s="231"/>
      <c r="B10" s="231"/>
      <c r="C10" s="231"/>
      <c r="D10" s="231"/>
      <c r="E10" s="231"/>
      <c r="F10" s="231"/>
      <c r="G10" s="231"/>
      <c r="H10" s="231"/>
      <c r="I10" s="231"/>
      <c r="J10" s="231"/>
      <c r="K10" s="231"/>
      <c r="L10" s="231"/>
    </row>
    <row r="11" spans="1:12">
      <c r="A11" s="2"/>
      <c r="B11" s="83" t="s">
        <v>1497</v>
      </c>
      <c r="C11" s="231"/>
      <c r="D11" s="232"/>
      <c r="E11" s="233"/>
      <c r="F11" s="231"/>
      <c r="G11" s="231"/>
      <c r="H11" s="231"/>
      <c r="I11" s="231"/>
      <c r="J11" s="231"/>
      <c r="K11" s="101"/>
      <c r="L11" s="231"/>
    </row>
    <row r="12" spans="1:12" s="14" customFormat="1">
      <c r="A12" s="111"/>
      <c r="B12" s="941" t="s">
        <v>2298</v>
      </c>
      <c r="C12" s="240"/>
      <c r="D12" s="891"/>
      <c r="E12" s="235"/>
      <c r="F12" s="240"/>
      <c r="G12" s="240"/>
      <c r="H12" s="240"/>
      <c r="I12" s="240"/>
      <c r="J12" s="240"/>
      <c r="K12" s="240"/>
      <c r="L12" s="240"/>
    </row>
    <row r="13" spans="1:12">
      <c r="A13" s="53" t="s">
        <v>321</v>
      </c>
      <c r="B13" s="231"/>
      <c r="C13" s="83"/>
      <c r="D13" s="232"/>
      <c r="E13" s="233"/>
      <c r="F13" s="3"/>
      <c r="G13" s="231"/>
      <c r="H13" s="231"/>
      <c r="I13" s="231"/>
      <c r="J13" s="231"/>
      <c r="K13" s="231"/>
      <c r="L13" s="231"/>
    </row>
    <row r="14" spans="1:12">
      <c r="A14" s="2">
        <f>A7+1</f>
        <v>1</v>
      </c>
      <c r="B14" s="231"/>
      <c r="C14" s="231"/>
      <c r="D14" s="502" t="s">
        <v>1495</v>
      </c>
      <c r="E14" s="233">
        <f>'4-TUTRR'!E72</f>
        <v>937389971.94971669</v>
      </c>
      <c r="F14" s="503" t="s">
        <v>1790</v>
      </c>
      <c r="G14" s="240"/>
      <c r="H14" s="231" t="str">
        <f>"Line "&amp;'4-TUTRR'!A72&amp;""</f>
        <v>Line 46</v>
      </c>
      <c r="I14" s="240"/>
      <c r="J14" s="231"/>
      <c r="K14" s="231"/>
      <c r="L14" s="231"/>
    </row>
    <row r="15" spans="1:12">
      <c r="A15" s="2">
        <f>A14+1</f>
        <v>2</v>
      </c>
      <c r="B15" s="83"/>
      <c r="C15" s="231"/>
      <c r="D15" s="231"/>
      <c r="E15" s="231"/>
      <c r="F15" s="231"/>
      <c r="G15" s="231"/>
      <c r="H15" s="233"/>
      <c r="I15" s="231"/>
      <c r="J15" s="231"/>
      <c r="K15" s="231"/>
      <c r="L15" s="231"/>
    </row>
    <row r="16" spans="1:12">
      <c r="A16" s="2">
        <f t="shared" ref="A16:A50" si="0">A15+1</f>
        <v>3</v>
      </c>
      <c r="B16" s="231"/>
      <c r="C16" s="231"/>
      <c r="D16" s="84" t="s">
        <v>360</v>
      </c>
      <c r="E16" s="84" t="s">
        <v>344</v>
      </c>
      <c r="F16" s="84" t="s">
        <v>345</v>
      </c>
      <c r="G16" s="84" t="s">
        <v>346</v>
      </c>
      <c r="H16" s="84" t="s">
        <v>347</v>
      </c>
      <c r="I16" s="84" t="s">
        <v>348</v>
      </c>
      <c r="J16" s="84" t="s">
        <v>349</v>
      </c>
      <c r="K16" s="84" t="s">
        <v>541</v>
      </c>
      <c r="L16" s="84" t="s">
        <v>958</v>
      </c>
    </row>
    <row r="17" spans="1:12">
      <c r="A17" s="2">
        <f t="shared" si="0"/>
        <v>4</v>
      </c>
      <c r="B17" s="231"/>
      <c r="C17" s="232" t="s">
        <v>959</v>
      </c>
      <c r="D17" s="84"/>
      <c r="E17" s="87" t="s">
        <v>211</v>
      </c>
      <c r="F17" s="87" t="s">
        <v>283</v>
      </c>
      <c r="G17" s="87" t="s">
        <v>960</v>
      </c>
      <c r="H17" s="96" t="s">
        <v>530</v>
      </c>
      <c r="I17" s="87" t="s">
        <v>961</v>
      </c>
      <c r="J17" s="87" t="s">
        <v>528</v>
      </c>
      <c r="K17" s="87" t="s">
        <v>529</v>
      </c>
      <c r="L17" s="96" t="s">
        <v>962</v>
      </c>
    </row>
    <row r="18" spans="1:12">
      <c r="A18" s="2">
        <f t="shared" si="0"/>
        <v>5</v>
      </c>
      <c r="B18" s="231"/>
      <c r="C18" s="231"/>
      <c r="D18" s="84"/>
      <c r="G18" s="4" t="s">
        <v>2299</v>
      </c>
      <c r="I18" s="84"/>
      <c r="J18" s="2" t="s">
        <v>204</v>
      </c>
      <c r="K18" s="84"/>
      <c r="L18" s="84"/>
    </row>
    <row r="19" spans="1:12">
      <c r="A19" s="2">
        <f t="shared" si="0"/>
        <v>6</v>
      </c>
      <c r="B19" s="231"/>
      <c r="C19" s="231"/>
      <c r="D19" s="84"/>
      <c r="G19" s="457" t="s">
        <v>2300</v>
      </c>
      <c r="I19" s="231"/>
      <c r="J19" s="2" t="s">
        <v>30</v>
      </c>
      <c r="K19" s="231"/>
      <c r="L19" s="2" t="s">
        <v>204</v>
      </c>
    </row>
    <row r="20" spans="1:12">
      <c r="A20" s="2">
        <f t="shared" si="0"/>
        <v>7</v>
      </c>
      <c r="B20" s="231"/>
      <c r="C20" s="231"/>
      <c r="D20" s="84"/>
      <c r="F20" s="2" t="s">
        <v>507</v>
      </c>
      <c r="G20" s="571" t="s">
        <v>2301</v>
      </c>
      <c r="H20" s="2" t="s">
        <v>19</v>
      </c>
      <c r="I20" s="231"/>
      <c r="J20" s="2" t="s">
        <v>31</v>
      </c>
      <c r="K20" s="231"/>
      <c r="L20" s="2" t="s">
        <v>30</v>
      </c>
    </row>
    <row r="21" spans="1:12">
      <c r="A21" s="2">
        <f t="shared" si="0"/>
        <v>8</v>
      </c>
      <c r="B21" s="231"/>
      <c r="C21" s="231"/>
      <c r="D21" s="2"/>
      <c r="E21" s="2" t="s">
        <v>19</v>
      </c>
      <c r="F21" s="2" t="s">
        <v>526</v>
      </c>
      <c r="G21" s="571" t="s">
        <v>2302</v>
      </c>
      <c r="H21" s="2" t="s">
        <v>30</v>
      </c>
      <c r="I21" s="2" t="s">
        <v>19</v>
      </c>
      <c r="J21" s="2" t="s">
        <v>22</v>
      </c>
      <c r="K21" s="234" t="s">
        <v>23</v>
      </c>
      <c r="L21" s="2" t="s">
        <v>31</v>
      </c>
    </row>
    <row r="22" spans="1:12">
      <c r="A22" s="2">
        <f t="shared" si="0"/>
        <v>9</v>
      </c>
      <c r="B22" s="231"/>
      <c r="C22" s="231"/>
      <c r="D22" s="2"/>
      <c r="E22" s="2" t="s">
        <v>281</v>
      </c>
      <c r="F22" s="2" t="s">
        <v>308</v>
      </c>
      <c r="G22" s="571" t="s">
        <v>963</v>
      </c>
      <c r="H22" s="2" t="s">
        <v>31</v>
      </c>
      <c r="I22" s="2" t="s">
        <v>23</v>
      </c>
      <c r="J22" s="2" t="s">
        <v>1061</v>
      </c>
      <c r="K22" s="2" t="s">
        <v>1062</v>
      </c>
      <c r="L22" s="2" t="s">
        <v>22</v>
      </c>
    </row>
    <row r="23" spans="1:12" s="14" customFormat="1">
      <c r="A23" s="111">
        <f t="shared" si="0"/>
        <v>10</v>
      </c>
      <c r="B23" s="240"/>
      <c r="C23" s="29" t="s">
        <v>192</v>
      </c>
      <c r="D23" s="29" t="s">
        <v>193</v>
      </c>
      <c r="E23" s="125" t="s">
        <v>964</v>
      </c>
      <c r="F23" s="125" t="s">
        <v>21</v>
      </c>
      <c r="G23" s="125" t="s">
        <v>2303</v>
      </c>
      <c r="H23" s="125" t="s">
        <v>22</v>
      </c>
      <c r="I23" s="125" t="s">
        <v>13</v>
      </c>
      <c r="J23" s="125" t="s">
        <v>1063</v>
      </c>
      <c r="K23" s="125" t="s">
        <v>192</v>
      </c>
      <c r="L23" s="125" t="s">
        <v>965</v>
      </c>
    </row>
    <row r="24" spans="1:12" s="999" customFormat="1">
      <c r="A24" s="571">
        <f>A23+1</f>
        <v>11</v>
      </c>
      <c r="B24" s="231"/>
      <c r="C24" s="512" t="s">
        <v>180</v>
      </c>
      <c r="D24" s="148">
        <v>2016</v>
      </c>
      <c r="E24" s="239" t="s">
        <v>76</v>
      </c>
      <c r="F24" s="239" t="s">
        <v>76</v>
      </c>
      <c r="G24" s="1037">
        <v>56501075</v>
      </c>
      <c r="H24" s="233">
        <f>G24</f>
        <v>56501075</v>
      </c>
      <c r="I24" s="239" t="s">
        <v>76</v>
      </c>
      <c r="J24" s="238">
        <f>H24</f>
        <v>56501075</v>
      </c>
      <c r="K24" s="239" t="s">
        <v>76</v>
      </c>
      <c r="L24" s="1079">
        <f>J24</f>
        <v>56501075</v>
      </c>
    </row>
    <row r="25" spans="1:12">
      <c r="A25" s="571">
        <f t="shared" ref="A25:A36" si="1">A24+1</f>
        <v>12</v>
      </c>
      <c r="B25" s="231"/>
      <c r="C25" s="20" t="s">
        <v>181</v>
      </c>
      <c r="D25" s="148">
        <v>2017</v>
      </c>
      <c r="E25" s="233">
        <f>$E$14/12</f>
        <v>78115830.995809719</v>
      </c>
      <c r="F25" s="235">
        <f>C77</f>
        <v>88876405.790000007</v>
      </c>
      <c r="G25" s="1037">
        <v>137651.71354579926</v>
      </c>
      <c r="H25" s="233">
        <f>E25-F25+G25</f>
        <v>-10622923.080644488</v>
      </c>
      <c r="I25" s="237">
        <v>2.8999999999999998E-3</v>
      </c>
      <c r="J25" s="238">
        <f>L24+H25</f>
        <v>45878151.919355512</v>
      </c>
      <c r="K25" s="238">
        <f>((L24+J25)/2)*I25</f>
        <v>148449.87903306549</v>
      </c>
      <c r="L25" s="238">
        <f>J25+K25</f>
        <v>46026601.798388578</v>
      </c>
    </row>
    <row r="26" spans="1:12">
      <c r="A26" s="571">
        <f t="shared" si="1"/>
        <v>13</v>
      </c>
      <c r="B26" s="231"/>
      <c r="C26" s="21" t="s">
        <v>182</v>
      </c>
      <c r="D26" s="148">
        <v>2017</v>
      </c>
      <c r="E26" s="233">
        <f t="shared" ref="E26:E36" si="2">$E$14/12</f>
        <v>78115830.995809719</v>
      </c>
      <c r="F26" s="235">
        <f t="shared" ref="F26:F36" si="3">C78</f>
        <v>76214393.859999999</v>
      </c>
      <c r="G26" s="366"/>
      <c r="H26" s="233">
        <f t="shared" ref="H26:H35" si="4">E26-F26+G26</f>
        <v>1901437.1358097196</v>
      </c>
      <c r="I26" s="237">
        <v>2.8999999999999998E-3</v>
      </c>
      <c r="J26" s="238">
        <f>L25+H26</f>
        <v>47928038.934198298</v>
      </c>
      <c r="K26" s="238">
        <f>((L25+J26)/2)*I26</f>
        <v>136234.22906225096</v>
      </c>
      <c r="L26" s="238">
        <f t="shared" ref="L26:L36" si="5">J26+K26</f>
        <v>48064273.163260549</v>
      </c>
    </row>
    <row r="27" spans="1:12">
      <c r="A27" s="571">
        <f t="shared" si="1"/>
        <v>14</v>
      </c>
      <c r="B27" s="231"/>
      <c r="C27" s="21" t="s">
        <v>195</v>
      </c>
      <c r="D27" s="148">
        <v>2017</v>
      </c>
      <c r="E27" s="233">
        <f t="shared" si="2"/>
        <v>78115830.995809719</v>
      </c>
      <c r="F27" s="235">
        <f t="shared" si="3"/>
        <v>88623013.280000001</v>
      </c>
      <c r="G27" s="366"/>
      <c r="H27" s="233">
        <f t="shared" si="4"/>
        <v>-10507182.284190282</v>
      </c>
      <c r="I27" s="237">
        <v>2.8999999999999998E-3</v>
      </c>
      <c r="J27" s="238">
        <f t="shared" ref="J27:J36" si="6">L26+H27</f>
        <v>37557090.879070267</v>
      </c>
      <c r="K27" s="238">
        <f t="shared" ref="K27:K36" si="7">((L26+J27)/2)*I27</f>
        <v>124150.97786137968</v>
      </c>
      <c r="L27" s="238">
        <f t="shared" si="5"/>
        <v>37681241.856931649</v>
      </c>
    </row>
    <row r="28" spans="1:12">
      <c r="A28" s="571">
        <f t="shared" si="1"/>
        <v>15</v>
      </c>
      <c r="B28" s="231"/>
      <c r="C28" s="20" t="s">
        <v>183</v>
      </c>
      <c r="D28" s="148">
        <v>2017</v>
      </c>
      <c r="E28" s="233">
        <f t="shared" si="2"/>
        <v>78115830.995809719</v>
      </c>
      <c r="F28" s="235">
        <f t="shared" si="3"/>
        <v>83996141.510000005</v>
      </c>
      <c r="G28" s="366"/>
      <c r="H28" s="233">
        <f t="shared" si="4"/>
        <v>-5880310.5141902864</v>
      </c>
      <c r="I28" s="237">
        <v>3.0999999999999999E-3</v>
      </c>
      <c r="J28" s="238">
        <f t="shared" si="6"/>
        <v>31800931.342741363</v>
      </c>
      <c r="K28" s="238">
        <f t="shared" si="7"/>
        <v>107697.36845949317</v>
      </c>
      <c r="L28" s="238">
        <f t="shared" si="5"/>
        <v>31908628.711200856</v>
      </c>
    </row>
    <row r="29" spans="1:12">
      <c r="A29" s="571">
        <f t="shared" si="1"/>
        <v>16</v>
      </c>
      <c r="B29" s="231"/>
      <c r="C29" s="21" t="s">
        <v>184</v>
      </c>
      <c r="D29" s="148">
        <v>2017</v>
      </c>
      <c r="E29" s="233">
        <f t="shared" si="2"/>
        <v>78115830.995809719</v>
      </c>
      <c r="F29" s="235">
        <f t="shared" si="3"/>
        <v>92695249.209999993</v>
      </c>
      <c r="G29" s="366"/>
      <c r="H29" s="233">
        <f t="shared" si="4"/>
        <v>-14579418.214190274</v>
      </c>
      <c r="I29" s="237">
        <v>3.0999999999999999E-3</v>
      </c>
      <c r="J29" s="238">
        <f t="shared" si="6"/>
        <v>17329210.497010581</v>
      </c>
      <c r="K29" s="238">
        <f t="shared" si="7"/>
        <v>76318.65077272772</v>
      </c>
      <c r="L29" s="238">
        <f t="shared" si="5"/>
        <v>17405529.147783309</v>
      </c>
    </row>
    <row r="30" spans="1:12">
      <c r="A30" s="571">
        <f t="shared" si="1"/>
        <v>17</v>
      </c>
      <c r="B30" s="231"/>
      <c r="C30" s="21" t="s">
        <v>185</v>
      </c>
      <c r="D30" s="148">
        <v>2017</v>
      </c>
      <c r="E30" s="233">
        <f t="shared" si="2"/>
        <v>78115830.995809719</v>
      </c>
      <c r="F30" s="235">
        <f t="shared" si="3"/>
        <v>104845652.2</v>
      </c>
      <c r="G30" s="366"/>
      <c r="H30" s="233">
        <f t="shared" si="4"/>
        <v>-26729821.204190284</v>
      </c>
      <c r="I30" s="237">
        <v>3.0999999999999999E-3</v>
      </c>
      <c r="J30" s="238">
        <f t="shared" si="6"/>
        <v>-9324292.0564069748</v>
      </c>
      <c r="K30" s="238">
        <f t="shared" si="7"/>
        <v>12525.917491633318</v>
      </c>
      <c r="L30" s="238">
        <f t="shared" si="5"/>
        <v>-9311766.1389153413</v>
      </c>
    </row>
    <row r="31" spans="1:12">
      <c r="A31" s="571">
        <f t="shared" si="1"/>
        <v>18</v>
      </c>
      <c r="B31" s="231"/>
      <c r="C31" s="20" t="s">
        <v>186</v>
      </c>
      <c r="D31" s="148">
        <v>2017</v>
      </c>
      <c r="E31" s="233">
        <f t="shared" si="2"/>
        <v>78115830.995809719</v>
      </c>
      <c r="F31" s="235">
        <f t="shared" si="3"/>
        <v>123594050.2</v>
      </c>
      <c r="G31" s="366"/>
      <c r="H31" s="233">
        <f t="shared" si="4"/>
        <v>-45478219.204190284</v>
      </c>
      <c r="I31" s="237">
        <v>3.3E-3</v>
      </c>
      <c r="J31" s="238">
        <f t="shared" si="6"/>
        <v>-54789985.343105629</v>
      </c>
      <c r="K31" s="238">
        <f t="shared" si="7"/>
        <v>-105767.88994533461</v>
      </c>
      <c r="L31" s="238">
        <f t="shared" si="5"/>
        <v>-54895753.233050965</v>
      </c>
    </row>
    <row r="32" spans="1:12">
      <c r="A32" s="571">
        <f t="shared" si="1"/>
        <v>19</v>
      </c>
      <c r="B32" s="231"/>
      <c r="C32" s="21" t="s">
        <v>187</v>
      </c>
      <c r="D32" s="148">
        <v>2017</v>
      </c>
      <c r="E32" s="233">
        <f t="shared" si="2"/>
        <v>78115830.995809719</v>
      </c>
      <c r="F32" s="235">
        <f t="shared" si="3"/>
        <v>125785395.62</v>
      </c>
      <c r="G32" s="366"/>
      <c r="H32" s="233">
        <f t="shared" si="4"/>
        <v>-47669564.624190286</v>
      </c>
      <c r="I32" s="237">
        <v>3.3E-3</v>
      </c>
      <c r="J32" s="238">
        <f t="shared" si="6"/>
        <v>-102565317.85724124</v>
      </c>
      <c r="K32" s="238">
        <f t="shared" si="7"/>
        <v>-259810.76729898216</v>
      </c>
      <c r="L32" s="238">
        <f t="shared" si="5"/>
        <v>-102825128.62454022</v>
      </c>
    </row>
    <row r="33" spans="1:12">
      <c r="A33" s="571">
        <f t="shared" si="1"/>
        <v>20</v>
      </c>
      <c r="B33" s="231"/>
      <c r="C33" s="21" t="s">
        <v>188</v>
      </c>
      <c r="D33" s="148">
        <v>2017</v>
      </c>
      <c r="E33" s="233">
        <f t="shared" si="2"/>
        <v>78115830.995809719</v>
      </c>
      <c r="F33" s="235">
        <f t="shared" si="3"/>
        <v>106851758.05</v>
      </c>
      <c r="G33" s="366"/>
      <c r="H33" s="233">
        <f t="shared" si="4"/>
        <v>-28735927.054190278</v>
      </c>
      <c r="I33" s="237">
        <v>3.3E-3</v>
      </c>
      <c r="J33" s="238">
        <f t="shared" si="6"/>
        <v>-131561055.6787305</v>
      </c>
      <c r="K33" s="238">
        <f t="shared" si="7"/>
        <v>-386737.20410039672</v>
      </c>
      <c r="L33" s="238">
        <f t="shared" si="5"/>
        <v>-131947792.8828309</v>
      </c>
    </row>
    <row r="34" spans="1:12">
      <c r="A34" s="571">
        <f t="shared" si="1"/>
        <v>21</v>
      </c>
      <c r="B34" s="231"/>
      <c r="C34" s="20" t="s">
        <v>191</v>
      </c>
      <c r="D34" s="148">
        <v>2017</v>
      </c>
      <c r="E34" s="233">
        <f t="shared" si="2"/>
        <v>78115830.995809719</v>
      </c>
      <c r="F34" s="235">
        <f t="shared" si="3"/>
        <v>100653472.02</v>
      </c>
      <c r="G34" s="366"/>
      <c r="H34" s="233">
        <f t="shared" si="4"/>
        <v>-22537641.024190277</v>
      </c>
      <c r="I34" s="237">
        <v>3.5000000000000001E-3</v>
      </c>
      <c r="J34" s="238">
        <f t="shared" si="6"/>
        <v>-154485433.90702116</v>
      </c>
      <c r="K34" s="238">
        <f t="shared" si="7"/>
        <v>-501258.14688224113</v>
      </c>
      <c r="L34" s="238">
        <f t="shared" si="5"/>
        <v>-154986692.0539034</v>
      </c>
    </row>
    <row r="35" spans="1:12">
      <c r="A35" s="571">
        <f t="shared" si="1"/>
        <v>22</v>
      </c>
      <c r="B35" s="231"/>
      <c r="C35" s="20" t="s">
        <v>190</v>
      </c>
      <c r="D35" s="148">
        <v>2017</v>
      </c>
      <c r="E35" s="233">
        <f t="shared" si="2"/>
        <v>78115830.995809719</v>
      </c>
      <c r="F35" s="235">
        <f t="shared" si="3"/>
        <v>88159107.019999996</v>
      </c>
      <c r="G35" s="366"/>
      <c r="H35" s="233">
        <f t="shared" si="4"/>
        <v>-10043276.024190277</v>
      </c>
      <c r="I35" s="237">
        <v>3.5000000000000001E-3</v>
      </c>
      <c r="J35" s="238">
        <f t="shared" si="6"/>
        <v>-165029968.07809368</v>
      </c>
      <c r="K35" s="238">
        <f t="shared" si="7"/>
        <v>-560029.15523099492</v>
      </c>
      <c r="L35" s="238">
        <f t="shared" si="5"/>
        <v>-165589997.23332468</v>
      </c>
    </row>
    <row r="36" spans="1:12">
      <c r="A36" s="571">
        <f t="shared" si="1"/>
        <v>23</v>
      </c>
      <c r="B36" s="231"/>
      <c r="C36" s="21" t="s">
        <v>180</v>
      </c>
      <c r="D36" s="148">
        <v>2017</v>
      </c>
      <c r="E36" s="233">
        <f t="shared" si="2"/>
        <v>78115830.995809719</v>
      </c>
      <c r="F36" s="235">
        <f t="shared" si="3"/>
        <v>89149113.290000007</v>
      </c>
      <c r="G36" s="366">
        <v>78692427</v>
      </c>
      <c r="H36" s="233">
        <f>E36-F36+G36</f>
        <v>67659144.705809712</v>
      </c>
      <c r="I36" s="237">
        <v>3.5000000000000001E-3</v>
      </c>
      <c r="J36" s="238">
        <f t="shared" si="6"/>
        <v>-97930852.527514964</v>
      </c>
      <c r="K36" s="238">
        <f t="shared" si="7"/>
        <v>-461161.48708146939</v>
      </c>
      <c r="L36" s="238">
        <f t="shared" si="5"/>
        <v>-98392014.014596432</v>
      </c>
    </row>
    <row r="37" spans="1:12">
      <c r="A37" s="111"/>
      <c r="B37" s="231"/>
      <c r="C37" s="21"/>
      <c r="D37" s="24"/>
      <c r="E37" s="231"/>
      <c r="F37" s="244"/>
      <c r="G37" s="235"/>
      <c r="H37" s="379"/>
      <c r="I37" s="231"/>
      <c r="J37" s="231"/>
      <c r="K37" s="231"/>
      <c r="L37" s="231"/>
    </row>
    <row r="38" spans="1:12" s="14" customFormat="1">
      <c r="A38" s="111">
        <f>A36+1</f>
        <v>24</v>
      </c>
      <c r="B38" s="44" t="s">
        <v>494</v>
      </c>
      <c r="C38" s="21"/>
      <c r="D38" s="24"/>
      <c r="E38" s="240"/>
      <c r="F38" s="476"/>
      <c r="G38" s="235"/>
      <c r="H38" s="909"/>
      <c r="I38" s="240"/>
      <c r="J38" s="240"/>
      <c r="K38" s="240"/>
      <c r="L38" s="240"/>
    </row>
    <row r="39" spans="1:12">
      <c r="A39" s="111">
        <f t="shared" si="0"/>
        <v>25</v>
      </c>
      <c r="B39" s="1"/>
      <c r="C39" s="21"/>
      <c r="D39" s="24"/>
      <c r="E39" s="231"/>
      <c r="F39" s="509" t="s">
        <v>232</v>
      </c>
      <c r="G39" s="235"/>
      <c r="H39" s="244"/>
      <c r="I39" s="231"/>
      <c r="J39" s="231"/>
      <c r="K39" s="231"/>
      <c r="L39" s="231"/>
    </row>
    <row r="40" spans="1:12">
      <c r="A40" s="111">
        <f t="shared" si="0"/>
        <v>26</v>
      </c>
      <c r="B40" s="231"/>
      <c r="C40" s="21"/>
      <c r="D40" s="232" t="s">
        <v>1066</v>
      </c>
      <c r="E40" s="233">
        <f>L36</f>
        <v>-98392014.014596432</v>
      </c>
      <c r="F40" s="476" t="str">
        <f>"Line "&amp;A36&amp;", Column 9"</f>
        <v>Line 23, Column 9</v>
      </c>
      <c r="G40" s="241"/>
      <c r="H40" s="244"/>
      <c r="I40" s="231"/>
      <c r="J40" s="231"/>
      <c r="K40" s="231"/>
      <c r="L40" s="231"/>
    </row>
    <row r="41" spans="1:12" s="999" customFormat="1">
      <c r="A41" s="111">
        <f t="shared" si="0"/>
        <v>27</v>
      </c>
      <c r="B41" s="231"/>
      <c r="C41" s="21"/>
      <c r="D41" s="475" t="s">
        <v>2304</v>
      </c>
      <c r="E41" s="1080">
        <v>-39617211.828272499</v>
      </c>
      <c r="F41" s="476" t="str">
        <f>"Previous Annual Update Schedule 3, Line "&amp;A44&amp;""</f>
        <v>Previous Annual Update Schedule 3, Line 30</v>
      </c>
      <c r="G41" s="241"/>
      <c r="H41" s="909"/>
      <c r="J41" s="232" t="s">
        <v>2586</v>
      </c>
      <c r="K41" s="1002" t="s">
        <v>2659</v>
      </c>
      <c r="L41" s="1002"/>
    </row>
    <row r="42" spans="1:12" s="999" customFormat="1">
      <c r="A42" s="111">
        <f t="shared" si="0"/>
        <v>28</v>
      </c>
      <c r="B42" s="231"/>
      <c r="C42" s="21"/>
      <c r="D42" s="475" t="s">
        <v>2305</v>
      </c>
      <c r="E42" s="1145">
        <f>E40-E41</f>
        <v>-58774802.186323933</v>
      </c>
      <c r="F42" s="476" t="str">
        <f>"Line "&amp;A40&amp;" - Line "&amp;A41&amp;""</f>
        <v>Line 26 - Line 27</v>
      </c>
      <c r="G42" s="241"/>
      <c r="H42" s="244"/>
      <c r="J42" s="476"/>
      <c r="K42" s="1002"/>
      <c r="L42" s="1002"/>
    </row>
    <row r="43" spans="1:12" s="999" customFormat="1" ht="15">
      <c r="A43" s="111">
        <f t="shared" si="0"/>
        <v>29</v>
      </c>
      <c r="B43" s="231"/>
      <c r="C43" s="21"/>
      <c r="D43" s="475" t="s">
        <v>2306</v>
      </c>
      <c r="E43" s="1144">
        <f>E42*I36*18</f>
        <v>-3702812.537738408</v>
      </c>
      <c r="F43" s="476" t="str">
        <f>"Line "&amp;A42&amp;" * (Line "&amp;A36&amp;", Column 6) * 18 months"</f>
        <v>Line 28 * (Line 23, Column 6) * 18 months</v>
      </c>
      <c r="G43" s="241"/>
      <c r="H43" s="909"/>
      <c r="I43" s="476"/>
      <c r="J43" s="231"/>
      <c r="K43" s="231"/>
      <c r="L43" s="231"/>
    </row>
    <row r="44" spans="1:12" s="14" customFormat="1">
      <c r="A44" s="111">
        <f t="shared" si="0"/>
        <v>30</v>
      </c>
      <c r="B44" s="240"/>
      <c r="C44" s="21"/>
      <c r="D44" s="85" t="s">
        <v>32</v>
      </c>
      <c r="E44" s="235">
        <f>E42+E43</f>
        <v>-62477614.724062338</v>
      </c>
      <c r="F44" s="1081" t="str">
        <f>"Line "&amp;A42&amp;" + Line "&amp;A43&amp;".  Positive amount is to be collected by SCE (included in Base TRR as a positive amount)."</f>
        <v>Line 28 + Line 29.  Positive amount is to be collected by SCE (included in Base TRR as a positive amount).</v>
      </c>
      <c r="G44" s="241"/>
      <c r="H44" s="909"/>
      <c r="I44" s="240"/>
      <c r="J44" s="240"/>
      <c r="K44" s="240"/>
      <c r="L44" s="240"/>
    </row>
    <row r="45" spans="1:12">
      <c r="A45" s="111">
        <f t="shared" si="0"/>
        <v>31</v>
      </c>
      <c r="B45" s="231"/>
      <c r="C45" s="231"/>
      <c r="D45" s="231"/>
      <c r="E45" s="231"/>
      <c r="F45" s="508" t="s">
        <v>1543</v>
      </c>
      <c r="G45" s="231"/>
      <c r="H45" s="231"/>
      <c r="I45" s="231"/>
      <c r="J45" s="231"/>
      <c r="K45" s="231"/>
      <c r="L45" s="231"/>
    </row>
    <row r="46" spans="1:12">
      <c r="A46" s="111">
        <f t="shared" si="0"/>
        <v>32</v>
      </c>
      <c r="B46" s="1" t="s">
        <v>967</v>
      </c>
      <c r="C46" s="231"/>
      <c r="D46" s="231"/>
      <c r="E46" s="231"/>
      <c r="F46" s="246"/>
      <c r="G46" s="231"/>
      <c r="H46" s="231"/>
      <c r="I46" s="231"/>
      <c r="J46" s="231"/>
      <c r="K46" s="231"/>
      <c r="L46" s="231"/>
    </row>
    <row r="47" spans="1:12">
      <c r="A47" s="111">
        <f t="shared" si="0"/>
        <v>33</v>
      </c>
      <c r="B47" s="13" t="s">
        <v>368</v>
      </c>
      <c r="C47" s="231"/>
      <c r="D47" s="231"/>
      <c r="E47" s="231"/>
      <c r="F47" s="231"/>
      <c r="G47" s="231"/>
      <c r="H47" s="231"/>
      <c r="I47" s="231"/>
      <c r="J47" s="231"/>
      <c r="K47" s="231"/>
      <c r="L47" s="231"/>
    </row>
    <row r="48" spans="1:12">
      <c r="A48" s="111">
        <f t="shared" si="0"/>
        <v>34</v>
      </c>
      <c r="B48" s="13" t="s">
        <v>369</v>
      </c>
      <c r="C48" s="231"/>
      <c r="D48" s="231"/>
      <c r="E48" s="231"/>
      <c r="F48" s="231"/>
      <c r="G48" s="231"/>
      <c r="H48" s="231"/>
      <c r="I48" s="231"/>
      <c r="J48" s="231"/>
      <c r="K48" s="231"/>
      <c r="L48" s="231"/>
    </row>
    <row r="49" spans="1:12">
      <c r="A49" s="111">
        <f t="shared" si="0"/>
        <v>35</v>
      </c>
      <c r="B49" s="13" t="s">
        <v>370</v>
      </c>
      <c r="C49" s="231"/>
      <c r="D49" s="231"/>
      <c r="E49" s="231"/>
      <c r="F49" s="231"/>
      <c r="G49" s="231"/>
      <c r="H49" s="231"/>
      <c r="I49" s="231"/>
      <c r="J49" s="231"/>
      <c r="K49" s="231"/>
      <c r="L49" s="231"/>
    </row>
    <row r="50" spans="1:12">
      <c r="A50" s="111">
        <f t="shared" si="0"/>
        <v>36</v>
      </c>
      <c r="B50" s="231"/>
      <c r="C50" s="231"/>
      <c r="D50" s="231"/>
      <c r="E50" s="231"/>
      <c r="F50" s="231"/>
      <c r="G50" s="231"/>
      <c r="H50" s="231"/>
      <c r="I50" s="231"/>
      <c r="J50" s="231"/>
      <c r="K50" s="231"/>
      <c r="L50" s="231"/>
    </row>
    <row r="51" spans="1:12">
      <c r="A51" s="111">
        <f t="shared" ref="A51:A91" si="8">A50+1</f>
        <v>37</v>
      </c>
      <c r="B51" s="1" t="s">
        <v>1213</v>
      </c>
      <c r="C51" s="231"/>
      <c r="D51" s="231"/>
      <c r="E51" s="231"/>
      <c r="F51" s="231"/>
      <c r="G51" s="231"/>
      <c r="H51" s="231"/>
      <c r="I51" s="231"/>
      <c r="J51" s="231"/>
      <c r="K51" s="231"/>
      <c r="L51" s="231"/>
    </row>
    <row r="52" spans="1:12">
      <c r="A52" s="111">
        <f t="shared" si="8"/>
        <v>38</v>
      </c>
      <c r="B52" s="231"/>
      <c r="C52" s="231"/>
      <c r="D52" s="234" t="s">
        <v>1166</v>
      </c>
      <c r="E52" s="231"/>
      <c r="G52" s="231"/>
      <c r="H52" s="231"/>
      <c r="I52" s="231"/>
      <c r="J52" s="231"/>
      <c r="K52" s="231"/>
      <c r="L52" s="231"/>
    </row>
    <row r="53" spans="1:12">
      <c r="A53" s="111">
        <f t="shared" si="8"/>
        <v>39</v>
      </c>
      <c r="B53" s="231"/>
      <c r="C53" s="25" t="s">
        <v>192</v>
      </c>
      <c r="D53" s="3" t="s">
        <v>1067</v>
      </c>
      <c r="E53" s="3" t="s">
        <v>238</v>
      </c>
      <c r="G53" s="240"/>
      <c r="H53" s="240"/>
      <c r="I53" s="240"/>
      <c r="J53" s="240"/>
      <c r="K53" s="240"/>
      <c r="L53" s="240"/>
    </row>
    <row r="54" spans="1:12">
      <c r="A54" s="111">
        <f t="shared" si="8"/>
        <v>40</v>
      </c>
      <c r="B54" s="231"/>
      <c r="C54" s="20" t="s">
        <v>181</v>
      </c>
      <c r="D54" s="126">
        <v>6.3763211440757639E-2</v>
      </c>
      <c r="E54" s="13" t="s">
        <v>1219</v>
      </c>
      <c r="G54" s="240"/>
      <c r="H54" s="240"/>
      <c r="I54" s="240"/>
      <c r="J54" s="240"/>
      <c r="K54" s="240"/>
      <c r="L54" s="240"/>
    </row>
    <row r="55" spans="1:12">
      <c r="A55" s="111">
        <f t="shared" si="8"/>
        <v>41</v>
      </c>
      <c r="B55" s="231"/>
      <c r="C55" s="21" t="s">
        <v>182</v>
      </c>
      <c r="D55" s="126">
        <v>5.6553289888256801E-2</v>
      </c>
      <c r="G55" s="240"/>
      <c r="H55" s="240"/>
      <c r="I55" s="240"/>
      <c r="J55" s="240"/>
      <c r="K55" s="240"/>
      <c r="L55" s="240"/>
    </row>
    <row r="56" spans="1:12">
      <c r="A56" s="111">
        <f t="shared" si="8"/>
        <v>42</v>
      </c>
      <c r="B56" s="231"/>
      <c r="C56" s="21" t="s">
        <v>195</v>
      </c>
      <c r="D56" s="126">
        <v>7.1828142218240867E-2</v>
      </c>
      <c r="E56" s="13"/>
      <c r="G56" s="240"/>
      <c r="H56" s="240"/>
      <c r="I56" s="240"/>
      <c r="J56" s="240"/>
      <c r="K56" s="240"/>
      <c r="L56" s="240"/>
    </row>
    <row r="57" spans="1:12">
      <c r="A57" s="111">
        <f t="shared" si="8"/>
        <v>43</v>
      </c>
      <c r="B57" s="231"/>
      <c r="C57" s="20" t="s">
        <v>183</v>
      </c>
      <c r="D57" s="126">
        <v>8.2236801934806855E-2</v>
      </c>
      <c r="E57" s="149"/>
      <c r="G57" s="240"/>
      <c r="H57" s="240"/>
      <c r="I57" s="240"/>
      <c r="J57" s="240"/>
      <c r="K57" s="240"/>
      <c r="L57" s="240"/>
    </row>
    <row r="58" spans="1:12">
      <c r="A58" s="111">
        <f t="shared" si="8"/>
        <v>44</v>
      </c>
      <c r="B58" s="231"/>
      <c r="C58" s="21" t="s">
        <v>184</v>
      </c>
      <c r="D58" s="126">
        <v>8.01837425905748E-2</v>
      </c>
      <c r="E58" s="247"/>
      <c r="G58" s="240"/>
      <c r="H58" s="240"/>
      <c r="I58" s="240"/>
      <c r="J58" s="240"/>
      <c r="K58" s="240"/>
      <c r="L58" s="240"/>
    </row>
    <row r="59" spans="1:12">
      <c r="A59" s="111">
        <f t="shared" si="8"/>
        <v>45</v>
      </c>
      <c r="B59" s="231"/>
      <c r="C59" s="21" t="s">
        <v>185</v>
      </c>
      <c r="D59" s="126">
        <v>8.9450501877561497E-2</v>
      </c>
      <c r="E59" s="247"/>
      <c r="G59" s="240"/>
      <c r="H59" s="240"/>
      <c r="I59" s="240"/>
      <c r="J59" s="240"/>
      <c r="K59" s="240"/>
      <c r="L59" s="240"/>
    </row>
    <row r="60" spans="1:12">
      <c r="A60" s="111">
        <f t="shared" si="8"/>
        <v>46</v>
      </c>
      <c r="B60" s="231"/>
      <c r="C60" s="20" t="s">
        <v>186</v>
      </c>
      <c r="D60" s="126">
        <v>9.8908415854749826E-2</v>
      </c>
      <c r="E60" s="247"/>
      <c r="G60" s="240"/>
      <c r="H60" s="240"/>
      <c r="I60" s="240"/>
      <c r="J60" s="240"/>
      <c r="K60" s="240"/>
      <c r="L60" s="240"/>
    </row>
    <row r="61" spans="1:12">
      <c r="A61" s="111">
        <f t="shared" si="8"/>
        <v>47</v>
      </c>
      <c r="B61" s="231"/>
      <c r="C61" s="21" t="s">
        <v>187</v>
      </c>
      <c r="D61" s="126">
        <v>0.10141004323318151</v>
      </c>
      <c r="E61" s="247"/>
      <c r="G61" s="240"/>
      <c r="H61" s="240"/>
      <c r="I61" s="240"/>
      <c r="J61" s="240"/>
      <c r="K61" s="240"/>
      <c r="L61" s="240"/>
    </row>
    <row r="62" spans="1:12">
      <c r="A62" s="111">
        <f t="shared" si="8"/>
        <v>48</v>
      </c>
      <c r="B62" s="231"/>
      <c r="C62" s="21" t="s">
        <v>188</v>
      </c>
      <c r="D62" s="126">
        <v>0.10217900008822713</v>
      </c>
      <c r="E62" s="247"/>
      <c r="G62" s="240"/>
      <c r="H62" s="240"/>
      <c r="I62" s="240"/>
      <c r="J62" s="240"/>
      <c r="K62" s="240"/>
      <c r="L62" s="240"/>
    </row>
    <row r="63" spans="1:12">
      <c r="A63" s="111">
        <f t="shared" si="8"/>
        <v>49</v>
      </c>
      <c r="B63" s="231"/>
      <c r="C63" s="20" t="s">
        <v>191</v>
      </c>
      <c r="D63" s="126">
        <v>9.1787269171678454E-2</v>
      </c>
      <c r="E63" s="247"/>
      <c r="G63" s="240"/>
      <c r="H63" s="240"/>
      <c r="I63" s="240"/>
      <c r="J63" s="240"/>
      <c r="K63" s="240"/>
      <c r="L63" s="240"/>
    </row>
    <row r="64" spans="1:12">
      <c r="A64" s="111">
        <f t="shared" si="8"/>
        <v>50</v>
      </c>
      <c r="B64" s="231"/>
      <c r="C64" s="20" t="s">
        <v>190</v>
      </c>
      <c r="D64" s="126">
        <v>7.5296938318149625E-2</v>
      </c>
      <c r="E64" s="247"/>
      <c r="G64" s="231"/>
      <c r="H64" s="231"/>
      <c r="I64" s="231"/>
      <c r="J64" s="231"/>
      <c r="K64" s="231"/>
      <c r="L64" s="231"/>
    </row>
    <row r="65" spans="1:16">
      <c r="A65" s="111">
        <f t="shared" si="8"/>
        <v>51</v>
      </c>
      <c r="B65" s="231"/>
      <c r="C65" s="21" t="s">
        <v>180</v>
      </c>
      <c r="D65" s="380">
        <v>8.640264338381512E-2</v>
      </c>
      <c r="E65" s="153"/>
      <c r="G65" s="231"/>
      <c r="H65" s="231"/>
      <c r="I65" s="231"/>
      <c r="J65" s="231"/>
      <c r="K65" s="231"/>
      <c r="L65" s="231"/>
    </row>
    <row r="66" spans="1:16">
      <c r="A66" s="111">
        <f t="shared" si="8"/>
        <v>52</v>
      </c>
      <c r="B66" s="231"/>
      <c r="C66" s="34" t="s">
        <v>4</v>
      </c>
      <c r="D66" s="393">
        <f>SUM(D54:D65)</f>
        <v>1.0000000000000002</v>
      </c>
      <c r="E66" s="231"/>
      <c r="G66" s="231"/>
      <c r="H66" s="231"/>
      <c r="I66" s="231"/>
      <c r="J66" s="231"/>
      <c r="K66" s="231"/>
      <c r="L66" s="231"/>
    </row>
    <row r="67" spans="1:16" s="14" customFormat="1">
      <c r="A67" s="111">
        <f t="shared" si="8"/>
        <v>53</v>
      </c>
      <c r="B67" s="240"/>
      <c r="C67" s="240"/>
      <c r="D67" s="240"/>
      <c r="E67" s="240"/>
      <c r="F67" s="111"/>
      <c r="G67" s="240"/>
      <c r="H67" s="240"/>
      <c r="I67" s="240"/>
      <c r="J67" s="240"/>
      <c r="K67" s="240"/>
      <c r="L67" s="240"/>
    </row>
    <row r="68" spans="1:16">
      <c r="A68" s="111">
        <f t="shared" si="8"/>
        <v>54</v>
      </c>
      <c r="B68" s="1" t="s">
        <v>2307</v>
      </c>
      <c r="C68" s="231"/>
      <c r="D68" s="231"/>
      <c r="E68" s="231"/>
      <c r="F68" s="2"/>
      <c r="G68" s="231"/>
      <c r="H68" s="231"/>
      <c r="I68" s="231"/>
      <c r="J68" s="231"/>
      <c r="K68" s="231"/>
      <c r="L68" s="231"/>
    </row>
    <row r="69" spans="1:16">
      <c r="A69" s="111">
        <f t="shared" si="8"/>
        <v>55</v>
      </c>
      <c r="B69" s="231"/>
      <c r="C69" s="231"/>
      <c r="D69" s="231"/>
      <c r="E69" s="231"/>
      <c r="F69" s="2"/>
      <c r="G69" s="231"/>
      <c r="H69" s="231"/>
      <c r="I69" s="231"/>
      <c r="J69" s="231"/>
      <c r="K69" s="231"/>
      <c r="L69" s="231"/>
    </row>
    <row r="70" spans="1:16">
      <c r="A70" s="111">
        <f t="shared" si="8"/>
        <v>56</v>
      </c>
      <c r="B70" s="231"/>
      <c r="C70" s="84" t="s">
        <v>360</v>
      </c>
      <c r="D70" s="84" t="s">
        <v>344</v>
      </c>
      <c r="E70" s="84" t="s">
        <v>345</v>
      </c>
      <c r="F70" s="84" t="s">
        <v>346</v>
      </c>
      <c r="G70" s="84" t="s">
        <v>347</v>
      </c>
      <c r="H70" s="84" t="s">
        <v>348</v>
      </c>
      <c r="I70" s="84" t="s">
        <v>349</v>
      </c>
      <c r="J70" s="231"/>
    </row>
    <row r="71" spans="1:16">
      <c r="A71" s="111">
        <f t="shared" si="8"/>
        <v>57</v>
      </c>
      <c r="B71" s="231"/>
      <c r="C71" s="478" t="s">
        <v>1064</v>
      </c>
      <c r="D71" s="478" t="s">
        <v>1065</v>
      </c>
      <c r="E71" s="84"/>
      <c r="F71" s="84"/>
      <c r="G71" s="84"/>
      <c r="H71" s="84"/>
      <c r="I71" s="87" t="s">
        <v>532</v>
      </c>
      <c r="J71" s="231"/>
      <c r="K71" s="231"/>
      <c r="L71" s="231"/>
    </row>
    <row r="72" spans="1:16">
      <c r="A72" s="111">
        <f t="shared" si="8"/>
        <v>58</v>
      </c>
      <c r="B72" s="231"/>
      <c r="C72" s="231"/>
      <c r="D72" s="231"/>
      <c r="E72" s="231"/>
      <c r="F72" s="2"/>
      <c r="G72" s="231"/>
      <c r="H72" s="231"/>
      <c r="I72" s="231"/>
      <c r="J72" s="231"/>
      <c r="K72" s="396"/>
      <c r="L72" s="231"/>
    </row>
    <row r="73" spans="1:16">
      <c r="A73" s="111">
        <f t="shared" si="8"/>
        <v>59</v>
      </c>
      <c r="B73" s="231"/>
      <c r="C73" s="2" t="s">
        <v>507</v>
      </c>
      <c r="D73" s="231"/>
      <c r="E73" s="231"/>
      <c r="F73" s="2"/>
      <c r="G73" s="231"/>
      <c r="H73" s="231"/>
      <c r="I73" s="2" t="s">
        <v>19</v>
      </c>
      <c r="J73" s="231"/>
      <c r="K73" s="495"/>
      <c r="L73" s="231"/>
    </row>
    <row r="74" spans="1:16">
      <c r="A74" s="111">
        <f t="shared" si="8"/>
        <v>60</v>
      </c>
      <c r="B74" s="234" t="s">
        <v>404</v>
      </c>
      <c r="C74" s="2" t="s">
        <v>526</v>
      </c>
      <c r="D74" s="231"/>
      <c r="E74" s="231"/>
      <c r="F74" s="84"/>
      <c r="G74" s="231"/>
      <c r="H74" s="231"/>
      <c r="I74" s="2" t="s">
        <v>196</v>
      </c>
      <c r="J74" s="231"/>
    </row>
    <row r="75" spans="1:16" ht="14.4">
      <c r="A75" s="111">
        <f t="shared" si="8"/>
        <v>61</v>
      </c>
      <c r="B75" s="234" t="s">
        <v>193</v>
      </c>
      <c r="C75" s="2" t="s">
        <v>308</v>
      </c>
      <c r="D75" s="2" t="s">
        <v>358</v>
      </c>
      <c r="E75" s="2"/>
      <c r="F75" s="2"/>
      <c r="G75" s="2" t="s">
        <v>524</v>
      </c>
      <c r="H75" s="2"/>
      <c r="I75" s="2" t="s">
        <v>20</v>
      </c>
      <c r="J75" s="231"/>
      <c r="P75" s="242"/>
    </row>
    <row r="76" spans="1:16" ht="14.4">
      <c r="A76" s="111">
        <f t="shared" si="8"/>
        <v>62</v>
      </c>
      <c r="B76" s="3" t="s">
        <v>192</v>
      </c>
      <c r="C76" s="3" t="s">
        <v>21</v>
      </c>
      <c r="D76" s="3" t="s">
        <v>308</v>
      </c>
      <c r="E76" s="3" t="s">
        <v>307</v>
      </c>
      <c r="F76" s="3" t="s">
        <v>523</v>
      </c>
      <c r="G76" s="3" t="s">
        <v>525</v>
      </c>
      <c r="H76" s="3" t="s">
        <v>358</v>
      </c>
      <c r="I76" s="3" t="s">
        <v>77</v>
      </c>
      <c r="J76" s="231"/>
      <c r="K76" s="243"/>
      <c r="L76" s="243"/>
      <c r="M76" s="243"/>
      <c r="N76" s="243"/>
      <c r="O76" s="243"/>
      <c r="P76" s="243"/>
    </row>
    <row r="77" spans="1:16">
      <c r="A77" s="111">
        <f t="shared" si="8"/>
        <v>63</v>
      </c>
      <c r="B77" s="248" t="s">
        <v>64</v>
      </c>
      <c r="C77" s="245">
        <v>88876405.790000007</v>
      </c>
      <c r="D77" s="245">
        <v>-7087025.2800000003</v>
      </c>
      <c r="E77" s="245">
        <v>363695813.60000002</v>
      </c>
      <c r="F77" s="245">
        <v>311346757.66999996</v>
      </c>
      <c r="G77" s="245">
        <v>49601039.910000004</v>
      </c>
      <c r="H77" s="1007">
        <v>51035736.079999998</v>
      </c>
      <c r="I77" s="233">
        <f>SUM(C77:H77)</f>
        <v>857468727.76999998</v>
      </c>
      <c r="J77" s="231"/>
      <c r="K77" s="52"/>
      <c r="M77" s="7"/>
      <c r="N77" s="7"/>
      <c r="O77" s="7"/>
      <c r="P77" s="7"/>
    </row>
    <row r="78" spans="1:16">
      <c r="A78" s="111">
        <f t="shared" si="8"/>
        <v>64</v>
      </c>
      <c r="B78" s="248" t="s">
        <v>65</v>
      </c>
      <c r="C78" s="245">
        <v>76214393.859999999</v>
      </c>
      <c r="D78" s="245">
        <v>-6699589.3600000003</v>
      </c>
      <c r="E78" s="245">
        <v>307753182.08999997</v>
      </c>
      <c r="F78" s="245">
        <v>259118518.43000001</v>
      </c>
      <c r="G78" s="245">
        <v>36338088.100000001</v>
      </c>
      <c r="H78" s="245">
        <v>47178057.239999995</v>
      </c>
      <c r="I78" s="233">
        <f t="shared" ref="I78:I87" si="9">SUM(C78:H78)</f>
        <v>719902650.36000001</v>
      </c>
      <c r="J78" s="231"/>
      <c r="K78" s="52"/>
      <c r="M78" s="7"/>
      <c r="N78" s="7"/>
      <c r="O78" s="7"/>
      <c r="P78" s="7"/>
    </row>
    <row r="79" spans="1:16">
      <c r="A79" s="111">
        <f t="shared" si="8"/>
        <v>65</v>
      </c>
      <c r="B79" s="248" t="s">
        <v>66</v>
      </c>
      <c r="C79" s="245">
        <v>88623013.280000001</v>
      </c>
      <c r="D79" s="245">
        <v>-7723145.5899999999</v>
      </c>
      <c r="E79" s="245">
        <v>356417097.34000003</v>
      </c>
      <c r="F79" s="245">
        <v>297947006.99000001</v>
      </c>
      <c r="G79" s="245">
        <v>38088668.530000001</v>
      </c>
      <c r="H79" s="245">
        <v>54002238.420000002</v>
      </c>
      <c r="I79" s="233">
        <f t="shared" si="9"/>
        <v>827354878.96999991</v>
      </c>
      <c r="J79" s="231"/>
      <c r="K79" s="52"/>
      <c r="M79" s="7"/>
      <c r="N79" s="7"/>
      <c r="O79" s="7"/>
      <c r="P79" s="7"/>
    </row>
    <row r="80" spans="1:16">
      <c r="A80" s="111">
        <f t="shared" si="8"/>
        <v>66</v>
      </c>
      <c r="B80" s="248" t="s">
        <v>67</v>
      </c>
      <c r="C80" s="245">
        <v>83996141.510000005</v>
      </c>
      <c r="D80" s="245">
        <v>-7536483.5499999989</v>
      </c>
      <c r="E80" s="245">
        <v>188886686.20999998</v>
      </c>
      <c r="F80" s="245">
        <v>282082099.15999997</v>
      </c>
      <c r="G80" s="245">
        <v>37109156.090000004</v>
      </c>
      <c r="H80" s="245">
        <v>51830193.259999998</v>
      </c>
      <c r="I80" s="233">
        <f t="shared" si="9"/>
        <v>636367792.67999995</v>
      </c>
      <c r="J80" s="231"/>
      <c r="K80" s="52"/>
      <c r="M80" s="7"/>
      <c r="N80" s="7"/>
      <c r="O80" s="7"/>
      <c r="P80" s="7"/>
    </row>
    <row r="81" spans="1:16">
      <c r="A81" s="111">
        <f t="shared" si="8"/>
        <v>67</v>
      </c>
      <c r="B81" s="87" t="s">
        <v>184</v>
      </c>
      <c r="C81" s="245">
        <v>92695249.209999993</v>
      </c>
      <c r="D81" s="245">
        <v>-8104571.5099999988</v>
      </c>
      <c r="E81" s="245">
        <v>355261646.01999998</v>
      </c>
      <c r="F81" s="245">
        <v>311024347.45999998</v>
      </c>
      <c r="G81" s="245">
        <v>43230141.75</v>
      </c>
      <c r="H81" s="245">
        <v>56581146.129999995</v>
      </c>
      <c r="I81" s="233">
        <f t="shared" si="9"/>
        <v>850687959.05999994</v>
      </c>
      <c r="J81" s="231"/>
      <c r="K81" s="52"/>
      <c r="M81" s="7"/>
      <c r="N81" s="7"/>
      <c r="O81" s="7"/>
      <c r="P81" s="7"/>
    </row>
    <row r="82" spans="1:16">
      <c r="A82" s="111">
        <f t="shared" si="8"/>
        <v>68</v>
      </c>
      <c r="B82" s="248" t="s">
        <v>68</v>
      </c>
      <c r="C82" s="245">
        <v>104845652.2</v>
      </c>
      <c r="D82" s="245">
        <v>-12956108.67</v>
      </c>
      <c r="E82" s="245">
        <v>402432157.86000001</v>
      </c>
      <c r="F82" s="245">
        <v>527362391.88</v>
      </c>
      <c r="G82" s="245">
        <v>45581306.109999999</v>
      </c>
      <c r="H82" s="245">
        <v>64335179.689999998</v>
      </c>
      <c r="I82" s="233">
        <f t="shared" si="9"/>
        <v>1131600579.0699999</v>
      </c>
      <c r="J82" s="231"/>
      <c r="K82" s="52"/>
      <c r="M82" s="7"/>
      <c r="N82" s="7"/>
      <c r="O82" s="7"/>
      <c r="P82" s="7"/>
    </row>
    <row r="83" spans="1:16">
      <c r="A83" s="111">
        <f t="shared" si="8"/>
        <v>69</v>
      </c>
      <c r="B83" s="248" t="s">
        <v>69</v>
      </c>
      <c r="C83" s="245">
        <v>123594050.2</v>
      </c>
      <c r="D83" s="245">
        <v>-19621539.999999996</v>
      </c>
      <c r="E83" s="245">
        <v>460524055.99000001</v>
      </c>
      <c r="F83" s="245">
        <v>644206333.99000001</v>
      </c>
      <c r="G83" s="245">
        <v>73983881.809999987</v>
      </c>
      <c r="H83" s="245">
        <v>77772627.200000003</v>
      </c>
      <c r="I83" s="233">
        <f t="shared" si="9"/>
        <v>1360459409.1900001</v>
      </c>
      <c r="J83" s="231"/>
      <c r="K83" s="52"/>
      <c r="M83" s="7"/>
      <c r="N83" s="7"/>
      <c r="O83" s="7"/>
      <c r="P83" s="7"/>
    </row>
    <row r="84" spans="1:16">
      <c r="A84" s="111">
        <f t="shared" si="8"/>
        <v>70</v>
      </c>
      <c r="B84" s="248" t="s">
        <v>70</v>
      </c>
      <c r="C84" s="245">
        <v>125785395.62</v>
      </c>
      <c r="D84" s="245">
        <v>-18661551.910000004</v>
      </c>
      <c r="E84" s="245">
        <v>472206915.98000002</v>
      </c>
      <c r="F84" s="245">
        <v>682290749.38999999</v>
      </c>
      <c r="G84" s="245">
        <v>79884678.980000004</v>
      </c>
      <c r="H84" s="245">
        <v>78382836.030000001</v>
      </c>
      <c r="I84" s="233">
        <f t="shared" si="9"/>
        <v>1419889024.0899999</v>
      </c>
      <c r="J84" s="231"/>
      <c r="K84" s="52"/>
      <c r="M84" s="7"/>
      <c r="N84" s="7"/>
      <c r="O84" s="7"/>
      <c r="P84" s="7"/>
    </row>
    <row r="85" spans="1:16">
      <c r="A85" s="111">
        <f t="shared" si="8"/>
        <v>71</v>
      </c>
      <c r="B85" s="248" t="s">
        <v>71</v>
      </c>
      <c r="C85" s="245">
        <v>106851758.05</v>
      </c>
      <c r="D85" s="245">
        <v>-15843048.290000003</v>
      </c>
      <c r="E85" s="245">
        <v>396942805.63999999</v>
      </c>
      <c r="F85" s="245">
        <v>580474930.38999999</v>
      </c>
      <c r="G85" s="245">
        <v>62680551.57</v>
      </c>
      <c r="H85" s="245">
        <v>65928575.859999999</v>
      </c>
      <c r="I85" s="233">
        <f t="shared" si="9"/>
        <v>1197035573.2199998</v>
      </c>
      <c r="J85" s="231"/>
      <c r="K85" s="52"/>
      <c r="M85" s="7"/>
      <c r="N85" s="7"/>
      <c r="O85" s="7"/>
      <c r="P85" s="7"/>
    </row>
    <row r="86" spans="1:16">
      <c r="A86" s="111">
        <f t="shared" si="8"/>
        <v>72</v>
      </c>
      <c r="B86" s="248" t="s">
        <v>72</v>
      </c>
      <c r="C86" s="245">
        <v>100653472.02</v>
      </c>
      <c r="D86" s="245">
        <v>-15014566.739999998</v>
      </c>
      <c r="E86" s="245">
        <v>247390825.06000003</v>
      </c>
      <c r="F86" s="245">
        <v>390764398.99999994</v>
      </c>
      <c r="G86" s="245">
        <v>42021233.840000004</v>
      </c>
      <c r="H86" s="245">
        <v>61154922.710000001</v>
      </c>
      <c r="I86" s="233">
        <f t="shared" si="9"/>
        <v>826970285.88999999</v>
      </c>
      <c r="J86" s="231"/>
      <c r="K86" s="52"/>
      <c r="M86" s="7"/>
      <c r="N86" s="7"/>
      <c r="O86" s="7"/>
      <c r="P86" s="7"/>
    </row>
    <row r="87" spans="1:16">
      <c r="A87" s="111">
        <f t="shared" si="8"/>
        <v>73</v>
      </c>
      <c r="B87" s="248" t="s">
        <v>73</v>
      </c>
      <c r="C87" s="245">
        <v>88159107.019999996</v>
      </c>
      <c r="D87" s="245">
        <v>-13029919.08</v>
      </c>
      <c r="E87" s="245">
        <v>343372179.05000001</v>
      </c>
      <c r="F87" s="245">
        <v>293271394.49000001</v>
      </c>
      <c r="G87" s="245">
        <v>40310841.799999997</v>
      </c>
      <c r="H87" s="245">
        <v>53305058.780000001</v>
      </c>
      <c r="I87" s="233">
        <f t="shared" si="9"/>
        <v>805388662.05999994</v>
      </c>
      <c r="J87" s="231"/>
      <c r="K87" s="52"/>
      <c r="M87" s="7"/>
      <c r="N87" s="7"/>
      <c r="O87" s="7"/>
      <c r="P87" s="7"/>
    </row>
    <row r="88" spans="1:16">
      <c r="A88" s="111">
        <f t="shared" si="8"/>
        <v>74</v>
      </c>
      <c r="B88" s="248" t="s">
        <v>74</v>
      </c>
      <c r="C88" s="108">
        <v>89149113.290000007</v>
      </c>
      <c r="D88" s="108">
        <v>-13623611.720000001</v>
      </c>
      <c r="E88" s="108">
        <v>351130269.45000005</v>
      </c>
      <c r="F88" s="108">
        <v>301056365.16000003</v>
      </c>
      <c r="G88" s="108">
        <v>38410018.740000002</v>
      </c>
      <c r="H88" s="108">
        <v>55407794.349999994</v>
      </c>
      <c r="I88" s="91">
        <f>SUM(C88:H88)</f>
        <v>821529949.2700001</v>
      </c>
      <c r="J88" s="231"/>
      <c r="K88" s="52"/>
      <c r="M88" s="7"/>
      <c r="N88" s="7"/>
      <c r="O88" s="7"/>
      <c r="P88" s="91"/>
    </row>
    <row r="89" spans="1:16">
      <c r="A89" s="111">
        <f t="shared" si="8"/>
        <v>75</v>
      </c>
      <c r="B89" s="87" t="s">
        <v>197</v>
      </c>
      <c r="C89" s="233">
        <f t="shared" ref="C89:I89" si="10">SUM(C77:C88)</f>
        <v>1169443752.05</v>
      </c>
      <c r="D89" s="233">
        <f t="shared" si="10"/>
        <v>-145901161.70000002</v>
      </c>
      <c r="E89" s="233">
        <f t="shared" si="10"/>
        <v>4246013634.29</v>
      </c>
      <c r="F89" s="233">
        <f t="shared" si="10"/>
        <v>4880945294.0099993</v>
      </c>
      <c r="G89" s="233">
        <f t="shared" si="10"/>
        <v>587239607.23000002</v>
      </c>
      <c r="H89" s="233">
        <f t="shared" si="10"/>
        <v>716914365.75</v>
      </c>
      <c r="I89" s="233">
        <f t="shared" si="10"/>
        <v>11454655491.629999</v>
      </c>
      <c r="J89" s="231"/>
      <c r="P89" s="7"/>
    </row>
    <row r="90" spans="1:16">
      <c r="A90" s="111">
        <f t="shared" si="8"/>
        <v>76</v>
      </c>
      <c r="B90" s="231"/>
      <c r="C90" s="231"/>
      <c r="D90" s="231"/>
      <c r="E90" s="231"/>
      <c r="F90" s="231"/>
      <c r="G90" s="231"/>
      <c r="H90" s="94"/>
      <c r="I90" s="231"/>
      <c r="J90" s="231"/>
      <c r="K90" s="231"/>
      <c r="L90" s="231"/>
    </row>
    <row r="91" spans="1:16">
      <c r="A91" s="111">
        <f t="shared" si="8"/>
        <v>77</v>
      </c>
      <c r="B91" s="231"/>
      <c r="C91" s="231"/>
      <c r="D91" s="231"/>
      <c r="E91" s="231"/>
      <c r="F91" s="231"/>
      <c r="G91" s="231"/>
      <c r="H91" s="94" t="s">
        <v>527</v>
      </c>
      <c r="I91" s="1007">
        <v>11454655492</v>
      </c>
      <c r="J91" s="231"/>
      <c r="K91" s="231"/>
      <c r="L91" s="231"/>
    </row>
    <row r="92" spans="1:16">
      <c r="A92" s="231"/>
      <c r="B92" s="231"/>
      <c r="C92" s="231"/>
      <c r="D92" s="231"/>
      <c r="E92" s="231"/>
      <c r="F92" s="231"/>
      <c r="G92" s="231"/>
      <c r="H92" s="231"/>
      <c r="I92" s="231"/>
      <c r="J92" s="231"/>
      <c r="K92" s="231"/>
      <c r="L92" s="231"/>
    </row>
    <row r="93" spans="1:16">
      <c r="A93" s="2"/>
      <c r="B93" s="44" t="s">
        <v>379</v>
      </c>
      <c r="C93" s="240"/>
      <c r="D93" s="240"/>
      <c r="E93" s="240"/>
      <c r="F93" s="240"/>
      <c r="G93" s="240"/>
      <c r="H93" s="240"/>
      <c r="I93" s="235"/>
      <c r="J93" s="240"/>
      <c r="K93" s="240"/>
      <c r="L93" s="231"/>
    </row>
    <row r="94" spans="1:16">
      <c r="A94" s="2"/>
      <c r="B94" s="476" t="str">
        <f>"1) Enter applicable years on Column 1, Lines "&amp;A24&amp;"-"&amp;A36&amp;" (Prior Year and December of the year previous to the Prior Year)."</f>
        <v>1) Enter applicable years on Column 1, Lines 11-23 (Prior Year and December of the year previous to the Prior Year).</v>
      </c>
      <c r="C94" s="240"/>
      <c r="D94" s="240"/>
      <c r="E94" s="240"/>
      <c r="F94" s="240"/>
      <c r="G94" s="240"/>
      <c r="H94" s="240"/>
      <c r="I94" s="240"/>
      <c r="J94" s="240"/>
      <c r="K94" s="240"/>
      <c r="L94" s="231"/>
    </row>
    <row r="95" spans="1:16">
      <c r="A95" s="2"/>
      <c r="B95" s="476" t="str">
        <f>"2) Enter Previous Annual Update True Up Adjustment (if any) on Line "&amp;A41&amp;"."</f>
        <v>2) Enter Previous Annual Update True Up Adjustment (if any) on Line 27.</v>
      </c>
      <c r="C95" s="240"/>
      <c r="D95" s="240"/>
      <c r="E95" s="240"/>
      <c r="F95" s="240"/>
      <c r="G95" s="240"/>
      <c r="H95" s="240"/>
      <c r="I95" s="240"/>
      <c r="J95" s="240"/>
      <c r="K95" s="240"/>
      <c r="L95" s="231"/>
    </row>
    <row r="96" spans="1:16">
      <c r="A96" s="2"/>
      <c r="B96" s="1083" t="s">
        <v>2308</v>
      </c>
      <c r="C96" s="240"/>
      <c r="D96" s="240"/>
      <c r="E96" s="240"/>
      <c r="F96" s="240"/>
      <c r="G96" s="240"/>
      <c r="H96" s="240"/>
      <c r="I96" s="240"/>
      <c r="J96" s="240"/>
      <c r="K96" s="240"/>
      <c r="L96" s="231"/>
    </row>
    <row r="97" spans="1:12">
      <c r="A97" s="2"/>
      <c r="B97" s="476" t="s">
        <v>968</v>
      </c>
      <c r="C97" s="240"/>
      <c r="D97" s="240"/>
      <c r="E97" s="240"/>
      <c r="F97" s="240"/>
      <c r="G97" s="240"/>
      <c r="H97" s="240"/>
      <c r="I97" s="240"/>
      <c r="J97" s="240"/>
      <c r="K97" s="240"/>
      <c r="L97" s="231"/>
    </row>
    <row r="98" spans="1:12">
      <c r="A98" s="2"/>
      <c r="B98" s="877" t="str">
        <f>"18 C.F.R. §35.19a on lines "&amp;A25&amp;" to "&amp;A36&amp;", Column 6."</f>
        <v>18 C.F.R. §35.19a on lines 12 to 23, Column 6.</v>
      </c>
      <c r="C98" s="240"/>
      <c r="D98" s="240"/>
      <c r="E98" s="240"/>
      <c r="F98" s="240"/>
      <c r="G98" s="240"/>
      <c r="H98" s="240"/>
      <c r="I98" s="240"/>
      <c r="J98" s="240"/>
      <c r="K98" s="240"/>
      <c r="L98" s="231"/>
    </row>
    <row r="99" spans="1:12">
      <c r="A99" s="2"/>
      <c r="B99" s="476" t="s">
        <v>2309</v>
      </c>
      <c r="C99" s="240"/>
      <c r="D99" s="240"/>
      <c r="E99" s="240"/>
      <c r="F99" s="240"/>
      <c r="G99" s="240"/>
      <c r="H99" s="240"/>
      <c r="I99" s="240"/>
      <c r="J99" s="240"/>
      <c r="K99" s="240"/>
      <c r="L99" s="231"/>
    </row>
    <row r="100" spans="1:12">
      <c r="A100" s="2"/>
      <c r="B100" s="455" t="s">
        <v>1722</v>
      </c>
      <c r="C100" s="240"/>
      <c r="D100" s="240"/>
      <c r="E100" s="240"/>
      <c r="F100" s="240"/>
      <c r="G100" s="240"/>
      <c r="H100" s="240"/>
      <c r="I100" s="240"/>
      <c r="J100" s="240"/>
      <c r="K100" s="240"/>
      <c r="L100" s="231"/>
    </row>
    <row r="101" spans="1:12">
      <c r="A101" s="571"/>
      <c r="B101" s="879" t="s">
        <v>2310</v>
      </c>
      <c r="C101" s="240"/>
      <c r="D101" s="240"/>
      <c r="E101" s="240"/>
      <c r="F101" s="240"/>
      <c r="G101" s="240"/>
      <c r="H101" s="240"/>
      <c r="I101" s="240"/>
      <c r="J101" s="240"/>
      <c r="K101" s="240"/>
    </row>
    <row r="102" spans="1:12">
      <c r="A102" s="571"/>
      <c r="B102" s="1084" t="s">
        <v>2311</v>
      </c>
      <c r="C102" s="240"/>
      <c r="D102" s="240"/>
      <c r="E102" s="240"/>
      <c r="F102" s="240"/>
      <c r="G102" s="240"/>
      <c r="H102" s="240"/>
      <c r="I102" s="240"/>
      <c r="J102" s="240"/>
      <c r="K102" s="240"/>
      <c r="L102" s="231"/>
    </row>
    <row r="103" spans="1:12">
      <c r="A103" s="571"/>
      <c r="B103" s="1084" t="str">
        <f>"Entering on Line "&amp;A25&amp;" (or other appropriate) ensures these One Time Adjustments are recovered from or returned to customers."</f>
        <v>Entering on Line 12 (or other appropriate) ensures these One Time Adjustments are recovered from or returned to customers.</v>
      </c>
      <c r="C103" s="14"/>
      <c r="D103" s="240"/>
      <c r="E103" s="240"/>
      <c r="F103" s="240"/>
      <c r="G103" s="240"/>
      <c r="H103" s="240"/>
      <c r="I103" s="240"/>
      <c r="J103" s="240"/>
      <c r="K103" s="240"/>
      <c r="L103" s="231"/>
    </row>
    <row r="104" spans="1:12">
      <c r="A104" s="2"/>
      <c r="B104" s="879" t="s">
        <v>2312</v>
      </c>
      <c r="C104" s="240"/>
      <c r="D104" s="240"/>
      <c r="E104" s="240"/>
      <c r="F104" s="240"/>
      <c r="G104" s="240"/>
      <c r="H104" s="240"/>
      <c r="I104" s="240"/>
      <c r="J104" s="240"/>
      <c r="K104" s="240"/>
      <c r="L104" s="231"/>
    </row>
    <row r="105" spans="1:12">
      <c r="A105" s="2"/>
      <c r="B105" s="879" t="s">
        <v>2313</v>
      </c>
      <c r="C105" s="240"/>
      <c r="D105" s="240"/>
      <c r="E105" s="240"/>
      <c r="F105" s="240"/>
      <c r="G105" s="240"/>
      <c r="H105" s="240"/>
      <c r="I105" s="240"/>
      <c r="J105" s="240"/>
      <c r="K105" s="240"/>
      <c r="L105" s="231"/>
    </row>
    <row r="106" spans="1:12">
      <c r="A106" s="2"/>
      <c r="B106" s="476" t="str">
        <f>"5) Fill in matrix of all retail revenues from Prior Year in table on lines "&amp;A77&amp;" to "&amp;A88&amp;"."</f>
        <v>5) Fill in matrix of all retail revenues from Prior Year in table on lines 63 to 74.</v>
      </c>
      <c r="C106" s="240"/>
      <c r="D106" s="240"/>
      <c r="E106" s="240"/>
      <c r="F106" s="240"/>
      <c r="G106" s="240"/>
      <c r="H106" s="240"/>
      <c r="I106" s="240"/>
      <c r="J106" s="240"/>
      <c r="K106" s="240"/>
      <c r="L106" s="231"/>
    </row>
    <row r="107" spans="1:12">
      <c r="A107" s="2"/>
      <c r="B107" s="476" t="str">
        <f>"6) Enter Total Sales to Ultimate Consumers on line "&amp;A91&amp;" and verify that it equals the total on line "&amp;A89&amp;"."</f>
        <v>6) Enter Total Sales to Ultimate Consumers on line 77 and verify that it equals the total on line 75.</v>
      </c>
      <c r="C107" s="240"/>
      <c r="D107" s="240"/>
      <c r="E107" s="240"/>
      <c r="F107" s="240"/>
      <c r="G107" s="240"/>
      <c r="H107" s="240"/>
      <c r="I107" s="240"/>
      <c r="J107" s="240"/>
      <c r="K107" s="240"/>
      <c r="L107" s="231"/>
    </row>
    <row r="108" spans="1:12">
      <c r="A108" s="2"/>
      <c r="B108" s="476" t="s">
        <v>2314</v>
      </c>
      <c r="C108" s="240"/>
      <c r="D108" s="240"/>
      <c r="E108" s="240"/>
      <c r="F108" s="240"/>
      <c r="G108" s="240"/>
      <c r="H108" s="240"/>
      <c r="I108" s="240"/>
      <c r="J108" s="240"/>
      <c r="K108" s="240"/>
      <c r="L108" s="231"/>
    </row>
    <row r="109" spans="1:12" s="14" customFormat="1">
      <c r="A109" s="111"/>
      <c r="B109" s="877" t="s">
        <v>1068</v>
      </c>
      <c r="C109" s="240"/>
      <c r="D109" s="240"/>
      <c r="E109" s="240"/>
      <c r="F109" s="240"/>
      <c r="G109" s="240"/>
      <c r="H109" s="240"/>
      <c r="I109" s="240"/>
      <c r="J109" s="240"/>
      <c r="K109" s="240"/>
      <c r="L109" s="240"/>
    </row>
    <row r="110" spans="1:12">
      <c r="A110" s="2"/>
      <c r="B110" s="865" t="s">
        <v>232</v>
      </c>
      <c r="C110" s="240"/>
      <c r="D110" s="240"/>
      <c r="E110" s="240"/>
      <c r="F110" s="240"/>
      <c r="G110" s="240"/>
      <c r="H110" s="240"/>
      <c r="I110" s="240"/>
      <c r="J110" s="240"/>
      <c r="K110" s="240"/>
      <c r="L110" s="231"/>
    </row>
    <row r="111" spans="1:12">
      <c r="A111" s="2"/>
      <c r="B111" s="481" t="s">
        <v>1498</v>
      </c>
      <c r="C111" s="240"/>
      <c r="D111" s="240"/>
      <c r="E111" s="240"/>
      <c r="F111" s="240"/>
      <c r="G111" s="240"/>
      <c r="H111" s="240"/>
      <c r="I111" s="240"/>
      <c r="J111" s="240"/>
      <c r="K111" s="240"/>
      <c r="L111" s="231"/>
    </row>
    <row r="112" spans="1:12">
      <c r="A112" s="2"/>
      <c r="B112" s="1085" t="s">
        <v>1499</v>
      </c>
      <c r="C112" s="240"/>
      <c r="D112" s="240"/>
      <c r="E112" s="240"/>
      <c r="F112" s="240"/>
      <c r="G112" s="240"/>
      <c r="H112" s="240"/>
      <c r="I112" s="240"/>
      <c r="J112" s="240"/>
      <c r="K112" s="240"/>
      <c r="L112" s="231"/>
    </row>
    <row r="113" spans="1:12">
      <c r="A113" s="2"/>
      <c r="B113" s="1083" t="str">
        <f>"a Partial Year True Up, use the Partial Year TRR Attribution Allocation Factors on Lines "&amp;A54&amp;" to "&amp;A65&amp;" for each month of Partial Year True Up."</f>
        <v>a Partial Year True Up, use the Partial Year TRR Attribution Allocation Factors on Lines 40 to 51 for each month of Partial Year True Up.</v>
      </c>
      <c r="C113" s="240"/>
      <c r="D113" s="240"/>
      <c r="E113" s="240"/>
      <c r="F113" s="240"/>
      <c r="G113" s="240"/>
      <c r="H113" s="240"/>
      <c r="I113" s="240"/>
      <c r="J113" s="240"/>
      <c r="K113" s="240"/>
      <c r="L113" s="231"/>
    </row>
    <row r="114" spans="1:12">
      <c r="A114" s="507"/>
      <c r="B114" s="1083" t="str">
        <f>"Only enter in the Prior Year, Lines "&amp;A25&amp;" to "&amp;A36&amp;", or portion of year formula was in effect in case of Partial Year True Up."</f>
        <v>Only enter in the Prior Year, Lines 12 to 23, or portion of year formula was in effect in case of Partial Year True Up.</v>
      </c>
      <c r="C114" s="240"/>
      <c r="D114" s="240"/>
      <c r="E114" s="240"/>
      <c r="F114" s="240"/>
      <c r="G114" s="240"/>
      <c r="H114" s="240"/>
      <c r="I114" s="240"/>
      <c r="J114" s="240"/>
      <c r="K114" s="240"/>
      <c r="L114" s="231"/>
    </row>
    <row r="115" spans="1:12">
      <c r="A115" s="571"/>
      <c r="B115" s="1083" t="s">
        <v>1834</v>
      </c>
      <c r="C115" s="240"/>
      <c r="D115" s="240"/>
      <c r="E115" s="240"/>
      <c r="F115" s="240"/>
      <c r="G115" s="240"/>
      <c r="H115" s="240"/>
      <c r="I115" s="240"/>
      <c r="J115" s="240"/>
      <c r="K115" s="240"/>
      <c r="L115" s="231"/>
    </row>
    <row r="116" spans="1:12">
      <c r="A116" s="2"/>
      <c r="B116" s="1085" t="s">
        <v>1069</v>
      </c>
      <c r="C116" s="240"/>
      <c r="D116" s="240"/>
      <c r="E116" s="240"/>
      <c r="F116" s="240"/>
      <c r="G116" s="240"/>
      <c r="H116" s="240"/>
      <c r="I116" s="240"/>
      <c r="J116" s="240"/>
      <c r="K116" s="240"/>
      <c r="L116" s="231"/>
    </row>
    <row r="117" spans="1:12">
      <c r="A117" s="2"/>
      <c r="B117" s="1083" t="str">
        <f>"as shown on Lines "&amp;A77&amp;" to "&amp;A88&amp;", Column 1."</f>
        <v>as shown on Lines 63 to 74, Column 1.</v>
      </c>
      <c r="C117" s="240"/>
      <c r="D117" s="240"/>
      <c r="E117" s="240"/>
      <c r="F117" s="240"/>
      <c r="G117" s="240"/>
      <c r="H117" s="240"/>
      <c r="I117" s="240"/>
      <c r="J117" s="240"/>
      <c r="K117" s="240"/>
      <c r="L117" s="231"/>
    </row>
    <row r="118" spans="1:12">
      <c r="A118" s="2"/>
      <c r="B118" s="1085" t="s">
        <v>2466</v>
      </c>
      <c r="C118" s="240"/>
      <c r="D118" s="240"/>
      <c r="E118" s="240"/>
      <c r="F118" s="240"/>
      <c r="G118" s="240"/>
      <c r="H118" s="240"/>
      <c r="I118" s="240"/>
      <c r="J118" s="240"/>
      <c r="K118" s="240"/>
      <c r="L118" s="231"/>
    </row>
    <row r="119" spans="1:12">
      <c r="A119" s="2"/>
      <c r="B119" s="1085" t="s">
        <v>1622</v>
      </c>
      <c r="C119" s="240"/>
      <c r="D119" s="240"/>
      <c r="E119" s="240"/>
      <c r="F119" s="240"/>
      <c r="G119" s="240"/>
      <c r="H119" s="240"/>
      <c r="I119" s="240"/>
      <c r="J119" s="240"/>
      <c r="K119" s="240"/>
      <c r="L119" s="231"/>
    </row>
    <row r="120" spans="1:12">
      <c r="A120" s="2"/>
      <c r="B120" s="476" t="s">
        <v>2315</v>
      </c>
      <c r="C120" s="240"/>
      <c r="D120" s="240"/>
      <c r="E120" s="240"/>
      <c r="F120" s="240"/>
      <c r="G120" s="240"/>
      <c r="H120" s="240"/>
      <c r="I120" s="240"/>
      <c r="J120" s="240"/>
      <c r="K120" s="240"/>
      <c r="L120" s="231"/>
    </row>
    <row r="121" spans="1:12">
      <c r="A121" s="571"/>
      <c r="B121" s="877" t="s">
        <v>2316</v>
      </c>
      <c r="C121" s="240"/>
      <c r="D121" s="240"/>
      <c r="E121" s="240"/>
      <c r="F121" s="240"/>
      <c r="G121" s="240"/>
      <c r="H121" s="240"/>
      <c r="I121" s="240"/>
      <c r="J121" s="240"/>
      <c r="K121" s="240"/>
      <c r="L121" s="231"/>
    </row>
    <row r="122" spans="1:12">
      <c r="A122" s="571"/>
      <c r="B122" s="476" t="s">
        <v>1070</v>
      </c>
      <c r="C122" s="240"/>
      <c r="D122" s="240"/>
      <c r="E122" s="240"/>
      <c r="F122" s="240"/>
      <c r="G122" s="240"/>
      <c r="H122" s="240"/>
      <c r="I122" s="240"/>
      <c r="J122" s="240"/>
      <c r="K122" s="240"/>
      <c r="L122" s="240"/>
    </row>
    <row r="123" spans="1:12">
      <c r="A123" s="2"/>
      <c r="B123" s="878" t="s">
        <v>2317</v>
      </c>
      <c r="C123" s="240"/>
      <c r="D123" s="240"/>
      <c r="E123" s="240"/>
      <c r="F123" s="240"/>
      <c r="G123" s="240"/>
      <c r="H123" s="240"/>
      <c r="I123" s="240"/>
      <c r="J123" s="240"/>
      <c r="K123" s="240"/>
      <c r="L123" s="240"/>
    </row>
    <row r="124" spans="1:12">
      <c r="A124" s="2"/>
      <c r="B124" s="476" t="s">
        <v>2318</v>
      </c>
      <c r="C124" s="240"/>
      <c r="D124" s="240"/>
      <c r="E124" s="240"/>
      <c r="F124" s="240"/>
      <c r="G124" s="240"/>
      <c r="H124" s="240"/>
      <c r="I124" s="240"/>
      <c r="J124" s="240"/>
      <c r="K124" s="240"/>
      <c r="L124" s="231"/>
    </row>
    <row r="125" spans="1:12">
      <c r="A125" s="2"/>
      <c r="B125" s="476" t="s">
        <v>2319</v>
      </c>
      <c r="C125" s="240"/>
      <c r="D125" s="240"/>
      <c r="E125" s="240"/>
      <c r="F125" s="240"/>
      <c r="G125" s="240"/>
      <c r="H125" s="240"/>
      <c r="I125" s="240"/>
      <c r="J125" s="240"/>
      <c r="K125" s="240"/>
      <c r="L125" s="231"/>
    </row>
    <row r="126" spans="1:12">
      <c r="A126" s="2"/>
      <c r="B126" s="877" t="s">
        <v>531</v>
      </c>
      <c r="C126" s="240"/>
      <c r="D126" s="240"/>
      <c r="E126" s="240"/>
      <c r="F126" s="240"/>
      <c r="G126" s="240"/>
      <c r="H126" s="240"/>
      <c r="I126" s="240"/>
      <c r="J126" s="240"/>
      <c r="K126" s="240"/>
      <c r="L126" s="231"/>
    </row>
    <row r="127" spans="1:12">
      <c r="A127" s="2"/>
      <c r="B127" s="877" t="s">
        <v>1886</v>
      </c>
      <c r="C127" s="240"/>
      <c r="D127" s="240"/>
      <c r="E127" s="240"/>
      <c r="F127" s="240"/>
      <c r="G127" s="240"/>
      <c r="H127" s="240"/>
      <c r="I127" s="240"/>
      <c r="J127" s="240"/>
      <c r="K127" s="240"/>
      <c r="L127" s="231"/>
    </row>
    <row r="128" spans="1:12">
      <c r="A128" s="2"/>
      <c r="B128" s="877" t="s">
        <v>1887</v>
      </c>
      <c r="C128" s="240"/>
      <c r="D128" s="240"/>
      <c r="E128" s="240"/>
      <c r="F128" s="240"/>
      <c r="G128" s="240"/>
      <c r="H128" s="240"/>
      <c r="I128" s="240"/>
      <c r="J128" s="240"/>
      <c r="K128" s="240"/>
      <c r="L128" s="231"/>
    </row>
    <row r="129" spans="1:12">
      <c r="A129" s="2"/>
      <c r="B129" s="476" t="s">
        <v>2320</v>
      </c>
      <c r="C129" s="240"/>
      <c r="D129" s="240"/>
      <c r="E129" s="240"/>
      <c r="F129" s="240"/>
      <c r="G129" s="240"/>
      <c r="H129" s="240"/>
      <c r="I129" s="240"/>
      <c r="J129" s="240"/>
      <c r="K129" s="240"/>
      <c r="L129" s="231"/>
    </row>
    <row r="130" spans="1:12">
      <c r="A130" s="2"/>
      <c r="B130" s="877" t="s">
        <v>2053</v>
      </c>
      <c r="C130" s="240"/>
      <c r="D130" s="240"/>
      <c r="E130" s="240"/>
      <c r="F130" s="240"/>
      <c r="G130" s="240"/>
      <c r="H130" s="240"/>
      <c r="I130" s="240"/>
      <c r="J130" s="240"/>
      <c r="K130" s="240"/>
      <c r="L130" s="231"/>
    </row>
    <row r="131" spans="1:12">
      <c r="A131" s="2"/>
      <c r="B131" s="877" t="s">
        <v>2052</v>
      </c>
      <c r="C131" s="240"/>
      <c r="D131" s="240"/>
      <c r="E131" s="240"/>
      <c r="F131" s="240"/>
      <c r="G131" s="240"/>
      <c r="H131" s="240"/>
      <c r="I131" s="240"/>
      <c r="J131" s="240"/>
      <c r="K131" s="240"/>
      <c r="L131" s="231"/>
    </row>
    <row r="132" spans="1:12">
      <c r="A132" s="231"/>
      <c r="B132" s="877" t="s">
        <v>2051</v>
      </c>
      <c r="C132" s="240"/>
      <c r="D132" s="240"/>
      <c r="E132" s="240"/>
      <c r="F132" s="240"/>
      <c r="G132" s="240"/>
      <c r="H132" s="240"/>
      <c r="I132" s="240"/>
      <c r="J132" s="240"/>
      <c r="K132" s="240"/>
      <c r="L132" s="231"/>
    </row>
    <row r="133" spans="1:12">
      <c r="A133" s="231"/>
      <c r="B133" s="877" t="s">
        <v>969</v>
      </c>
      <c r="C133" s="240"/>
      <c r="D133" s="240"/>
      <c r="E133" s="240"/>
      <c r="F133" s="240"/>
      <c r="G133" s="240"/>
      <c r="H133" s="240"/>
      <c r="I133" s="240"/>
      <c r="J133" s="240"/>
      <c r="K133" s="240"/>
      <c r="L133" s="231"/>
    </row>
    <row r="134" spans="1:12">
      <c r="A134" s="231"/>
      <c r="B134" s="46"/>
      <c r="C134" s="240"/>
      <c r="D134" s="240"/>
      <c r="E134" s="240"/>
      <c r="F134" s="240"/>
      <c r="G134" s="240"/>
      <c r="H134" s="240"/>
      <c r="I134" s="240"/>
      <c r="J134" s="240"/>
      <c r="K134" s="240"/>
      <c r="L134" s="231"/>
    </row>
    <row r="135" spans="1:12">
      <c r="A135" s="231"/>
      <c r="B135" s="376"/>
      <c r="C135" s="240"/>
      <c r="D135" s="240"/>
      <c r="E135" s="240"/>
      <c r="F135" s="240"/>
      <c r="G135" s="240"/>
      <c r="H135" s="240"/>
      <c r="I135" s="240"/>
      <c r="J135" s="240"/>
      <c r="K135" s="240"/>
      <c r="L135" s="231"/>
    </row>
    <row r="136" spans="1:12">
      <c r="A136" s="231"/>
      <c r="B136" s="877"/>
      <c r="C136" s="240"/>
      <c r="D136" s="240"/>
      <c r="E136" s="240"/>
      <c r="F136" s="240"/>
      <c r="G136" s="240"/>
      <c r="H136" s="240"/>
      <c r="I136" s="240"/>
      <c r="J136" s="240"/>
      <c r="K136" s="240"/>
      <c r="L136" s="231"/>
    </row>
    <row r="137" spans="1:12">
      <c r="A137" s="231"/>
      <c r="B137" s="877"/>
      <c r="C137" s="240"/>
      <c r="D137" s="240"/>
      <c r="E137" s="240"/>
      <c r="F137" s="240"/>
      <c r="G137" s="240"/>
      <c r="H137" s="240"/>
      <c r="I137" s="240"/>
      <c r="J137" s="240"/>
      <c r="K137" s="240"/>
      <c r="L137" s="231"/>
    </row>
    <row r="138" spans="1:12">
      <c r="A138" s="231"/>
      <c r="B138" s="46"/>
      <c r="C138" s="240"/>
      <c r="D138" s="240"/>
      <c r="E138" s="240"/>
      <c r="F138" s="240"/>
      <c r="G138" s="240"/>
      <c r="H138" s="240"/>
      <c r="I138" s="240"/>
      <c r="J138" s="240"/>
      <c r="K138" s="240"/>
      <c r="L138" s="231"/>
    </row>
    <row r="139" spans="1:12">
      <c r="A139" s="231"/>
      <c r="B139" s="877"/>
      <c r="C139" s="240"/>
      <c r="D139" s="240"/>
      <c r="E139" s="240"/>
      <c r="F139" s="240"/>
      <c r="G139" s="240"/>
      <c r="H139" s="240"/>
      <c r="I139" s="240"/>
      <c r="J139" s="240"/>
      <c r="K139" s="240"/>
      <c r="L139" s="231"/>
    </row>
    <row r="140" spans="1:12">
      <c r="A140" s="231"/>
      <c r="B140" s="877"/>
      <c r="C140" s="240"/>
      <c r="D140" s="240"/>
      <c r="E140" s="240"/>
      <c r="F140" s="240"/>
      <c r="G140" s="240"/>
      <c r="H140" s="240"/>
      <c r="I140" s="240"/>
      <c r="J140" s="240"/>
      <c r="K140" s="240"/>
      <c r="L140" s="231"/>
    </row>
    <row r="141" spans="1:12">
      <c r="A141" s="231"/>
      <c r="B141" s="877"/>
      <c r="C141" s="240"/>
      <c r="D141" s="240"/>
      <c r="E141" s="240"/>
      <c r="F141" s="240"/>
      <c r="G141" s="240"/>
      <c r="H141" s="240"/>
      <c r="I141" s="240"/>
      <c r="J141" s="240"/>
      <c r="K141" s="240"/>
      <c r="L141" s="231"/>
    </row>
    <row r="142" spans="1:12">
      <c r="A142" s="231"/>
      <c r="B142" s="376"/>
      <c r="C142" s="240"/>
      <c r="D142" s="240"/>
      <c r="E142" s="240"/>
      <c r="F142" s="240"/>
      <c r="G142" s="240"/>
      <c r="H142" s="240"/>
      <c r="I142" s="240"/>
      <c r="J142" s="240"/>
      <c r="K142" s="240"/>
      <c r="L142" s="231"/>
    </row>
    <row r="143" spans="1:12">
      <c r="A143" s="231"/>
      <c r="C143" s="231"/>
      <c r="D143" s="231"/>
      <c r="E143" s="231"/>
      <c r="F143" s="231"/>
      <c r="G143" s="231"/>
      <c r="H143" s="231"/>
      <c r="I143" s="231"/>
      <c r="J143" s="231"/>
      <c r="K143" s="231"/>
      <c r="L143" s="231"/>
    </row>
    <row r="144" spans="1:12">
      <c r="A144" s="231"/>
      <c r="B144" s="231"/>
      <c r="C144" s="231"/>
      <c r="D144" s="231"/>
      <c r="E144" s="231"/>
      <c r="F144" s="231"/>
      <c r="G144" s="231"/>
      <c r="H144" s="231"/>
      <c r="I144" s="231"/>
      <c r="J144" s="231"/>
      <c r="K144" s="231"/>
      <c r="L144" s="231"/>
    </row>
    <row r="145" spans="1:12">
      <c r="A145" s="231"/>
      <c r="B145" s="231"/>
      <c r="C145" s="231"/>
      <c r="D145" s="231"/>
      <c r="E145" s="231"/>
      <c r="F145" s="231"/>
      <c r="G145" s="231"/>
      <c r="H145" s="231"/>
      <c r="I145" s="231"/>
      <c r="J145" s="231"/>
      <c r="K145" s="231"/>
      <c r="L145" s="231"/>
    </row>
    <row r="146" spans="1:12">
      <c r="A146" s="231"/>
      <c r="B146" s="231"/>
      <c r="C146" s="231"/>
      <c r="D146" s="231"/>
      <c r="E146" s="231"/>
      <c r="F146" s="231"/>
      <c r="G146" s="231"/>
      <c r="H146" s="231"/>
      <c r="I146" s="231"/>
      <c r="J146" s="231"/>
      <c r="K146" s="231"/>
      <c r="L146" s="231"/>
    </row>
    <row r="147" spans="1:12">
      <c r="A147" s="231"/>
      <c r="B147" s="231"/>
      <c r="C147" s="231"/>
      <c r="D147" s="231"/>
      <c r="E147" s="231"/>
      <c r="F147" s="231"/>
      <c r="G147" s="231"/>
      <c r="H147" s="231"/>
      <c r="I147" s="231"/>
      <c r="J147" s="231"/>
      <c r="K147" s="231"/>
      <c r="L147" s="231"/>
    </row>
    <row r="148" spans="1:12">
      <c r="A148" s="231"/>
      <c r="B148" s="231"/>
      <c r="C148" s="231"/>
      <c r="D148" s="231"/>
      <c r="E148" s="231"/>
      <c r="F148" s="231"/>
      <c r="G148" s="231"/>
      <c r="H148" s="231"/>
      <c r="I148" s="231"/>
      <c r="J148" s="231"/>
      <c r="K148" s="231"/>
      <c r="L148" s="231"/>
    </row>
    <row r="149" spans="1:12">
      <c r="A149" s="231"/>
      <c r="B149" s="231"/>
      <c r="C149" s="231"/>
      <c r="D149" s="231"/>
      <c r="E149" s="231"/>
      <c r="F149" s="231"/>
      <c r="G149" s="231"/>
      <c r="H149" s="231"/>
      <c r="I149" s="231"/>
      <c r="J149" s="231"/>
      <c r="K149" s="231"/>
      <c r="L149" s="231"/>
    </row>
    <row r="150" spans="1:12">
      <c r="A150" s="231"/>
      <c r="B150" s="231"/>
      <c r="C150" s="231"/>
      <c r="D150" s="231"/>
      <c r="E150" s="231"/>
      <c r="F150" s="231"/>
      <c r="G150" s="231"/>
      <c r="H150" s="231"/>
      <c r="I150" s="231"/>
      <c r="J150" s="231"/>
      <c r="K150" s="231"/>
      <c r="L150" s="231"/>
    </row>
    <row r="151" spans="1:12">
      <c r="A151" s="231"/>
      <c r="B151" s="231"/>
      <c r="C151" s="231"/>
      <c r="D151" s="231"/>
      <c r="E151" s="231"/>
      <c r="F151" s="231"/>
      <c r="G151" s="231"/>
      <c r="H151" s="231"/>
      <c r="I151" s="231"/>
      <c r="J151" s="231"/>
      <c r="K151" s="231"/>
      <c r="L151" s="231"/>
    </row>
    <row r="152" spans="1:12">
      <c r="A152" s="231"/>
      <c r="B152" s="231"/>
      <c r="C152" s="231"/>
      <c r="D152" s="231"/>
      <c r="E152" s="231"/>
      <c r="F152" s="231"/>
      <c r="G152" s="231"/>
      <c r="H152" s="231"/>
      <c r="I152" s="231"/>
      <c r="J152" s="231"/>
      <c r="K152" s="231"/>
      <c r="L152" s="231"/>
    </row>
    <row r="153" spans="1:12">
      <c r="A153" s="231"/>
      <c r="B153" s="231"/>
      <c r="C153" s="231"/>
      <c r="D153" s="231"/>
      <c r="E153" s="231"/>
      <c r="F153" s="231"/>
      <c r="G153" s="231"/>
      <c r="H153" s="231"/>
      <c r="I153" s="231"/>
      <c r="J153" s="231"/>
      <c r="K153" s="231"/>
      <c r="L153" s="231"/>
    </row>
    <row r="154" spans="1:12">
      <c r="A154" s="231"/>
      <c r="B154" s="231"/>
      <c r="C154" s="231"/>
      <c r="D154" s="231"/>
      <c r="E154" s="231"/>
      <c r="F154" s="231"/>
      <c r="G154" s="231"/>
      <c r="H154" s="231"/>
      <c r="I154" s="231"/>
      <c r="J154" s="231"/>
      <c r="K154" s="231"/>
      <c r="L154" s="231"/>
    </row>
    <row r="155" spans="1:12">
      <c r="A155" s="231"/>
      <c r="B155" s="231"/>
      <c r="C155" s="231"/>
      <c r="D155" s="231"/>
      <c r="E155" s="231"/>
      <c r="F155" s="231"/>
      <c r="G155" s="231"/>
      <c r="H155" s="231"/>
      <c r="I155" s="231"/>
      <c r="J155" s="231"/>
      <c r="K155" s="231"/>
      <c r="L155" s="231"/>
    </row>
    <row r="156" spans="1:12">
      <c r="A156" s="231"/>
      <c r="B156" s="231"/>
      <c r="C156" s="231"/>
      <c r="D156" s="231"/>
      <c r="E156" s="231"/>
      <c r="F156" s="231"/>
      <c r="G156" s="231"/>
      <c r="H156" s="231"/>
      <c r="I156" s="231"/>
      <c r="J156" s="231"/>
      <c r="K156" s="231"/>
      <c r="L156" s="231"/>
    </row>
    <row r="157" spans="1:12">
      <c r="A157" s="231"/>
      <c r="B157" s="231"/>
      <c r="C157" s="231"/>
      <c r="D157" s="231"/>
      <c r="E157" s="231"/>
      <c r="F157" s="231"/>
      <c r="G157" s="231"/>
      <c r="H157" s="231"/>
      <c r="I157" s="231"/>
      <c r="J157" s="231"/>
      <c r="K157" s="231"/>
      <c r="L157" s="231"/>
    </row>
    <row r="158" spans="1:12">
      <c r="A158" s="231"/>
      <c r="B158" s="231"/>
      <c r="C158" s="231"/>
      <c r="D158" s="231"/>
      <c r="E158" s="231"/>
      <c r="F158" s="231"/>
      <c r="G158" s="231"/>
      <c r="H158" s="231"/>
      <c r="I158" s="231"/>
      <c r="J158" s="231"/>
      <c r="K158" s="231"/>
      <c r="L158" s="231"/>
    </row>
    <row r="159" spans="1:12">
      <c r="A159" s="231"/>
      <c r="B159" s="231"/>
      <c r="C159" s="231"/>
      <c r="D159" s="231"/>
      <c r="E159" s="231"/>
      <c r="F159" s="231"/>
      <c r="G159" s="231"/>
      <c r="H159" s="231"/>
      <c r="I159" s="231"/>
      <c r="J159" s="231"/>
      <c r="K159" s="231"/>
      <c r="L159" s="231"/>
    </row>
    <row r="160" spans="1:12">
      <c r="A160" s="231"/>
      <c r="B160" s="231"/>
      <c r="C160" s="231"/>
      <c r="D160" s="231"/>
      <c r="E160" s="231"/>
      <c r="F160" s="231"/>
      <c r="G160" s="231"/>
      <c r="H160" s="231"/>
      <c r="I160" s="231"/>
      <c r="J160" s="231"/>
      <c r="K160" s="231"/>
      <c r="L160" s="231"/>
    </row>
    <row r="161" spans="1:12">
      <c r="A161" s="231"/>
      <c r="B161" s="231"/>
      <c r="C161" s="231"/>
      <c r="D161" s="231"/>
      <c r="E161" s="231"/>
      <c r="F161" s="231"/>
      <c r="G161" s="231"/>
      <c r="H161" s="231"/>
      <c r="I161" s="231"/>
      <c r="J161" s="231"/>
      <c r="K161" s="231"/>
      <c r="L161" s="231"/>
    </row>
    <row r="162" spans="1:12">
      <c r="A162" s="231"/>
      <c r="B162" s="231"/>
      <c r="C162" s="231"/>
      <c r="D162" s="231"/>
      <c r="E162" s="231"/>
      <c r="F162" s="231"/>
      <c r="G162" s="231"/>
      <c r="H162" s="231"/>
      <c r="I162" s="231"/>
      <c r="J162" s="231"/>
      <c r="K162" s="231"/>
      <c r="L162" s="231"/>
    </row>
    <row r="163" spans="1:12">
      <c r="A163" s="231"/>
      <c r="B163" s="231"/>
      <c r="C163" s="231"/>
      <c r="D163" s="231"/>
      <c r="E163" s="231"/>
      <c r="F163" s="231"/>
      <c r="G163" s="231"/>
      <c r="H163" s="231"/>
      <c r="I163" s="231"/>
      <c r="J163" s="231"/>
      <c r="K163" s="231"/>
      <c r="L163" s="231"/>
    </row>
    <row r="164" spans="1:12">
      <c r="A164" s="231"/>
      <c r="B164" s="231"/>
      <c r="C164" s="231"/>
      <c r="D164" s="231"/>
      <c r="E164" s="231"/>
      <c r="F164" s="231"/>
      <c r="G164" s="231"/>
      <c r="H164" s="231"/>
      <c r="I164" s="231"/>
      <c r="J164" s="231"/>
      <c r="K164" s="231"/>
      <c r="L164" s="231"/>
    </row>
    <row r="165" spans="1:12">
      <c r="A165" s="231"/>
      <c r="B165" s="231"/>
      <c r="C165" s="231"/>
      <c r="D165" s="231"/>
      <c r="E165" s="231"/>
      <c r="F165" s="231"/>
      <c r="G165" s="231"/>
      <c r="H165" s="231"/>
      <c r="I165" s="231"/>
      <c r="J165" s="231"/>
      <c r="K165" s="231"/>
      <c r="L165" s="231"/>
    </row>
    <row r="166" spans="1:12">
      <c r="A166" s="231"/>
      <c r="B166" s="231"/>
      <c r="C166" s="231"/>
      <c r="D166" s="231"/>
      <c r="E166" s="231"/>
      <c r="F166" s="231"/>
      <c r="G166" s="231"/>
      <c r="H166" s="231"/>
      <c r="I166" s="231"/>
      <c r="J166" s="231"/>
      <c r="K166" s="231"/>
      <c r="L166" s="231"/>
    </row>
    <row r="167" spans="1:12">
      <c r="A167" s="231"/>
      <c r="B167" s="231"/>
      <c r="C167" s="231"/>
      <c r="D167" s="231"/>
      <c r="E167" s="231"/>
      <c r="F167" s="231"/>
      <c r="G167" s="231"/>
      <c r="H167" s="231"/>
      <c r="I167" s="231"/>
      <c r="J167" s="231"/>
      <c r="K167" s="231"/>
      <c r="L167" s="231"/>
    </row>
  </sheetData>
  <pageMargins left="0.7" right="0.7" top="0.75" bottom="0.75" header="0.3" footer="0.3"/>
  <pageSetup scale="72" orientation="landscape" cellComments="asDisplayed" r:id="rId1"/>
  <headerFooter>
    <oddHeader>&amp;CSchedule 3
True Up Adjustment
&amp;RExhibit SCE-4
TO2019A Formula Rate Spreadsheet</oddHeader>
    <oddFooter>&amp;R3-TrueUpAdjust</oddFooter>
  </headerFooter>
  <rowBreaks count="2" manualBreakCount="2">
    <brk id="50" max="16383" man="1"/>
    <brk id="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zoomScaleNormal="100" workbookViewId="0"/>
  </sheetViews>
  <sheetFormatPr defaultRowHeight="13.2"/>
  <cols>
    <col min="1" max="2" width="4.6640625" customWidth="1"/>
    <col min="3" max="3" width="18.6640625" customWidth="1"/>
    <col min="4" max="4" width="10.33203125" bestFit="1" customWidth="1"/>
    <col min="5" max="7" width="15.6640625" customWidth="1"/>
    <col min="8" max="8" width="24.6640625" customWidth="1"/>
    <col min="9" max="9" width="4.5546875" customWidth="1"/>
    <col min="10" max="10" width="15.6640625" customWidth="1"/>
    <col min="11" max="11" width="2.88671875" customWidth="1"/>
    <col min="12" max="12" width="14.109375" customWidth="1"/>
    <col min="13" max="13" width="4.44140625" customWidth="1"/>
    <col min="14" max="14" width="15.33203125" customWidth="1"/>
  </cols>
  <sheetData>
    <row r="1" spans="1:14">
      <c r="A1" s="1" t="s">
        <v>1688</v>
      </c>
    </row>
    <row r="2" spans="1:14">
      <c r="H2" s="14"/>
    </row>
    <row r="3" spans="1:14">
      <c r="B3" s="83" t="s">
        <v>1492</v>
      </c>
      <c r="L3" s="571"/>
      <c r="M3" s="999"/>
      <c r="N3" s="999"/>
    </row>
    <row r="4" spans="1:14">
      <c r="B4" s="70"/>
      <c r="F4" s="2" t="s">
        <v>154</v>
      </c>
      <c r="G4" s="2"/>
      <c r="H4" s="2" t="s">
        <v>169</v>
      </c>
      <c r="L4" s="571"/>
      <c r="M4" s="999"/>
      <c r="N4" s="571"/>
    </row>
    <row r="5" spans="1:14">
      <c r="A5" s="53" t="s">
        <v>321</v>
      </c>
      <c r="B5" s="16"/>
      <c r="C5" s="51" t="s">
        <v>152</v>
      </c>
      <c r="F5" s="3" t="s">
        <v>153</v>
      </c>
      <c r="G5" s="3" t="s">
        <v>168</v>
      </c>
      <c r="H5" s="3" t="s">
        <v>170</v>
      </c>
      <c r="J5" s="3" t="s">
        <v>175</v>
      </c>
      <c r="L5" s="3"/>
      <c r="M5" s="999"/>
      <c r="N5" s="3"/>
    </row>
    <row r="6" spans="1:14">
      <c r="A6" s="111">
        <v>1</v>
      </c>
      <c r="B6" s="14"/>
      <c r="C6" s="110" t="s">
        <v>1053</v>
      </c>
      <c r="D6" s="14"/>
      <c r="E6" s="14"/>
      <c r="F6" s="14" t="s">
        <v>10</v>
      </c>
      <c r="G6" s="14"/>
      <c r="H6" s="110" t="str">
        <f>"6-PlantInService, Line "&amp;'6-PlantInService'!A42&amp;""</f>
        <v>6-PlantInService, Line 18</v>
      </c>
      <c r="I6" s="14"/>
      <c r="J6" s="63">
        <f>'6-PlantInService'!D42</f>
        <v>8389794318.2680359</v>
      </c>
      <c r="L6" s="63"/>
      <c r="N6" s="7"/>
    </row>
    <row r="7" spans="1:14">
      <c r="A7" s="111">
        <f>A6+1</f>
        <v>2</v>
      </c>
      <c r="B7" s="14"/>
      <c r="C7" s="110" t="s">
        <v>1208</v>
      </c>
      <c r="D7" s="14"/>
      <c r="E7" s="14"/>
      <c r="F7" s="14" t="s">
        <v>155</v>
      </c>
      <c r="G7" s="14"/>
      <c r="H7" s="110" t="str">
        <f>"6-PlantInService, Line "&amp;'6-PlantInService'!A58&amp;""</f>
        <v>6-PlantInService, Line 24</v>
      </c>
      <c r="I7" s="14"/>
      <c r="J7" s="63">
        <f>'6-PlantInService'!F58</f>
        <v>269354227.83580166</v>
      </c>
      <c r="L7" s="63"/>
      <c r="N7" s="7"/>
    </row>
    <row r="8" spans="1:14">
      <c r="A8" s="111">
        <f>A7+1</f>
        <v>3</v>
      </c>
      <c r="B8" s="14"/>
      <c r="C8" s="110" t="s">
        <v>157</v>
      </c>
      <c r="D8" s="14"/>
      <c r="E8" s="14"/>
      <c r="F8" s="14" t="s">
        <v>155</v>
      </c>
      <c r="G8" s="14"/>
      <c r="H8" s="14" t="str">
        <f>"11-PHFU, Line "&amp;'11-PHFU'!A41&amp;""</f>
        <v>11-PHFU, Line 9</v>
      </c>
      <c r="I8" s="14"/>
      <c r="J8" s="63">
        <f>'11-PHFU'!D41</f>
        <v>9942155</v>
      </c>
      <c r="L8" s="63"/>
      <c r="N8" s="7"/>
    </row>
    <row r="9" spans="1:14">
      <c r="A9" s="111">
        <f>A8+1</f>
        <v>4</v>
      </c>
      <c r="B9" s="14"/>
      <c r="C9" s="110" t="s">
        <v>314</v>
      </c>
      <c r="D9" s="14"/>
      <c r="E9" s="14"/>
      <c r="F9" s="14" t="s">
        <v>155</v>
      </c>
      <c r="G9" s="14"/>
      <c r="H9" s="15" t="str">
        <f>"12-AbandonedPlant Line "&amp;'12-AbandonedPlant'!A21&amp;""</f>
        <v>12-AbandonedPlant Line 4</v>
      </c>
      <c r="I9" s="14"/>
      <c r="J9" s="63">
        <f>'12-AbandonedPlant'!G21</f>
        <v>0</v>
      </c>
      <c r="L9" s="63"/>
      <c r="N9" s="7"/>
    </row>
    <row r="10" spans="1:14">
      <c r="A10" s="111"/>
      <c r="B10" s="14"/>
      <c r="C10" s="110"/>
      <c r="D10" s="14"/>
      <c r="E10" s="14"/>
      <c r="F10" s="14"/>
      <c r="G10" s="14"/>
      <c r="H10" s="14"/>
      <c r="I10" s="14"/>
      <c r="J10" s="63"/>
      <c r="L10" s="63"/>
      <c r="N10" s="7"/>
    </row>
    <row r="11" spans="1:14">
      <c r="A11" s="111"/>
      <c r="B11" s="14"/>
      <c r="C11" s="45" t="s">
        <v>279</v>
      </c>
      <c r="D11" s="14"/>
      <c r="E11" s="14"/>
      <c r="F11" s="14"/>
      <c r="G11" s="14"/>
      <c r="H11" s="14"/>
      <c r="I11" s="14"/>
      <c r="J11" s="63"/>
      <c r="L11" s="63"/>
      <c r="N11" s="7"/>
    </row>
    <row r="12" spans="1:14">
      <c r="A12" s="111">
        <f>A9+1</f>
        <v>5</v>
      </c>
      <c r="B12" s="14"/>
      <c r="C12" s="46" t="s">
        <v>91</v>
      </c>
      <c r="D12" s="14"/>
      <c r="E12" s="14"/>
      <c r="F12" s="14" t="s">
        <v>10</v>
      </c>
      <c r="G12" s="14"/>
      <c r="H12" s="110" t="str">
        <f>"13-WorkCap, Line "&amp;'13-WorkCap'!A27&amp;""</f>
        <v>13-WorkCap, Line 17</v>
      </c>
      <c r="I12" s="14"/>
      <c r="J12" s="63">
        <f>'13-WorkCap'!F27</f>
        <v>13950874.771301556</v>
      </c>
      <c r="L12" s="63"/>
      <c r="N12" s="7"/>
    </row>
    <row r="13" spans="1:14">
      <c r="A13" s="111">
        <f>A12+1</f>
        <v>6</v>
      </c>
      <c r="B13" s="14"/>
      <c r="C13" s="114" t="s">
        <v>92</v>
      </c>
      <c r="D13" s="14"/>
      <c r="E13" s="14"/>
      <c r="F13" s="14" t="s">
        <v>10</v>
      </c>
      <c r="G13" s="14"/>
      <c r="H13" s="110" t="str">
        <f>"13-WorkCap, Line "&amp;'13-WorkCap'!A51&amp;""</f>
        <v>13-WorkCap, Line 33</v>
      </c>
      <c r="I13" s="14"/>
      <c r="J13" s="63">
        <f>'13-WorkCap'!F51</f>
        <v>11375902.439137101</v>
      </c>
      <c r="L13" s="63"/>
      <c r="N13" s="7"/>
    </row>
    <row r="14" spans="1:14">
      <c r="A14" s="111">
        <f>A13+1</f>
        <v>7</v>
      </c>
      <c r="B14" s="14"/>
      <c r="C14" s="46" t="s">
        <v>172</v>
      </c>
      <c r="D14" s="14"/>
      <c r="E14" s="14"/>
      <c r="F14" s="479" t="s">
        <v>2590</v>
      </c>
      <c r="G14" s="14"/>
      <c r="H14" s="14" t="str">
        <f>"1-Base TRR Line "&amp;'1-BaseTRR'!A17&amp;""</f>
        <v>1-Base TRR Line 7</v>
      </c>
      <c r="I14" s="14"/>
      <c r="J14" s="102">
        <f>'1-BaseTRR'!K17</f>
        <v>16239767.973393591</v>
      </c>
      <c r="L14" s="112"/>
      <c r="N14" s="7"/>
    </row>
    <row r="15" spans="1:14">
      <c r="A15" s="111">
        <f>A14+1</f>
        <v>8</v>
      </c>
      <c r="B15" s="14"/>
      <c r="C15" s="46" t="s">
        <v>90</v>
      </c>
      <c r="D15" s="14"/>
      <c r="E15" s="14"/>
      <c r="F15" s="14"/>
      <c r="G15" s="14"/>
      <c r="H15" s="14" t="str">
        <f>"Line "&amp;A12&amp;" + Line "&amp;A13&amp;" + Line "&amp;A14&amp;""</f>
        <v>Line 5 + Line 6 + Line 7</v>
      </c>
      <c r="I15" s="14"/>
      <c r="J15" s="63">
        <f>SUM(J12:J14)</f>
        <v>41566545.183832251</v>
      </c>
      <c r="L15" s="63"/>
      <c r="N15" s="7"/>
    </row>
    <row r="16" spans="1:14">
      <c r="A16" s="111"/>
      <c r="B16" s="14"/>
      <c r="C16" s="46"/>
      <c r="D16" s="14"/>
      <c r="E16" s="14"/>
      <c r="F16" s="14"/>
      <c r="G16" s="14"/>
      <c r="H16" s="14"/>
      <c r="I16" s="14"/>
      <c r="J16" s="63"/>
      <c r="L16" s="63"/>
      <c r="N16" s="7"/>
    </row>
    <row r="17" spans="1:14">
      <c r="A17" s="111"/>
      <c r="B17" s="14"/>
      <c r="C17" s="882" t="s">
        <v>280</v>
      </c>
      <c r="D17" s="14"/>
      <c r="E17" s="14"/>
      <c r="F17" s="14"/>
      <c r="G17" s="14"/>
      <c r="H17" s="14"/>
      <c r="I17" s="14"/>
      <c r="J17" s="63"/>
      <c r="L17" s="63"/>
      <c r="N17" s="7"/>
    </row>
    <row r="18" spans="1:14">
      <c r="A18" s="111">
        <f>A15+1</f>
        <v>9</v>
      </c>
      <c r="B18" s="14"/>
      <c r="C18" s="476" t="s">
        <v>1659</v>
      </c>
      <c r="D18" s="14"/>
      <c r="E18" s="14"/>
      <c r="F18" s="14" t="s">
        <v>10</v>
      </c>
      <c r="G18" s="14" t="s">
        <v>151</v>
      </c>
      <c r="H18" s="110" t="str">
        <f>"8-AccDep, Line "&amp;'8-AccDep'!A25&amp;", Col. 12"</f>
        <v>8-AccDep, Line 14, Col. 12</v>
      </c>
      <c r="I18" s="14"/>
      <c r="J18" s="63">
        <f>-'8-AccDep'!N25</f>
        <v>-1551618145.4736667</v>
      </c>
      <c r="L18" s="63"/>
      <c r="N18" s="7"/>
    </row>
    <row r="19" spans="1:14">
      <c r="A19" s="111">
        <f>A18+1</f>
        <v>10</v>
      </c>
      <c r="B19" s="14"/>
      <c r="C19" s="476" t="s">
        <v>1660</v>
      </c>
      <c r="D19" s="14"/>
      <c r="E19" s="14"/>
      <c r="F19" s="14" t="s">
        <v>155</v>
      </c>
      <c r="G19" s="14" t="s">
        <v>151</v>
      </c>
      <c r="H19" s="110" t="str">
        <f>"8-AccDep, Line "&amp;'8-AccDep'!A35&amp;", Col. 5"</f>
        <v>8-AccDep, Line 17, Col. 5</v>
      </c>
      <c r="I19" s="14"/>
      <c r="J19" s="63">
        <f>-'8-AccDep'!G35</f>
        <v>0</v>
      </c>
      <c r="L19" s="63"/>
      <c r="N19" s="7"/>
    </row>
    <row r="20" spans="1:14">
      <c r="A20" s="111">
        <f>A19+1</f>
        <v>11</v>
      </c>
      <c r="B20" s="14"/>
      <c r="C20" s="46" t="s">
        <v>309</v>
      </c>
      <c r="D20" s="22"/>
      <c r="E20" s="14"/>
      <c r="F20" s="14" t="s">
        <v>155</v>
      </c>
      <c r="G20" s="14" t="s">
        <v>151</v>
      </c>
      <c r="H20" s="110" t="str">
        <f>"8-AccDep, Line "&amp;'8-AccDep'!A53&amp;""</f>
        <v>8-AccDep, Line 23</v>
      </c>
      <c r="I20" s="14"/>
      <c r="J20" s="102">
        <f>-'8-AccDep'!F53</f>
        <v>-109889266.84636427</v>
      </c>
      <c r="L20" s="63"/>
      <c r="N20" s="7"/>
    </row>
    <row r="21" spans="1:14">
      <c r="A21" s="111">
        <f>A20+1</f>
        <v>12</v>
      </c>
      <c r="B21" s="14"/>
      <c r="C21" s="883" t="s">
        <v>163</v>
      </c>
      <c r="D21" s="22"/>
      <c r="E21" s="14"/>
      <c r="F21" s="14"/>
      <c r="G21" s="14"/>
      <c r="H21" s="14" t="str">
        <f>"Line "&amp;A18&amp;" + Line "&amp;A19&amp;" + Line "&amp;A20&amp;""</f>
        <v>Line 9 + Line 10 + Line 11</v>
      </c>
      <c r="I21" s="14"/>
      <c r="J21" s="63">
        <f>SUM(J18:J20)</f>
        <v>-1661507412.3200309</v>
      </c>
      <c r="L21" s="63"/>
      <c r="N21" s="7"/>
    </row>
    <row r="22" spans="1:14">
      <c r="A22" s="111"/>
      <c r="B22" s="14"/>
      <c r="C22" s="15"/>
      <c r="D22" s="14"/>
      <c r="E22" s="14"/>
      <c r="F22" s="14"/>
      <c r="G22" s="14"/>
      <c r="H22" s="14"/>
      <c r="I22" s="14"/>
      <c r="J22" s="63"/>
      <c r="L22" s="63"/>
      <c r="N22" s="7"/>
    </row>
    <row r="23" spans="1:14">
      <c r="A23" s="111">
        <f>A21+1</f>
        <v>13</v>
      </c>
      <c r="B23" s="14"/>
      <c r="C23" s="871" t="s">
        <v>164</v>
      </c>
      <c r="D23" s="14"/>
      <c r="E23" s="14"/>
      <c r="F23" s="479" t="s">
        <v>2829</v>
      </c>
      <c r="G23" s="14"/>
      <c r="H23" s="110" t="str">
        <f>"9-ADIT, Line "&amp;'9-ADIT'!A24&amp;""</f>
        <v>9-ADIT, Line 15</v>
      </c>
      <c r="I23" s="14"/>
      <c r="J23" s="63">
        <f>'9-ADIT'!D24</f>
        <v>-1595958945.9121506</v>
      </c>
      <c r="L23" s="63"/>
      <c r="N23" s="7"/>
    </row>
    <row r="24" spans="1:14">
      <c r="A24" s="111">
        <f>A23+1</f>
        <v>14</v>
      </c>
      <c r="B24" s="14"/>
      <c r="C24" s="110" t="s">
        <v>242</v>
      </c>
      <c r="D24" s="14"/>
      <c r="E24" s="14"/>
      <c r="F24" s="14" t="s">
        <v>10</v>
      </c>
      <c r="G24" s="14"/>
      <c r="H24" s="110" t="str">
        <f>"14-IncentivePlant, L "&amp;'14-IncentivePlant'!A37&amp;", C2"</f>
        <v>14-IncentivePlant, L 12, C2</v>
      </c>
      <c r="I24" s="14"/>
      <c r="J24" s="63">
        <f>'14-IncentivePlant'!F37</f>
        <v>111914471.08153847</v>
      </c>
      <c r="L24" s="63"/>
      <c r="N24" s="7"/>
    </row>
    <row r="25" spans="1:14">
      <c r="A25" s="111">
        <f>A24+1</f>
        <v>15</v>
      </c>
      <c r="B25" s="14"/>
      <c r="C25" s="871" t="s">
        <v>55</v>
      </c>
      <c r="D25" s="14"/>
      <c r="E25" s="14"/>
      <c r="F25" s="14" t="s">
        <v>155</v>
      </c>
      <c r="G25" s="14" t="s">
        <v>151</v>
      </c>
      <c r="H25" s="110" t="str">
        <f>"22-NUCs, Line "&amp;'22-NUCs'!A15&amp;""</f>
        <v>22-NUCs, Line 7</v>
      </c>
      <c r="I25" s="14"/>
      <c r="J25" s="63">
        <f>-'22-NUCs'!E15</f>
        <v>-106562330.36</v>
      </c>
      <c r="L25" s="63"/>
      <c r="N25" s="7"/>
    </row>
    <row r="26" spans="1:14">
      <c r="A26" s="111">
        <f t="shared" ref="A26:A27" si="0">A25+1</f>
        <v>16</v>
      </c>
      <c r="B26" s="14"/>
      <c r="C26" s="873" t="s">
        <v>1981</v>
      </c>
      <c r="D26" s="14"/>
      <c r="E26" s="14"/>
      <c r="F26" s="14"/>
      <c r="G26" s="14"/>
      <c r="H26" s="15" t="str">
        <f>"34-UnfundedReserves, Line "&amp;'34-UnfundedReserves'!A10&amp;""</f>
        <v>34-UnfundedReserves, Line 7</v>
      </c>
      <c r="I26" s="14"/>
      <c r="J26" s="63">
        <f>'34-UnfundedReserves'!K10</f>
        <v>-10860906.583258362</v>
      </c>
      <c r="L26" s="63"/>
      <c r="N26" s="7"/>
    </row>
    <row r="27" spans="1:14">
      <c r="A27" s="111">
        <f t="shared" si="0"/>
        <v>17</v>
      </c>
      <c r="B27" s="14"/>
      <c r="C27" s="871" t="s">
        <v>364</v>
      </c>
      <c r="D27" s="14"/>
      <c r="E27" s="14"/>
      <c r="F27" s="14" t="s">
        <v>155</v>
      </c>
      <c r="G27" s="14"/>
      <c r="H27" s="110" t="str">
        <f>"23-RegAssets, Line "&amp;'23-RegAssets'!A18&amp;""</f>
        <v>23-RegAssets, Line 15</v>
      </c>
      <c r="I27" s="14"/>
      <c r="J27" s="63">
        <f>'23-RegAssets'!E18</f>
        <v>0</v>
      </c>
      <c r="L27" s="63"/>
      <c r="N27" s="7"/>
    </row>
    <row r="28" spans="1:14">
      <c r="A28" s="111"/>
      <c r="B28" s="14"/>
      <c r="C28" s="871"/>
      <c r="D28" s="14"/>
      <c r="E28" s="14"/>
      <c r="F28" s="14"/>
      <c r="G28" s="14"/>
      <c r="H28" s="14"/>
      <c r="I28" s="14"/>
      <c r="J28" s="14"/>
      <c r="L28" s="63"/>
      <c r="N28" s="7"/>
    </row>
    <row r="29" spans="1:14">
      <c r="A29" s="111">
        <f>A27+1</f>
        <v>18</v>
      </c>
      <c r="B29" s="14"/>
      <c r="C29" s="14" t="s">
        <v>173</v>
      </c>
      <c r="D29" s="14"/>
      <c r="E29" s="14"/>
      <c r="F29" s="14"/>
      <c r="G29" s="14"/>
      <c r="H29" s="14" t="str">
        <f>"L"&amp;A6&amp;"+L"&amp;A7&amp;"+L"&amp;A8&amp;"+L"&amp;A9&amp;"+L"&amp;A15&amp;"+L"&amp;A21&amp;"+"</f>
        <v>L1+L2+L3+L4+L8+L12+</v>
      </c>
      <c r="I29" s="14"/>
      <c r="J29" s="63">
        <f>J6+ J7+J8+J9+J15+J21+J23+J24+J25+J26+J27</f>
        <v>5447682122.1937685</v>
      </c>
      <c r="L29" s="63"/>
      <c r="N29" s="7"/>
    </row>
    <row r="30" spans="1:14">
      <c r="A30" s="111"/>
      <c r="B30" s="14"/>
      <c r="C30" s="14"/>
      <c r="D30" s="14"/>
      <c r="E30" s="14"/>
      <c r="F30" s="14"/>
      <c r="G30" s="14"/>
      <c r="H30" s="14" t="str">
        <f>"L"&amp;A23&amp;"+L"&amp;A24&amp;"+L"&amp;A25&amp;"+L"&amp;A26&amp;"+L"&amp;A27&amp;""</f>
        <v>L13+L14+L15+L16+L17</v>
      </c>
      <c r="I30" s="14"/>
      <c r="J30" s="63"/>
      <c r="L30" s="63"/>
      <c r="N30" s="7"/>
    </row>
    <row r="31" spans="1:14">
      <c r="A31" s="111"/>
      <c r="B31" s="44" t="s">
        <v>2199</v>
      </c>
      <c r="D31" s="14"/>
      <c r="E31" s="14"/>
      <c r="F31" s="14"/>
      <c r="G31" s="14"/>
      <c r="H31" s="14"/>
      <c r="I31" s="14"/>
      <c r="J31" s="63"/>
      <c r="L31" s="63"/>
      <c r="N31" s="7"/>
    </row>
    <row r="32" spans="1:14">
      <c r="A32" s="560" t="s">
        <v>321</v>
      </c>
      <c r="B32" s="14"/>
      <c r="C32" s="44"/>
      <c r="D32" s="14"/>
      <c r="E32" s="14"/>
      <c r="F32" s="14"/>
      <c r="G32" s="14"/>
      <c r="H32" s="14"/>
      <c r="I32" s="14"/>
      <c r="J32" s="63"/>
      <c r="L32" s="63"/>
      <c r="N32" s="7"/>
    </row>
    <row r="33" spans="1:14">
      <c r="A33" s="111">
        <f>A29+1</f>
        <v>19</v>
      </c>
      <c r="B33" s="479"/>
      <c r="C33" s="479" t="s">
        <v>53</v>
      </c>
      <c r="D33" s="479"/>
      <c r="E33" s="479"/>
      <c r="F33" s="479"/>
      <c r="G33" s="479" t="s">
        <v>1850</v>
      </c>
      <c r="H33" s="479" t="str">
        <f>"Instruction 1, Line "&amp;B97&amp;""</f>
        <v>Instruction 1, Line j</v>
      </c>
      <c r="I33" s="479"/>
      <c r="J33" s="403">
        <f>E97</f>
        <v>7.3540538535044553E-2</v>
      </c>
      <c r="L33" s="67"/>
      <c r="M33" s="8"/>
      <c r="N33" s="8"/>
    </row>
    <row r="34" spans="1:14">
      <c r="A34" s="2">
        <f>A33+1</f>
        <v>20</v>
      </c>
      <c r="C34" s="15" t="s">
        <v>54</v>
      </c>
      <c r="D34" s="15"/>
      <c r="E34" s="15"/>
      <c r="F34" s="15"/>
      <c r="G34" s="15"/>
      <c r="H34" t="str">
        <f>"Line "&amp;A29&amp;" * Line "&amp;A33&amp;""</f>
        <v>Line 18 * Line 19</v>
      </c>
      <c r="J34" s="47">
        <f>J29*J33</f>
        <v>400625477.03386414</v>
      </c>
      <c r="L34" s="63"/>
      <c r="N34" s="7"/>
    </row>
    <row r="35" spans="1:14">
      <c r="A35" s="2"/>
      <c r="B35" s="16"/>
      <c r="L35" s="63"/>
      <c r="N35" s="7"/>
    </row>
    <row r="36" spans="1:14">
      <c r="A36" s="2"/>
      <c r="B36" s="1" t="s">
        <v>2200</v>
      </c>
      <c r="L36" s="63"/>
      <c r="N36" s="7"/>
    </row>
    <row r="37" spans="1:14">
      <c r="A37" s="111"/>
      <c r="B37" s="114"/>
      <c r="C37" s="14"/>
      <c r="D37" s="14"/>
      <c r="E37" s="14"/>
      <c r="F37" s="14"/>
      <c r="G37" s="14"/>
      <c r="H37" s="14"/>
      <c r="I37" s="14"/>
      <c r="J37" s="14"/>
      <c r="L37" s="63"/>
      <c r="N37" s="7"/>
    </row>
    <row r="38" spans="1:14">
      <c r="A38" s="111">
        <f>A34+1</f>
        <v>21</v>
      </c>
      <c r="B38" s="14"/>
      <c r="C38" s="479" t="s">
        <v>2186</v>
      </c>
      <c r="D38" s="14"/>
      <c r="E38" s="14"/>
      <c r="F38" s="14"/>
      <c r="G38" s="14"/>
      <c r="H38" s="14"/>
      <c r="I38" s="14"/>
      <c r="J38" s="63">
        <f>(((J29*J42) + J45) *(J43/(1-J43)))+(J44/(1-J43))</f>
        <v>116909384.97651884</v>
      </c>
      <c r="L38" s="63"/>
      <c r="N38" s="7"/>
    </row>
    <row r="39" spans="1:14">
      <c r="A39" s="111"/>
      <c r="B39" s="14"/>
      <c r="C39" s="14"/>
      <c r="D39" s="14"/>
      <c r="E39" s="14"/>
      <c r="F39" s="14"/>
      <c r="G39" s="14"/>
      <c r="H39" s="14"/>
      <c r="I39" s="14"/>
      <c r="J39" s="15"/>
      <c r="L39" s="63"/>
      <c r="N39" s="7"/>
    </row>
    <row r="40" spans="1:14">
      <c r="A40" s="111"/>
      <c r="B40" s="14"/>
      <c r="C40" s="14"/>
      <c r="D40" s="14" t="s">
        <v>216</v>
      </c>
      <c r="E40" s="14"/>
      <c r="F40" s="14"/>
      <c r="G40" s="14"/>
      <c r="H40" s="14"/>
      <c r="I40" s="14"/>
      <c r="J40" s="14"/>
      <c r="L40" s="63"/>
      <c r="N40" s="7"/>
    </row>
    <row r="41" spans="1:14">
      <c r="A41" s="111">
        <f>A38+1</f>
        <v>22</v>
      </c>
      <c r="B41" s="14"/>
      <c r="C41" s="14"/>
      <c r="D41" s="114" t="s">
        <v>217</v>
      </c>
      <c r="E41" s="14"/>
      <c r="F41" s="14"/>
      <c r="G41" s="14"/>
      <c r="H41" s="14" t="str">
        <f>"Line "&amp;A29&amp;""</f>
        <v>Line 18</v>
      </c>
      <c r="I41" s="14"/>
      <c r="J41" s="63">
        <f>J29</f>
        <v>5447682122.1937685</v>
      </c>
      <c r="L41" s="63"/>
      <c r="N41" s="7"/>
    </row>
    <row r="42" spans="1:14">
      <c r="A42" s="111">
        <f>A41+1</f>
        <v>23</v>
      </c>
      <c r="B42" s="14"/>
      <c r="C42" s="14"/>
      <c r="D42" s="476" t="s">
        <v>1735</v>
      </c>
      <c r="E42" s="14"/>
      <c r="F42" s="14"/>
      <c r="G42" s="479" t="s">
        <v>1704</v>
      </c>
      <c r="H42" s="479" t="str">
        <f>"Instruction 1, Line "&amp;B102&amp;""</f>
        <v>Instruction 1, Line k</v>
      </c>
      <c r="I42" s="14"/>
      <c r="J42" s="48">
        <f>E102</f>
        <v>5.321129851765305E-2</v>
      </c>
      <c r="L42" s="67"/>
      <c r="M42" s="8"/>
      <c r="N42" s="8"/>
    </row>
    <row r="43" spans="1:14">
      <c r="A43" s="111">
        <f>A42+1</f>
        <v>24</v>
      </c>
      <c r="B43" s="14"/>
      <c r="C43" s="14"/>
      <c r="D43" s="114" t="s">
        <v>218</v>
      </c>
      <c r="E43" s="14"/>
      <c r="F43" s="14"/>
      <c r="G43" s="14"/>
      <c r="H43" s="14" t="str">
        <f>"1-Base TRR L "&amp;'1-BaseTRR'!A102&amp;""</f>
        <v>1-Base TRR L 59</v>
      </c>
      <c r="I43" s="14"/>
      <c r="J43" s="67">
        <f>'1-BaseTRR'!K102</f>
        <v>0.27983599999999997</v>
      </c>
      <c r="L43" s="67"/>
      <c r="M43" s="8"/>
      <c r="N43" s="8"/>
    </row>
    <row r="44" spans="1:14">
      <c r="A44" s="111">
        <f>A43+1</f>
        <v>25</v>
      </c>
      <c r="B44" s="14"/>
      <c r="C44" s="14"/>
      <c r="D44" s="114" t="s">
        <v>219</v>
      </c>
      <c r="E44" s="14"/>
      <c r="F44" s="14"/>
      <c r="G44" s="14"/>
      <c r="H44" s="14" t="str">
        <f>"1-Base TRR L "&amp;'1-BaseTRR'!A108&amp;""</f>
        <v>1-Base TRR L 63</v>
      </c>
      <c r="I44" s="14"/>
      <c r="J44" s="63">
        <f>'1-BaseTRR'!K108</f>
        <v>2086200</v>
      </c>
      <c r="L44" s="63"/>
      <c r="N44" s="7"/>
    </row>
    <row r="45" spans="1:14">
      <c r="A45" s="111">
        <f>A44+1</f>
        <v>26</v>
      </c>
      <c r="B45" s="14"/>
      <c r="C45" s="14"/>
      <c r="D45" s="114" t="s">
        <v>1731</v>
      </c>
      <c r="E45" s="14"/>
      <c r="F45" s="14"/>
      <c r="G45" s="14"/>
      <c r="H45" s="14" t="str">
        <f>"1-Base TRR L "&amp;'1-BaseTRR'!A112&amp;""</f>
        <v>1-Base TRR L 65</v>
      </c>
      <c r="I45" s="14"/>
      <c r="J45" s="491">
        <f>'1-BaseTRR'!K119</f>
        <v>3535511</v>
      </c>
      <c r="L45" s="63"/>
      <c r="N45" s="7"/>
    </row>
    <row r="46" spans="1:14">
      <c r="A46" s="111"/>
      <c r="B46" s="114"/>
      <c r="C46" s="14"/>
      <c r="D46" s="14"/>
      <c r="E46" s="14"/>
      <c r="F46" s="14"/>
      <c r="G46" s="14"/>
      <c r="H46" s="14"/>
      <c r="I46" s="14"/>
      <c r="J46" s="14"/>
      <c r="L46" s="63"/>
      <c r="N46" s="7"/>
    </row>
    <row r="47" spans="1:14">
      <c r="A47" s="111"/>
      <c r="B47" s="44" t="s">
        <v>2201</v>
      </c>
      <c r="D47" s="14"/>
      <c r="E47" s="14"/>
      <c r="F47" s="14"/>
      <c r="G47" s="14"/>
      <c r="H47" s="14"/>
      <c r="I47" s="14"/>
      <c r="J47" s="14"/>
      <c r="L47" s="63"/>
      <c r="N47" s="7"/>
    </row>
    <row r="48" spans="1:14">
      <c r="A48" s="111">
        <f>A45+1</f>
        <v>27</v>
      </c>
      <c r="B48" s="114"/>
      <c r="C48" s="14" t="s">
        <v>101</v>
      </c>
      <c r="D48" s="14"/>
      <c r="E48" s="14"/>
      <c r="F48" s="14"/>
      <c r="G48" s="14"/>
      <c r="H48" s="14" t="str">
        <f>"1-Base TRR L "&amp;'1-BaseTRR'!A124&amp;""</f>
        <v>1-Base TRR L 66</v>
      </c>
      <c r="I48" s="14"/>
      <c r="J48" s="63">
        <f>'1-BaseTRR'!K124</f>
        <v>77531619.044176176</v>
      </c>
      <c r="L48" s="63"/>
      <c r="N48" s="7"/>
    </row>
    <row r="49" spans="1:14">
      <c r="A49" s="111">
        <f t="shared" ref="A49:A59" si="1">A48+1</f>
        <v>28</v>
      </c>
      <c r="B49" s="114"/>
      <c r="C49" s="15" t="s">
        <v>266</v>
      </c>
      <c r="D49" s="14"/>
      <c r="E49" s="14"/>
      <c r="F49" s="14"/>
      <c r="G49" s="14"/>
      <c r="H49" s="14" t="str">
        <f>"1-Base TRR L "&amp;'1-BaseTRR'!A125&amp;""</f>
        <v>1-Base TRR L 67</v>
      </c>
      <c r="I49" s="14"/>
      <c r="J49" s="63">
        <f>'1-BaseTRR'!K125</f>
        <v>52386524.742972553</v>
      </c>
      <c r="L49" s="63"/>
      <c r="N49" s="7"/>
    </row>
    <row r="50" spans="1:14">
      <c r="A50" s="111">
        <f>A49+1</f>
        <v>29</v>
      </c>
      <c r="B50" s="114"/>
      <c r="C50" s="14" t="s">
        <v>56</v>
      </c>
      <c r="D50" s="14"/>
      <c r="E50" s="14"/>
      <c r="F50" s="14"/>
      <c r="G50" s="14"/>
      <c r="H50" s="14" t="str">
        <f>"1-Base TRR L "&amp;'1-BaseTRR'!A126&amp;""</f>
        <v>1-Base TRR L 68</v>
      </c>
      <c r="I50" s="14"/>
      <c r="J50" s="63">
        <f>'1-BaseTRR'!K126</f>
        <v>6116850.9299999997</v>
      </c>
      <c r="L50" s="63"/>
      <c r="N50" s="7"/>
    </row>
    <row r="51" spans="1:14">
      <c r="A51" s="111">
        <f t="shared" si="1"/>
        <v>30</v>
      </c>
      <c r="B51" s="114"/>
      <c r="C51" s="15" t="s">
        <v>252</v>
      </c>
      <c r="D51" s="14"/>
      <c r="E51" s="14"/>
      <c r="F51" s="14"/>
      <c r="G51" s="14"/>
      <c r="H51" s="14" t="str">
        <f>"1-Base TRR L "&amp;'1-BaseTRR'!A127&amp;""</f>
        <v>1-Base TRR L 69</v>
      </c>
      <c r="I51" s="14"/>
      <c r="J51" s="63">
        <f>'1-BaseTRR'!K127</f>
        <v>241415720.66978657</v>
      </c>
      <c r="L51" s="63"/>
      <c r="N51" s="7"/>
    </row>
    <row r="52" spans="1:14">
      <c r="A52" s="111">
        <f t="shared" si="1"/>
        <v>31</v>
      </c>
      <c r="B52" s="114"/>
      <c r="C52" s="15" t="s">
        <v>293</v>
      </c>
      <c r="D52" s="14"/>
      <c r="E52" s="14"/>
      <c r="F52" s="14"/>
      <c r="G52" s="14"/>
      <c r="H52" s="14" t="str">
        <f>"1-Base TRR L "&amp;'1-BaseTRR'!A128&amp;""</f>
        <v>1-Base TRR L 70</v>
      </c>
      <c r="I52" s="14"/>
      <c r="J52" s="63">
        <f>'1-BaseTRR'!K128</f>
        <v>0</v>
      </c>
      <c r="L52" s="63"/>
      <c r="N52" s="7"/>
    </row>
    <row r="53" spans="1:14">
      <c r="A53" s="111">
        <f t="shared" si="1"/>
        <v>32</v>
      </c>
      <c r="B53" s="114"/>
      <c r="C53" s="15" t="s">
        <v>79</v>
      </c>
      <c r="D53" s="14"/>
      <c r="E53" s="14"/>
      <c r="F53" s="14"/>
      <c r="G53" s="14"/>
      <c r="H53" s="14" t="str">
        <f>"1-Base TRR L "&amp;'1-BaseTRR'!A129&amp;""</f>
        <v>1-Base TRR L 71</v>
      </c>
      <c r="I53" s="14"/>
      <c r="J53" s="63">
        <f>'1-BaseTRR'!K129</f>
        <v>61372286.951414451</v>
      </c>
      <c r="L53" s="63"/>
      <c r="N53" s="7"/>
    </row>
    <row r="54" spans="1:14">
      <c r="A54" s="111">
        <f t="shared" si="1"/>
        <v>33</v>
      </c>
      <c r="B54" s="114"/>
      <c r="C54" s="14" t="s">
        <v>11</v>
      </c>
      <c r="D54" s="14"/>
      <c r="E54" s="14"/>
      <c r="F54" s="14"/>
      <c r="G54" s="15"/>
      <c r="H54" s="14" t="str">
        <f>"1-Base TRR L "&amp;'1-BaseTRR'!A130&amp;""</f>
        <v>1-Base TRR L 72</v>
      </c>
      <c r="I54" s="14"/>
      <c r="J54" s="63">
        <f>'1-BaseTRR'!K130</f>
        <v>-58832605.54180719</v>
      </c>
      <c r="L54" s="63"/>
      <c r="N54" s="7"/>
    </row>
    <row r="55" spans="1:14">
      <c r="A55" s="111">
        <f t="shared" si="1"/>
        <v>34</v>
      </c>
      <c r="B55" s="114"/>
      <c r="C55" s="14" t="s">
        <v>87</v>
      </c>
      <c r="D55" s="14"/>
      <c r="E55" s="14"/>
      <c r="F55" s="14"/>
      <c r="G55" s="14"/>
      <c r="H55" s="14" t="str">
        <f>"Line "&amp;A34&amp;""</f>
        <v>Line 20</v>
      </c>
      <c r="I55" s="14"/>
      <c r="J55" s="63">
        <f>J34</f>
        <v>400625477.03386414</v>
      </c>
      <c r="L55" s="63"/>
      <c r="N55" s="7"/>
    </row>
    <row r="56" spans="1:14">
      <c r="A56" s="111">
        <f t="shared" si="1"/>
        <v>35</v>
      </c>
      <c r="B56" s="114"/>
      <c r="C56" s="14" t="s">
        <v>5</v>
      </c>
      <c r="D56" s="14"/>
      <c r="E56" s="14"/>
      <c r="F56" s="14"/>
      <c r="G56" s="14"/>
      <c r="H56" s="14" t="str">
        <f>"Line "&amp;A38&amp;""</f>
        <v>Line 21</v>
      </c>
      <c r="I56" s="14"/>
      <c r="J56" s="47">
        <f>J38</f>
        <v>116909384.97651884</v>
      </c>
      <c r="L56" s="63"/>
      <c r="N56" s="7"/>
    </row>
    <row r="57" spans="1:14">
      <c r="A57" s="111">
        <f t="shared" si="1"/>
        <v>36</v>
      </c>
      <c r="B57" s="114"/>
      <c r="C57" s="15" t="s">
        <v>359</v>
      </c>
      <c r="D57" s="14"/>
      <c r="E57" s="14"/>
      <c r="F57" s="14"/>
      <c r="G57" s="14"/>
      <c r="H57" s="14" t="str">
        <f>"1-Base TRR L "&amp;'1-BaseTRR'!A133&amp;""</f>
        <v>1-Base TRR L 75</v>
      </c>
      <c r="I57" s="14"/>
      <c r="J57" s="47">
        <f>'1-BaseTRR'!K133</f>
        <v>0</v>
      </c>
      <c r="L57" s="63"/>
      <c r="N57" s="7"/>
    </row>
    <row r="58" spans="1:14">
      <c r="A58" s="111">
        <f t="shared" si="1"/>
        <v>37</v>
      </c>
      <c r="B58" s="114"/>
      <c r="C58" s="587" t="s">
        <v>1720</v>
      </c>
      <c r="D58" s="693"/>
      <c r="E58" s="14"/>
      <c r="F58" s="14"/>
      <c r="G58" s="14"/>
      <c r="H58" s="14" t="str">
        <f>"1-Base TRR L "&amp;'1-BaseTRR'!A134&amp;""</f>
        <v>1-Base TRR L 76</v>
      </c>
      <c r="I58" s="14"/>
      <c r="J58" s="102">
        <f>'1-BaseTRR'!K134</f>
        <v>0</v>
      </c>
      <c r="L58" s="63"/>
      <c r="N58" s="7"/>
    </row>
    <row r="59" spans="1:14">
      <c r="A59" s="111">
        <f t="shared" si="1"/>
        <v>38</v>
      </c>
      <c r="B59" s="114"/>
      <c r="C59" s="479" t="s">
        <v>1493</v>
      </c>
      <c r="D59" s="14"/>
      <c r="E59" s="14"/>
      <c r="F59" s="14"/>
      <c r="G59" s="14"/>
      <c r="H59" s="14" t="str">
        <f>"Sum Line "&amp;A48&amp;" to Line "&amp;A58&amp;""</f>
        <v>Sum Line 27 to Line 37</v>
      </c>
      <c r="I59" s="14"/>
      <c r="J59" s="722">
        <f>SUM(J48:J58)</f>
        <v>897525258.80692554</v>
      </c>
      <c r="L59" s="63"/>
      <c r="N59" s="7"/>
    </row>
    <row r="60" spans="1:14">
      <c r="A60" s="111"/>
      <c r="B60" s="114"/>
      <c r="C60" s="14"/>
      <c r="D60" s="14"/>
      <c r="E60" s="14"/>
      <c r="F60" s="14"/>
      <c r="G60" s="14"/>
      <c r="H60" s="14"/>
      <c r="I60" s="14"/>
      <c r="J60" s="63"/>
      <c r="L60" s="63"/>
      <c r="N60" s="7"/>
    </row>
    <row r="61" spans="1:14" ht="12.75" customHeight="1">
      <c r="A61" s="111">
        <f>A59+1</f>
        <v>39</v>
      </c>
      <c r="B61" s="114"/>
      <c r="C61" s="479" t="s">
        <v>1470</v>
      </c>
      <c r="D61" s="14"/>
      <c r="E61" s="14"/>
      <c r="F61" s="14"/>
      <c r="G61" s="14"/>
      <c r="H61" s="14" t="str">
        <f>"15-IncentiveAdder L "&amp;'15-IncentiveAdder'!A59&amp;""</f>
        <v>15-IncentiveAdder L 20</v>
      </c>
      <c r="I61" s="14"/>
      <c r="J61" s="63">
        <f>'15-IncentiveAdder'!G59</f>
        <v>29103495.431197487</v>
      </c>
      <c r="L61" s="63"/>
      <c r="N61" s="7"/>
    </row>
    <row r="62" spans="1:14">
      <c r="A62" s="111"/>
      <c r="B62" s="114"/>
      <c r="C62" s="15"/>
      <c r="D62" s="14"/>
      <c r="E62" s="14"/>
      <c r="F62" s="14"/>
      <c r="G62" s="14"/>
      <c r="H62" s="14"/>
      <c r="I62" s="14"/>
      <c r="J62" s="63"/>
      <c r="L62" s="63"/>
      <c r="N62" s="7"/>
    </row>
    <row r="63" spans="1:14">
      <c r="A63" s="111">
        <f>A61+1</f>
        <v>40</v>
      </c>
      <c r="B63" s="114"/>
      <c r="C63" s="479" t="s">
        <v>2192</v>
      </c>
      <c r="D63" s="14"/>
      <c r="E63" s="14"/>
      <c r="F63" s="14"/>
      <c r="G63" s="14"/>
      <c r="H63" s="14" t="str">
        <f>"Line "&amp;A59&amp;" + Line "&amp;A61&amp;""</f>
        <v>Line 38 + Line 39</v>
      </c>
      <c r="I63" s="14"/>
      <c r="J63" s="63">
        <f>J59+J61</f>
        <v>926628754.23812306</v>
      </c>
      <c r="L63" s="63"/>
      <c r="N63" s="7"/>
    </row>
    <row r="64" spans="1:14">
      <c r="A64" s="111"/>
      <c r="B64" s="114"/>
      <c r="C64" s="15"/>
      <c r="D64" s="14"/>
      <c r="E64" s="14"/>
      <c r="F64" s="14"/>
      <c r="G64" s="14"/>
      <c r="H64" s="14"/>
      <c r="I64" s="14"/>
      <c r="J64" s="63"/>
    </row>
    <row r="65" spans="1:14">
      <c r="A65" s="111"/>
      <c r="B65" s="388" t="s">
        <v>2202</v>
      </c>
      <c r="C65" s="15"/>
      <c r="D65" s="14"/>
      <c r="E65" s="14"/>
      <c r="F65" s="14"/>
      <c r="G65" s="14"/>
      <c r="H65" s="14"/>
      <c r="I65" s="14"/>
      <c r="J65" s="63"/>
      <c r="N65" s="571"/>
    </row>
    <row r="66" spans="1:14">
      <c r="A66" s="53" t="s">
        <v>321</v>
      </c>
      <c r="B66" s="65"/>
      <c r="G66" s="51" t="s">
        <v>1141</v>
      </c>
      <c r="N66" s="3"/>
    </row>
    <row r="67" spans="1:14">
      <c r="A67" s="111">
        <f>A63+1</f>
        <v>41</v>
      </c>
      <c r="B67" s="871"/>
      <c r="C67" s="14"/>
      <c r="D67" s="874" t="s">
        <v>1494</v>
      </c>
      <c r="E67" s="63">
        <f>J63</f>
        <v>926628754.23812306</v>
      </c>
      <c r="F67" s="14"/>
      <c r="G67" s="14" t="str">
        <f>"Line "&amp;A63&amp;""</f>
        <v>Line 40</v>
      </c>
      <c r="H67" s="14"/>
      <c r="I67" s="14"/>
      <c r="J67" s="14"/>
      <c r="L67" s="7"/>
      <c r="N67" s="7"/>
    </row>
    <row r="68" spans="1:14">
      <c r="A68" s="111">
        <f>A67+1</f>
        <v>42</v>
      </c>
      <c r="B68" s="871"/>
      <c r="C68" s="14"/>
      <c r="D68" s="364" t="s">
        <v>1140</v>
      </c>
      <c r="E68" s="876">
        <f>'28-FFU'!D22</f>
        <v>9.2057000000000007E-3</v>
      </c>
      <c r="F68" s="14"/>
      <c r="G68" s="14" t="str">
        <f>"28-FFU, L "&amp;'28-FFU'!A22&amp;""</f>
        <v>28-FFU, L 5</v>
      </c>
      <c r="H68" s="14"/>
      <c r="I68" s="14"/>
      <c r="J68" s="14"/>
      <c r="L68" s="8"/>
      <c r="N68" s="8"/>
    </row>
    <row r="69" spans="1:14">
      <c r="A69" s="111">
        <f>A68+1</f>
        <v>43</v>
      </c>
      <c r="B69" s="871"/>
      <c r="C69" s="14"/>
      <c r="D69" s="79" t="s">
        <v>233</v>
      </c>
      <c r="E69" s="63">
        <f>E67*E68</f>
        <v>8530266.3228898905</v>
      </c>
      <c r="F69" s="14"/>
      <c r="G69" s="14" t="str">
        <f>"Line "&amp;A67&amp;" * Line "&amp;A68&amp;""</f>
        <v>Line 41 * Line 42</v>
      </c>
      <c r="H69" s="14"/>
      <c r="I69" s="14"/>
      <c r="J69" s="14"/>
      <c r="L69" s="7"/>
      <c r="N69" s="7"/>
    </row>
    <row r="70" spans="1:14">
      <c r="A70" s="111">
        <f>A69+1</f>
        <v>44</v>
      </c>
      <c r="B70" s="871"/>
      <c r="C70" s="14"/>
      <c r="D70" s="874" t="s">
        <v>1728</v>
      </c>
      <c r="E70" s="876">
        <f>'28-FFU'!E22</f>
        <v>2.4076000000000002E-3</v>
      </c>
      <c r="F70" s="14"/>
      <c r="G70" s="14" t="str">
        <f>"28-FFU, L "&amp;'28-FFU'!A22&amp;""</f>
        <v>28-FFU, L 5</v>
      </c>
      <c r="H70" s="14"/>
      <c r="I70" s="14"/>
      <c r="J70" s="14"/>
      <c r="L70" s="8"/>
      <c r="N70" s="8"/>
    </row>
    <row r="71" spans="1:14">
      <c r="A71" s="111">
        <f>A70+1</f>
        <v>45</v>
      </c>
      <c r="B71" s="871"/>
      <c r="C71" s="14"/>
      <c r="D71" s="874" t="s">
        <v>1451</v>
      </c>
      <c r="E71" s="63">
        <f>E67*E70</f>
        <v>2230951.3887037053</v>
      </c>
      <c r="F71" s="14"/>
      <c r="G71" s="14" t="str">
        <f>"Line "&amp;A67&amp;" * Line "&amp;A70&amp;""</f>
        <v>Line 41 * Line 44</v>
      </c>
      <c r="H71" s="14"/>
      <c r="I71" s="14"/>
      <c r="J71" s="14"/>
      <c r="L71" s="7"/>
      <c r="N71" s="7"/>
    </row>
    <row r="72" spans="1:14">
      <c r="A72" s="111">
        <f>A71+1</f>
        <v>46</v>
      </c>
      <c r="B72" s="871"/>
      <c r="C72" s="14"/>
      <c r="D72" s="874" t="s">
        <v>1495</v>
      </c>
      <c r="E72" s="63">
        <f>E67+E69+E71</f>
        <v>937389971.94971669</v>
      </c>
      <c r="F72" s="14"/>
      <c r="G72" s="14" t="str">
        <f>"L "&amp;A67&amp;" + L "&amp;A69&amp;" + L "&amp;A71&amp;""</f>
        <v>L 41 + L 43 + L 45</v>
      </c>
      <c r="H72" s="14"/>
      <c r="I72" s="14"/>
      <c r="J72" s="14"/>
      <c r="L72" s="7"/>
      <c r="N72" s="7"/>
    </row>
    <row r="73" spans="1:14">
      <c r="A73" s="14"/>
      <c r="B73" s="884" t="s">
        <v>379</v>
      </c>
      <c r="C73" s="14"/>
      <c r="D73" s="79"/>
      <c r="E73" s="63"/>
      <c r="F73" s="14"/>
      <c r="G73" s="14"/>
      <c r="H73" s="598"/>
      <c r="I73" s="14"/>
      <c r="J73" s="14"/>
    </row>
    <row r="74" spans="1:14">
      <c r="A74" s="111"/>
      <c r="B74" s="479" t="s">
        <v>2467</v>
      </c>
      <c r="C74" s="388"/>
      <c r="D74" s="79"/>
      <c r="E74" s="63"/>
      <c r="F74" s="14"/>
      <c r="G74" s="14"/>
      <c r="H74" s="14"/>
      <c r="I74" s="14"/>
      <c r="J74" s="14"/>
    </row>
    <row r="75" spans="1:14">
      <c r="A75" s="111"/>
      <c r="B75" s="479" t="s">
        <v>2345</v>
      </c>
      <c r="C75" s="388"/>
      <c r="D75" s="79"/>
      <c r="E75" s="63"/>
      <c r="F75" s="14"/>
      <c r="G75" s="14"/>
      <c r="H75" s="14"/>
      <c r="I75" s="14"/>
      <c r="J75" s="14"/>
    </row>
    <row r="76" spans="1:14">
      <c r="A76" s="111"/>
      <c r="B76" s="873" t="s">
        <v>1705</v>
      </c>
      <c r="C76" s="15"/>
      <c r="D76" s="79"/>
      <c r="E76" s="63"/>
      <c r="F76" s="14"/>
      <c r="G76" s="14"/>
      <c r="H76" s="14"/>
      <c r="I76" s="14"/>
      <c r="J76" s="14"/>
    </row>
    <row r="77" spans="1:14">
      <c r="A77" s="111"/>
      <c r="B77" s="873" t="s">
        <v>1759</v>
      </c>
      <c r="C77" s="14"/>
      <c r="D77" s="79"/>
      <c r="E77" s="63"/>
      <c r="F77" s="14"/>
      <c r="G77" s="14"/>
      <c r="H77" s="14"/>
      <c r="I77" s="14"/>
      <c r="J77" s="14"/>
    </row>
    <row r="78" spans="1:14">
      <c r="A78" s="111"/>
      <c r="B78" s="14"/>
      <c r="C78" s="14"/>
      <c r="D78" s="14"/>
      <c r="E78" s="14"/>
      <c r="F78" s="14"/>
      <c r="G78" s="14"/>
      <c r="H78" s="14"/>
      <c r="I78" s="14"/>
      <c r="J78" s="14"/>
    </row>
    <row r="79" spans="1:14">
      <c r="A79" s="111"/>
      <c r="B79" s="479" t="s">
        <v>1845</v>
      </c>
      <c r="C79" s="14"/>
      <c r="D79" s="14"/>
      <c r="E79" s="14"/>
      <c r="F79" s="14"/>
      <c r="G79" s="14"/>
      <c r="H79" s="14"/>
      <c r="I79" s="14"/>
      <c r="J79" s="14"/>
    </row>
    <row r="80" spans="1:14">
      <c r="A80" s="111"/>
      <c r="B80" s="479"/>
      <c r="C80" s="479" t="s">
        <v>1851</v>
      </c>
      <c r="D80" s="14"/>
      <c r="E80" s="14"/>
      <c r="F80" s="14"/>
      <c r="G80" s="14"/>
      <c r="H80" s="14"/>
      <c r="I80" s="14"/>
      <c r="J80" s="14"/>
    </row>
    <row r="81" spans="1:12">
      <c r="A81" s="111"/>
      <c r="B81" s="479"/>
      <c r="C81" s="14"/>
      <c r="D81" s="14"/>
      <c r="E81" s="14"/>
      <c r="F81" s="14"/>
      <c r="G81" s="14"/>
      <c r="H81" s="14"/>
      <c r="I81" s="14"/>
      <c r="J81" s="111" t="s">
        <v>1842</v>
      </c>
    </row>
    <row r="82" spans="1:12">
      <c r="A82" s="111"/>
      <c r="B82" s="14"/>
      <c r="C82" s="14"/>
      <c r="D82" s="14"/>
      <c r="E82" s="125" t="s">
        <v>1446</v>
      </c>
      <c r="F82" s="865" t="s">
        <v>1141</v>
      </c>
      <c r="G82" s="125" t="s">
        <v>234</v>
      </c>
      <c r="H82" s="125" t="s">
        <v>235</v>
      </c>
      <c r="I82" s="14"/>
      <c r="J82" s="125" t="s">
        <v>1841</v>
      </c>
    </row>
    <row r="83" spans="1:12">
      <c r="B83" s="886" t="s">
        <v>1690</v>
      </c>
      <c r="C83" s="479" t="s">
        <v>1840</v>
      </c>
      <c r="D83" s="14"/>
      <c r="E83" s="1146">
        <v>9.8000000000000004E-2</v>
      </c>
      <c r="F83" s="885" t="s">
        <v>1844</v>
      </c>
      <c r="G83" s="1257">
        <v>42736</v>
      </c>
      <c r="H83" s="1257">
        <v>43100</v>
      </c>
      <c r="I83" s="15"/>
      <c r="J83" s="116">
        <v>365</v>
      </c>
      <c r="K83" s="15"/>
      <c r="L83" s="15"/>
    </row>
    <row r="84" spans="1:12">
      <c r="B84" s="886" t="s">
        <v>1691</v>
      </c>
      <c r="C84" s="479" t="s">
        <v>1864</v>
      </c>
      <c r="D84" s="14"/>
      <c r="E84" s="1146">
        <v>9.8000000000000004E-2</v>
      </c>
      <c r="F84" s="885" t="s">
        <v>2468</v>
      </c>
      <c r="G84" s="595"/>
      <c r="H84" s="542"/>
      <c r="I84" s="15"/>
      <c r="J84" s="116"/>
      <c r="K84" s="15"/>
      <c r="L84" s="15"/>
    </row>
    <row r="85" spans="1:12">
      <c r="B85" s="886" t="s">
        <v>1692</v>
      </c>
      <c r="C85" s="479"/>
      <c r="D85" s="14"/>
      <c r="E85" s="887"/>
      <c r="F85" s="885"/>
      <c r="G85" s="543"/>
      <c r="H85" s="543"/>
      <c r="I85" s="874" t="s">
        <v>2007</v>
      </c>
      <c r="J85" s="15">
        <f>SUM(J83:J84)</f>
        <v>365</v>
      </c>
      <c r="K85" s="15"/>
      <c r="L85" s="15"/>
    </row>
    <row r="86" spans="1:12">
      <c r="A86" s="14"/>
      <c r="B86" s="886" t="s">
        <v>1693</v>
      </c>
      <c r="C86" s="479" t="s">
        <v>1853</v>
      </c>
      <c r="D86" s="14"/>
      <c r="E86" s="78">
        <f>((E83*J83) + (E84* J84)) / J85</f>
        <v>9.8000000000000004E-2</v>
      </c>
      <c r="F86" s="479" t="s">
        <v>2008</v>
      </c>
      <c r="G86" s="14"/>
      <c r="H86" s="15"/>
      <c r="I86" s="15"/>
      <c r="J86" s="15"/>
      <c r="K86" s="15"/>
      <c r="L86" s="15"/>
    </row>
    <row r="87" spans="1:12">
      <c r="A87" s="111"/>
      <c r="B87" s="479"/>
      <c r="C87" s="14"/>
      <c r="D87" s="14"/>
      <c r="E87" s="14"/>
      <c r="F87" s="14"/>
      <c r="G87" s="14"/>
      <c r="H87" s="15"/>
      <c r="I87" s="15"/>
      <c r="J87" s="15"/>
      <c r="K87" s="15"/>
      <c r="L87" s="15"/>
    </row>
    <row r="88" spans="1:12">
      <c r="A88" s="111"/>
      <c r="B88" s="479" t="s">
        <v>1843</v>
      </c>
      <c r="C88" s="14"/>
      <c r="D88" s="14"/>
      <c r="E88" s="14"/>
      <c r="F88" s="14"/>
      <c r="G88" s="14"/>
      <c r="H88" s="15"/>
      <c r="I88" s="15"/>
      <c r="J88" s="15"/>
      <c r="K88" s="15"/>
      <c r="L88" s="15"/>
    </row>
    <row r="89" spans="1:12">
      <c r="A89" s="111"/>
      <c r="B89" s="479"/>
      <c r="C89" s="14"/>
      <c r="D89" s="14"/>
      <c r="E89" s="865" t="s">
        <v>1141</v>
      </c>
      <c r="F89" s="14"/>
      <c r="G89" s="14"/>
      <c r="H89" s="15"/>
      <c r="I89" s="15"/>
      <c r="J89" s="15"/>
      <c r="K89" s="15"/>
      <c r="L89" s="15"/>
    </row>
    <row r="90" spans="1:12">
      <c r="A90" s="14"/>
      <c r="B90" s="886" t="s">
        <v>1694</v>
      </c>
      <c r="C90" s="479" t="s">
        <v>1866</v>
      </c>
      <c r="D90" s="14"/>
      <c r="E90" s="1005" t="s">
        <v>2774</v>
      </c>
      <c r="F90" s="97"/>
      <c r="G90" s="97"/>
      <c r="H90" s="116"/>
      <c r="I90" s="116"/>
      <c r="J90" s="116"/>
      <c r="K90" s="15"/>
      <c r="L90" s="15"/>
    </row>
    <row r="91" spans="1:12">
      <c r="B91" s="886" t="s">
        <v>1695</v>
      </c>
      <c r="C91" s="479" t="s">
        <v>1865</v>
      </c>
      <c r="D91" s="14"/>
      <c r="E91" s="1005" t="s">
        <v>2774</v>
      </c>
      <c r="F91" s="97"/>
      <c r="G91" s="97"/>
      <c r="H91" s="116"/>
      <c r="I91" s="116"/>
      <c r="J91" s="116"/>
      <c r="K91" s="15"/>
      <c r="L91" s="15"/>
    </row>
    <row r="92" spans="1:12">
      <c r="B92" s="14"/>
      <c r="C92" s="479"/>
      <c r="D92" s="14"/>
      <c r="E92" s="543"/>
      <c r="F92" s="14"/>
      <c r="G92" s="14"/>
      <c r="H92" s="14"/>
      <c r="I92" s="15"/>
      <c r="J92" s="15"/>
      <c r="K92" s="15"/>
      <c r="L92" s="15"/>
    </row>
    <row r="93" spans="1:12">
      <c r="B93" s="14"/>
      <c r="C93" s="14"/>
      <c r="D93" s="14"/>
      <c r="E93" s="125" t="s">
        <v>1446</v>
      </c>
      <c r="F93" s="865" t="s">
        <v>1141</v>
      </c>
      <c r="G93" s="14"/>
      <c r="H93" s="15"/>
      <c r="I93" s="15"/>
      <c r="J93" s="14"/>
    </row>
    <row r="94" spans="1:12">
      <c r="B94" s="886" t="s">
        <v>1697</v>
      </c>
      <c r="C94" s="479" t="s">
        <v>1854</v>
      </c>
      <c r="D94" s="15"/>
      <c r="E94" s="67">
        <f>'1-BaseTRR'!K88</f>
        <v>2.0329240017391507E-2</v>
      </c>
      <c r="F94" s="14" t="str">
        <f>"1-Base TRR L "&amp;'1-BaseTRR'!A88&amp;""</f>
        <v>1-Base TRR L 51</v>
      </c>
      <c r="G94" s="14"/>
      <c r="H94" s="15"/>
      <c r="I94" s="15"/>
      <c r="J94" s="14"/>
    </row>
    <row r="95" spans="1:12">
      <c r="B95" s="886" t="s">
        <v>1846</v>
      </c>
      <c r="C95" s="479" t="s">
        <v>1855</v>
      </c>
      <c r="D95" s="14"/>
      <c r="E95" s="67">
        <f>'1-BaseTRR'!K89</f>
        <v>4.9707905984841061E-3</v>
      </c>
      <c r="F95" s="14" t="str">
        <f>"1-Base TRR L "&amp;'1-BaseTRR'!A89&amp;""</f>
        <v>1-Base TRR L 52</v>
      </c>
      <c r="G95" s="14"/>
      <c r="H95" s="15"/>
      <c r="I95" s="15"/>
      <c r="J95" s="14"/>
    </row>
    <row r="96" spans="1:12">
      <c r="B96" s="886" t="s">
        <v>1847</v>
      </c>
      <c r="C96" s="479" t="s">
        <v>1856</v>
      </c>
      <c r="D96" s="14"/>
      <c r="E96" s="49">
        <f>('1-BaseTRR'!K80) * E86</f>
        <v>4.8240507919168944E-2</v>
      </c>
      <c r="F96" s="14" t="str">
        <f>"1-Base TRR L "&amp;'1-BaseTRR'!A80&amp;" * Line d"</f>
        <v>1-Base TRR L 47 * Line d</v>
      </c>
      <c r="G96" s="15"/>
      <c r="H96" s="15"/>
      <c r="I96" s="14"/>
      <c r="J96" s="14"/>
    </row>
    <row r="97" spans="1:10">
      <c r="A97" s="14"/>
      <c r="B97" s="111" t="s">
        <v>1848</v>
      </c>
      <c r="C97" s="46" t="s">
        <v>53</v>
      </c>
      <c r="D97" s="14"/>
      <c r="E97" s="48">
        <f>SUM(E94:E96)</f>
        <v>7.3540538535044553E-2</v>
      </c>
      <c r="F97" s="63" t="str">
        <f>"Sum of Lines "&amp;B94&amp;" to "&amp;B96&amp;""</f>
        <v>Sum of Lines g to i</v>
      </c>
      <c r="G97" s="106"/>
      <c r="H97" s="14"/>
      <c r="I97" s="14"/>
      <c r="J97" s="888"/>
    </row>
    <row r="98" spans="1:10">
      <c r="A98" s="111"/>
      <c r="B98" s="14"/>
      <c r="C98" s="21"/>
      <c r="D98" s="24"/>
      <c r="E98" s="63"/>
      <c r="F98" s="63"/>
      <c r="G98" s="106"/>
      <c r="H98" s="63"/>
      <c r="I98" s="14"/>
      <c r="J98" s="888"/>
    </row>
    <row r="99" spans="1:10">
      <c r="A99" s="111"/>
      <c r="B99" s="479" t="s">
        <v>1849</v>
      </c>
      <c r="C99" s="14"/>
      <c r="D99" s="14"/>
      <c r="E99" s="14"/>
      <c r="F99" s="14"/>
      <c r="G99" s="14"/>
      <c r="H99" s="14"/>
      <c r="I99" s="14"/>
      <c r="J99" s="14"/>
    </row>
    <row r="100" spans="1:10">
      <c r="A100" s="111"/>
      <c r="B100" s="14"/>
      <c r="C100" s="14"/>
      <c r="D100" s="14"/>
      <c r="E100" s="14"/>
      <c r="F100" s="14"/>
      <c r="G100" s="14"/>
      <c r="H100" s="14"/>
      <c r="I100" s="14"/>
      <c r="J100" s="14"/>
    </row>
    <row r="101" spans="1:10">
      <c r="A101" s="111"/>
      <c r="B101" s="14"/>
      <c r="C101" s="14"/>
      <c r="D101" s="14"/>
      <c r="E101" s="125" t="s">
        <v>1446</v>
      </c>
      <c r="F101" s="865" t="s">
        <v>1141</v>
      </c>
      <c r="G101" s="14"/>
      <c r="H101" s="14"/>
      <c r="I101" s="14"/>
      <c r="J101" s="14"/>
    </row>
    <row r="102" spans="1:10">
      <c r="A102" s="14"/>
      <c r="B102" s="886" t="s">
        <v>2193</v>
      </c>
      <c r="C102" s="14"/>
      <c r="D102" s="14"/>
      <c r="E102" s="67">
        <f>E95+E96</f>
        <v>5.321129851765305E-2</v>
      </c>
      <c r="F102" s="63" t="str">
        <f>"Sum of Lines "&amp;B95&amp;" to "&amp;B96&amp;""</f>
        <v>Sum of Lines h to i</v>
      </c>
      <c r="G102" s="14"/>
      <c r="H102" s="14"/>
      <c r="I102" s="14"/>
      <c r="J102" s="14"/>
    </row>
    <row r="103" spans="1:10">
      <c r="A103" s="111"/>
      <c r="B103" s="14"/>
      <c r="C103" s="14"/>
      <c r="D103" s="14"/>
      <c r="E103" s="67"/>
      <c r="F103" s="63"/>
      <c r="G103" s="14"/>
      <c r="H103" s="14"/>
      <c r="I103" s="14"/>
      <c r="J103" s="14"/>
    </row>
    <row r="104" spans="1:10">
      <c r="A104" s="111"/>
      <c r="B104" s="873"/>
      <c r="C104" s="14"/>
      <c r="D104" s="14"/>
      <c r="E104" s="106"/>
      <c r="F104" s="106"/>
      <c r="G104" s="106"/>
      <c r="H104" s="63"/>
      <c r="I104" s="14"/>
      <c r="J104" s="14"/>
    </row>
    <row r="105" spans="1:10">
      <c r="A105" s="111"/>
      <c r="B105" s="885"/>
      <c r="C105" s="14"/>
      <c r="D105" s="14"/>
      <c r="E105" s="14"/>
      <c r="F105" s="14"/>
      <c r="G105" s="14"/>
      <c r="H105" s="14"/>
      <c r="I105" s="14"/>
      <c r="J105" s="14"/>
    </row>
    <row r="106" spans="1:10">
      <c r="A106" s="2"/>
      <c r="B106" s="885"/>
      <c r="C106" s="14"/>
      <c r="D106" s="111"/>
      <c r="E106" s="111"/>
      <c r="F106" s="111"/>
      <c r="G106" s="111"/>
      <c r="H106" s="111"/>
      <c r="I106" s="14"/>
      <c r="J106" s="14"/>
    </row>
    <row r="107" spans="1:10">
      <c r="A107" s="2"/>
      <c r="B107" s="873"/>
      <c r="C107" s="14"/>
      <c r="D107" s="111"/>
      <c r="E107" s="111"/>
      <c r="F107" s="111"/>
      <c r="G107" s="111"/>
      <c r="H107" s="111"/>
      <c r="I107" s="14"/>
      <c r="J107" s="14"/>
    </row>
    <row r="108" spans="1:10">
      <c r="A108" s="2"/>
      <c r="B108" s="14"/>
      <c r="C108" s="29"/>
      <c r="D108" s="29"/>
      <c r="E108" s="125"/>
      <c r="F108" s="125"/>
      <c r="G108" s="125"/>
      <c r="H108" s="125"/>
      <c r="I108" s="14"/>
      <c r="J108" s="14"/>
    </row>
    <row r="109" spans="1:10">
      <c r="A109" s="2"/>
    </row>
    <row r="110" spans="1:10">
      <c r="A110" s="2"/>
    </row>
    <row r="111" spans="1:10">
      <c r="A111" s="2"/>
    </row>
    <row r="112" spans="1:10">
      <c r="A112" s="2"/>
      <c r="C112" s="21"/>
      <c r="E112" s="63"/>
      <c r="F112" s="63"/>
      <c r="H112" s="7"/>
      <c r="J112" s="82"/>
    </row>
    <row r="113" spans="1:10">
      <c r="A113" s="2"/>
      <c r="C113" s="21"/>
      <c r="E113" s="63"/>
      <c r="F113" s="63"/>
      <c r="H113" s="7"/>
      <c r="J113" s="82"/>
    </row>
    <row r="114" spans="1:10">
      <c r="A114" s="53"/>
      <c r="C114" s="21"/>
      <c r="E114" s="63"/>
      <c r="F114" s="63"/>
      <c r="H114" s="7"/>
      <c r="J114" s="82"/>
    </row>
    <row r="115" spans="1:10">
      <c r="A115" s="2"/>
      <c r="D115" s="34"/>
      <c r="E115" s="63"/>
      <c r="F115" s="63"/>
      <c r="G115" s="12"/>
      <c r="H115" s="7"/>
      <c r="J115" s="82"/>
    </row>
    <row r="116" spans="1:10">
      <c r="A116" s="2"/>
      <c r="C116" s="21"/>
      <c r="D116" s="94"/>
      <c r="E116" s="91"/>
      <c r="F116" s="7"/>
      <c r="G116" s="12"/>
      <c r="H116" s="7"/>
      <c r="J116" s="82"/>
    </row>
    <row r="117" spans="1:10">
      <c r="A117" s="2"/>
      <c r="C117" s="21"/>
      <c r="D117" s="94"/>
      <c r="E117" s="7"/>
      <c r="F117" s="7"/>
      <c r="G117" s="12"/>
      <c r="H117" s="7"/>
      <c r="J117" s="82"/>
    </row>
    <row r="118" spans="1:10">
      <c r="A118" s="2"/>
    </row>
    <row r="119" spans="1:10">
      <c r="A119" s="2"/>
      <c r="B119" s="1"/>
    </row>
    <row r="120" spans="1:10">
      <c r="A120" s="2"/>
    </row>
    <row r="121" spans="1:10">
      <c r="A121" s="2"/>
    </row>
    <row r="122" spans="1:10">
      <c r="A122" s="2"/>
      <c r="F122" s="2"/>
    </row>
    <row r="123" spans="1:10">
      <c r="A123" s="2"/>
      <c r="F123" s="2"/>
    </row>
    <row r="124" spans="1:10">
      <c r="A124" s="2"/>
      <c r="D124" s="2"/>
      <c r="E124" s="2"/>
      <c r="F124" s="2"/>
      <c r="H124" s="2"/>
    </row>
    <row r="125" spans="1:10">
      <c r="A125" s="2"/>
      <c r="D125" s="2"/>
      <c r="E125" s="2"/>
      <c r="F125" s="2"/>
      <c r="G125" s="2"/>
      <c r="H125" s="4"/>
    </row>
    <row r="126" spans="1:10">
      <c r="A126" s="53"/>
      <c r="C126" s="25"/>
      <c r="D126" s="25"/>
      <c r="E126" s="3"/>
      <c r="F126" s="84"/>
      <c r="G126" s="3"/>
      <c r="H126" s="4"/>
    </row>
    <row r="127" spans="1:10">
      <c r="A127" s="2"/>
      <c r="C127" s="20"/>
      <c r="D127" s="24"/>
      <c r="E127" s="63"/>
      <c r="F127" s="63"/>
      <c r="G127" s="78"/>
      <c r="H127" s="7"/>
    </row>
    <row r="128" spans="1:10">
      <c r="A128" s="2"/>
      <c r="C128" s="21"/>
      <c r="D128" s="24"/>
      <c r="E128" s="63"/>
      <c r="F128" s="63"/>
      <c r="G128" s="78"/>
      <c r="H128" s="7"/>
    </row>
    <row r="129" spans="1:8">
      <c r="A129" s="2"/>
      <c r="C129" s="21"/>
      <c r="D129" s="24"/>
      <c r="E129" s="63"/>
      <c r="F129" s="63"/>
      <c r="G129" s="78"/>
      <c r="H129" s="7"/>
    </row>
    <row r="130" spans="1:8">
      <c r="A130" s="2"/>
      <c r="C130" s="20"/>
      <c r="D130" s="24"/>
      <c r="E130" s="63"/>
      <c r="F130" s="63"/>
      <c r="G130" s="78"/>
      <c r="H130" s="7"/>
    </row>
    <row r="131" spans="1:8">
      <c r="A131" s="2"/>
      <c r="C131" s="21"/>
      <c r="D131" s="24"/>
      <c r="E131" s="63"/>
      <c r="F131" s="63"/>
      <c r="G131" s="78"/>
      <c r="H131" s="7"/>
    </row>
    <row r="132" spans="1:8">
      <c r="A132" s="2"/>
      <c r="C132" s="21"/>
      <c r="D132" s="24"/>
      <c r="E132" s="63"/>
      <c r="F132" s="63"/>
      <c r="G132" s="78"/>
      <c r="H132" s="7"/>
    </row>
    <row r="133" spans="1:8">
      <c r="A133" s="2"/>
      <c r="C133" s="20"/>
      <c r="D133" s="24"/>
      <c r="E133" s="63"/>
      <c r="F133" s="63"/>
      <c r="G133" s="78"/>
      <c r="H133" s="7"/>
    </row>
    <row r="134" spans="1:8">
      <c r="A134" s="2"/>
      <c r="C134" s="21"/>
      <c r="D134" s="24"/>
      <c r="E134" s="63"/>
      <c r="F134" s="63"/>
      <c r="G134" s="78"/>
      <c r="H134" s="7"/>
    </row>
    <row r="135" spans="1:8">
      <c r="A135" s="2"/>
      <c r="C135" s="21"/>
      <c r="D135" s="24"/>
      <c r="E135" s="63"/>
      <c r="F135" s="63"/>
      <c r="G135" s="78"/>
      <c r="H135" s="7"/>
    </row>
    <row r="136" spans="1:8">
      <c r="A136" s="2"/>
      <c r="C136" s="20"/>
      <c r="D136" s="24"/>
      <c r="E136" s="63"/>
      <c r="F136" s="63"/>
      <c r="G136" s="78"/>
      <c r="H136" s="7"/>
    </row>
    <row r="137" spans="1:8">
      <c r="A137" s="2"/>
      <c r="C137" s="20"/>
      <c r="D137" s="24"/>
      <c r="E137" s="63"/>
      <c r="F137" s="63"/>
      <c r="G137" s="78"/>
      <c r="H137" s="7"/>
    </row>
    <row r="138" spans="1:8">
      <c r="A138" s="2"/>
      <c r="C138" s="21"/>
      <c r="D138" s="24"/>
      <c r="E138" s="63"/>
      <c r="F138" s="63"/>
      <c r="G138" s="78"/>
      <c r="H138" s="57"/>
    </row>
    <row r="139" spans="1:8">
      <c r="A139" s="2"/>
      <c r="E139" s="14"/>
      <c r="F139" s="14"/>
      <c r="G139" s="14"/>
      <c r="H139" s="7"/>
    </row>
    <row r="140" spans="1:8">
      <c r="A140" s="2"/>
      <c r="C140" s="21"/>
      <c r="D140" s="24"/>
      <c r="E140" s="14"/>
      <c r="F140" s="146"/>
      <c r="G140" s="78"/>
      <c r="H140" s="71"/>
    </row>
    <row r="141" spans="1:8">
      <c r="A141" s="2"/>
      <c r="B141" s="1"/>
      <c r="C141" s="21"/>
      <c r="D141" s="24"/>
      <c r="E141" s="14"/>
      <c r="F141" s="146"/>
      <c r="G141" s="78"/>
      <c r="H141" s="71"/>
    </row>
    <row r="142" spans="1:8">
      <c r="A142" s="53"/>
      <c r="B142" s="1"/>
      <c r="C142" s="21"/>
      <c r="D142" s="24"/>
      <c r="E142" s="14"/>
      <c r="F142" s="146"/>
      <c r="G142" s="78"/>
      <c r="H142" s="71"/>
    </row>
    <row r="143" spans="1:8">
      <c r="A143" s="2"/>
      <c r="C143" s="21"/>
      <c r="D143" s="85"/>
      <c r="E143" s="63"/>
      <c r="F143" s="147"/>
      <c r="G143" s="78"/>
      <c r="H143" s="71"/>
    </row>
    <row r="144" spans="1:8">
      <c r="A144" s="2"/>
      <c r="C144" s="21"/>
      <c r="D144" s="37"/>
      <c r="E144" s="63"/>
      <c r="F144" s="147"/>
      <c r="G144" s="78"/>
      <c r="H144" s="71"/>
    </row>
    <row r="145" spans="1:10">
      <c r="A145" s="2"/>
      <c r="C145" s="21"/>
      <c r="D145" s="37"/>
      <c r="E145" s="57"/>
      <c r="F145" s="118"/>
      <c r="G145" s="78"/>
      <c r="H145" s="71"/>
    </row>
    <row r="146" spans="1:10">
      <c r="A146" s="2"/>
      <c r="C146" s="21"/>
      <c r="D146" s="85"/>
      <c r="E146" s="7"/>
      <c r="F146" s="71"/>
      <c r="G146" s="78"/>
      <c r="H146" s="71"/>
    </row>
    <row r="147" spans="1:10">
      <c r="A147" s="2"/>
      <c r="C147" s="21"/>
      <c r="D147" s="24"/>
      <c r="F147" s="71"/>
      <c r="G147" s="78"/>
      <c r="H147" s="71"/>
    </row>
    <row r="148" spans="1:10">
      <c r="A148" s="2"/>
    </row>
    <row r="149" spans="1:10">
      <c r="A149" s="2"/>
    </row>
    <row r="150" spans="1:10">
      <c r="A150" s="2"/>
    </row>
    <row r="151" spans="1:10">
      <c r="A151" s="2"/>
      <c r="B151" s="1"/>
    </row>
    <row r="152" spans="1:10">
      <c r="A152" s="2"/>
      <c r="B152" s="12"/>
    </row>
    <row r="153" spans="1:10">
      <c r="A153" s="2"/>
      <c r="B153" s="12"/>
    </row>
    <row r="154" spans="1:10">
      <c r="A154" s="2"/>
      <c r="B154" s="12"/>
    </row>
    <row r="155" spans="1:10">
      <c r="A155" s="2"/>
    </row>
    <row r="156" spans="1:10">
      <c r="A156" s="2"/>
      <c r="B156" s="1"/>
    </row>
    <row r="157" spans="1:10">
      <c r="A157" s="2"/>
    </row>
    <row r="158" spans="1:10">
      <c r="A158" s="53"/>
      <c r="C158" s="25"/>
      <c r="D158" s="3"/>
      <c r="G158" s="14"/>
      <c r="H158" s="14"/>
      <c r="I158" s="14"/>
      <c r="J158" s="14"/>
    </row>
    <row r="159" spans="1:10">
      <c r="A159" s="2"/>
      <c r="C159" s="20"/>
      <c r="D159" s="144"/>
      <c r="F159" s="8"/>
      <c r="G159" s="14"/>
      <c r="H159" s="14"/>
      <c r="I159" s="14"/>
      <c r="J159" s="14"/>
    </row>
    <row r="160" spans="1:10">
      <c r="A160" s="2"/>
      <c r="C160" s="21"/>
      <c r="D160" s="144"/>
      <c r="F160" s="8"/>
      <c r="G160" s="14"/>
      <c r="H160" s="14"/>
      <c r="I160" s="14"/>
      <c r="J160" s="14"/>
    </row>
    <row r="161" spans="1:10">
      <c r="A161" s="2"/>
      <c r="C161" s="21"/>
      <c r="D161" s="144"/>
      <c r="F161" s="8"/>
      <c r="G161" s="14"/>
      <c r="H161" s="14"/>
      <c r="I161" s="14"/>
      <c r="J161" s="14"/>
    </row>
    <row r="162" spans="1:10">
      <c r="A162" s="2"/>
      <c r="C162" s="20"/>
      <c r="D162" s="144"/>
      <c r="F162" s="8"/>
      <c r="G162" s="14"/>
      <c r="H162" s="14"/>
      <c r="I162" s="14"/>
      <c r="J162" s="14"/>
    </row>
    <row r="163" spans="1:10">
      <c r="A163" s="2"/>
      <c r="C163" s="21"/>
      <c r="D163" s="144"/>
      <c r="F163" s="8"/>
      <c r="G163" s="14"/>
      <c r="H163" s="14"/>
      <c r="I163" s="14"/>
      <c r="J163" s="14"/>
    </row>
    <row r="164" spans="1:10">
      <c r="A164" s="2"/>
      <c r="C164" s="21"/>
      <c r="D164" s="144"/>
      <c r="F164" s="8"/>
      <c r="G164" s="14"/>
      <c r="H164" s="14"/>
      <c r="I164" s="14"/>
      <c r="J164" s="14"/>
    </row>
    <row r="165" spans="1:10">
      <c r="A165" s="2"/>
      <c r="C165" s="20"/>
      <c r="D165" s="144"/>
      <c r="F165" s="8"/>
      <c r="G165" s="14"/>
      <c r="H165" s="14"/>
      <c r="I165" s="14"/>
      <c r="J165" s="14"/>
    </row>
    <row r="166" spans="1:10">
      <c r="A166" s="2"/>
      <c r="C166" s="21"/>
      <c r="D166" s="144"/>
      <c r="F166" s="8"/>
      <c r="G166" s="14"/>
      <c r="H166" s="14"/>
      <c r="I166" s="14"/>
      <c r="J166" s="14"/>
    </row>
    <row r="167" spans="1:10">
      <c r="A167" s="2"/>
      <c r="C167" s="21"/>
      <c r="D167" s="144"/>
      <c r="F167" s="8"/>
      <c r="G167" s="14"/>
      <c r="H167" s="14"/>
      <c r="I167" s="14"/>
      <c r="J167" s="14"/>
    </row>
    <row r="168" spans="1:10">
      <c r="A168" s="2"/>
      <c r="C168" s="20"/>
      <c r="D168" s="144"/>
      <c r="F168" s="8"/>
      <c r="G168" s="14"/>
      <c r="H168" s="14"/>
      <c r="I168" s="14"/>
      <c r="J168" s="14"/>
    </row>
    <row r="169" spans="1:10">
      <c r="A169" s="2"/>
      <c r="C169" s="20"/>
      <c r="D169" s="144"/>
      <c r="F169" s="8"/>
    </row>
    <row r="170" spans="1:10">
      <c r="A170" s="2"/>
      <c r="C170" s="21"/>
      <c r="D170" s="145"/>
      <c r="F170" s="81"/>
    </row>
    <row r="171" spans="1:10">
      <c r="A171" s="2"/>
      <c r="C171" s="34"/>
      <c r="D171" s="144"/>
    </row>
  </sheetData>
  <phoneticPr fontId="22" type="noConversion"/>
  <pageMargins left="0.75" right="0.75" top="1" bottom="1" header="0.5" footer="0.5"/>
  <pageSetup scale="80" orientation="landscape" cellComments="asDisplayed" r:id="rId1"/>
  <headerFooter alignWithMargins="0">
    <oddHeader>&amp;CSchedule 4
True Up TRR
&amp;RExhibit SCE-4
TO2019A Formula Rate Spreadsheet</oddHeader>
    <oddFooter>&amp;R&amp;A</oddFooter>
  </headerFooter>
  <rowBreaks count="4" manualBreakCount="4">
    <brk id="46" max="9" man="1"/>
    <brk id="72" max="16383" man="1"/>
    <brk id="118" max="9" man="1"/>
    <brk id="1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zoomScalePageLayoutView="90" workbookViewId="0"/>
  </sheetViews>
  <sheetFormatPr defaultColWidth="8.88671875" defaultRowHeight="13.2"/>
  <cols>
    <col min="1" max="1" width="4.6640625" style="999" customWidth="1"/>
    <col min="2" max="2" width="3.6640625" style="999" customWidth="1"/>
    <col min="3" max="3" width="8.88671875" style="999"/>
    <col min="4" max="4" width="13.6640625" style="999" customWidth="1"/>
    <col min="5" max="5" width="8.88671875" style="999"/>
    <col min="6" max="7" width="10.6640625" style="999" customWidth="1"/>
    <col min="8" max="8" width="8.88671875" style="999"/>
    <col min="9" max="9" width="27.6640625" style="999" customWidth="1"/>
    <col min="10" max="10" width="30.6640625" style="999" customWidth="1"/>
    <col min="11" max="11" width="2.6640625" style="999" customWidth="1"/>
    <col min="12" max="12" width="16.6640625" style="999" customWidth="1"/>
    <col min="13" max="13" width="1.6640625" style="999" customWidth="1"/>
    <col min="14" max="14" width="4.6640625" style="14" customWidth="1"/>
    <col min="15" max="28" width="14.6640625" style="14" customWidth="1"/>
    <col min="29" max="16384" width="8.88671875" style="999"/>
  </cols>
  <sheetData>
    <row r="1" spans="1:28">
      <c r="A1" s="1" t="s">
        <v>24</v>
      </c>
      <c r="J1" s="97" t="s">
        <v>303</v>
      </c>
      <c r="K1" s="14"/>
      <c r="L1" s="14"/>
    </row>
    <row r="2" spans="1:28">
      <c r="B2" s="1"/>
      <c r="I2" s="571"/>
      <c r="J2" s="571" t="s">
        <v>169</v>
      </c>
      <c r="L2" s="249">
        <v>2017</v>
      </c>
    </row>
    <row r="3" spans="1:28">
      <c r="I3" s="3" t="s">
        <v>168</v>
      </c>
      <c r="J3" s="3" t="s">
        <v>170</v>
      </c>
      <c r="L3" s="3" t="s">
        <v>171</v>
      </c>
    </row>
    <row r="5" spans="1:28">
      <c r="A5" s="10" t="s">
        <v>177</v>
      </c>
      <c r="B5" s="121"/>
      <c r="C5" s="11"/>
      <c r="D5" s="11"/>
      <c r="E5" s="11"/>
      <c r="F5" s="11"/>
      <c r="G5" s="11"/>
      <c r="H5" s="11"/>
      <c r="I5" s="9"/>
      <c r="J5" s="9"/>
      <c r="K5" s="9"/>
      <c r="L5" s="9"/>
      <c r="N5" s="558"/>
      <c r="O5" s="559"/>
      <c r="P5" s="559"/>
      <c r="Q5" s="559"/>
      <c r="R5" s="559"/>
      <c r="S5" s="559"/>
      <c r="T5" s="559"/>
    </row>
    <row r="6" spans="1:28">
      <c r="B6" s="44"/>
      <c r="C6" s="479"/>
      <c r="D6" s="479"/>
      <c r="E6" s="479"/>
      <c r="F6" s="479"/>
      <c r="G6" s="479"/>
      <c r="H6" s="479"/>
      <c r="I6" s="479"/>
      <c r="J6" s="479"/>
      <c r="K6" s="479"/>
      <c r="L6" s="479"/>
      <c r="O6" s="359"/>
      <c r="P6" s="359"/>
      <c r="Q6" s="359"/>
      <c r="R6" s="359"/>
      <c r="S6" s="359"/>
      <c r="T6" s="359"/>
      <c r="U6" s="359"/>
      <c r="V6" s="359"/>
      <c r="W6" s="359"/>
      <c r="X6" s="359"/>
      <c r="Y6" s="359"/>
      <c r="Z6" s="359"/>
      <c r="AA6" s="359"/>
      <c r="AB6" s="359"/>
    </row>
    <row r="7" spans="1:28">
      <c r="A7" s="53" t="s">
        <v>321</v>
      </c>
      <c r="B7" s="44"/>
      <c r="C7" s="45" t="s">
        <v>270</v>
      </c>
      <c r="D7" s="479"/>
      <c r="E7" s="479"/>
      <c r="F7" s="479"/>
      <c r="G7" s="479"/>
      <c r="H7" s="479"/>
      <c r="I7" s="479"/>
      <c r="J7" s="477"/>
      <c r="K7" s="479"/>
      <c r="L7" s="479"/>
      <c r="N7" s="560"/>
      <c r="O7" s="79"/>
      <c r="P7" s="561"/>
      <c r="Q7" s="543"/>
      <c r="R7" s="543"/>
      <c r="S7" s="543"/>
      <c r="T7" s="543"/>
      <c r="U7" s="543"/>
      <c r="V7" s="543"/>
      <c r="W7" s="543"/>
      <c r="X7" s="543"/>
      <c r="Y7" s="543"/>
      <c r="Z7" s="543"/>
      <c r="AA7" s="543"/>
      <c r="AB7" s="543"/>
    </row>
    <row r="8" spans="1:28">
      <c r="A8" s="111">
        <v>1</v>
      </c>
      <c r="B8" s="44"/>
      <c r="C8" s="479" t="s">
        <v>206</v>
      </c>
      <c r="D8" s="479"/>
      <c r="E8" s="479"/>
      <c r="F8" s="479"/>
      <c r="G8" s="479"/>
      <c r="H8" s="479"/>
      <c r="I8" s="479" t="s">
        <v>1627</v>
      </c>
      <c r="J8" s="476" t="str">
        <f>"5-ROR-2, Line "&amp;'5-ROR-2'!A8&amp;""</f>
        <v>5-ROR-2, Line 1</v>
      </c>
      <c r="K8" s="479"/>
      <c r="L8" s="491">
        <f>'5-ROR-2'!C8</f>
        <v>10684345054.951538</v>
      </c>
      <c r="N8" s="111"/>
      <c r="O8" s="491"/>
      <c r="P8" s="491"/>
      <c r="Q8" s="491"/>
      <c r="R8" s="491"/>
      <c r="S8" s="491"/>
      <c r="T8" s="491"/>
      <c r="U8" s="491"/>
      <c r="V8" s="491"/>
      <c r="W8" s="491"/>
      <c r="X8" s="491"/>
      <c r="Y8" s="491"/>
      <c r="Z8" s="491"/>
      <c r="AA8" s="491"/>
      <c r="AB8" s="491"/>
    </row>
    <row r="9" spans="1:28">
      <c r="A9" s="111">
        <f>A8+1</f>
        <v>2</v>
      </c>
      <c r="B9" s="44"/>
      <c r="C9" s="479" t="s">
        <v>207</v>
      </c>
      <c r="D9" s="479"/>
      <c r="E9" s="479"/>
      <c r="F9" s="479"/>
      <c r="G9" s="479"/>
      <c r="H9" s="479"/>
      <c r="I9" s="479" t="s">
        <v>1627</v>
      </c>
      <c r="J9" s="476" t="str">
        <f>"5-ROR-2, Line "&amp;'5-ROR-2'!A10&amp;""</f>
        <v>5-ROR-2, Line 2</v>
      </c>
      <c r="K9" s="479"/>
      <c r="L9" s="491">
        <f>'5-ROR-2'!C10</f>
        <v>-40384615.384615384</v>
      </c>
      <c r="N9" s="111"/>
      <c r="O9" s="491"/>
      <c r="P9" s="491"/>
      <c r="Q9" s="491"/>
      <c r="R9" s="491"/>
      <c r="S9" s="491"/>
      <c r="T9" s="491"/>
      <c r="U9" s="491"/>
      <c r="V9" s="491"/>
      <c r="W9" s="491"/>
      <c r="X9" s="491"/>
      <c r="Y9" s="491"/>
      <c r="Z9" s="491"/>
      <c r="AA9" s="491"/>
      <c r="AB9" s="491"/>
    </row>
    <row r="10" spans="1:28">
      <c r="A10" s="111">
        <f t="shared" ref="A10:A11" si="0">A9+1</f>
        <v>3</v>
      </c>
      <c r="B10" s="44"/>
      <c r="C10" s="479" t="s">
        <v>1838</v>
      </c>
      <c r="D10" s="889"/>
      <c r="E10" s="889"/>
      <c r="F10" s="889"/>
      <c r="G10" s="889"/>
      <c r="H10" s="889"/>
      <c r="I10" s="479" t="s">
        <v>1627</v>
      </c>
      <c r="J10" s="476" t="str">
        <f>"5-ROR-2, Line "&amp;'5-ROR-2'!A12&amp;""</f>
        <v>5-ROR-2, Line 3</v>
      </c>
      <c r="K10" s="479"/>
      <c r="L10" s="491">
        <f>'5-ROR-2'!C12</f>
        <v>0</v>
      </c>
      <c r="N10" s="111"/>
      <c r="O10" s="491"/>
      <c r="P10" s="491"/>
      <c r="Q10" s="491"/>
      <c r="R10" s="491"/>
      <c r="S10" s="491"/>
      <c r="T10" s="491"/>
      <c r="U10" s="491"/>
      <c r="V10" s="491"/>
      <c r="W10" s="491"/>
      <c r="X10" s="491"/>
      <c r="Y10" s="491"/>
      <c r="Z10" s="491"/>
      <c r="AA10" s="491"/>
      <c r="AB10" s="491"/>
    </row>
    <row r="11" spans="1:28">
      <c r="A11" s="111">
        <f t="shared" si="0"/>
        <v>4</v>
      </c>
      <c r="B11" s="44"/>
      <c r="C11" s="479" t="s">
        <v>208</v>
      </c>
      <c r="D11" s="479"/>
      <c r="E11" s="479"/>
      <c r="F11" s="479"/>
      <c r="G11" s="479"/>
      <c r="H11" s="479"/>
      <c r="I11" s="479" t="s">
        <v>1627</v>
      </c>
      <c r="J11" s="476" t="str">
        <f>"5-ROR-2, Line "&amp;'5-ROR-2'!A14&amp;""</f>
        <v>5-ROR-2, Line 4</v>
      </c>
      <c r="K11" s="479"/>
      <c r="L11" s="491">
        <f>'5-ROR-2'!C14</f>
        <v>424282123.68538463</v>
      </c>
      <c r="N11" s="111"/>
      <c r="O11" s="491"/>
      <c r="P11" s="491"/>
      <c r="Q11" s="491"/>
      <c r="R11" s="491"/>
      <c r="S11" s="491"/>
      <c r="T11" s="491"/>
      <c r="U11" s="491"/>
      <c r="V11" s="491"/>
      <c r="W11" s="491"/>
      <c r="X11" s="491"/>
      <c r="Y11" s="491"/>
      <c r="Z11" s="491"/>
      <c r="AA11" s="491"/>
      <c r="AB11" s="491"/>
    </row>
    <row r="12" spans="1:28">
      <c r="A12" s="111">
        <f>A11+1</f>
        <v>5</v>
      </c>
      <c r="B12" s="44"/>
      <c r="C12" s="479" t="s">
        <v>2803</v>
      </c>
      <c r="D12" s="479"/>
      <c r="E12" s="479"/>
      <c r="F12" s="479"/>
      <c r="G12" s="479"/>
      <c r="H12" s="479"/>
      <c r="I12" s="479" t="s">
        <v>1627</v>
      </c>
      <c r="J12" s="476" t="str">
        <f>"5-ROR-2, Line "&amp;'5-ROR-2'!A16&amp;""</f>
        <v>5-ROR-2, Line 5</v>
      </c>
      <c r="K12" s="479"/>
      <c r="L12" s="491">
        <f>'5-ROR-2'!C16</f>
        <v>6680026.6015384626</v>
      </c>
      <c r="N12" s="111"/>
      <c r="O12" s="491"/>
      <c r="P12" s="491"/>
      <c r="Q12" s="491"/>
      <c r="R12" s="491"/>
      <c r="S12" s="491"/>
      <c r="T12" s="491"/>
      <c r="U12" s="491"/>
      <c r="V12" s="491"/>
      <c r="W12" s="491"/>
      <c r="X12" s="491"/>
      <c r="Y12" s="491"/>
      <c r="Z12" s="491"/>
      <c r="AA12" s="491"/>
      <c r="AB12" s="491"/>
    </row>
    <row r="13" spans="1:28">
      <c r="A13" s="111">
        <f t="shared" ref="A13:A20" si="1">A12+1</f>
        <v>6</v>
      </c>
      <c r="B13" s="44"/>
      <c r="C13" s="479" t="s">
        <v>2560</v>
      </c>
      <c r="D13" s="479"/>
      <c r="E13" s="479"/>
      <c r="F13" s="479"/>
      <c r="G13" s="479"/>
      <c r="H13" s="479"/>
      <c r="I13" s="479" t="s">
        <v>2565</v>
      </c>
      <c r="J13" s="476" t="str">
        <f>"5-ROR-2, Line "&amp;'5-ROR-2'!A18&amp;""</f>
        <v>5-ROR-2, Line 6</v>
      </c>
      <c r="K13" s="479"/>
      <c r="L13" s="491">
        <f>'5-ROR-2'!C18</f>
        <v>-33623700.153846152</v>
      </c>
      <c r="N13" s="111"/>
      <c r="O13" s="491"/>
      <c r="P13" s="491"/>
      <c r="Q13" s="491"/>
      <c r="R13" s="491"/>
      <c r="S13" s="491"/>
      <c r="T13" s="491"/>
      <c r="U13" s="491"/>
      <c r="V13" s="491"/>
      <c r="W13" s="491"/>
      <c r="X13" s="491"/>
      <c r="Y13" s="491"/>
      <c r="Z13" s="491"/>
      <c r="AA13" s="491"/>
      <c r="AB13" s="491"/>
    </row>
    <row r="14" spans="1:28">
      <c r="A14" s="111">
        <f t="shared" si="1"/>
        <v>7</v>
      </c>
      <c r="B14" s="44"/>
      <c r="C14" s="479" t="s">
        <v>2561</v>
      </c>
      <c r="D14" s="479"/>
      <c r="E14" s="479"/>
      <c r="F14" s="479"/>
      <c r="G14" s="479"/>
      <c r="H14" s="479"/>
      <c r="I14" s="479" t="s">
        <v>2565</v>
      </c>
      <c r="J14" s="476" t="str">
        <f>"5-ROR-2, Line "&amp;'5-ROR-2'!A20&amp;""</f>
        <v>5-ROR-2, Line 7</v>
      </c>
      <c r="K14" s="479"/>
      <c r="L14" s="491">
        <f>'5-ROR-2'!C20</f>
        <v>-83307522.246153846</v>
      </c>
      <c r="N14" s="111"/>
      <c r="O14" s="491"/>
      <c r="P14" s="491"/>
      <c r="Q14" s="491"/>
      <c r="R14" s="491"/>
      <c r="S14" s="491"/>
      <c r="T14" s="491"/>
      <c r="U14" s="491"/>
      <c r="V14" s="491"/>
      <c r="W14" s="491"/>
      <c r="X14" s="491"/>
      <c r="Y14" s="491"/>
      <c r="Z14" s="491"/>
      <c r="AA14" s="491"/>
      <c r="AB14" s="491"/>
    </row>
    <row r="15" spans="1:28">
      <c r="A15" s="111">
        <f t="shared" si="1"/>
        <v>8</v>
      </c>
      <c r="B15" s="44"/>
      <c r="C15" s="479" t="s">
        <v>2562</v>
      </c>
      <c r="D15" s="479"/>
      <c r="E15" s="479"/>
      <c r="F15" s="479"/>
      <c r="G15" s="479"/>
      <c r="H15" s="479"/>
      <c r="I15" s="479" t="s">
        <v>2565</v>
      </c>
      <c r="J15" s="476" t="str">
        <f>"5-ROR-2, Line "&amp;'5-ROR-2'!A22&amp;""</f>
        <v>5-ROR-2, Line 8</v>
      </c>
      <c r="K15" s="479"/>
      <c r="L15" s="491">
        <f>'5-ROR-2'!C22</f>
        <v>-176083211.33615384</v>
      </c>
      <c r="N15" s="111"/>
      <c r="O15" s="491"/>
      <c r="P15" s="491"/>
      <c r="Q15" s="491"/>
      <c r="R15" s="491"/>
      <c r="S15" s="491"/>
      <c r="T15" s="491"/>
      <c r="U15" s="491"/>
      <c r="V15" s="491"/>
      <c r="W15" s="491"/>
      <c r="X15" s="491"/>
      <c r="Y15" s="491"/>
      <c r="Z15" s="491"/>
      <c r="AA15" s="491"/>
      <c r="AB15" s="491"/>
    </row>
    <row r="16" spans="1:28">
      <c r="A16" s="111">
        <f t="shared" si="1"/>
        <v>9</v>
      </c>
      <c r="B16" s="44"/>
      <c r="C16" s="479" t="s">
        <v>259</v>
      </c>
      <c r="D16" s="479"/>
      <c r="E16" s="479"/>
      <c r="F16" s="479"/>
      <c r="G16" s="479"/>
      <c r="H16" s="479"/>
      <c r="I16" s="479"/>
      <c r="J16" s="476" t="str">
        <f>"1-BaseTRR, Line "&amp;'1-BaseTRR'!A102&amp;""</f>
        <v>1-BaseTRR, Line 59</v>
      </c>
      <c r="K16" s="479"/>
      <c r="L16" s="1205">
        <f>'1-BaseTRR'!K102</f>
        <v>0.27983599999999997</v>
      </c>
      <c r="N16" s="111"/>
      <c r="O16" s="491"/>
      <c r="P16" s="491"/>
      <c r="Q16" s="491"/>
      <c r="R16" s="491"/>
      <c r="S16" s="491"/>
      <c r="T16" s="491"/>
      <c r="U16" s="491"/>
      <c r="V16" s="491"/>
      <c r="W16" s="491"/>
      <c r="X16" s="491"/>
      <c r="Y16" s="491"/>
      <c r="Z16" s="491"/>
      <c r="AA16" s="491"/>
      <c r="AB16" s="491"/>
    </row>
    <row r="17" spans="1:28">
      <c r="A17" s="111">
        <f t="shared" si="1"/>
        <v>10</v>
      </c>
      <c r="B17" s="44"/>
      <c r="C17" s="479" t="s">
        <v>2566</v>
      </c>
      <c r="D17" s="479"/>
      <c r="E17" s="479"/>
      <c r="F17" s="479"/>
      <c r="G17" s="479"/>
      <c r="H17" s="479"/>
      <c r="I17" s="479"/>
      <c r="J17" s="476" t="str">
        <f>"Line "&amp;A15&amp;" * (1- Line "&amp;A16&amp;")"</f>
        <v>Line 8 * (1- Line 9)</v>
      </c>
      <c r="K17" s="479"/>
      <c r="L17" s="491">
        <f>+L15*(1-L16)</f>
        <v>-126808789.80868989</v>
      </c>
      <c r="N17" s="111"/>
      <c r="O17" s="491"/>
      <c r="P17" s="491"/>
      <c r="Q17" s="491"/>
      <c r="R17" s="491"/>
      <c r="S17" s="491"/>
      <c r="T17" s="491"/>
      <c r="U17" s="491"/>
      <c r="V17" s="491"/>
      <c r="W17" s="491"/>
      <c r="X17" s="491"/>
      <c r="Y17" s="491"/>
      <c r="Z17" s="491"/>
      <c r="AA17" s="491"/>
      <c r="AB17" s="491"/>
    </row>
    <row r="18" spans="1:28">
      <c r="A18" s="111">
        <f t="shared" si="1"/>
        <v>11</v>
      </c>
      <c r="B18" s="44"/>
      <c r="C18" s="479" t="s">
        <v>2563</v>
      </c>
      <c r="D18" s="479"/>
      <c r="E18" s="479"/>
      <c r="F18" s="479"/>
      <c r="G18" s="479"/>
      <c r="H18" s="479"/>
      <c r="I18" s="479" t="s">
        <v>2565</v>
      </c>
      <c r="J18" s="476" t="str">
        <f>"5-ROR-2, Line "&amp;'5-ROR-2'!A24&amp;""</f>
        <v>5-ROR-2, Line 9</v>
      </c>
      <c r="K18" s="479"/>
      <c r="L18" s="491">
        <f>'5-ROR-2'!C24</f>
        <v>-84615384.615384609</v>
      </c>
      <c r="N18" s="111"/>
      <c r="O18" s="491"/>
      <c r="P18" s="491"/>
      <c r="Q18" s="491"/>
      <c r="R18" s="491"/>
      <c r="S18" s="491"/>
      <c r="T18" s="491"/>
      <c r="U18" s="491"/>
      <c r="V18" s="491"/>
      <c r="W18" s="491"/>
      <c r="X18" s="491"/>
      <c r="Y18" s="491"/>
      <c r="Z18" s="491"/>
      <c r="AA18" s="491"/>
      <c r="AB18" s="491"/>
    </row>
    <row r="19" spans="1:28">
      <c r="A19" s="111">
        <f t="shared" si="1"/>
        <v>12</v>
      </c>
      <c r="B19" s="44"/>
      <c r="C19" s="479" t="s">
        <v>2564</v>
      </c>
      <c r="D19" s="479"/>
      <c r="E19" s="479"/>
      <c r="F19" s="479"/>
      <c r="G19" s="479"/>
      <c r="H19" s="479"/>
      <c r="I19" s="479"/>
      <c r="J19" s="476" t="str">
        <f>"5-ROR-2, Line "&amp;'5-ROR-2'!A26&amp;""</f>
        <v>5-ROR-2, Line 10</v>
      </c>
      <c r="K19" s="479"/>
      <c r="L19" s="491">
        <f>'5-ROR-2'!C26</f>
        <v>0</v>
      </c>
      <c r="N19" s="111"/>
      <c r="O19" s="491"/>
      <c r="P19" s="491"/>
      <c r="Q19" s="491"/>
      <c r="R19" s="491"/>
      <c r="S19" s="491"/>
      <c r="T19" s="491"/>
      <c r="U19" s="491"/>
      <c r="V19" s="491"/>
      <c r="W19" s="491"/>
      <c r="X19" s="491"/>
      <c r="Y19" s="491"/>
      <c r="Z19" s="491"/>
      <c r="AA19" s="491"/>
      <c r="AB19" s="491"/>
    </row>
    <row r="20" spans="1:28">
      <c r="A20" s="111">
        <f t="shared" si="1"/>
        <v>13</v>
      </c>
      <c r="B20" s="44"/>
      <c r="C20" s="476" t="s">
        <v>209</v>
      </c>
      <c r="D20" s="479"/>
      <c r="E20" s="479"/>
      <c r="F20" s="479"/>
      <c r="G20" s="479"/>
      <c r="H20" s="479"/>
      <c r="I20" s="479"/>
      <c r="J20" s="476" t="str">
        <f>"Sum of Lines "&amp;A8&amp;" to "&amp;A14&amp;" and "&amp;A17&amp;" to "&amp;A19&amp;""</f>
        <v>Sum of Lines 1 to 7 and 10 to 12</v>
      </c>
      <c r="K20" s="479"/>
      <c r="L20" s="492">
        <f>+SUM(L8:L14,L17:L19)</f>
        <v>10746567193.02977</v>
      </c>
    </row>
    <row r="21" spans="1:28">
      <c r="A21" s="14"/>
      <c r="B21" s="44"/>
      <c r="C21" s="479"/>
      <c r="D21" s="479"/>
      <c r="E21" s="479"/>
      <c r="F21" s="479"/>
      <c r="G21" s="479" t="s">
        <v>330</v>
      </c>
      <c r="H21" s="479"/>
      <c r="I21" s="479"/>
      <c r="J21" s="476"/>
      <c r="K21" s="479"/>
      <c r="L21" s="479"/>
    </row>
    <row r="22" spans="1:28">
      <c r="A22" s="14"/>
      <c r="B22" s="44"/>
      <c r="C22" s="45" t="s">
        <v>1476</v>
      </c>
      <c r="D22" s="479"/>
      <c r="E22" s="479"/>
      <c r="F22" s="479"/>
      <c r="G22" s="479"/>
      <c r="H22" s="479"/>
      <c r="I22" s="479"/>
      <c r="J22" s="476"/>
      <c r="K22" s="479"/>
      <c r="L22" s="479"/>
    </row>
    <row r="23" spans="1:28">
      <c r="A23" s="111">
        <f>+A20+1</f>
        <v>14</v>
      </c>
      <c r="B23" s="44"/>
      <c r="C23" s="479" t="s">
        <v>42</v>
      </c>
      <c r="D23" s="479"/>
      <c r="E23" s="479"/>
      <c r="F23" s="479"/>
      <c r="G23" s="479"/>
      <c r="H23" s="479"/>
      <c r="I23" s="479" t="s">
        <v>1627</v>
      </c>
      <c r="J23" s="476" t="str">
        <f>"5-ROR-2, Line "&amp;'5-ROR-2'!A28&amp;""</f>
        <v>5-ROR-2, Line 11</v>
      </c>
      <c r="K23" s="479"/>
      <c r="L23" s="491">
        <f>'5-ROR-2'!C28</f>
        <v>2281594180.7692308</v>
      </c>
      <c r="N23" s="111"/>
      <c r="O23" s="491"/>
      <c r="Q23" s="491"/>
      <c r="R23" s="491"/>
      <c r="S23" s="491"/>
      <c r="T23" s="491"/>
      <c r="U23" s="491"/>
      <c r="V23" s="491"/>
      <c r="W23" s="491"/>
      <c r="X23" s="491"/>
      <c r="Y23" s="491"/>
      <c r="Z23" s="491"/>
      <c r="AA23" s="491"/>
      <c r="AB23" s="491"/>
    </row>
    <row r="24" spans="1:28">
      <c r="A24" s="111">
        <f t="shared" ref="A24:A25" si="2">A23+1</f>
        <v>15</v>
      </c>
      <c r="B24" s="44"/>
      <c r="C24" s="479" t="s">
        <v>1472</v>
      </c>
      <c r="D24" s="479"/>
      <c r="E24" s="479"/>
      <c r="F24" s="479"/>
      <c r="G24" s="479"/>
      <c r="H24" s="479"/>
      <c r="I24" s="479" t="s">
        <v>1627</v>
      </c>
      <c r="J24" s="476" t="str">
        <f>"5-ROR-2, Line "&amp;'5-ROR-2'!A30&amp;""</f>
        <v>5-ROR-2, Line 12</v>
      </c>
      <c r="K24" s="479"/>
      <c r="L24" s="491">
        <f>'5-ROR-2'!C30</f>
        <v>-44042735.923824795</v>
      </c>
      <c r="N24" s="111"/>
      <c r="O24" s="491"/>
      <c r="Q24" s="491"/>
      <c r="R24" s="491"/>
      <c r="S24" s="491"/>
      <c r="T24" s="491"/>
      <c r="U24" s="491"/>
      <c r="V24" s="491"/>
      <c r="W24" s="491"/>
      <c r="X24" s="491"/>
      <c r="Y24" s="491"/>
      <c r="Z24" s="491"/>
      <c r="AA24" s="491"/>
      <c r="AB24" s="491"/>
    </row>
    <row r="25" spans="1:28">
      <c r="A25" s="111">
        <f t="shared" si="2"/>
        <v>16</v>
      </c>
      <c r="B25" s="44"/>
      <c r="C25" s="479" t="s">
        <v>1167</v>
      </c>
      <c r="D25" s="479"/>
      <c r="E25" s="479"/>
      <c r="F25" s="479"/>
      <c r="G25" s="479"/>
      <c r="H25" s="479"/>
      <c r="I25" s="479" t="s">
        <v>1627</v>
      </c>
      <c r="J25" s="476" t="str">
        <f>"5-ROR-2, Line "&amp;'5-ROR-2'!A32&amp;""</f>
        <v>5-ROR-2, Line 13</v>
      </c>
      <c r="K25" s="479"/>
      <c r="L25" s="493">
        <f>'5-ROR-2'!C32</f>
        <v>-12930516.057100974</v>
      </c>
      <c r="N25" s="111"/>
      <c r="O25" s="491"/>
      <c r="Q25" s="491"/>
      <c r="R25" s="491"/>
      <c r="S25" s="491"/>
      <c r="T25" s="491"/>
      <c r="U25" s="491"/>
      <c r="V25" s="491"/>
      <c r="W25" s="491"/>
      <c r="X25" s="491"/>
      <c r="Y25" s="491"/>
      <c r="Z25" s="491"/>
      <c r="AA25" s="491"/>
      <c r="AB25" s="491"/>
    </row>
    <row r="26" spans="1:28">
      <c r="A26" s="111">
        <f>A25+1</f>
        <v>17</v>
      </c>
      <c r="B26" s="44"/>
      <c r="C26" s="476" t="s">
        <v>47</v>
      </c>
      <c r="D26" s="479"/>
      <c r="E26" s="479"/>
      <c r="F26" s="479"/>
      <c r="G26" s="479"/>
      <c r="H26" s="479"/>
      <c r="I26" s="479"/>
      <c r="J26" s="476" t="str">
        <f>"Sum of Lines "&amp;A23&amp;" to "&amp;A25&amp;""</f>
        <v>Sum of Lines 14 to 16</v>
      </c>
      <c r="K26" s="479"/>
      <c r="L26" s="491">
        <f>SUM(L23:L25)</f>
        <v>2224620928.7883053</v>
      </c>
    </row>
    <row r="27" spans="1:28">
      <c r="A27" s="111"/>
      <c r="B27" s="44"/>
      <c r="C27" s="479"/>
      <c r="D27" s="479"/>
      <c r="E27" s="479"/>
      <c r="F27" s="479"/>
      <c r="G27" s="479"/>
      <c r="H27" s="479"/>
      <c r="I27" s="479"/>
      <c r="J27" s="476"/>
      <c r="K27" s="479"/>
      <c r="L27" s="491"/>
    </row>
    <row r="28" spans="1:28">
      <c r="A28" s="14"/>
      <c r="B28" s="44"/>
      <c r="C28" s="45" t="s">
        <v>271</v>
      </c>
      <c r="D28" s="479"/>
      <c r="E28" s="479"/>
      <c r="F28" s="479"/>
      <c r="G28" s="479"/>
      <c r="H28" s="479"/>
      <c r="I28" s="494"/>
      <c r="J28" s="476"/>
      <c r="K28" s="479"/>
      <c r="L28" s="479"/>
    </row>
    <row r="29" spans="1:28">
      <c r="A29" s="111">
        <f>+A26+1</f>
        <v>18</v>
      </c>
      <c r="B29" s="44"/>
      <c r="C29" s="479" t="s">
        <v>210</v>
      </c>
      <c r="D29" s="479"/>
      <c r="E29" s="479"/>
      <c r="F29" s="479"/>
      <c r="G29" s="479"/>
      <c r="H29" s="479"/>
      <c r="I29" s="479" t="s">
        <v>1627</v>
      </c>
      <c r="J29" s="476" t="str">
        <f>"5-ROR-2, Lines "&amp;'5-ROR-2'!A34&amp;" + "&amp;'5-ROR-2'!A34&amp;"a"</f>
        <v>5-ROR-2, Lines 14 + 14a</v>
      </c>
      <c r="K29" s="479"/>
      <c r="L29" s="491">
        <f>'5-ROR-2'!C34+'5-ROR-2'!C36</f>
        <v>14822803187.622307</v>
      </c>
      <c r="N29" s="111"/>
      <c r="O29" s="491"/>
      <c r="P29" s="491"/>
      <c r="Q29" s="491"/>
      <c r="R29" s="491"/>
      <c r="S29" s="491"/>
      <c r="T29" s="491"/>
      <c r="U29" s="491"/>
      <c r="V29" s="491"/>
      <c r="W29" s="491"/>
      <c r="X29" s="491"/>
      <c r="Y29" s="491"/>
      <c r="Z29" s="491"/>
      <c r="AA29" s="491"/>
      <c r="AB29" s="491"/>
    </row>
    <row r="30" spans="1:28">
      <c r="A30" s="111">
        <f>A29+1</f>
        <v>19</v>
      </c>
      <c r="B30" s="44"/>
      <c r="C30" s="479" t="s">
        <v>45</v>
      </c>
      <c r="D30" s="479"/>
      <c r="E30" s="479"/>
      <c r="F30" s="479"/>
      <c r="G30" s="479"/>
      <c r="H30" s="479"/>
      <c r="I30" s="479" t="str">
        <f>"Same as L "&amp;A23&amp;", but negative"</f>
        <v>Same as L 14, but negative</v>
      </c>
      <c r="J30" s="476" t="str">
        <f>"5-ROR-2, Line "&amp;'5-ROR-2'!A28&amp;""</f>
        <v>5-ROR-2, Line 11</v>
      </c>
      <c r="K30" s="479"/>
      <c r="L30" s="491">
        <f>-'5-ROR-2'!C28</f>
        <v>-2281594180.7692308</v>
      </c>
      <c r="N30" s="111"/>
      <c r="O30" s="491"/>
      <c r="P30" s="491"/>
      <c r="Q30" s="491"/>
      <c r="R30" s="491"/>
      <c r="S30" s="491"/>
      <c r="T30" s="491"/>
      <c r="U30" s="491"/>
      <c r="V30" s="491"/>
      <c r="W30" s="491"/>
      <c r="X30" s="491"/>
      <c r="Y30" s="491"/>
      <c r="Z30" s="491"/>
      <c r="AA30" s="491"/>
      <c r="AB30" s="491"/>
    </row>
    <row r="31" spans="1:28">
      <c r="A31" s="111">
        <f t="shared" ref="A31:A33" si="3">A30+1</f>
        <v>20</v>
      </c>
      <c r="B31" s="44"/>
      <c r="C31" s="479" t="s">
        <v>1473</v>
      </c>
      <c r="D31" s="479"/>
      <c r="E31" s="479"/>
      <c r="F31" s="479"/>
      <c r="G31" s="479"/>
      <c r="H31" s="479"/>
      <c r="I31" s="479" t="str">
        <f>"Same as L "&amp;A25&amp;", but reverse sign"</f>
        <v>Same as L 16, but reverse sign</v>
      </c>
      <c r="J31" s="476" t="str">
        <f>"5-ROR-2, Line "&amp;'5-ROR-2'!A32&amp;""</f>
        <v>5-ROR-2, Line 13</v>
      </c>
      <c r="K31" s="479"/>
      <c r="L31" s="491">
        <f>-'5-ROR-2'!C32</f>
        <v>12930516.057100974</v>
      </c>
      <c r="N31" s="111"/>
      <c r="O31" s="491"/>
      <c r="P31" s="491"/>
      <c r="Q31" s="491"/>
      <c r="R31" s="491"/>
      <c r="S31" s="491"/>
      <c r="T31" s="491"/>
      <c r="U31" s="491"/>
      <c r="V31" s="491"/>
      <c r="W31" s="491"/>
      <c r="X31" s="491"/>
      <c r="Y31" s="491"/>
      <c r="Z31" s="491"/>
      <c r="AA31" s="491"/>
      <c r="AB31" s="491"/>
    </row>
    <row r="32" spans="1:28">
      <c r="A32" s="111">
        <f t="shared" si="3"/>
        <v>21</v>
      </c>
      <c r="B32" s="44"/>
      <c r="C32" s="479" t="s">
        <v>1474</v>
      </c>
      <c r="D32" s="479"/>
      <c r="E32" s="479"/>
      <c r="F32" s="479"/>
      <c r="G32" s="479"/>
      <c r="H32" s="479"/>
      <c r="I32" s="479" t="s">
        <v>1627</v>
      </c>
      <c r="J32" s="476" t="str">
        <f>"5-ROR-2, Line "&amp;'5-ROR-2'!A38&amp;""</f>
        <v>5-ROR-2, Line 15</v>
      </c>
      <c r="K32" s="479"/>
      <c r="L32" s="491">
        <f>'5-ROR-2'!C38</f>
        <v>2603770.0107692298</v>
      </c>
      <c r="N32" s="111"/>
      <c r="O32" s="491"/>
      <c r="P32" s="491"/>
      <c r="Q32" s="491"/>
      <c r="R32" s="491"/>
      <c r="S32" s="491"/>
      <c r="T32" s="491"/>
      <c r="U32" s="491"/>
      <c r="V32" s="491"/>
      <c r="W32" s="491"/>
      <c r="X32" s="491"/>
      <c r="Y32" s="491"/>
      <c r="Z32" s="491"/>
      <c r="AA32" s="491"/>
      <c r="AB32" s="491"/>
    </row>
    <row r="33" spans="1:28">
      <c r="A33" s="111">
        <f t="shared" si="3"/>
        <v>22</v>
      </c>
      <c r="B33" s="44"/>
      <c r="C33" s="479" t="s">
        <v>1475</v>
      </c>
      <c r="D33" s="479"/>
      <c r="E33" s="479"/>
      <c r="F33" s="479"/>
      <c r="G33" s="479"/>
      <c r="H33" s="479"/>
      <c r="I33" s="479" t="s">
        <v>1627</v>
      </c>
      <c r="J33" s="476" t="str">
        <f>"5-ROR-2, Line "&amp;'5-ROR-2'!A40&amp;""</f>
        <v>5-ROR-2, Line 16</v>
      </c>
      <c r="K33" s="479"/>
      <c r="L33" s="491">
        <f>'5-ROR-2'!C40</f>
        <v>18479587.07</v>
      </c>
      <c r="N33" s="111"/>
      <c r="O33" s="491"/>
      <c r="P33" s="491"/>
      <c r="Q33" s="491"/>
      <c r="R33" s="491"/>
      <c r="S33" s="491"/>
      <c r="T33" s="491"/>
      <c r="U33" s="491"/>
      <c r="V33" s="491"/>
      <c r="W33" s="491"/>
      <c r="X33" s="491"/>
      <c r="Y33" s="491"/>
      <c r="Z33" s="491"/>
      <c r="AA33" s="491"/>
      <c r="AB33" s="491"/>
    </row>
    <row r="34" spans="1:28">
      <c r="A34" s="111">
        <f>A33+1</f>
        <v>23</v>
      </c>
      <c r="B34" s="44"/>
      <c r="C34" s="479" t="s">
        <v>44</v>
      </c>
      <c r="D34" s="479"/>
      <c r="E34" s="479"/>
      <c r="F34" s="479"/>
      <c r="G34" s="479"/>
      <c r="H34" s="479"/>
      <c r="I34" s="479"/>
      <c r="J34" s="476" t="str">
        <f>"Sum of Lines "&amp;A29&amp;" to "&amp;A33&amp;""</f>
        <v>Sum of Lines 18 to 22</v>
      </c>
      <c r="K34" s="479"/>
      <c r="L34" s="492">
        <f>SUM(L29:L33)</f>
        <v>12575222879.990946</v>
      </c>
    </row>
    <row r="35" spans="1:28">
      <c r="B35" s="51"/>
      <c r="C35" s="479"/>
      <c r="D35" s="479"/>
      <c r="E35" s="479"/>
      <c r="F35" s="479"/>
      <c r="G35" s="479"/>
      <c r="H35" s="479"/>
      <c r="I35" s="479"/>
      <c r="J35" s="479"/>
      <c r="K35" s="477"/>
      <c r="L35" s="477"/>
    </row>
    <row r="36" spans="1:28">
      <c r="B36" s="479"/>
      <c r="C36" s="14"/>
      <c r="D36" s="14"/>
      <c r="E36" s="14"/>
      <c r="F36" s="14"/>
      <c r="G36" s="14"/>
      <c r="H36" s="14"/>
      <c r="I36" s="14"/>
      <c r="J36" s="479"/>
    </row>
    <row r="37" spans="1:28">
      <c r="B37" s="479"/>
      <c r="C37" s="14"/>
      <c r="D37" s="14"/>
      <c r="E37" s="14"/>
      <c r="F37" s="14"/>
      <c r="G37" s="14"/>
      <c r="H37" s="14"/>
      <c r="I37" s="14"/>
      <c r="J37" s="479"/>
    </row>
    <row r="38" spans="1:28">
      <c r="B38" s="479"/>
      <c r="C38" s="14"/>
      <c r="D38" s="14"/>
      <c r="E38" s="14"/>
      <c r="F38" s="14"/>
      <c r="G38" s="14"/>
      <c r="H38" s="14"/>
      <c r="I38" s="14"/>
      <c r="J38" s="479"/>
    </row>
    <row r="39" spans="1:28">
      <c r="B39" s="479"/>
      <c r="C39" s="14"/>
      <c r="D39" s="14"/>
      <c r="E39" s="14"/>
      <c r="F39" s="14"/>
      <c r="G39" s="14"/>
      <c r="H39" s="14"/>
      <c r="I39" s="14"/>
      <c r="J39" s="14"/>
    </row>
    <row r="40" spans="1:28">
      <c r="B40" s="495"/>
      <c r="C40" s="14"/>
      <c r="D40" s="14"/>
      <c r="E40" s="14"/>
      <c r="F40" s="14"/>
      <c r="G40" s="14"/>
      <c r="H40" s="14"/>
      <c r="I40" s="14"/>
      <c r="J40" s="14"/>
    </row>
    <row r="41" spans="1:28">
      <c r="B41" s="477"/>
    </row>
    <row r="42" spans="1:28">
      <c r="B42" s="481"/>
    </row>
    <row r="43" spans="1:28">
      <c r="B43" s="477"/>
    </row>
    <row r="44" spans="1:28">
      <c r="B44" s="481"/>
    </row>
  </sheetData>
  <phoneticPr fontId="22" type="noConversion"/>
  <pageMargins left="0.75" right="0.75" top="1" bottom="1" header="0.5" footer="0.5"/>
  <pageSetup scale="55" orientation="landscape" cellComments="asDisplayed" r:id="rId1"/>
  <headerFooter alignWithMargins="0">
    <oddHeader>&amp;CSchedule 5 ROR-1
Return and Capitalization
&amp;RExhibit SCE-4
TO2019A Formula Rate Spreadsheet</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Normal="100" workbookViewId="0"/>
  </sheetViews>
  <sheetFormatPr defaultColWidth="8.88671875" defaultRowHeight="13.2"/>
  <cols>
    <col min="1" max="1" width="4.6640625" style="999" customWidth="1"/>
    <col min="2" max="2" width="6.44140625" style="999" customWidth="1"/>
    <col min="3" max="3" width="17.44140625" style="999" customWidth="1"/>
    <col min="4" max="4" width="15.44140625" style="999" bestFit="1" customWidth="1"/>
    <col min="5" max="5" width="16.109375" style="999" customWidth="1"/>
    <col min="6" max="15" width="15.5546875" style="999" customWidth="1"/>
    <col min="16" max="16" width="15.44140625" style="999" bestFit="1" customWidth="1"/>
    <col min="17" max="17" width="14" style="999" customWidth="1"/>
    <col min="18" max="16384" width="8.88671875" style="999"/>
  </cols>
  <sheetData>
    <row r="1" spans="1:19">
      <c r="A1" s="1" t="s">
        <v>1647</v>
      </c>
      <c r="B1" s="1"/>
    </row>
    <row r="2" spans="1:19">
      <c r="A2" s="111" t="s">
        <v>2204</v>
      </c>
      <c r="B2" s="1038">
        <v>2017</v>
      </c>
    </row>
    <row r="3" spans="1:19">
      <c r="C3" s="84" t="s">
        <v>360</v>
      </c>
      <c r="D3" s="84" t="s">
        <v>344</v>
      </c>
      <c r="E3" s="84" t="s">
        <v>345</v>
      </c>
      <c r="F3" s="84" t="s">
        <v>346</v>
      </c>
      <c r="G3" s="84" t="s">
        <v>347</v>
      </c>
      <c r="H3" s="84" t="s">
        <v>348</v>
      </c>
      <c r="I3" s="84" t="s">
        <v>349</v>
      </c>
      <c r="J3" s="84" t="s">
        <v>541</v>
      </c>
      <c r="K3" s="84" t="s">
        <v>958</v>
      </c>
      <c r="L3" s="84" t="s">
        <v>971</v>
      </c>
      <c r="M3" s="84" t="s">
        <v>974</v>
      </c>
      <c r="N3" s="84" t="s">
        <v>992</v>
      </c>
      <c r="O3" s="84" t="s">
        <v>1478</v>
      </c>
      <c r="P3" s="84" t="s">
        <v>1479</v>
      </c>
    </row>
    <row r="4" spans="1:19">
      <c r="A4" s="3" t="s">
        <v>321</v>
      </c>
      <c r="B4" s="3" t="s">
        <v>1648</v>
      </c>
      <c r="C4" s="37" t="s">
        <v>10</v>
      </c>
      <c r="D4" s="496" t="s">
        <v>180</v>
      </c>
      <c r="E4" s="486" t="s">
        <v>181</v>
      </c>
      <c r="F4" s="486" t="s">
        <v>182</v>
      </c>
      <c r="G4" s="486" t="s">
        <v>195</v>
      </c>
      <c r="H4" s="486" t="s">
        <v>183</v>
      </c>
      <c r="I4" s="486" t="s">
        <v>184</v>
      </c>
      <c r="J4" s="486" t="s">
        <v>1477</v>
      </c>
      <c r="K4" s="486" t="s">
        <v>186</v>
      </c>
      <c r="L4" s="486" t="s">
        <v>187</v>
      </c>
      <c r="M4" s="486" t="s">
        <v>188</v>
      </c>
      <c r="N4" s="486" t="s">
        <v>191</v>
      </c>
      <c r="O4" s="486" t="s">
        <v>190</v>
      </c>
      <c r="P4" s="486" t="s">
        <v>180</v>
      </c>
      <c r="Q4" s="571"/>
    </row>
    <row r="5" spans="1:19">
      <c r="A5" s="3"/>
      <c r="B5" s="125"/>
      <c r="C5" s="543" t="s">
        <v>2205</v>
      </c>
      <c r="D5" s="561"/>
      <c r="E5" s="486"/>
      <c r="F5" s="486"/>
      <c r="G5" s="486"/>
      <c r="H5" s="486"/>
      <c r="I5" s="486"/>
      <c r="J5" s="486"/>
      <c r="K5" s="486"/>
      <c r="L5" s="486"/>
      <c r="M5" s="486"/>
      <c r="N5" s="486"/>
      <c r="O5" s="486"/>
      <c r="P5" s="486"/>
    </row>
    <row r="6" spans="1:19">
      <c r="A6" s="53"/>
      <c r="B6" s="53"/>
      <c r="C6" s="37"/>
      <c r="D6" s="496"/>
      <c r="E6" s="486"/>
      <c r="F6" s="486"/>
      <c r="G6" s="486"/>
      <c r="H6" s="486"/>
      <c r="I6" s="486"/>
      <c r="J6" s="486"/>
      <c r="K6" s="486"/>
      <c r="L6" s="486"/>
      <c r="M6" s="486"/>
      <c r="N6" s="486"/>
      <c r="O6" s="486"/>
      <c r="P6" s="486"/>
    </row>
    <row r="7" spans="1:19">
      <c r="B7" s="44" t="s">
        <v>1649</v>
      </c>
      <c r="D7" s="496"/>
      <c r="E7" s="1082"/>
      <c r="F7" s="1082"/>
      <c r="G7" s="1082"/>
      <c r="H7" s="1082"/>
      <c r="I7" s="1082"/>
      <c r="J7" s="1082"/>
      <c r="K7" s="1082"/>
      <c r="L7" s="1082"/>
      <c r="M7" s="1082"/>
      <c r="N7" s="1082"/>
      <c r="O7" s="1082"/>
      <c r="P7" s="1082"/>
    </row>
    <row r="8" spans="1:19">
      <c r="A8" s="111">
        <v>1</v>
      </c>
      <c r="B8" s="111"/>
      <c r="C8" s="491">
        <f>SUM(D8:P8)/13</f>
        <v>10684345054.951538</v>
      </c>
      <c r="D8" s="1024">
        <v>10296542857</v>
      </c>
      <c r="E8" s="1024">
        <v>10431542857.129999</v>
      </c>
      <c r="F8" s="1024">
        <v>10392257142.84</v>
      </c>
      <c r="G8" s="1024">
        <v>10957257142.84</v>
      </c>
      <c r="H8" s="1024">
        <v>10957257142.84</v>
      </c>
      <c r="I8" s="1024">
        <v>10557257142.84</v>
      </c>
      <c r="J8" s="1024">
        <v>10557257142.84</v>
      </c>
      <c r="K8" s="1024">
        <v>10857257142.84</v>
      </c>
      <c r="L8" s="1024">
        <v>10817971428.549999</v>
      </c>
      <c r="M8" s="1024">
        <v>10817971428.549999</v>
      </c>
      <c r="N8" s="1024">
        <v>10817971428.549999</v>
      </c>
      <c r="O8" s="1024">
        <v>10717971428.549999</v>
      </c>
      <c r="P8" s="1024">
        <v>10717971429</v>
      </c>
      <c r="Q8" s="477"/>
      <c r="S8" s="495"/>
    </row>
    <row r="9" spans="1:19">
      <c r="A9" s="111"/>
      <c r="B9" s="44" t="s">
        <v>2206</v>
      </c>
      <c r="C9" s="7"/>
      <c r="D9" s="491"/>
      <c r="E9" s="491"/>
      <c r="F9" s="491"/>
      <c r="G9" s="491"/>
      <c r="H9" s="491"/>
      <c r="I9" s="491"/>
      <c r="J9" s="491"/>
      <c r="K9" s="491"/>
      <c r="L9" s="491"/>
      <c r="M9" s="491"/>
      <c r="N9" s="491"/>
      <c r="O9" s="491"/>
      <c r="P9" s="491"/>
    </row>
    <row r="10" spans="1:19">
      <c r="A10" s="111">
        <f>A8+1</f>
        <v>2</v>
      </c>
      <c r="B10" s="111"/>
      <c r="C10" s="491">
        <f t="shared" ref="C10:C14" si="0">SUM(D10:P10)/13</f>
        <v>-40384615.384615384</v>
      </c>
      <c r="D10" s="1024">
        <v>-165000000</v>
      </c>
      <c r="E10" s="1024">
        <v>-30000000</v>
      </c>
      <c r="F10" s="1024">
        <v>-30000000</v>
      </c>
      <c r="G10" s="1024">
        <v>-30000000</v>
      </c>
      <c r="H10" s="1024">
        <v>-30000000</v>
      </c>
      <c r="I10" s="1024">
        <v>-30000000</v>
      </c>
      <c r="J10" s="1024">
        <v>-30000000</v>
      </c>
      <c r="K10" s="1024">
        <v>-30000000</v>
      </c>
      <c r="L10" s="1024">
        <v>-30000000</v>
      </c>
      <c r="M10" s="1024">
        <v>-30000000</v>
      </c>
      <c r="N10" s="1024">
        <v>-30000000</v>
      </c>
      <c r="O10" s="1024">
        <v>-30000000</v>
      </c>
      <c r="P10" s="1024">
        <v>-30000000</v>
      </c>
      <c r="Q10" s="477"/>
    </row>
    <row r="11" spans="1:19">
      <c r="A11" s="111"/>
      <c r="B11" s="44" t="s">
        <v>2568</v>
      </c>
      <c r="C11" s="14"/>
      <c r="D11" s="491"/>
      <c r="E11" s="491"/>
      <c r="F11" s="491"/>
      <c r="G11" s="491"/>
      <c r="H11" s="491"/>
      <c r="I11" s="491"/>
      <c r="J11" s="491"/>
      <c r="K11" s="491"/>
      <c r="L11" s="491"/>
      <c r="M11" s="491"/>
      <c r="N11" s="491"/>
      <c r="O11" s="491"/>
      <c r="P11" s="491"/>
    </row>
    <row r="12" spans="1:19">
      <c r="A12" s="111">
        <f>A10+1</f>
        <v>3</v>
      </c>
      <c r="B12" s="44"/>
      <c r="C12" s="491">
        <f>SUM(D12:P12)/13</f>
        <v>0</v>
      </c>
      <c r="D12" s="511">
        <v>0</v>
      </c>
      <c r="E12" s="511">
        <v>0</v>
      </c>
      <c r="F12" s="511">
        <v>0</v>
      </c>
      <c r="G12" s="511">
        <v>0</v>
      </c>
      <c r="H12" s="511">
        <v>0</v>
      </c>
      <c r="I12" s="511">
        <v>0</v>
      </c>
      <c r="J12" s="511">
        <v>0</v>
      </c>
      <c r="K12" s="511">
        <v>0</v>
      </c>
      <c r="L12" s="511">
        <v>0</v>
      </c>
      <c r="M12" s="511">
        <v>0</v>
      </c>
      <c r="N12" s="511">
        <v>0</v>
      </c>
      <c r="O12" s="511">
        <v>0</v>
      </c>
      <c r="P12" s="511">
        <v>0</v>
      </c>
      <c r="Q12" s="477"/>
    </row>
    <row r="13" spans="1:19">
      <c r="A13" s="111"/>
      <c r="B13" s="44" t="s">
        <v>2569</v>
      </c>
      <c r="D13" s="491"/>
      <c r="E13" s="491"/>
      <c r="F13" s="491"/>
      <c r="G13" s="491"/>
      <c r="H13" s="491"/>
      <c r="I13" s="491"/>
      <c r="J13" s="491"/>
      <c r="K13" s="491"/>
      <c r="L13" s="491"/>
      <c r="M13" s="491"/>
      <c r="N13" s="491"/>
      <c r="O13" s="491"/>
      <c r="P13" s="491"/>
    </row>
    <row r="14" spans="1:19">
      <c r="A14" s="111">
        <f>A12+1</f>
        <v>4</v>
      </c>
      <c r="B14" s="111"/>
      <c r="C14" s="491">
        <f t="shared" si="0"/>
        <v>424282123.68538463</v>
      </c>
      <c r="D14" s="1024">
        <v>306621506</v>
      </c>
      <c r="E14" s="1024">
        <v>471616305.64999998</v>
      </c>
      <c r="F14" s="1024">
        <v>471611083.31</v>
      </c>
      <c r="G14" s="1024">
        <v>606605838.94000006</v>
      </c>
      <c r="H14" s="1024">
        <v>606600572.46000004</v>
      </c>
      <c r="I14" s="1024">
        <v>606595283.76999998</v>
      </c>
      <c r="J14" s="1024">
        <v>606589972.77999997</v>
      </c>
      <c r="K14" s="1024">
        <v>306584639.39999998</v>
      </c>
      <c r="L14" s="1024">
        <v>306579283.52999997</v>
      </c>
      <c r="M14" s="1024">
        <v>306573905.07999998</v>
      </c>
      <c r="N14" s="1024">
        <v>306568503.94999999</v>
      </c>
      <c r="O14" s="1024">
        <v>306563080.04000002</v>
      </c>
      <c r="P14" s="1024">
        <v>306557633</v>
      </c>
      <c r="Q14" s="477"/>
    </row>
    <row r="15" spans="1:19">
      <c r="A15" s="111"/>
      <c r="B15" s="44" t="s">
        <v>2570</v>
      </c>
      <c r="C15" s="14"/>
      <c r="D15" s="491"/>
      <c r="E15" s="491"/>
      <c r="F15" s="491"/>
      <c r="G15" s="491"/>
      <c r="H15" s="491"/>
      <c r="I15" s="491"/>
      <c r="J15" s="491"/>
      <c r="K15" s="491"/>
      <c r="L15" s="491"/>
      <c r="M15" s="491"/>
      <c r="N15" s="491"/>
      <c r="O15" s="491"/>
      <c r="P15" s="491"/>
      <c r="S15" s="477"/>
    </row>
    <row r="16" spans="1:19">
      <c r="A16" s="111">
        <f>A14+1</f>
        <v>5</v>
      </c>
      <c r="C16" s="491">
        <f t="shared" ref="C16" si="1">SUM(D16:P16)/13</f>
        <v>6680026.6015384626</v>
      </c>
      <c r="D16" s="511">
        <v>0</v>
      </c>
      <c r="E16" s="511">
        <v>0</v>
      </c>
      <c r="F16" s="511">
        <v>0</v>
      </c>
      <c r="G16" s="511">
        <v>0</v>
      </c>
      <c r="H16" s="511">
        <v>0</v>
      </c>
      <c r="I16" s="511">
        <v>0</v>
      </c>
      <c r="J16" s="511">
        <v>0</v>
      </c>
      <c r="K16" s="511">
        <v>0</v>
      </c>
      <c r="L16" s="511">
        <v>0</v>
      </c>
      <c r="M16" s="511">
        <v>21802461.100000001</v>
      </c>
      <c r="N16" s="511">
        <v>21740877.940000001</v>
      </c>
      <c r="O16" s="511">
        <v>21679294.780000001</v>
      </c>
      <c r="P16" s="511">
        <v>21617712</v>
      </c>
      <c r="S16" s="477"/>
    </row>
    <row r="17" spans="1:19">
      <c r="A17" s="111"/>
      <c r="B17" s="44" t="s">
        <v>2583</v>
      </c>
      <c r="C17" s="14"/>
      <c r="D17" s="491"/>
      <c r="E17" s="491"/>
      <c r="F17" s="491"/>
      <c r="G17" s="491"/>
      <c r="H17" s="491"/>
      <c r="I17" s="491"/>
      <c r="J17" s="491"/>
      <c r="K17" s="491"/>
      <c r="L17" s="491"/>
      <c r="M17" s="491"/>
      <c r="N17" s="491"/>
      <c r="O17" s="491"/>
      <c r="P17" s="491"/>
      <c r="S17" s="477"/>
    </row>
    <row r="18" spans="1:19">
      <c r="A18" s="111">
        <f>A16+1</f>
        <v>6</v>
      </c>
      <c r="B18" s="388"/>
      <c r="C18" s="491">
        <f t="shared" ref="C18" si="2">SUM(D18:P18)/13</f>
        <v>-33623700.153846152</v>
      </c>
      <c r="D18" s="511">
        <v>-34304356</v>
      </c>
      <c r="E18" s="511">
        <v>-34124678.469999999</v>
      </c>
      <c r="F18" s="511">
        <v>-33976129.890000001</v>
      </c>
      <c r="G18" s="511">
        <v>-34268166.869999997</v>
      </c>
      <c r="H18" s="511">
        <v>-34093163.359999999</v>
      </c>
      <c r="I18" s="511">
        <v>-33909672.759999998</v>
      </c>
      <c r="J18" s="511">
        <v>-33738131.969999999</v>
      </c>
      <c r="K18" s="511">
        <v>-33554760.770000003</v>
      </c>
      <c r="L18" s="511">
        <v>-33377304.789999999</v>
      </c>
      <c r="M18" s="511">
        <v>-33205763.989999998</v>
      </c>
      <c r="N18" s="511">
        <v>-33022392.800000001</v>
      </c>
      <c r="O18" s="511">
        <v>-32855820.329999998</v>
      </c>
      <c r="P18" s="511">
        <v>-32677760</v>
      </c>
      <c r="Q18" s="477"/>
      <c r="S18" s="495"/>
    </row>
    <row r="19" spans="1:19">
      <c r="A19" s="14"/>
      <c r="B19" s="388" t="s">
        <v>2584</v>
      </c>
      <c r="C19" s="14"/>
      <c r="D19" s="491"/>
      <c r="E19" s="491"/>
      <c r="F19" s="491"/>
      <c r="G19" s="491"/>
      <c r="H19" s="491"/>
      <c r="I19" s="491"/>
      <c r="J19" s="491"/>
      <c r="K19" s="491"/>
      <c r="L19" s="491"/>
      <c r="M19" s="491"/>
      <c r="N19" s="491"/>
      <c r="O19" s="491"/>
      <c r="P19" s="491"/>
      <c r="S19" s="477"/>
    </row>
    <row r="20" spans="1:19">
      <c r="A20" s="111">
        <f>A18+1</f>
        <v>7</v>
      </c>
      <c r="B20" s="44"/>
      <c r="C20" s="491">
        <f t="shared" ref="C20" si="3">SUM(D20:P20)/13</f>
        <v>-83307522.246153846</v>
      </c>
      <c r="D20" s="511">
        <v>-78466386</v>
      </c>
      <c r="E20" s="511">
        <v>-79500130.969999999</v>
      </c>
      <c r="F20" s="511">
        <v>-78931113.359999999</v>
      </c>
      <c r="G20" s="511">
        <v>-85565223.140000001</v>
      </c>
      <c r="H20" s="511">
        <v>-84846359.980000004</v>
      </c>
      <c r="I20" s="511">
        <v>-84197370.620000005</v>
      </c>
      <c r="J20" s="511">
        <v>-83548381.260000005</v>
      </c>
      <c r="K20" s="511">
        <v>-84336532.849999994</v>
      </c>
      <c r="L20" s="511">
        <v>-83662293.459999993</v>
      </c>
      <c r="M20" s="511">
        <v>-85916772.989999995</v>
      </c>
      <c r="N20" s="511">
        <v>-85238764</v>
      </c>
      <c r="O20" s="511">
        <v>-84577794.569999993</v>
      </c>
      <c r="P20" s="511">
        <v>-84210666</v>
      </c>
      <c r="Q20" s="477"/>
    </row>
    <row r="21" spans="1:19">
      <c r="A21" s="111"/>
      <c r="B21" s="388" t="s">
        <v>2585</v>
      </c>
      <c r="C21" s="14"/>
      <c r="D21" s="491"/>
      <c r="E21" s="491"/>
      <c r="F21" s="491"/>
      <c r="G21" s="491"/>
      <c r="H21" s="491"/>
      <c r="I21" s="491"/>
      <c r="J21" s="491"/>
      <c r="K21" s="491"/>
      <c r="L21" s="491"/>
      <c r="M21" s="491"/>
      <c r="N21" s="491"/>
      <c r="O21" s="491"/>
      <c r="P21" s="491"/>
    </row>
    <row r="22" spans="1:19">
      <c r="A22" s="111">
        <f>A20+1</f>
        <v>8</v>
      </c>
      <c r="B22" s="388"/>
      <c r="C22" s="491">
        <f t="shared" ref="C22" si="4">SUM(D22:P22)/13</f>
        <v>-176083211.33615384</v>
      </c>
      <c r="D22" s="511">
        <v>-184457795</v>
      </c>
      <c r="E22" s="511">
        <v>-183057531.44999999</v>
      </c>
      <c r="F22" s="511">
        <v>-181657267.74000001</v>
      </c>
      <c r="G22" s="511">
        <v>-180257004.03</v>
      </c>
      <c r="H22" s="511">
        <v>-178856740.31999999</v>
      </c>
      <c r="I22" s="511">
        <v>-177456476.61000001</v>
      </c>
      <c r="J22" s="511">
        <v>-176056212.90000001</v>
      </c>
      <c r="K22" s="511">
        <v>-174655949.19</v>
      </c>
      <c r="L22" s="511">
        <v>-173255685.47999999</v>
      </c>
      <c r="M22" s="511">
        <v>-171920046.06999999</v>
      </c>
      <c r="N22" s="511">
        <v>-170519599.81999999</v>
      </c>
      <c r="O22" s="511">
        <v>-169119153.75999999</v>
      </c>
      <c r="P22" s="511">
        <v>-167812285</v>
      </c>
      <c r="Q22" s="477"/>
    </row>
    <row r="23" spans="1:19">
      <c r="A23" s="111"/>
      <c r="B23" s="388" t="s">
        <v>2804</v>
      </c>
      <c r="C23" s="491"/>
      <c r="D23" s="491"/>
      <c r="E23" s="491"/>
      <c r="F23" s="491"/>
      <c r="G23" s="491"/>
      <c r="H23" s="491"/>
      <c r="I23" s="491"/>
      <c r="J23" s="491"/>
      <c r="K23" s="491"/>
      <c r="L23" s="491"/>
      <c r="M23" s="491"/>
      <c r="N23" s="491"/>
      <c r="O23" s="491"/>
      <c r="P23" s="491" t="s">
        <v>330</v>
      </c>
    </row>
    <row r="24" spans="1:19">
      <c r="A24" s="111">
        <f>+A22+1</f>
        <v>9</v>
      </c>
      <c r="B24" s="388"/>
      <c r="C24" s="491">
        <f t="shared" ref="C24" si="5">SUM(D24:P24)/13</f>
        <v>-84615384.615384609</v>
      </c>
      <c r="D24" s="511">
        <v>-100000000</v>
      </c>
      <c r="E24" s="511">
        <v>-100000000</v>
      </c>
      <c r="F24" s="511">
        <v>-100000000</v>
      </c>
      <c r="G24" s="511">
        <v>-100000000</v>
      </c>
      <c r="H24" s="511">
        <v>-100000000</v>
      </c>
      <c r="I24" s="511">
        <v>-100000000</v>
      </c>
      <c r="J24" s="511">
        <v>-100000000</v>
      </c>
      <c r="K24" s="511">
        <v>-100000000</v>
      </c>
      <c r="L24" s="511">
        <v>-100000000</v>
      </c>
      <c r="M24" s="511">
        <v>-100000000</v>
      </c>
      <c r="N24" s="511">
        <v>-100000000</v>
      </c>
      <c r="O24" s="511">
        <v>0</v>
      </c>
      <c r="P24" s="511">
        <v>0</v>
      </c>
    </row>
    <row r="25" spans="1:19">
      <c r="A25" s="111"/>
      <c r="B25" s="388" t="s">
        <v>2805</v>
      </c>
      <c r="C25" s="491"/>
      <c r="D25" s="491"/>
      <c r="E25" s="491"/>
      <c r="F25" s="491"/>
      <c r="G25" s="491"/>
      <c r="H25" s="491"/>
      <c r="I25" s="491"/>
      <c r="J25" s="491"/>
      <c r="K25" s="491"/>
      <c r="L25" s="491"/>
      <c r="M25" s="491"/>
      <c r="N25" s="491"/>
      <c r="O25" s="491"/>
      <c r="P25" s="491"/>
    </row>
    <row r="26" spans="1:19">
      <c r="A26" s="111">
        <f>+A24+1</f>
        <v>10</v>
      </c>
      <c r="B26" s="388"/>
      <c r="C26" s="491">
        <f t="shared" ref="C26" si="6">SUM(D26:P26)/13</f>
        <v>0</v>
      </c>
      <c r="D26" s="511">
        <v>0</v>
      </c>
      <c r="E26" s="511">
        <v>0</v>
      </c>
      <c r="F26" s="511">
        <v>0</v>
      </c>
      <c r="G26" s="511">
        <v>0</v>
      </c>
      <c r="H26" s="511">
        <v>0</v>
      </c>
      <c r="I26" s="511">
        <v>0</v>
      </c>
      <c r="J26" s="511">
        <v>0</v>
      </c>
      <c r="K26" s="511">
        <v>0</v>
      </c>
      <c r="L26" s="511">
        <v>0</v>
      </c>
      <c r="M26" s="511">
        <v>0</v>
      </c>
      <c r="N26" s="511">
        <v>0</v>
      </c>
      <c r="O26" s="511">
        <v>0</v>
      </c>
      <c r="P26" s="511">
        <v>0</v>
      </c>
    </row>
    <row r="27" spans="1:19">
      <c r="A27" s="14"/>
      <c r="B27" s="44" t="s">
        <v>2571</v>
      </c>
    </row>
    <row r="28" spans="1:19">
      <c r="A28" s="111">
        <f>+A26+1</f>
        <v>11</v>
      </c>
      <c r="B28" s="111"/>
      <c r="C28" s="491">
        <f t="shared" ref="C28:C32" si="7">SUM(D28:P28)/13</f>
        <v>2281594180.7692308</v>
      </c>
      <c r="D28" s="1024">
        <v>2245054950</v>
      </c>
      <c r="E28" s="1024">
        <v>2245054950</v>
      </c>
      <c r="F28" s="1024">
        <v>2245054950</v>
      </c>
      <c r="G28" s="1024">
        <v>2245054950</v>
      </c>
      <c r="H28" s="1024">
        <v>2245054950</v>
      </c>
      <c r="I28" s="1024">
        <v>2245054950</v>
      </c>
      <c r="J28" s="1024">
        <v>2720064950</v>
      </c>
      <c r="K28" s="1024">
        <v>2245054950</v>
      </c>
      <c r="L28" s="1024">
        <v>2245054950</v>
      </c>
      <c r="M28" s="1024">
        <v>2245054950</v>
      </c>
      <c r="N28" s="1024">
        <v>2245054950</v>
      </c>
      <c r="O28" s="1024">
        <v>2245054950</v>
      </c>
      <c r="P28" s="1024">
        <v>2245054950</v>
      </c>
      <c r="Q28" s="477"/>
    </row>
    <row r="29" spans="1:19">
      <c r="A29" s="111"/>
      <c r="B29" s="44" t="s">
        <v>2806</v>
      </c>
      <c r="D29" s="491"/>
      <c r="E29" s="491"/>
      <c r="F29" s="491"/>
      <c r="G29" s="491"/>
      <c r="H29" s="491"/>
      <c r="I29" s="491"/>
      <c r="J29" s="491"/>
      <c r="K29" s="491"/>
      <c r="L29" s="491"/>
      <c r="M29" s="491"/>
      <c r="N29" s="491"/>
      <c r="O29" s="491"/>
      <c r="P29" s="491"/>
    </row>
    <row r="30" spans="1:19">
      <c r="A30" s="111">
        <f>A28+1</f>
        <v>12</v>
      </c>
      <c r="B30" s="111"/>
      <c r="C30" s="491">
        <f t="shared" si="7"/>
        <v>-44042735.923824795</v>
      </c>
      <c r="D30" s="1027">
        <v>-43904550.31111113</v>
      </c>
      <c r="E30" s="1027">
        <v>-43612325.06111113</v>
      </c>
      <c r="F30" s="1027">
        <v>-43320099.811111137</v>
      </c>
      <c r="G30" s="1027">
        <v>-43027874.56111113</v>
      </c>
      <c r="H30" s="1027">
        <v>-42735649.31111113</v>
      </c>
      <c r="I30" s="1027">
        <v>-42443424.061111137</v>
      </c>
      <c r="J30" s="1027">
        <v>-54784211.311111137</v>
      </c>
      <c r="K30" s="1027">
        <v>-54456894.359722249</v>
      </c>
      <c r="L30" s="1027">
        <v>-41423176.558333315</v>
      </c>
      <c r="M30" s="1027">
        <v>-41138642.101388872</v>
      </c>
      <c r="N30" s="1027">
        <v>-40854107.644444421</v>
      </c>
      <c r="O30" s="1027">
        <v>-40569573.187499985</v>
      </c>
      <c r="P30" s="1027">
        <v>-40285038.730555542</v>
      </c>
    </row>
    <row r="31" spans="1:19">
      <c r="A31" s="111"/>
      <c r="B31" s="44" t="s">
        <v>2830</v>
      </c>
      <c r="D31" s="491"/>
      <c r="E31" s="491"/>
      <c r="F31" s="491"/>
      <c r="G31" s="491"/>
      <c r="H31" s="491"/>
      <c r="I31" s="491"/>
      <c r="J31" s="491"/>
      <c r="K31" s="491"/>
      <c r="L31" s="491"/>
      <c r="M31" s="491"/>
      <c r="N31" s="491"/>
      <c r="O31" s="491"/>
      <c r="P31" s="491"/>
    </row>
    <row r="32" spans="1:19">
      <c r="A32" s="111">
        <f>A30+1</f>
        <v>13</v>
      </c>
      <c r="B32" s="111"/>
      <c r="C32" s="491">
        <f t="shared" si="7"/>
        <v>-12930516.057100974</v>
      </c>
      <c r="D32" s="1024">
        <v>-7396211.3637954099</v>
      </c>
      <c r="E32" s="511">
        <v>-7345987.3252827898</v>
      </c>
      <c r="F32" s="511">
        <v>-7295763.2867701696</v>
      </c>
      <c r="G32" s="511">
        <v>-7195315.2097449396</v>
      </c>
      <c r="H32" s="511">
        <v>-7145091.1712323204</v>
      </c>
      <c r="I32" s="511">
        <v>-7145091.1712323204</v>
      </c>
      <c r="J32" s="511">
        <v>-7094867.1327197002</v>
      </c>
      <c r="K32" s="511">
        <v>-19793826.438651599</v>
      </c>
      <c r="L32" s="511">
        <v>-19708188.001959901</v>
      </c>
      <c r="M32" s="511">
        <v>-19622549.5652683</v>
      </c>
      <c r="N32" s="511">
        <v>-19536911.1285767</v>
      </c>
      <c r="O32" s="511">
        <v>-19451272.691885099</v>
      </c>
      <c r="P32" s="511">
        <v>-19365634.255193401</v>
      </c>
    </row>
    <row r="33" spans="1:17">
      <c r="A33" s="14"/>
      <c r="B33" s="44" t="s">
        <v>2572</v>
      </c>
    </row>
    <row r="34" spans="1:17">
      <c r="A34" s="111">
        <f>+A32+1</f>
        <v>14</v>
      </c>
      <c r="B34" s="111"/>
      <c r="C34" s="491">
        <f>SUM(D34:P34)/13</f>
        <v>14822803187.622307</v>
      </c>
      <c r="D34" s="1024">
        <v>14482786817</v>
      </c>
      <c r="E34" s="511">
        <v>14615648031.959999</v>
      </c>
      <c r="F34" s="511">
        <v>14509372060.42</v>
      </c>
      <c r="G34" s="511">
        <v>14623685111.110001</v>
      </c>
      <c r="H34" s="511">
        <v>14705023359.23</v>
      </c>
      <c r="I34" s="511">
        <v>14808546333.91</v>
      </c>
      <c r="J34" s="511">
        <v>15195168410</v>
      </c>
      <c r="K34" s="511">
        <v>14852851254.559999</v>
      </c>
      <c r="L34" s="511">
        <v>14841775399.139999</v>
      </c>
      <c r="M34" s="511">
        <v>14993193819.790001</v>
      </c>
      <c r="N34" s="511">
        <v>15128682537.620001</v>
      </c>
      <c r="O34" s="511">
        <v>15267986011.35</v>
      </c>
      <c r="P34" s="511">
        <v>14671722293</v>
      </c>
      <c r="Q34" s="477"/>
    </row>
    <row r="35" spans="1:17">
      <c r="A35" s="111"/>
      <c r="B35" s="388" t="s">
        <v>2841</v>
      </c>
      <c r="C35" s="491"/>
      <c r="D35" s="491"/>
      <c r="E35" s="491"/>
      <c r="F35" s="491"/>
      <c r="G35" s="491"/>
      <c r="H35" s="491"/>
      <c r="I35" s="491"/>
      <c r="J35" s="491"/>
      <c r="K35" s="491"/>
      <c r="L35" s="491"/>
      <c r="M35" s="491"/>
      <c r="N35" s="491"/>
      <c r="O35" s="491"/>
      <c r="P35" s="491"/>
      <c r="Q35" s="477"/>
    </row>
    <row r="36" spans="1:17">
      <c r="A36" s="111" t="s">
        <v>2840</v>
      </c>
      <c r="B36" s="111"/>
      <c r="C36" s="491">
        <f>SUM(D36:P36)/13</f>
        <v>0</v>
      </c>
      <c r="D36" s="511">
        <v>0</v>
      </c>
      <c r="E36" s="511">
        <v>0</v>
      </c>
      <c r="F36" s="511">
        <v>0</v>
      </c>
      <c r="G36" s="511">
        <v>0</v>
      </c>
      <c r="H36" s="511">
        <v>0</v>
      </c>
      <c r="I36" s="511">
        <v>0</v>
      </c>
      <c r="J36" s="511">
        <v>0</v>
      </c>
      <c r="K36" s="511">
        <v>0</v>
      </c>
      <c r="L36" s="511">
        <v>0</v>
      </c>
      <c r="M36" s="511">
        <v>0</v>
      </c>
      <c r="N36" s="511">
        <v>0</v>
      </c>
      <c r="O36" s="511">
        <v>0</v>
      </c>
      <c r="P36" s="511">
        <v>0</v>
      </c>
      <c r="Q36" s="477"/>
    </row>
    <row r="37" spans="1:17">
      <c r="A37" s="111"/>
      <c r="B37" s="44" t="s">
        <v>2573</v>
      </c>
      <c r="D37" s="491"/>
      <c r="E37" s="491"/>
      <c r="F37" s="491"/>
      <c r="G37" s="491"/>
      <c r="H37" s="491"/>
      <c r="I37" s="491"/>
      <c r="J37" s="491"/>
      <c r="K37" s="491"/>
      <c r="L37" s="491"/>
      <c r="M37" s="491"/>
      <c r="N37" s="491"/>
      <c r="O37" s="491"/>
      <c r="P37" s="491"/>
    </row>
    <row r="38" spans="1:17">
      <c r="A38" s="111">
        <f>+A34+1</f>
        <v>15</v>
      </c>
      <c r="B38" s="111"/>
      <c r="C38" s="491">
        <f t="shared" ref="C38:C40" si="8">SUM(D38:P38)/13</f>
        <v>2603770.0107692298</v>
      </c>
      <c r="D38" s="1024">
        <v>2603436</v>
      </c>
      <c r="E38" s="1024">
        <v>2603436.5299999998</v>
      </c>
      <c r="F38" s="1024">
        <v>2603436.5299999998</v>
      </c>
      <c r="G38" s="1024">
        <v>2603436.5299999998</v>
      </c>
      <c r="H38" s="1024">
        <v>2603436.5299999998</v>
      </c>
      <c r="I38" s="1024">
        <v>2604191.2199999997</v>
      </c>
      <c r="J38" s="1024">
        <v>2604191.2199999997</v>
      </c>
      <c r="K38" s="1024">
        <v>2604191.2199999997</v>
      </c>
      <c r="L38" s="1024">
        <v>2604191.2199999997</v>
      </c>
      <c r="M38" s="1024">
        <v>2604050.4</v>
      </c>
      <c r="N38" s="1024">
        <v>2604050.4</v>
      </c>
      <c r="O38" s="1024">
        <v>2603481.34</v>
      </c>
      <c r="P38" s="1024">
        <v>2603481</v>
      </c>
      <c r="Q38" s="477"/>
    </row>
    <row r="39" spans="1:17">
      <c r="A39" s="111"/>
      <c r="B39" s="44" t="s">
        <v>2574</v>
      </c>
      <c r="D39" s="491"/>
      <c r="E39" s="491"/>
      <c r="F39" s="491"/>
      <c r="G39" s="491"/>
      <c r="H39" s="491"/>
      <c r="I39" s="491"/>
      <c r="J39" s="491"/>
      <c r="K39" s="491"/>
      <c r="L39" s="491"/>
      <c r="M39" s="491"/>
      <c r="N39" s="491"/>
      <c r="O39" s="491"/>
      <c r="P39" s="491"/>
    </row>
    <row r="40" spans="1:17">
      <c r="A40" s="111">
        <f>A38+1</f>
        <v>16</v>
      </c>
      <c r="B40" s="111"/>
      <c r="C40" s="491">
        <f t="shared" si="8"/>
        <v>18479587.07</v>
      </c>
      <c r="D40" s="1024">
        <v>20446907</v>
      </c>
      <c r="E40" s="1024">
        <v>19981023.739999998</v>
      </c>
      <c r="F40" s="1024">
        <v>19515140.41</v>
      </c>
      <c r="G40" s="1024">
        <v>17543913.98</v>
      </c>
      <c r="H40" s="1024">
        <v>18734451.899999999</v>
      </c>
      <c r="I40" s="1024">
        <v>18250526.899999999</v>
      </c>
      <c r="J40" s="1024">
        <v>18131535.48</v>
      </c>
      <c r="K40" s="1024">
        <v>17647610.48</v>
      </c>
      <c r="L40" s="1024">
        <v>18713013.039999999</v>
      </c>
      <c r="M40" s="1024">
        <v>18000213.66</v>
      </c>
      <c r="N40" s="1024">
        <v>17516288.66</v>
      </c>
      <c r="O40" s="1024">
        <v>17032363.66</v>
      </c>
      <c r="P40" s="1024">
        <v>18721643</v>
      </c>
      <c r="Q40" s="477"/>
    </row>
    <row r="41" spans="1:17">
      <c r="A41" s="111"/>
      <c r="B41" s="111"/>
      <c r="C41" s="491"/>
      <c r="D41" s="491"/>
      <c r="E41" s="491"/>
      <c r="F41" s="491"/>
      <c r="G41" s="491"/>
      <c r="H41" s="491"/>
      <c r="I41" s="491"/>
      <c r="J41" s="491"/>
      <c r="K41" s="491"/>
      <c r="L41" s="491"/>
      <c r="M41" s="491"/>
      <c r="N41" s="491"/>
      <c r="O41" s="491"/>
      <c r="P41" s="491"/>
    </row>
    <row r="42" spans="1:17">
      <c r="A42" s="111"/>
      <c r="B42" s="51" t="s">
        <v>379</v>
      </c>
      <c r="C42" s="491"/>
      <c r="D42" s="491"/>
      <c r="E42" s="491"/>
      <c r="F42" s="491"/>
      <c r="G42" s="491"/>
      <c r="H42" s="491"/>
      <c r="I42" s="491"/>
      <c r="J42" s="491"/>
      <c r="K42" s="491"/>
      <c r="L42" s="491"/>
      <c r="M42" s="491"/>
      <c r="N42" s="491"/>
      <c r="O42" s="491"/>
      <c r="P42" s="491"/>
    </row>
    <row r="43" spans="1:17">
      <c r="A43" s="111"/>
      <c r="B43" s="477" t="s">
        <v>1650</v>
      </c>
      <c r="C43" s="491"/>
      <c r="D43" s="491"/>
      <c r="E43" s="491"/>
      <c r="F43" s="491"/>
      <c r="G43" s="491"/>
      <c r="H43" s="491"/>
      <c r="I43" s="491"/>
      <c r="J43" s="491"/>
      <c r="K43" s="491"/>
      <c r="L43" s="491"/>
      <c r="M43" s="491"/>
      <c r="N43" s="491"/>
      <c r="O43" s="491"/>
      <c r="P43" s="491"/>
    </row>
    <row r="44" spans="1:17">
      <c r="A44" s="111"/>
      <c r="B44" s="481" t="s">
        <v>1661</v>
      </c>
      <c r="C44" s="491"/>
      <c r="D44" s="491"/>
      <c r="E44" s="491"/>
      <c r="F44" s="491"/>
      <c r="G44" s="491"/>
      <c r="H44" s="491"/>
      <c r="I44" s="491"/>
      <c r="J44" s="491"/>
      <c r="K44" s="491"/>
      <c r="L44" s="491"/>
      <c r="M44" s="491"/>
      <c r="N44" s="491"/>
      <c r="O44" s="491"/>
      <c r="P44" s="491"/>
    </row>
    <row r="45" spans="1:17">
      <c r="A45" s="14"/>
      <c r="B45" s="476"/>
      <c r="C45" s="14"/>
      <c r="D45" s="14"/>
      <c r="E45" s="14"/>
      <c r="F45" s="14"/>
      <c r="G45" s="14"/>
      <c r="H45" s="14"/>
      <c r="I45" s="14"/>
      <c r="J45" s="14"/>
      <c r="K45" s="14"/>
      <c r="L45" s="14"/>
    </row>
    <row r="46" spans="1:17">
      <c r="A46" s="14"/>
      <c r="B46" s="44" t="s">
        <v>232</v>
      </c>
      <c r="C46" s="14"/>
      <c r="D46" s="14"/>
      <c r="E46" s="14"/>
      <c r="F46" s="14"/>
      <c r="G46" s="14"/>
      <c r="H46" s="14"/>
      <c r="I46" s="14"/>
      <c r="J46" s="14"/>
      <c r="K46" s="14"/>
      <c r="L46" s="14"/>
    </row>
    <row r="47" spans="1:17">
      <c r="A47" s="14"/>
      <c r="B47" s="479" t="s">
        <v>1768</v>
      </c>
      <c r="C47" s="14"/>
      <c r="D47" s="14"/>
      <c r="E47" s="14"/>
      <c r="F47" s="14"/>
      <c r="G47" s="14"/>
      <c r="H47" s="14"/>
      <c r="I47" s="14"/>
      <c r="J47" s="14"/>
      <c r="K47" s="14"/>
      <c r="L47" s="14"/>
    </row>
    <row r="48" spans="1:17">
      <c r="A48" s="14"/>
      <c r="B48" s="479" t="s">
        <v>1769</v>
      </c>
      <c r="C48" s="14"/>
      <c r="D48" s="14"/>
      <c r="E48" s="14"/>
      <c r="F48" s="14"/>
      <c r="G48" s="14"/>
      <c r="H48" s="14"/>
      <c r="I48" s="14"/>
      <c r="J48" s="14"/>
      <c r="K48" s="14"/>
      <c r="L48" s="14"/>
    </row>
    <row r="49" spans="1:12">
      <c r="A49" s="14"/>
      <c r="B49" s="479" t="s">
        <v>2575</v>
      </c>
      <c r="C49" s="14"/>
      <c r="D49" s="14"/>
      <c r="E49" s="14"/>
      <c r="F49" s="14"/>
      <c r="G49" s="14"/>
      <c r="H49" s="14"/>
      <c r="I49" s="14"/>
      <c r="J49" s="14"/>
      <c r="K49" s="14"/>
      <c r="L49" s="14"/>
    </row>
    <row r="50" spans="1:12">
      <c r="A50" s="14"/>
      <c r="B50" s="479" t="s">
        <v>2576</v>
      </c>
      <c r="C50" s="14"/>
      <c r="D50" s="14"/>
      <c r="E50" s="14"/>
      <c r="F50" s="14"/>
      <c r="G50" s="14"/>
      <c r="H50" s="14"/>
      <c r="I50" s="14"/>
      <c r="J50" s="14"/>
      <c r="K50" s="14"/>
      <c r="L50" s="14"/>
    </row>
    <row r="51" spans="1:12">
      <c r="A51" s="14"/>
      <c r="B51" s="479" t="s">
        <v>2807</v>
      </c>
      <c r="C51" s="388"/>
      <c r="D51" s="14"/>
      <c r="E51" s="14"/>
      <c r="F51" s="14"/>
      <c r="G51" s="14"/>
      <c r="H51" s="14"/>
      <c r="I51" s="14"/>
      <c r="J51" s="14"/>
      <c r="K51" s="14"/>
      <c r="L51" s="14"/>
    </row>
    <row r="52" spans="1:12">
      <c r="A52" s="14"/>
      <c r="B52" s="479" t="s">
        <v>2808</v>
      </c>
      <c r="C52" s="388"/>
      <c r="D52" s="14"/>
      <c r="E52" s="14"/>
      <c r="F52" s="14"/>
      <c r="G52" s="14"/>
      <c r="H52" s="14"/>
      <c r="I52" s="14"/>
      <c r="J52" s="14"/>
      <c r="K52" s="14"/>
      <c r="L52" s="14"/>
    </row>
    <row r="53" spans="1:12">
      <c r="A53" s="14"/>
      <c r="B53" s="479" t="s">
        <v>2809</v>
      </c>
      <c r="C53" s="388"/>
      <c r="D53" s="14"/>
      <c r="E53" s="14"/>
      <c r="F53" s="14"/>
      <c r="G53" s="14"/>
      <c r="H53" s="14"/>
      <c r="I53" s="14"/>
      <c r="J53" s="14"/>
      <c r="K53" s="14"/>
      <c r="L53" s="14"/>
    </row>
    <row r="54" spans="1:12">
      <c r="A54" s="14"/>
      <c r="B54" s="479" t="s">
        <v>2810</v>
      </c>
      <c r="C54" s="388"/>
      <c r="D54" s="14"/>
      <c r="E54" s="14"/>
      <c r="F54" s="14"/>
      <c r="G54" s="14"/>
      <c r="H54" s="14"/>
      <c r="I54" s="14"/>
      <c r="J54" s="14"/>
      <c r="K54" s="14"/>
      <c r="L54" s="14"/>
    </row>
    <row r="55" spans="1:12">
      <c r="A55" s="14"/>
      <c r="B55" s="479" t="s">
        <v>2582</v>
      </c>
      <c r="C55" s="388"/>
      <c r="D55" s="14"/>
      <c r="E55" s="14"/>
      <c r="F55" s="14"/>
      <c r="G55" s="14"/>
      <c r="H55" s="14"/>
      <c r="I55" s="14"/>
      <c r="J55" s="14"/>
      <c r="K55" s="14"/>
      <c r="L55" s="14"/>
    </row>
    <row r="56" spans="1:12">
      <c r="A56" s="14"/>
      <c r="B56" s="479" t="s">
        <v>2579</v>
      </c>
      <c r="C56" s="388"/>
      <c r="D56" s="14"/>
      <c r="E56" s="14"/>
      <c r="F56" s="14"/>
      <c r="G56" s="14"/>
      <c r="H56" s="14"/>
      <c r="I56" s="14"/>
      <c r="J56" s="14"/>
      <c r="K56" s="14"/>
      <c r="L56" s="14"/>
    </row>
    <row r="57" spans="1:12">
      <c r="A57" s="14"/>
      <c r="B57" s="479" t="s">
        <v>2577</v>
      </c>
      <c r="C57" s="14"/>
      <c r="D57" s="14"/>
      <c r="E57" s="14"/>
      <c r="F57" s="14"/>
      <c r="G57" s="14"/>
      <c r="H57" s="14"/>
      <c r="I57" s="14"/>
      <c r="J57" s="14"/>
      <c r="K57" s="14"/>
      <c r="L57" s="14"/>
    </row>
    <row r="58" spans="1:12">
      <c r="A58" s="14"/>
      <c r="B58" s="479" t="s">
        <v>2580</v>
      </c>
      <c r="C58" s="14"/>
      <c r="D58" s="14"/>
      <c r="E58" s="14"/>
      <c r="F58" s="14"/>
      <c r="G58" s="14"/>
      <c r="H58" s="14"/>
      <c r="I58" s="14"/>
      <c r="J58" s="14"/>
      <c r="K58" s="14"/>
      <c r="L58" s="14"/>
    </row>
    <row r="59" spans="1:12">
      <c r="A59" s="14"/>
      <c r="B59" s="479" t="s">
        <v>2581</v>
      </c>
      <c r="D59" s="14"/>
      <c r="E59" s="14"/>
      <c r="F59" s="14"/>
      <c r="G59" s="14"/>
      <c r="H59" s="111"/>
      <c r="I59" s="14"/>
      <c r="J59" s="14"/>
      <c r="K59" s="14"/>
      <c r="L59" s="14"/>
    </row>
    <row r="60" spans="1:12">
      <c r="A60" s="14"/>
      <c r="B60" s="1206" t="s">
        <v>2831</v>
      </c>
      <c r="C60" s="14"/>
    </row>
    <row r="61" spans="1:12">
      <c r="A61" s="14"/>
      <c r="B61" s="1206" t="s">
        <v>2842</v>
      </c>
      <c r="C61" s="14"/>
    </row>
    <row r="62" spans="1:12">
      <c r="A62" s="14"/>
      <c r="B62" s="1206" t="s">
        <v>2832</v>
      </c>
      <c r="C62" s="14"/>
    </row>
    <row r="63" spans="1:12">
      <c r="A63" s="14"/>
      <c r="B63" s="1206" t="s">
        <v>2833</v>
      </c>
      <c r="C63" s="14"/>
    </row>
  </sheetData>
  <pageMargins left="0.7" right="0.7" top="0.75" bottom="0.75" header="0.3" footer="0.3"/>
  <pageSetup scale="53" fitToHeight="0" orientation="landscape" cellComments="asDisplayed" r:id="rId1"/>
  <headerFooter>
    <oddHeader>&amp;CSchedule 5 ROR-2
Return and Capitalization
&amp;RExhibit SCE-4
TO2019A Formula Rate Spreadsheet</oddHeader>
    <oddFooter>&amp;R5-ROR-2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heetViews>
  <sheetFormatPr defaultColWidth="8.88671875" defaultRowHeight="13.2"/>
  <cols>
    <col min="1" max="1" width="5.6640625" style="999" customWidth="1"/>
    <col min="2" max="2" width="28.109375" style="999" customWidth="1"/>
    <col min="3" max="3" width="14.6640625" style="999" customWidth="1"/>
    <col min="4" max="4" width="13.88671875" style="999" customWidth="1"/>
    <col min="5" max="5" width="15.6640625" style="999" customWidth="1"/>
    <col min="6" max="6" width="15.33203125" style="999" customWidth="1"/>
    <col min="7" max="7" width="7.6640625" style="999" customWidth="1"/>
    <col min="8" max="8" width="13.44140625" style="999" customWidth="1"/>
    <col min="9" max="9" width="13.6640625" style="999" customWidth="1"/>
    <col min="10" max="10" width="7.6640625" style="999" customWidth="1"/>
    <col min="11" max="11" width="18.88671875" style="999" customWidth="1"/>
    <col min="12" max="12" width="13.6640625" style="999" customWidth="1"/>
    <col min="13" max="13" width="8.88671875" style="999"/>
    <col min="14" max="14" width="20.6640625" style="999" customWidth="1"/>
    <col min="15" max="16384" width="8.88671875" style="999"/>
  </cols>
  <sheetData>
    <row r="1" spans="1:13">
      <c r="A1" s="1" t="s">
        <v>256</v>
      </c>
    </row>
    <row r="2" spans="1:13">
      <c r="B2" s="475" t="s">
        <v>1736</v>
      </c>
      <c r="C2" s="976">
        <v>2017</v>
      </c>
      <c r="E2" s="1159"/>
    </row>
    <row r="3" spans="1:13">
      <c r="B3" s="1160"/>
      <c r="M3" s="1161"/>
    </row>
    <row r="4" spans="1:13">
      <c r="B4" s="1" t="s">
        <v>2496</v>
      </c>
      <c r="M4" s="1161"/>
    </row>
    <row r="5" spans="1:13">
      <c r="A5" s="51" t="s">
        <v>331</v>
      </c>
      <c r="E5" s="3" t="s">
        <v>175</v>
      </c>
      <c r="F5" s="3" t="s">
        <v>205</v>
      </c>
    </row>
    <row r="6" spans="1:13">
      <c r="A6" s="1162">
        <v>1</v>
      </c>
      <c r="D6" s="475" t="s">
        <v>2497</v>
      </c>
      <c r="E6" s="7">
        <f>K75</f>
        <v>508780231.71596831</v>
      </c>
      <c r="F6" s="16" t="str">
        <f>"Line "&amp;A75&amp;", Col 10"</f>
        <v>Line 200, Col 10</v>
      </c>
      <c r="G6" s="14"/>
    </row>
    <row r="7" spans="1:13">
      <c r="A7" s="1162">
        <f>A6+1</f>
        <v>2</v>
      </c>
      <c r="D7" s="475" t="s">
        <v>2498</v>
      </c>
      <c r="E7" s="117">
        <v>16710267</v>
      </c>
      <c r="F7" s="481" t="s">
        <v>2828</v>
      </c>
      <c r="G7" s="14"/>
    </row>
    <row r="8" spans="1:13">
      <c r="A8" s="1162">
        <f t="shared" ref="A8:A12" si="0">A7+1</f>
        <v>3</v>
      </c>
      <c r="D8" s="475" t="s">
        <v>2499</v>
      </c>
      <c r="E8" s="7">
        <f>SUM(E6:E7)</f>
        <v>525490498.71596831</v>
      </c>
      <c r="F8" s="562" t="s">
        <v>2500</v>
      </c>
      <c r="G8" s="14"/>
    </row>
    <row r="9" spans="1:13">
      <c r="A9" s="1162">
        <f t="shared" si="0"/>
        <v>4</v>
      </c>
      <c r="F9" s="65"/>
      <c r="G9" s="14"/>
    </row>
    <row r="10" spans="1:13">
      <c r="A10" s="1162">
        <f t="shared" si="0"/>
        <v>5</v>
      </c>
      <c r="D10" s="475" t="s">
        <v>2501</v>
      </c>
      <c r="E10" s="7">
        <f>F75</f>
        <v>11024708633.26</v>
      </c>
      <c r="F10" s="16" t="str">
        <f>"Line "&amp;A75&amp;", Col 5"</f>
        <v>Line 200, Col 5</v>
      </c>
      <c r="G10" s="14"/>
    </row>
    <row r="11" spans="1:13">
      <c r="A11" s="1162">
        <f t="shared" si="0"/>
        <v>6</v>
      </c>
      <c r="C11" s="477"/>
      <c r="D11" s="475" t="s">
        <v>2502</v>
      </c>
      <c r="E11" s="484">
        <f>+F86</f>
        <v>-30000000</v>
      </c>
      <c r="F11" s="16" t="str">
        <f>"Line "&amp;A86&amp;", Col 5"</f>
        <v>Line 205, Col 5</v>
      </c>
      <c r="G11" s="14"/>
    </row>
    <row r="12" spans="1:13">
      <c r="A12" s="1162">
        <f t="shared" si="0"/>
        <v>7</v>
      </c>
      <c r="D12" s="475" t="s">
        <v>2503</v>
      </c>
      <c r="E12" s="484">
        <f>'5-ROR-2'!P22</f>
        <v>-167812285</v>
      </c>
      <c r="F12" s="481" t="str">
        <f>"5-ROR-2, Line "&amp;'5-ROR-2'!A22&amp;", Col. 14 (Negative of FF1 111.81c)"</f>
        <v>5-ROR-2, Line 8, Col. 14 (Negative of FF1 111.81c)</v>
      </c>
      <c r="G12" s="14"/>
    </row>
    <row r="13" spans="1:13">
      <c r="A13" s="1162">
        <f>A12+1</f>
        <v>8</v>
      </c>
      <c r="D13" s="475" t="s">
        <v>1050</v>
      </c>
      <c r="E13" s="1270">
        <f>'1-BaseTRR'!K102</f>
        <v>0.27983599999999997</v>
      </c>
      <c r="F13" s="481" t="s">
        <v>2812</v>
      </c>
      <c r="G13" s="14"/>
    </row>
    <row r="14" spans="1:13">
      <c r="A14" s="1162">
        <f>A13+1</f>
        <v>9</v>
      </c>
      <c r="D14" s="475" t="s">
        <v>2811</v>
      </c>
      <c r="E14" s="91">
        <f>E12*(1 - E13)</f>
        <v>-120852366.41474001</v>
      </c>
      <c r="F14" s="562" t="s">
        <v>2813</v>
      </c>
      <c r="G14" s="14"/>
    </row>
    <row r="15" spans="1:13">
      <c r="A15" s="1162">
        <f>A14+1</f>
        <v>10</v>
      </c>
      <c r="D15" s="475" t="s">
        <v>2504</v>
      </c>
      <c r="E15" s="7">
        <f>E10+E11+E14</f>
        <v>10873856266.845261</v>
      </c>
      <c r="F15" s="562" t="s">
        <v>2814</v>
      </c>
      <c r="G15" s="14"/>
    </row>
    <row r="16" spans="1:13">
      <c r="A16" s="1162">
        <f t="shared" ref="A16:A17" si="1">A15+1</f>
        <v>11</v>
      </c>
      <c r="F16" s="65"/>
      <c r="G16" s="14"/>
    </row>
    <row r="17" spans="1:15">
      <c r="A17" s="1162">
        <f t="shared" si="1"/>
        <v>12</v>
      </c>
      <c r="D17" s="475" t="s">
        <v>2505</v>
      </c>
      <c r="E17" s="8">
        <f>E8/E15</f>
        <v>4.8326047891418783E-2</v>
      </c>
      <c r="F17" s="562" t="s">
        <v>2815</v>
      </c>
      <c r="G17" s="14"/>
    </row>
    <row r="19" spans="1:15">
      <c r="B19" s="1" t="s">
        <v>2507</v>
      </c>
    </row>
    <row r="20" spans="1:15">
      <c r="B20" s="84" t="s">
        <v>360</v>
      </c>
      <c r="C20" s="84" t="s">
        <v>344</v>
      </c>
      <c r="D20" s="84" t="s">
        <v>345</v>
      </c>
      <c r="E20" s="84" t="s">
        <v>346</v>
      </c>
      <c r="F20" s="84" t="s">
        <v>347</v>
      </c>
      <c r="G20" s="84" t="s">
        <v>348</v>
      </c>
      <c r="H20" s="84" t="s">
        <v>349</v>
      </c>
      <c r="I20" s="84" t="s">
        <v>541</v>
      </c>
      <c r="J20" s="84" t="s">
        <v>958</v>
      </c>
      <c r="K20" s="84" t="s">
        <v>971</v>
      </c>
      <c r="L20" s="84"/>
    </row>
    <row r="21" spans="1:15">
      <c r="B21" s="111" t="s">
        <v>2508</v>
      </c>
      <c r="C21" s="111" t="s">
        <v>2509</v>
      </c>
      <c r="D21" s="111" t="s">
        <v>2510</v>
      </c>
      <c r="E21" s="111" t="s">
        <v>2508</v>
      </c>
      <c r="F21" s="111" t="s">
        <v>2816</v>
      </c>
      <c r="G21" s="111" t="s">
        <v>361</v>
      </c>
      <c r="H21" s="111" t="s">
        <v>2817</v>
      </c>
      <c r="I21" s="886" t="s">
        <v>2511</v>
      </c>
      <c r="J21" s="111" t="s">
        <v>1170</v>
      </c>
      <c r="K21" s="886" t="s">
        <v>2512</v>
      </c>
    </row>
    <row r="22" spans="1:15" ht="13.8" thickBot="1">
      <c r="H22" s="571" t="s">
        <v>362</v>
      </c>
    </row>
    <row r="23" spans="1:15" ht="67.2" customHeight="1" thickBot="1">
      <c r="A23" s="51" t="s">
        <v>331</v>
      </c>
      <c r="B23" s="1164" t="s">
        <v>2513</v>
      </c>
      <c r="C23" s="1165" t="s">
        <v>2514</v>
      </c>
      <c r="D23" s="1165" t="s">
        <v>2515</v>
      </c>
      <c r="E23" s="1166" t="s">
        <v>2516</v>
      </c>
      <c r="F23" s="1167" t="s">
        <v>2517</v>
      </c>
      <c r="G23" s="1168" t="s">
        <v>2518</v>
      </c>
      <c r="H23" s="1169" t="s">
        <v>2519</v>
      </c>
      <c r="I23" s="1170" t="s">
        <v>2520</v>
      </c>
      <c r="J23" s="1171" t="s">
        <v>2521</v>
      </c>
      <c r="K23" s="1167" t="s">
        <v>2522</v>
      </c>
      <c r="L23" s="1172" t="s">
        <v>2523</v>
      </c>
    </row>
    <row r="24" spans="1:15">
      <c r="A24" s="1162">
        <v>101</v>
      </c>
      <c r="B24" s="1212" t="s">
        <v>2630</v>
      </c>
      <c r="C24" s="1177">
        <v>38000</v>
      </c>
      <c r="D24" s="1177">
        <v>48959</v>
      </c>
      <c r="E24" s="1178">
        <v>0.06</v>
      </c>
      <c r="F24" s="511">
        <v>525000</v>
      </c>
      <c r="G24" s="1184">
        <f>ROUND(($D24-$C24)/365.25,0)</f>
        <v>30</v>
      </c>
      <c r="H24" s="511">
        <v>8280</v>
      </c>
      <c r="I24" s="7">
        <f t="shared" ref="I24:I54" si="2">F24-H24</f>
        <v>516720</v>
      </c>
      <c r="J24" s="1163">
        <f>(RATE(G24*2,-(E24*F24)/2,I24,-F24))*2</f>
        <v>6.1153861368713168E-2</v>
      </c>
      <c r="K24" s="7">
        <f>F24*J24</f>
        <v>32105.777218574414</v>
      </c>
      <c r="L24" s="1174"/>
      <c r="M24" s="67"/>
      <c r="O24" s="1175"/>
    </row>
    <row r="25" spans="1:15">
      <c r="A25" s="1162">
        <f>A24+1</f>
        <v>102</v>
      </c>
      <c r="B25" s="1213" t="s">
        <v>2631</v>
      </c>
      <c r="C25" s="1177">
        <v>38069</v>
      </c>
      <c r="D25" s="1177">
        <v>49400</v>
      </c>
      <c r="E25" s="1178">
        <v>5.7500000000000002E-2</v>
      </c>
      <c r="F25" s="511">
        <v>350000</v>
      </c>
      <c r="G25" s="1184">
        <f t="shared" ref="G25:G58" si="3">ROUND(($D25-$C25)/365.25,0)</f>
        <v>31</v>
      </c>
      <c r="H25" s="511">
        <v>3216.5</v>
      </c>
      <c r="I25" s="7">
        <f t="shared" si="2"/>
        <v>346783.5</v>
      </c>
      <c r="J25" s="1163">
        <f t="shared" ref="J25:J54" si="4">(RATE(G25*2,-(E25*F25)/2,I25,-F25))*2</f>
        <v>5.814314987689452E-2</v>
      </c>
      <c r="K25" s="7">
        <f t="shared" ref="K25:K54" si="5">F25*J25</f>
        <v>20350.102456913082</v>
      </c>
      <c r="L25" s="1174"/>
      <c r="M25" s="67"/>
      <c r="N25" s="477"/>
      <c r="O25" s="1175"/>
    </row>
    <row r="26" spans="1:15">
      <c r="A26" s="1162">
        <f t="shared" ref="A26:A57" si="6">A25+1</f>
        <v>103</v>
      </c>
      <c r="B26" s="1213" t="s">
        <v>2632</v>
      </c>
      <c r="C26" s="1177">
        <v>38371</v>
      </c>
      <c r="D26" s="1177">
        <v>49689</v>
      </c>
      <c r="E26" s="1178">
        <v>5.5500000000000001E-2</v>
      </c>
      <c r="F26" s="511">
        <v>250000</v>
      </c>
      <c r="G26" s="1184">
        <f t="shared" si="3"/>
        <v>31</v>
      </c>
      <c r="H26" s="511">
        <v>3073.846</v>
      </c>
      <c r="I26" s="7">
        <f t="shared" si="2"/>
        <v>246926.15400000001</v>
      </c>
      <c r="J26" s="1163">
        <f t="shared" si="4"/>
        <v>5.6343414504260142E-2</v>
      </c>
      <c r="K26" s="7">
        <f t="shared" si="5"/>
        <v>14085.853626065036</v>
      </c>
      <c r="L26" s="1174"/>
      <c r="M26" s="67"/>
      <c r="O26" s="1175"/>
    </row>
    <row r="27" spans="1:15">
      <c r="A27" s="1162">
        <f t="shared" si="6"/>
        <v>104</v>
      </c>
      <c r="B27" s="1213" t="s">
        <v>2633</v>
      </c>
      <c r="C27" s="1177">
        <v>38530</v>
      </c>
      <c r="D27" s="1177">
        <v>49505</v>
      </c>
      <c r="E27" s="1178">
        <v>5.3499999999999999E-2</v>
      </c>
      <c r="F27" s="511">
        <v>350000</v>
      </c>
      <c r="G27" s="1184">
        <f t="shared" si="3"/>
        <v>30</v>
      </c>
      <c r="H27" s="511">
        <v>3230.5</v>
      </c>
      <c r="I27" s="7">
        <f t="shared" si="2"/>
        <v>346769.5</v>
      </c>
      <c r="J27" s="1163">
        <f t="shared" si="4"/>
        <v>5.4125612750696946E-2</v>
      </c>
      <c r="K27" s="7">
        <f t="shared" si="5"/>
        <v>18943.96446274393</v>
      </c>
      <c r="L27" s="1174"/>
      <c r="M27" s="67"/>
      <c r="O27" s="1175"/>
    </row>
    <row r="28" spans="1:15">
      <c r="A28" s="1162">
        <f t="shared" si="6"/>
        <v>105</v>
      </c>
      <c r="B28" s="1213" t="s">
        <v>2635</v>
      </c>
      <c r="C28" s="1177">
        <v>38748</v>
      </c>
      <c r="D28" s="1177">
        <v>49706</v>
      </c>
      <c r="E28" s="1178">
        <v>5.6250000000000001E-2</v>
      </c>
      <c r="F28" s="511">
        <v>350000</v>
      </c>
      <c r="G28" s="1184">
        <f t="shared" si="3"/>
        <v>30</v>
      </c>
      <c r="H28" s="511">
        <v>4287.5</v>
      </c>
      <c r="I28" s="7">
        <f t="shared" si="2"/>
        <v>345712.5</v>
      </c>
      <c r="J28" s="1163">
        <f t="shared" si="4"/>
        <v>5.7108014561698187E-2</v>
      </c>
      <c r="K28" s="7">
        <f t="shared" si="5"/>
        <v>19987.805096594366</v>
      </c>
      <c r="L28" s="1174"/>
      <c r="M28" s="67"/>
      <c r="O28" s="1175"/>
    </row>
    <row r="29" spans="1:15">
      <c r="A29" s="1162">
        <f t="shared" si="6"/>
        <v>106</v>
      </c>
      <c r="B29" s="1213" t="s">
        <v>2638</v>
      </c>
      <c r="C29" s="1177">
        <v>39062</v>
      </c>
      <c r="D29" s="1177">
        <v>50055</v>
      </c>
      <c r="E29" s="1178">
        <v>5.5500000000000001E-2</v>
      </c>
      <c r="F29" s="511">
        <v>400000</v>
      </c>
      <c r="G29" s="1184">
        <f t="shared" si="3"/>
        <v>30</v>
      </c>
      <c r="H29" s="511">
        <v>6176</v>
      </c>
      <c r="I29" s="7">
        <f t="shared" si="2"/>
        <v>393824</v>
      </c>
      <c r="J29" s="1163">
        <f t="shared" si="4"/>
        <v>5.6575172725895399E-2</v>
      </c>
      <c r="K29" s="7">
        <f t="shared" si="5"/>
        <v>22630.06909035816</v>
      </c>
      <c r="L29" s="1174"/>
      <c r="M29" s="67"/>
      <c r="O29" s="1175"/>
    </row>
    <row r="30" spans="1:15">
      <c r="A30" s="1162">
        <f t="shared" si="6"/>
        <v>107</v>
      </c>
      <c r="B30" s="1213" t="s">
        <v>2639</v>
      </c>
      <c r="C30" s="1177">
        <v>39469</v>
      </c>
      <c r="D30" s="1177">
        <v>50437</v>
      </c>
      <c r="E30" s="1178">
        <v>5.9499999999999997E-2</v>
      </c>
      <c r="F30" s="511">
        <v>600000</v>
      </c>
      <c r="G30" s="1184">
        <f t="shared" si="3"/>
        <v>30</v>
      </c>
      <c r="H30" s="511">
        <v>9110</v>
      </c>
      <c r="I30" s="7">
        <f t="shared" si="2"/>
        <v>590890</v>
      </c>
      <c r="J30" s="1163">
        <f t="shared" si="4"/>
        <v>6.0604350787423024E-2</v>
      </c>
      <c r="K30" s="7">
        <f t="shared" si="5"/>
        <v>36362.610472453816</v>
      </c>
      <c r="L30" s="1174"/>
      <c r="M30" s="67"/>
      <c r="O30" s="1175"/>
    </row>
    <row r="31" spans="1:15">
      <c r="A31" s="1162">
        <f t="shared" si="6"/>
        <v>108</v>
      </c>
      <c r="B31" s="1213" t="s">
        <v>2640</v>
      </c>
      <c r="C31" s="1177">
        <v>39678</v>
      </c>
      <c r="D31" s="1177">
        <v>43327</v>
      </c>
      <c r="E31" s="1178">
        <v>5.5E-2</v>
      </c>
      <c r="F31" s="511">
        <v>400000</v>
      </c>
      <c r="G31" s="1184">
        <f t="shared" si="3"/>
        <v>10</v>
      </c>
      <c r="H31" s="511">
        <v>5522</v>
      </c>
      <c r="I31" s="7">
        <f t="shared" si="2"/>
        <v>394478</v>
      </c>
      <c r="J31" s="1163">
        <f t="shared" si="4"/>
        <v>5.6828726114922956E-2</v>
      </c>
      <c r="K31" s="7">
        <f t="shared" si="5"/>
        <v>22731.490445969182</v>
      </c>
      <c r="L31" s="1174"/>
      <c r="M31" s="67"/>
      <c r="O31" s="1175"/>
    </row>
    <row r="32" spans="1:15">
      <c r="A32" s="1162">
        <f t="shared" si="6"/>
        <v>109</v>
      </c>
      <c r="B32" s="1198" t="s">
        <v>2641</v>
      </c>
      <c r="C32" s="1177">
        <v>39892</v>
      </c>
      <c r="D32" s="1177">
        <v>50844</v>
      </c>
      <c r="E32" s="1178">
        <v>6.0499999999999998E-2</v>
      </c>
      <c r="F32" s="511">
        <v>500000</v>
      </c>
      <c r="G32" s="1184">
        <f t="shared" si="3"/>
        <v>30</v>
      </c>
      <c r="H32" s="511">
        <v>8470</v>
      </c>
      <c r="I32" s="7">
        <f t="shared" si="2"/>
        <v>491530</v>
      </c>
      <c r="J32" s="1163">
        <f t="shared" si="4"/>
        <v>6.1747187578585015E-2</v>
      </c>
      <c r="K32" s="7">
        <f t="shared" si="5"/>
        <v>30873.593789292507</v>
      </c>
      <c r="L32" s="1174"/>
      <c r="M32" s="67"/>
      <c r="O32" s="1175"/>
    </row>
    <row r="33" spans="1:15">
      <c r="A33" s="1162">
        <f t="shared" si="6"/>
        <v>110</v>
      </c>
      <c r="B33" s="1214" t="s">
        <v>2642</v>
      </c>
      <c r="C33" s="1177">
        <v>40248</v>
      </c>
      <c r="D33" s="1177">
        <v>51210</v>
      </c>
      <c r="E33" s="1178">
        <v>5.5E-2</v>
      </c>
      <c r="F33" s="511">
        <v>500000</v>
      </c>
      <c r="G33" s="1184">
        <f t="shared" si="3"/>
        <v>30</v>
      </c>
      <c r="H33" s="511">
        <v>11365</v>
      </c>
      <c r="I33" s="7">
        <f t="shared" si="2"/>
        <v>488635</v>
      </c>
      <c r="J33" s="1163">
        <f t="shared" si="4"/>
        <v>5.6582950497039763E-2</v>
      </c>
      <c r="K33" s="7">
        <f t="shared" si="5"/>
        <v>28291.475248519881</v>
      </c>
      <c r="L33" s="1174"/>
      <c r="M33" s="67"/>
      <c r="O33" s="1175"/>
    </row>
    <row r="34" spans="1:15">
      <c r="A34" s="1162">
        <f t="shared" si="6"/>
        <v>111</v>
      </c>
      <c r="B34" s="1213" t="s">
        <v>2643</v>
      </c>
      <c r="C34" s="1177">
        <v>40420</v>
      </c>
      <c r="D34" s="1177">
        <v>51380</v>
      </c>
      <c r="E34" s="1178">
        <v>4.4999999999999998E-2</v>
      </c>
      <c r="F34" s="511">
        <v>500000</v>
      </c>
      <c r="G34" s="1184">
        <f t="shared" si="3"/>
        <v>30</v>
      </c>
      <c r="H34" s="511">
        <v>8505</v>
      </c>
      <c r="I34" s="7">
        <f t="shared" si="2"/>
        <v>491495</v>
      </c>
      <c r="J34" s="1163">
        <f t="shared" si="4"/>
        <v>4.6051680419231418E-2</v>
      </c>
      <c r="K34" s="7">
        <f t="shared" si="5"/>
        <v>23025.840209615708</v>
      </c>
      <c r="L34" s="1174"/>
      <c r="M34" s="67"/>
      <c r="O34" s="1175"/>
    </row>
    <row r="35" spans="1:15">
      <c r="A35" s="1162">
        <f t="shared" si="6"/>
        <v>112</v>
      </c>
      <c r="B35" s="1213" t="s">
        <v>2745</v>
      </c>
      <c r="C35" s="1177">
        <v>40680</v>
      </c>
      <c r="D35" s="1177">
        <v>44348</v>
      </c>
      <c r="E35" s="1178">
        <v>3.875E-2</v>
      </c>
      <c r="F35" s="511">
        <v>500000</v>
      </c>
      <c r="G35" s="1184">
        <f t="shared" si="3"/>
        <v>10</v>
      </c>
      <c r="H35" s="511">
        <v>7170</v>
      </c>
      <c r="I35" s="7">
        <f t="shared" si="2"/>
        <v>492830</v>
      </c>
      <c r="J35" s="1163">
        <f t="shared" si="4"/>
        <v>4.0508279272036263E-2</v>
      </c>
      <c r="K35" s="7">
        <f t="shared" si="5"/>
        <v>20254.139636018132</v>
      </c>
      <c r="L35" s="1174"/>
      <c r="M35" s="67"/>
      <c r="O35" s="1175"/>
    </row>
    <row r="36" spans="1:15">
      <c r="A36" s="1162">
        <f t="shared" si="6"/>
        <v>113</v>
      </c>
      <c r="B36" s="1198" t="s">
        <v>2746</v>
      </c>
      <c r="C36" s="1177">
        <v>40859</v>
      </c>
      <c r="D36" s="1177">
        <v>51836</v>
      </c>
      <c r="E36" s="1178">
        <v>3.9E-2</v>
      </c>
      <c r="F36" s="511">
        <v>250000</v>
      </c>
      <c r="G36" s="1184">
        <f t="shared" si="3"/>
        <v>30</v>
      </c>
      <c r="H36" s="511">
        <v>4117.5</v>
      </c>
      <c r="I36" s="7">
        <f t="shared" si="2"/>
        <v>245882.5</v>
      </c>
      <c r="J36" s="1163">
        <f t="shared" si="4"/>
        <v>3.9947008990460907E-2</v>
      </c>
      <c r="K36" s="7">
        <f t="shared" si="5"/>
        <v>9986.7522476152262</v>
      </c>
      <c r="L36" s="1174"/>
      <c r="M36" s="67"/>
      <c r="O36" s="1175"/>
    </row>
    <row r="37" spans="1:15">
      <c r="A37" s="1162">
        <f t="shared" si="6"/>
        <v>114</v>
      </c>
      <c r="B37" s="1198" t="s">
        <v>2747</v>
      </c>
      <c r="C37" s="1177">
        <v>40981</v>
      </c>
      <c r="D37" s="1177">
        <v>51940</v>
      </c>
      <c r="E37" s="1178">
        <v>4.0500000000000001E-2</v>
      </c>
      <c r="F37" s="511">
        <v>400000</v>
      </c>
      <c r="G37" s="1184">
        <f t="shared" si="3"/>
        <v>30</v>
      </c>
      <c r="H37" s="511">
        <v>9028.1899999999987</v>
      </c>
      <c r="I37" s="7">
        <f t="shared" si="2"/>
        <v>390971.81</v>
      </c>
      <c r="J37" s="1163">
        <f t="shared" si="4"/>
        <v>4.1827501690688176E-2</v>
      </c>
      <c r="K37" s="7">
        <f t="shared" si="5"/>
        <v>16731.000676275271</v>
      </c>
      <c r="L37" s="1174"/>
      <c r="M37" s="67"/>
      <c r="O37" s="1175"/>
    </row>
    <row r="38" spans="1:15">
      <c r="A38" s="1162">
        <f t="shared" si="6"/>
        <v>115</v>
      </c>
      <c r="B38" s="1198" t="s">
        <v>2748</v>
      </c>
      <c r="C38" s="1177">
        <v>41340</v>
      </c>
      <c r="D38" s="1177">
        <v>52305</v>
      </c>
      <c r="E38" s="1178">
        <v>3.9E-2</v>
      </c>
      <c r="F38" s="511">
        <v>400000</v>
      </c>
      <c r="G38" s="1184">
        <f t="shared" si="3"/>
        <v>30</v>
      </c>
      <c r="H38" s="511">
        <v>6709.82</v>
      </c>
      <c r="I38" s="7">
        <f t="shared" si="2"/>
        <v>393290.18</v>
      </c>
      <c r="J38" s="1163">
        <f t="shared" si="4"/>
        <v>3.9964727283018524E-2</v>
      </c>
      <c r="K38" s="7">
        <f t="shared" si="5"/>
        <v>15985.89091320741</v>
      </c>
      <c r="L38" s="1174"/>
      <c r="M38" s="67"/>
      <c r="O38" s="1175"/>
    </row>
    <row r="39" spans="1:15">
      <c r="A39" s="1162">
        <f t="shared" si="6"/>
        <v>116</v>
      </c>
      <c r="B39" s="1198" t="s">
        <v>2749</v>
      </c>
      <c r="C39" s="1177">
        <v>41549</v>
      </c>
      <c r="D39" s="1177">
        <v>45200</v>
      </c>
      <c r="E39" s="1178">
        <v>3.5000000000000003E-2</v>
      </c>
      <c r="F39" s="511">
        <v>600000</v>
      </c>
      <c r="G39" s="1184">
        <f t="shared" si="3"/>
        <v>10</v>
      </c>
      <c r="H39" s="511">
        <v>6269.0330000000004</v>
      </c>
      <c r="I39" s="7">
        <f t="shared" si="2"/>
        <v>593730.96699999995</v>
      </c>
      <c r="J39" s="1163">
        <f t="shared" si="4"/>
        <v>3.6255001667021773E-2</v>
      </c>
      <c r="K39" s="7">
        <f t="shared" si="5"/>
        <v>21753.001000213062</v>
      </c>
      <c r="L39" s="1174"/>
      <c r="M39" s="67"/>
      <c r="O39" s="1175"/>
    </row>
    <row r="40" spans="1:15">
      <c r="A40" s="1162">
        <f t="shared" si="6"/>
        <v>117</v>
      </c>
      <c r="B40" s="1198" t="s">
        <v>2750</v>
      </c>
      <c r="C40" s="1177">
        <v>41549</v>
      </c>
      <c r="D40" s="1177">
        <v>52505</v>
      </c>
      <c r="E40" s="1178">
        <v>4.65E-2</v>
      </c>
      <c r="F40" s="511">
        <v>800000</v>
      </c>
      <c r="G40" s="1184">
        <f t="shared" si="3"/>
        <v>30</v>
      </c>
      <c r="H40" s="511">
        <v>13851.630999999999</v>
      </c>
      <c r="I40" s="7">
        <f t="shared" si="2"/>
        <v>786148.36899999995</v>
      </c>
      <c r="J40" s="1163">
        <f t="shared" si="4"/>
        <v>4.7589805461885716E-2</v>
      </c>
      <c r="K40" s="7">
        <f t="shared" si="5"/>
        <v>38071.844369508573</v>
      </c>
      <c r="L40" s="1174"/>
      <c r="M40" s="67"/>
      <c r="O40" s="1175"/>
    </row>
    <row r="41" spans="1:15">
      <c r="A41" s="1162">
        <f t="shared" si="6"/>
        <v>118</v>
      </c>
      <c r="B41" s="1198" t="s">
        <v>2751</v>
      </c>
      <c r="C41" s="1177">
        <v>41768</v>
      </c>
      <c r="D41" s="1177">
        <v>42856</v>
      </c>
      <c r="E41" s="1215" t="s">
        <v>1975</v>
      </c>
      <c r="F41" s="528" t="s">
        <v>1975</v>
      </c>
      <c r="G41" s="1184">
        <f t="shared" si="3"/>
        <v>3</v>
      </c>
      <c r="H41" s="528" t="s">
        <v>1975</v>
      </c>
      <c r="I41" s="395" t="s">
        <v>1975</v>
      </c>
      <c r="J41" s="1244" t="s">
        <v>1975</v>
      </c>
      <c r="K41" s="395" t="s">
        <v>1975</v>
      </c>
      <c r="L41" s="1174">
        <v>1</v>
      </c>
      <c r="M41" s="67"/>
      <c r="O41" s="1175"/>
    </row>
    <row r="42" spans="1:15">
      <c r="A42" s="1162">
        <f t="shared" si="6"/>
        <v>119</v>
      </c>
      <c r="B42" s="1198" t="s">
        <v>2752</v>
      </c>
      <c r="C42" s="1177">
        <v>41950</v>
      </c>
      <c r="D42" s="1177">
        <v>43040</v>
      </c>
      <c r="E42" s="1215" t="s">
        <v>1975</v>
      </c>
      <c r="F42" s="528" t="s">
        <v>1975</v>
      </c>
      <c r="G42" s="1184">
        <f t="shared" si="3"/>
        <v>3</v>
      </c>
      <c r="H42" s="528" t="s">
        <v>1975</v>
      </c>
      <c r="I42" s="395" t="s">
        <v>1975</v>
      </c>
      <c r="J42" s="1244" t="s">
        <v>1975</v>
      </c>
      <c r="K42" s="395" t="s">
        <v>1975</v>
      </c>
      <c r="L42" s="1174">
        <v>2</v>
      </c>
      <c r="M42" s="67"/>
      <c r="O42" s="1175"/>
    </row>
    <row r="43" spans="1:15">
      <c r="A43" s="1162">
        <f t="shared" si="6"/>
        <v>120</v>
      </c>
      <c r="B43" s="1198" t="s">
        <v>2753</v>
      </c>
      <c r="C43" s="1177">
        <v>42030</v>
      </c>
      <c r="D43" s="1177">
        <v>44593</v>
      </c>
      <c r="E43" s="1178">
        <v>1.8450000000000001E-2</v>
      </c>
      <c r="F43" s="511">
        <v>353751</v>
      </c>
      <c r="G43" s="1184">
        <f t="shared" si="3"/>
        <v>7</v>
      </c>
      <c r="H43" s="511">
        <v>4452.4679999999998</v>
      </c>
      <c r="I43" s="7">
        <f t="shared" si="2"/>
        <v>349298.53200000001</v>
      </c>
      <c r="J43" s="1163">
        <f t="shared" si="4"/>
        <v>2.0388558598000279E-2</v>
      </c>
      <c r="K43" s="7">
        <f t="shared" si="5"/>
        <v>7212.4729926011969</v>
      </c>
      <c r="L43" s="1174"/>
      <c r="M43" s="67"/>
      <c r="O43" s="1175"/>
    </row>
    <row r="44" spans="1:15">
      <c r="A44" s="1162">
        <f t="shared" si="6"/>
        <v>121</v>
      </c>
      <c r="B44" s="1198" t="s">
        <v>2754</v>
      </c>
      <c r="C44" s="1177">
        <v>42030</v>
      </c>
      <c r="D44" s="1177">
        <v>44593</v>
      </c>
      <c r="E44" s="1178">
        <v>2.4E-2</v>
      </c>
      <c r="F44" s="511">
        <v>325000</v>
      </c>
      <c r="G44" s="1184">
        <f t="shared" si="3"/>
        <v>7</v>
      </c>
      <c r="H44" s="511">
        <v>2667.538</v>
      </c>
      <c r="I44" s="7">
        <f t="shared" si="2"/>
        <v>322332.462</v>
      </c>
      <c r="J44" s="1163">
        <f t="shared" si="4"/>
        <v>2.5286756261738895E-2</v>
      </c>
      <c r="K44" s="7">
        <f t="shared" si="5"/>
        <v>8218.1957850651415</v>
      </c>
      <c r="L44" s="1174"/>
      <c r="M44" s="67"/>
      <c r="O44" s="1175"/>
    </row>
    <row r="45" spans="1:15">
      <c r="A45" s="1162">
        <f t="shared" si="6"/>
        <v>122</v>
      </c>
      <c r="B45" s="1198" t="s">
        <v>2755</v>
      </c>
      <c r="C45" s="1177">
        <v>42030</v>
      </c>
      <c r="D45" s="1177">
        <v>52994</v>
      </c>
      <c r="E45" s="1178">
        <v>3.5999999999999997E-2</v>
      </c>
      <c r="F45" s="511">
        <v>425000</v>
      </c>
      <c r="G45" s="1184">
        <f t="shared" si="3"/>
        <v>30</v>
      </c>
      <c r="H45" s="511">
        <v>6309.7849999999999</v>
      </c>
      <c r="I45" s="7">
        <f t="shared" si="2"/>
        <v>418690.21500000003</v>
      </c>
      <c r="J45" s="1163">
        <f t="shared" si="4"/>
        <v>3.6821662079311084E-2</v>
      </c>
      <c r="K45" s="7">
        <f t="shared" si="5"/>
        <v>15649.206383707211</v>
      </c>
      <c r="L45" s="1174"/>
      <c r="M45" s="67"/>
      <c r="O45" s="1175"/>
    </row>
    <row r="46" spans="1:15">
      <c r="A46" s="1162">
        <f t="shared" si="6"/>
        <v>123</v>
      </c>
      <c r="B46" s="1198" t="s">
        <v>2756</v>
      </c>
      <c r="C46" s="1177">
        <v>42818</v>
      </c>
      <c r="D46" s="1177">
        <v>53783</v>
      </c>
      <c r="E46" s="1178">
        <v>0.04</v>
      </c>
      <c r="F46" s="511">
        <v>1000000</v>
      </c>
      <c r="G46" s="1184">
        <f t="shared" si="3"/>
        <v>30</v>
      </c>
      <c r="H46" s="511">
        <v>-10735.913</v>
      </c>
      <c r="I46" s="7">
        <f t="shared" si="2"/>
        <v>1010735.9129999999</v>
      </c>
      <c r="J46" s="1163">
        <f t="shared" si="4"/>
        <v>3.9386875560716801E-2</v>
      </c>
      <c r="K46" s="7">
        <f t="shared" si="5"/>
        <v>39386.875560716799</v>
      </c>
      <c r="L46" s="1174"/>
      <c r="M46" s="67"/>
      <c r="O46" s="1175"/>
    </row>
    <row r="47" spans="1:15" s="477" customFormat="1">
      <c r="A47" s="1162">
        <f t="shared" si="6"/>
        <v>124</v>
      </c>
      <c r="B47" s="1198" t="s">
        <v>2636</v>
      </c>
      <c r="C47" s="1177">
        <v>41369</v>
      </c>
      <c r="D47" s="1177">
        <v>46844</v>
      </c>
      <c r="E47" s="1178">
        <v>1.375E-2</v>
      </c>
      <c r="F47" s="511">
        <v>157500</v>
      </c>
      <c r="G47" s="1184">
        <f t="shared" si="3"/>
        <v>15</v>
      </c>
      <c r="H47" s="511">
        <v>977.48599999999999</v>
      </c>
      <c r="I47" s="484">
        <f t="shared" si="2"/>
        <v>156522.514</v>
      </c>
      <c r="J47" s="1179">
        <f t="shared" si="4"/>
        <v>1.4210877067336408E-2</v>
      </c>
      <c r="K47" s="484">
        <f t="shared" si="5"/>
        <v>2238.2131381054842</v>
      </c>
      <c r="L47" s="1099"/>
      <c r="M47" s="403"/>
      <c r="O47" s="1175"/>
    </row>
    <row r="48" spans="1:15" s="477" customFormat="1">
      <c r="A48" s="1162">
        <f t="shared" si="6"/>
        <v>125</v>
      </c>
      <c r="B48" s="1198" t="s">
        <v>2637</v>
      </c>
      <c r="C48" s="1177">
        <v>41369</v>
      </c>
      <c r="D48" s="1177">
        <v>46844</v>
      </c>
      <c r="E48" s="1178">
        <v>1.9E-2</v>
      </c>
      <c r="F48" s="511">
        <v>38500</v>
      </c>
      <c r="G48" s="1184">
        <f t="shared" si="3"/>
        <v>15</v>
      </c>
      <c r="H48" s="511">
        <v>325.161</v>
      </c>
      <c r="I48" s="484">
        <f t="shared" si="2"/>
        <v>38174.839</v>
      </c>
      <c r="J48" s="1179">
        <f t="shared" si="4"/>
        <v>1.9652854512078773E-2</v>
      </c>
      <c r="K48" s="484">
        <f t="shared" si="5"/>
        <v>756.6348987150327</v>
      </c>
      <c r="L48" s="1099"/>
      <c r="M48" s="403"/>
      <c r="O48" s="1175"/>
    </row>
    <row r="49" spans="1:15">
      <c r="A49" s="1162">
        <f t="shared" si="6"/>
        <v>126</v>
      </c>
      <c r="B49" s="1198" t="s">
        <v>2821</v>
      </c>
      <c r="C49" s="1177">
        <v>38819</v>
      </c>
      <c r="D49" s="1177">
        <v>48884</v>
      </c>
      <c r="E49" s="1178">
        <v>2.6249999999999999E-2</v>
      </c>
      <c r="F49" s="511">
        <v>135000</v>
      </c>
      <c r="G49" s="1184">
        <f t="shared" si="3"/>
        <v>28</v>
      </c>
      <c r="H49" s="511">
        <v>2490.0329999999999</v>
      </c>
      <c r="I49" s="484">
        <f t="shared" ref="I49" si="7">F49-H49</f>
        <v>132509.967</v>
      </c>
      <c r="J49" s="1179">
        <f t="shared" ref="J49" si="8">(RATE(G49*2,-(E49*F49)/2,I49,-F49))*2</f>
        <v>2.7195330333813161E-2</v>
      </c>
      <c r="K49" s="484">
        <f t="shared" ref="K49" si="9">F49*J49</f>
        <v>3671.3695950647766</v>
      </c>
      <c r="L49" s="1174"/>
      <c r="M49" s="67"/>
      <c r="O49" s="1175"/>
    </row>
    <row r="50" spans="1:15">
      <c r="A50" s="1162">
        <f t="shared" si="6"/>
        <v>127</v>
      </c>
      <c r="B50" s="1198" t="s">
        <v>2757</v>
      </c>
      <c r="C50" s="1177">
        <v>42095</v>
      </c>
      <c r="D50" s="1177">
        <v>48000</v>
      </c>
      <c r="E50" s="1178">
        <v>1.8749999999999999E-2</v>
      </c>
      <c r="F50" s="511">
        <v>75000</v>
      </c>
      <c r="G50" s="1184">
        <f t="shared" si="3"/>
        <v>16</v>
      </c>
      <c r="H50" s="511">
        <v>873.79499999999996</v>
      </c>
      <c r="I50" s="7">
        <f t="shared" si="2"/>
        <v>74126.205000000002</v>
      </c>
      <c r="J50" s="1163">
        <f t="shared" si="4"/>
        <v>1.9601841673308321E-2</v>
      </c>
      <c r="K50" s="7">
        <f t="shared" si="5"/>
        <v>1470.1381254981241</v>
      </c>
      <c r="L50" s="1174"/>
      <c r="M50" s="67"/>
      <c r="O50" s="1175"/>
    </row>
    <row r="51" spans="1:15" ht="13.2" customHeight="1">
      <c r="A51" s="1162">
        <f t="shared" si="6"/>
        <v>128</v>
      </c>
      <c r="B51" s="1198" t="s">
        <v>2645</v>
      </c>
      <c r="C51" s="1177">
        <v>42095</v>
      </c>
      <c r="D51" s="1177">
        <v>47209</v>
      </c>
      <c r="E51" s="1178">
        <v>1.8749999999999999E-2</v>
      </c>
      <c r="F51" s="511">
        <v>55540</v>
      </c>
      <c r="G51" s="1184">
        <f t="shared" si="3"/>
        <v>14</v>
      </c>
      <c r="H51" s="511">
        <v>994.726</v>
      </c>
      <c r="I51" s="7">
        <f t="shared" si="2"/>
        <v>54545.273999999998</v>
      </c>
      <c r="J51" s="1163">
        <f t="shared" si="4"/>
        <v>2.0225361565881093E-2</v>
      </c>
      <c r="K51" s="7">
        <f t="shared" si="5"/>
        <v>1123.3165813690359</v>
      </c>
      <c r="L51" s="1174"/>
      <c r="M51" s="67"/>
      <c r="O51" s="1175"/>
    </row>
    <row r="52" spans="1:15">
      <c r="A52" s="1162">
        <f t="shared" si="6"/>
        <v>129</v>
      </c>
      <c r="B52" s="1198" t="s">
        <v>2758</v>
      </c>
      <c r="C52" s="1177">
        <v>38047</v>
      </c>
      <c r="D52" s="1177">
        <v>49461</v>
      </c>
      <c r="E52" s="1215">
        <v>0.05</v>
      </c>
      <c r="F52" s="511">
        <v>144400</v>
      </c>
      <c r="G52" s="1184">
        <f t="shared" si="3"/>
        <v>31</v>
      </c>
      <c r="H52" s="511">
        <v>1300</v>
      </c>
      <c r="I52" s="7">
        <f t="shared" si="2"/>
        <v>143100</v>
      </c>
      <c r="J52" s="1163">
        <f t="shared" si="4"/>
        <v>5.0578275350677437E-2</v>
      </c>
      <c r="K52" s="7">
        <f t="shared" si="5"/>
        <v>7303.5029606378221</v>
      </c>
      <c r="L52" s="1174"/>
      <c r="M52" s="67"/>
      <c r="O52" s="1175"/>
    </row>
    <row r="53" spans="1:15">
      <c r="A53" s="1162">
        <f t="shared" si="6"/>
        <v>130</v>
      </c>
      <c r="B53" s="1198" t="s">
        <v>2634</v>
      </c>
      <c r="C53" s="1177">
        <v>42095</v>
      </c>
      <c r="D53" s="1177">
        <v>47209</v>
      </c>
      <c r="E53" s="1215">
        <v>1.8749999999999999E-2</v>
      </c>
      <c r="F53" s="528">
        <v>203460</v>
      </c>
      <c r="G53" s="1184">
        <f t="shared" si="3"/>
        <v>14</v>
      </c>
      <c r="H53" s="511">
        <v>2271.4520000000002</v>
      </c>
      <c r="I53" s="7">
        <f t="shared" si="2"/>
        <v>201188.54800000001</v>
      </c>
      <c r="J53" s="1163">
        <f t="shared" si="4"/>
        <v>1.9666135550513469E-2</v>
      </c>
      <c r="K53" s="7">
        <f t="shared" si="5"/>
        <v>4001.2719391074706</v>
      </c>
      <c r="L53" s="1174"/>
      <c r="M53" s="67"/>
      <c r="O53" s="1175"/>
    </row>
    <row r="54" spans="1:15">
      <c r="A54" s="1162">
        <f t="shared" si="6"/>
        <v>131</v>
      </c>
      <c r="B54" s="1198" t="s">
        <v>2644</v>
      </c>
      <c r="C54" s="1177">
        <v>40442</v>
      </c>
      <c r="D54" s="1177">
        <v>47362</v>
      </c>
      <c r="E54" s="1178">
        <v>4.4999999999999998E-2</v>
      </c>
      <c r="F54" s="511">
        <v>100000</v>
      </c>
      <c r="G54" s="1184">
        <f t="shared" si="3"/>
        <v>19</v>
      </c>
      <c r="H54" s="511">
        <v>2000</v>
      </c>
      <c r="I54" s="484">
        <f t="shared" si="2"/>
        <v>98000</v>
      </c>
      <c r="J54" s="1179">
        <f t="shared" si="4"/>
        <v>4.659794557629398E-2</v>
      </c>
      <c r="K54" s="484">
        <f t="shared" si="5"/>
        <v>4659.7945576293978</v>
      </c>
      <c r="L54" s="1099"/>
      <c r="M54" s="67"/>
      <c r="O54" s="1175"/>
    </row>
    <row r="55" spans="1:15">
      <c r="A55" s="1162">
        <f t="shared" si="6"/>
        <v>132</v>
      </c>
      <c r="B55" s="1198" t="s">
        <v>2646</v>
      </c>
      <c r="C55" s="1177">
        <v>40787</v>
      </c>
      <c r="D55" s="1177">
        <v>48092</v>
      </c>
      <c r="E55" s="1178">
        <v>7.9600000000000001E-3</v>
      </c>
      <c r="F55" s="511">
        <v>30000</v>
      </c>
      <c r="G55" s="1184">
        <f t="shared" si="3"/>
        <v>20</v>
      </c>
      <c r="H55" s="511">
        <v>350</v>
      </c>
      <c r="I55" s="484">
        <f t="shared" ref="I55" si="10">F55-H55</f>
        <v>29650</v>
      </c>
      <c r="J55" s="1179">
        <f t="shared" ref="J55" si="11">(RATE(G55*2,-(E55*F55)/2,I55,-F55))*2</f>
        <v>8.5961633773103761E-3</v>
      </c>
      <c r="K55" s="484">
        <f t="shared" ref="K55" si="12">F55*J55</f>
        <v>257.88490131931127</v>
      </c>
      <c r="L55" s="1099">
        <v>3</v>
      </c>
      <c r="M55" s="67"/>
      <c r="O55" s="1175"/>
    </row>
    <row r="56" spans="1:15">
      <c r="A56" s="1162">
        <f>A55+1</f>
        <v>133</v>
      </c>
      <c r="B56" s="1198" t="s">
        <v>2646</v>
      </c>
      <c r="C56" s="1177">
        <v>40787</v>
      </c>
      <c r="D56" s="1177">
        <v>48092</v>
      </c>
      <c r="E56" s="1215" t="s">
        <v>1975</v>
      </c>
      <c r="F56" s="528" t="s">
        <v>1975</v>
      </c>
      <c r="G56" s="1184">
        <f t="shared" si="3"/>
        <v>20</v>
      </c>
      <c r="H56" s="528" t="s">
        <v>1975</v>
      </c>
      <c r="I56" s="1227" t="s">
        <v>1975</v>
      </c>
      <c r="J56" s="1245" t="s">
        <v>1975</v>
      </c>
      <c r="K56" s="1227" t="s">
        <v>1975</v>
      </c>
      <c r="L56" s="1099">
        <v>4</v>
      </c>
      <c r="M56" s="67"/>
      <c r="O56" s="1175"/>
    </row>
    <row r="57" spans="1:15">
      <c r="A57" s="1162">
        <f t="shared" si="6"/>
        <v>134</v>
      </c>
      <c r="B57" s="1198" t="s">
        <v>2647</v>
      </c>
      <c r="C57" s="1177">
        <v>36251</v>
      </c>
      <c r="D57" s="1177">
        <v>47209</v>
      </c>
      <c r="E57" s="1178">
        <v>6.6500000000000004E-2</v>
      </c>
      <c r="F57" s="511">
        <v>300000</v>
      </c>
      <c r="G57" s="1184">
        <f t="shared" si="3"/>
        <v>30</v>
      </c>
      <c r="H57" s="511">
        <v>4827</v>
      </c>
      <c r="I57" s="484">
        <f t="shared" ref="I57:I58" si="13">F57-H57</f>
        <v>295173</v>
      </c>
      <c r="J57" s="1179">
        <f t="shared" ref="J57:J58" si="14">(RATE(G57*2,-(E57*F57)/2,I57,-F57))*2</f>
        <v>6.7761090311791686E-2</v>
      </c>
      <c r="K57" s="484">
        <f t="shared" ref="K57:K58" si="15">F57*J57</f>
        <v>20328.327093537504</v>
      </c>
      <c r="L57" s="1099"/>
      <c r="M57" s="67"/>
      <c r="O57" s="1175"/>
    </row>
    <row r="58" spans="1:15">
      <c r="A58" s="1162">
        <f>A57+1</f>
        <v>135</v>
      </c>
      <c r="B58" s="1198" t="s">
        <v>2648</v>
      </c>
      <c r="C58" s="1177">
        <v>37865</v>
      </c>
      <c r="D58" s="1177">
        <v>56128</v>
      </c>
      <c r="E58" s="1215">
        <v>5.0599999999999999E-2</v>
      </c>
      <c r="F58" s="511">
        <v>6557.6332599999996</v>
      </c>
      <c r="G58" s="1184">
        <f t="shared" si="3"/>
        <v>50</v>
      </c>
      <c r="H58" s="511">
        <v>0</v>
      </c>
      <c r="I58" s="484">
        <f t="shared" si="13"/>
        <v>6557.6332599999996</v>
      </c>
      <c r="J58" s="1179">
        <f t="shared" si="14"/>
        <v>5.0600000000034361E-2</v>
      </c>
      <c r="K58" s="484">
        <f t="shared" si="15"/>
        <v>331.81624295622532</v>
      </c>
      <c r="L58" s="1099"/>
      <c r="M58" s="67"/>
      <c r="O58" s="1175"/>
    </row>
    <row r="59" spans="1:15">
      <c r="A59" s="1162">
        <f>A58+1</f>
        <v>136</v>
      </c>
      <c r="B59" s="1198"/>
      <c r="C59" s="1177"/>
      <c r="D59" s="1177"/>
      <c r="E59" s="391"/>
      <c r="F59" s="391"/>
      <c r="G59" s="1227"/>
      <c r="H59" s="1227"/>
      <c r="I59" s="1227"/>
      <c r="J59" s="1245"/>
      <c r="K59" s="1227"/>
      <c r="L59" s="1099"/>
      <c r="M59" s="14"/>
    </row>
    <row r="60" spans="1:15">
      <c r="A60" s="1162">
        <f>A59+1</f>
        <v>137</v>
      </c>
      <c r="B60" s="1246" t="s">
        <v>510</v>
      </c>
      <c r="C60" s="1177"/>
      <c r="D60" s="1177"/>
      <c r="E60" s="391"/>
      <c r="F60" s="391"/>
      <c r="G60" s="1227"/>
      <c r="H60" s="1227"/>
      <c r="I60" s="1227"/>
      <c r="J60" s="1245"/>
      <c r="K60" s="1227"/>
      <c r="L60" s="1099"/>
      <c r="M60" s="14"/>
    </row>
    <row r="61" spans="1:15">
      <c r="A61" s="1162"/>
      <c r="L61" s="1180"/>
    </row>
    <row r="62" spans="1:15">
      <c r="A62" s="1162"/>
      <c r="B62" s="44" t="s">
        <v>2524</v>
      </c>
      <c r="C62" s="14"/>
      <c r="D62" s="14"/>
      <c r="E62" s="14"/>
      <c r="F62" s="14"/>
      <c r="L62" s="1180"/>
    </row>
    <row r="63" spans="1:15">
      <c r="A63" s="1162"/>
      <c r="B63" s="44"/>
      <c r="C63" s="14"/>
      <c r="D63" s="14"/>
      <c r="E63" s="14"/>
      <c r="F63" s="14"/>
      <c r="L63" s="1180"/>
    </row>
    <row r="64" spans="1:15">
      <c r="A64" s="1162"/>
      <c r="B64" s="865" t="s">
        <v>2525</v>
      </c>
      <c r="C64" s="865" t="s">
        <v>2526</v>
      </c>
      <c r="D64" s="14"/>
      <c r="E64" s="14"/>
      <c r="F64" s="14"/>
      <c r="L64" s="1180"/>
    </row>
    <row r="65" spans="1:13">
      <c r="A65" s="1162"/>
      <c r="B65" s="691">
        <v>1</v>
      </c>
      <c r="C65" s="1005" t="s">
        <v>2759</v>
      </c>
      <c r="D65" s="1005"/>
      <c r="E65" s="1005"/>
      <c r="F65" s="1005"/>
      <c r="G65" s="1005"/>
      <c r="H65" s="1005"/>
      <c r="I65" s="97"/>
      <c r="J65" s="97"/>
      <c r="K65" s="97"/>
      <c r="L65" s="1181"/>
    </row>
    <row r="66" spans="1:13">
      <c r="A66" s="1162"/>
      <c r="B66" s="691">
        <v>2</v>
      </c>
      <c r="C66" s="1005" t="s">
        <v>2760</v>
      </c>
      <c r="D66" s="1005"/>
      <c r="E66" s="1005"/>
      <c r="F66" s="1005"/>
      <c r="G66" s="1005"/>
      <c r="H66" s="1005"/>
      <c r="I66" s="97"/>
      <c r="J66" s="97"/>
      <c r="K66" s="97"/>
      <c r="L66" s="1181"/>
    </row>
    <row r="67" spans="1:13">
      <c r="A67" s="1162"/>
      <c r="B67" s="691">
        <v>3</v>
      </c>
      <c r="C67" s="1005" t="s">
        <v>2761</v>
      </c>
      <c r="D67" s="1005"/>
      <c r="E67" s="1005"/>
      <c r="F67" s="1005"/>
      <c r="G67" s="1005"/>
      <c r="H67" s="1005"/>
      <c r="I67" s="97"/>
      <c r="J67" s="97"/>
      <c r="K67" s="97"/>
      <c r="L67" s="1181"/>
    </row>
    <row r="68" spans="1:13">
      <c r="A68" s="1162"/>
      <c r="B68" s="691">
        <v>4</v>
      </c>
      <c r="C68" s="1005" t="s">
        <v>2762</v>
      </c>
      <c r="D68" s="1005"/>
      <c r="E68" s="1005"/>
      <c r="F68" s="1005"/>
      <c r="G68" s="1005"/>
      <c r="H68" s="1005"/>
      <c r="I68" s="97"/>
      <c r="J68" s="97"/>
      <c r="K68" s="97"/>
      <c r="L68" s="1181"/>
    </row>
    <row r="69" spans="1:13">
      <c r="A69" s="1162"/>
      <c r="B69" s="691"/>
      <c r="C69" s="691"/>
      <c r="D69" s="1005"/>
      <c r="E69" s="1005"/>
      <c r="F69" s="1005"/>
      <c r="G69" s="1005"/>
      <c r="H69" s="1005"/>
      <c r="I69" s="97"/>
      <c r="J69" s="97"/>
      <c r="K69" s="97"/>
      <c r="L69" s="1181"/>
    </row>
    <row r="70" spans="1:13">
      <c r="A70" s="1162"/>
      <c r="B70" s="691"/>
      <c r="C70" s="691"/>
      <c r="D70" s="1005"/>
      <c r="E70" s="1005"/>
      <c r="F70" s="1005"/>
      <c r="G70" s="1005"/>
      <c r="H70" s="1005"/>
      <c r="I70" s="97"/>
      <c r="J70" s="97"/>
      <c r="K70" s="97"/>
      <c r="L70" s="1181"/>
    </row>
    <row r="71" spans="1:13">
      <c r="A71" s="1162"/>
      <c r="B71" s="691"/>
      <c r="C71" s="1005"/>
      <c r="D71" s="1005"/>
      <c r="E71" s="1005"/>
      <c r="F71" s="1005"/>
      <c r="G71" s="1005"/>
      <c r="H71" s="1005"/>
      <c r="I71" s="97"/>
      <c r="J71" s="97"/>
      <c r="K71" s="97"/>
      <c r="L71" s="1181"/>
    </row>
    <row r="72" spans="1:13">
      <c r="A72" s="1162"/>
      <c r="B72" s="151"/>
      <c r="C72" s="1005"/>
      <c r="D72" s="97"/>
      <c r="E72" s="97"/>
      <c r="F72" s="97"/>
      <c r="G72" s="97"/>
      <c r="H72" s="97"/>
      <c r="I72" s="97"/>
      <c r="J72" s="97"/>
      <c r="K72" s="97"/>
      <c r="L72" s="1181"/>
    </row>
    <row r="73" spans="1:13">
      <c r="A73" s="1162"/>
      <c r="B73" s="1246" t="s">
        <v>510</v>
      </c>
      <c r="C73" s="1005"/>
      <c r="D73" s="97"/>
      <c r="E73" s="97"/>
      <c r="F73" s="97"/>
      <c r="G73" s="97"/>
      <c r="H73" s="97"/>
      <c r="I73" s="97"/>
      <c r="J73" s="97"/>
      <c r="K73" s="97"/>
      <c r="L73" s="1181"/>
    </row>
    <row r="74" spans="1:13">
      <c r="A74" s="1162"/>
      <c r="L74" s="1180"/>
    </row>
    <row r="75" spans="1:13">
      <c r="A75" s="1162">
        <v>200</v>
      </c>
      <c r="E75" s="68" t="s">
        <v>2527</v>
      </c>
      <c r="F75" s="7">
        <f>SUM(F$24:F$59)*1000</f>
        <v>11024708633.26</v>
      </c>
      <c r="J75" s="68" t="s">
        <v>2528</v>
      </c>
      <c r="K75" s="7">
        <f>SUM(K$24:K$59)*1000</f>
        <v>508780231.71596831</v>
      </c>
    </row>
    <row r="76" spans="1:13">
      <c r="A76" s="1162"/>
      <c r="F76" s="63"/>
    </row>
    <row r="77" spans="1:13">
      <c r="A77" s="1162"/>
      <c r="B77" s="1" t="s">
        <v>2529</v>
      </c>
    </row>
    <row r="78" spans="1:13">
      <c r="A78" s="1162"/>
      <c r="B78" s="1"/>
    </row>
    <row r="79" spans="1:13">
      <c r="A79" s="1162"/>
      <c r="B79" s="84" t="s">
        <v>360</v>
      </c>
      <c r="C79" s="84" t="s">
        <v>344</v>
      </c>
      <c r="D79" s="84" t="s">
        <v>345</v>
      </c>
      <c r="E79" s="84" t="s">
        <v>346</v>
      </c>
      <c r="F79" s="84" t="s">
        <v>347</v>
      </c>
      <c r="M79" s="1182"/>
    </row>
    <row r="80" spans="1:13" s="14" customFormat="1" ht="13.8" thickBot="1">
      <c r="A80" s="1162"/>
      <c r="B80" s="479"/>
      <c r="C80" s="479"/>
      <c r="D80" s="479"/>
      <c r="E80" s="479"/>
      <c r="F80" s="491"/>
      <c r="G80" s="999"/>
      <c r="H80" s="999"/>
      <c r="I80" s="999"/>
      <c r="J80" s="999"/>
      <c r="K80" s="999"/>
      <c r="L80" s="999"/>
      <c r="M80" s="889"/>
    </row>
    <row r="81" spans="1:13" s="14" customFormat="1" ht="27" thickBot="1">
      <c r="A81" s="1162"/>
      <c r="B81" s="1164" t="s">
        <v>2513</v>
      </c>
      <c r="C81" s="1165" t="s">
        <v>2514</v>
      </c>
      <c r="D81" s="1165" t="s">
        <v>2515</v>
      </c>
      <c r="E81" s="1166" t="s">
        <v>2516</v>
      </c>
      <c r="F81" s="1167" t="s">
        <v>2530</v>
      </c>
      <c r="G81" s="1374" t="s">
        <v>2578</v>
      </c>
      <c r="H81" s="1375"/>
      <c r="I81" s="999"/>
      <c r="J81" s="999"/>
      <c r="K81" s="999"/>
      <c r="L81" s="999"/>
      <c r="M81" s="889"/>
    </row>
    <row r="82" spans="1:13" s="14" customFormat="1">
      <c r="A82" s="1162">
        <v>201</v>
      </c>
      <c r="B82" s="1176" t="s">
        <v>2646</v>
      </c>
      <c r="C82" s="1177">
        <v>40787</v>
      </c>
      <c r="D82" s="1177">
        <v>48092</v>
      </c>
      <c r="E82" s="1178">
        <v>4.0724999999999997E-3</v>
      </c>
      <c r="F82" s="511">
        <v>-30000</v>
      </c>
      <c r="G82" s="511"/>
      <c r="H82" s="511"/>
      <c r="I82" s="999"/>
      <c r="J82" s="999"/>
      <c r="K82" s="999"/>
      <c r="L82" s="999"/>
      <c r="M82" s="889"/>
    </row>
    <row r="83" spans="1:13" s="14" customFormat="1">
      <c r="A83" s="1162">
        <f t="shared" ref="A83:A86" si="16">A82+1</f>
        <v>202</v>
      </c>
      <c r="B83" s="1176"/>
      <c r="C83" s="1177"/>
      <c r="D83" s="1177"/>
      <c r="E83" s="1178"/>
      <c r="F83" s="511"/>
      <c r="G83" s="511"/>
      <c r="H83" s="511"/>
      <c r="I83" s="999"/>
      <c r="J83" s="999"/>
      <c r="K83" s="999"/>
      <c r="L83" s="999"/>
      <c r="M83" s="889"/>
    </row>
    <row r="84" spans="1:13" s="14" customFormat="1">
      <c r="A84" s="1162">
        <f t="shared" si="16"/>
        <v>203</v>
      </c>
      <c r="B84" s="1176"/>
      <c r="C84" s="1177"/>
      <c r="D84" s="1177"/>
      <c r="E84" s="1178"/>
      <c r="F84" s="511"/>
      <c r="G84" s="511"/>
      <c r="H84" s="511"/>
      <c r="I84" s="999"/>
      <c r="J84" s="999"/>
      <c r="K84" s="999"/>
      <c r="L84" s="999"/>
      <c r="M84" s="889"/>
    </row>
    <row r="85" spans="1:13" s="14" customFormat="1">
      <c r="A85" s="1162">
        <f t="shared" si="16"/>
        <v>204</v>
      </c>
      <c r="B85" s="1176" t="s">
        <v>510</v>
      </c>
      <c r="C85" s="1177"/>
      <c r="D85" s="1177"/>
      <c r="E85" s="1178"/>
      <c r="F85" s="511"/>
      <c r="G85" s="511"/>
      <c r="H85" s="511"/>
      <c r="I85" s="999"/>
      <c r="J85" s="999"/>
      <c r="K85" s="999"/>
      <c r="L85" s="999"/>
      <c r="M85" s="889"/>
    </row>
    <row r="86" spans="1:13" s="14" customFormat="1">
      <c r="A86" s="1162">
        <f t="shared" si="16"/>
        <v>205</v>
      </c>
      <c r="B86" s="479"/>
      <c r="C86" s="479"/>
      <c r="D86" s="479"/>
      <c r="E86" s="68" t="s">
        <v>2531</v>
      </c>
      <c r="F86" s="484">
        <f>+SUM(F82:F85)*1000</f>
        <v>-30000000</v>
      </c>
      <c r="G86" s="479"/>
      <c r="H86" s="479"/>
      <c r="I86" s="479"/>
      <c r="J86" s="479"/>
      <c r="K86" s="479"/>
      <c r="L86" s="479"/>
      <c r="M86" s="889"/>
    </row>
    <row r="87" spans="1:13" s="14" customFormat="1">
      <c r="A87" s="1162"/>
      <c r="B87" s="479"/>
      <c r="C87" s="479"/>
      <c r="D87" s="479"/>
      <c r="E87" s="68"/>
      <c r="F87" s="484"/>
      <c r="G87" s="479"/>
      <c r="H87" s="479"/>
      <c r="I87" s="479"/>
      <c r="J87" s="479"/>
      <c r="K87" s="479"/>
      <c r="L87" s="479"/>
      <c r="M87" s="889"/>
    </row>
    <row r="88" spans="1:13" s="14" customFormat="1">
      <c r="A88" s="1162"/>
      <c r="B88" s="44" t="s">
        <v>2532</v>
      </c>
      <c r="G88" s="999"/>
      <c r="H88" s="999"/>
      <c r="I88" s="999"/>
      <c r="J88" s="999"/>
      <c r="K88" s="999"/>
      <c r="L88" s="1180"/>
      <c r="M88" s="889"/>
    </row>
    <row r="89" spans="1:13" s="14" customFormat="1">
      <c r="A89" s="1162"/>
      <c r="B89" s="44"/>
      <c r="G89" s="999"/>
      <c r="H89" s="999"/>
      <c r="I89" s="999"/>
      <c r="J89" s="999"/>
      <c r="K89" s="999"/>
      <c r="L89" s="1180"/>
      <c r="M89" s="889"/>
    </row>
    <row r="90" spans="1:13" s="14" customFormat="1">
      <c r="A90" s="1162"/>
      <c r="B90" s="865" t="s">
        <v>2525</v>
      </c>
      <c r="C90" s="865" t="s">
        <v>2526</v>
      </c>
      <c r="G90" s="999"/>
      <c r="H90" s="999"/>
      <c r="I90" s="999"/>
      <c r="J90" s="999"/>
      <c r="K90" s="999"/>
      <c r="L90" s="1180"/>
      <c r="M90" s="889"/>
    </row>
    <row r="91" spans="1:13" s="14" customFormat="1">
      <c r="A91" s="1162"/>
      <c r="B91" s="151"/>
      <c r="C91" s="511"/>
      <c r="D91" s="97"/>
      <c r="E91" s="97"/>
      <c r="F91" s="97"/>
      <c r="G91" s="97"/>
      <c r="H91" s="97"/>
      <c r="I91" s="97"/>
      <c r="J91" s="97"/>
      <c r="K91" s="97"/>
      <c r="L91" s="1181"/>
      <c r="M91" s="889"/>
    </row>
    <row r="92" spans="1:13" s="14" customFormat="1">
      <c r="A92" s="1162"/>
      <c r="B92" s="151"/>
      <c r="C92" s="1005"/>
      <c r="D92" s="97"/>
      <c r="E92" s="97"/>
      <c r="F92" s="97"/>
      <c r="G92" s="97"/>
      <c r="H92" s="97"/>
      <c r="I92" s="97"/>
      <c r="J92" s="97"/>
      <c r="K92" s="97"/>
      <c r="L92" s="1181"/>
      <c r="M92" s="889"/>
    </row>
    <row r="93" spans="1:13" s="14" customFormat="1">
      <c r="A93" s="1162"/>
      <c r="B93" s="151"/>
      <c r="C93" s="1005"/>
      <c r="D93" s="97"/>
      <c r="E93" s="97"/>
      <c r="F93" s="97"/>
      <c r="G93" s="97"/>
      <c r="H93" s="97"/>
      <c r="I93" s="97"/>
      <c r="J93" s="97"/>
      <c r="K93" s="97"/>
      <c r="L93" s="1181"/>
      <c r="M93" s="889"/>
    </row>
    <row r="94" spans="1:13" s="14" customFormat="1">
      <c r="A94" s="1162"/>
      <c r="F94" s="63"/>
    </row>
    <row r="95" spans="1:13">
      <c r="B95" s="1" t="s">
        <v>232</v>
      </c>
    </row>
    <row r="96" spans="1:13">
      <c r="B96" s="477" t="s">
        <v>2818</v>
      </c>
    </row>
    <row r="97" spans="2:2">
      <c r="B97" s="477" t="s">
        <v>2820</v>
      </c>
    </row>
    <row r="98" spans="2:2">
      <c r="B98" s="477" t="s">
        <v>2819</v>
      </c>
    </row>
    <row r="99" spans="2:2">
      <c r="B99" s="479" t="s">
        <v>2844</v>
      </c>
    </row>
    <row r="100" spans="2:2">
      <c r="B100" s="479"/>
    </row>
  </sheetData>
  <mergeCells count="1">
    <mergeCell ref="G81:H81"/>
  </mergeCells>
  <pageMargins left="0.7" right="0.7" top="0.75" bottom="0.75" header="0.3" footer="0.3"/>
  <pageSetup scale="60" orientation="landscape" r:id="rId1"/>
  <headerFooter>
    <oddHeader>&amp;CSchedule 5 ROR-3
Return and Capitalization&amp;RExhibit SCE-4
TO2019A Formula Rate Spreadsheet</oddHeader>
    <oddFooter>&amp;R5-ROR-3</oddFooter>
  </headerFooter>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zoomScale="130" zoomScaleNormal="130" workbookViewId="0">
      <selection activeCell="I20" sqref="I20"/>
    </sheetView>
  </sheetViews>
  <sheetFormatPr defaultColWidth="8.88671875" defaultRowHeight="13.2"/>
  <cols>
    <col min="1" max="1" width="4.6640625" style="999" customWidth="1"/>
    <col min="2" max="2" width="28.88671875" style="999" customWidth="1"/>
    <col min="3" max="3" width="12.6640625" style="999" customWidth="1"/>
    <col min="4" max="4" width="13.6640625" style="999" customWidth="1"/>
    <col min="5" max="5" width="14.6640625" style="999" customWidth="1"/>
    <col min="6" max="6" width="12.6640625" style="999" customWidth="1"/>
    <col min="7" max="8" width="13.44140625" style="999" customWidth="1"/>
    <col min="9" max="9" width="15.6640625" style="999" customWidth="1"/>
    <col min="10" max="10" width="14.109375" style="999" customWidth="1"/>
    <col min="11" max="12" width="12.6640625" style="999" customWidth="1"/>
    <col min="13" max="16384" width="8.88671875" style="999"/>
  </cols>
  <sheetData>
    <row r="1" spans="1:7">
      <c r="A1" s="1" t="s">
        <v>43</v>
      </c>
    </row>
    <row r="2" spans="1:7">
      <c r="B2" s="475" t="s">
        <v>1736</v>
      </c>
      <c r="C2" s="151">
        <v>2017</v>
      </c>
    </row>
    <row r="4" spans="1:7">
      <c r="B4" s="1" t="s">
        <v>2533</v>
      </c>
    </row>
    <row r="5" spans="1:7">
      <c r="A5" s="51" t="s">
        <v>331</v>
      </c>
      <c r="E5" s="3" t="s">
        <v>175</v>
      </c>
      <c r="F5" s="3" t="s">
        <v>205</v>
      </c>
    </row>
    <row r="6" spans="1:7">
      <c r="A6" s="571">
        <v>1</v>
      </c>
      <c r="D6" s="475" t="s">
        <v>2534</v>
      </c>
      <c r="E6" s="7">
        <f>J33</f>
        <v>126019184.07969923</v>
      </c>
      <c r="F6" s="16" t="str">
        <f>"Line "&amp;A33&amp;", Col 9"</f>
        <v>Line 112, Col 9</v>
      </c>
      <c r="G6" s="14"/>
    </row>
    <row r="7" spans="1:7">
      <c r="A7" s="571">
        <f>A6+1</f>
        <v>2</v>
      </c>
      <c r="D7" s="475" t="s">
        <v>2535</v>
      </c>
      <c r="E7" s="91">
        <f>G70</f>
        <v>1027661.2402995675</v>
      </c>
      <c r="F7" s="16" t="str">
        <f>"Line "&amp;A70&amp;", Col 6"</f>
        <v>Line 312, Col 6</v>
      </c>
      <c r="G7" s="14"/>
    </row>
    <row r="8" spans="1:7">
      <c r="A8" s="571">
        <f t="shared" ref="A8:A14" si="0">A7+1</f>
        <v>3</v>
      </c>
      <c r="D8" s="475" t="s">
        <v>2536</v>
      </c>
      <c r="E8" s="7">
        <f>SUM(E6:E7)</f>
        <v>127046845.3199988</v>
      </c>
      <c r="F8" s="562" t="s">
        <v>2500</v>
      </c>
      <c r="G8" s="14"/>
    </row>
    <row r="9" spans="1:7">
      <c r="A9" s="571">
        <f t="shared" si="0"/>
        <v>4</v>
      </c>
      <c r="F9" s="65"/>
    </row>
    <row r="10" spans="1:7">
      <c r="A10" s="571">
        <f t="shared" si="0"/>
        <v>5</v>
      </c>
      <c r="D10" s="475" t="s">
        <v>2537</v>
      </c>
      <c r="E10" s="1023">
        <v>2245054950</v>
      </c>
      <c r="F10" s="16" t="s">
        <v>2823</v>
      </c>
    </row>
    <row r="11" spans="1:7">
      <c r="A11" s="571">
        <f t="shared" si="0"/>
        <v>6</v>
      </c>
      <c r="D11" s="475" t="s">
        <v>2822</v>
      </c>
      <c r="E11" s="91">
        <f>E70</f>
        <v>19365634.255193394</v>
      </c>
      <c r="F11" s="16" t="str">
        <f>"Line "&amp;A70&amp;", Col 4"</f>
        <v>Line 312, Col 4</v>
      </c>
      <c r="G11" s="14"/>
    </row>
    <row r="12" spans="1:7">
      <c r="A12" s="571">
        <f t="shared" si="0"/>
        <v>7</v>
      </c>
      <c r="D12" s="475" t="s">
        <v>2538</v>
      </c>
      <c r="E12" s="7">
        <f>E10-E11</f>
        <v>2225689315.7448068</v>
      </c>
      <c r="F12" s="562" t="s">
        <v>2539</v>
      </c>
      <c r="G12" s="14"/>
    </row>
    <row r="13" spans="1:7">
      <c r="A13" s="571">
        <f t="shared" si="0"/>
        <v>8</v>
      </c>
      <c r="F13" s="65"/>
      <c r="G13" s="14"/>
    </row>
    <row r="14" spans="1:7">
      <c r="A14" s="571">
        <f t="shared" si="0"/>
        <v>9</v>
      </c>
      <c r="D14" s="475" t="s">
        <v>2540</v>
      </c>
      <c r="E14" s="8">
        <f>E8/E12</f>
        <v>5.7082021475887673E-2</v>
      </c>
      <c r="F14" s="562" t="s">
        <v>2506</v>
      </c>
      <c r="G14" s="14"/>
    </row>
    <row r="15" spans="1:7">
      <c r="A15" s="571"/>
    </row>
    <row r="16" spans="1:7">
      <c r="A16" s="571"/>
      <c r="B16" s="1" t="s">
        <v>2541</v>
      </c>
      <c r="F16" s="477" t="s">
        <v>330</v>
      </c>
    </row>
    <row r="17" spans="1:12">
      <c r="A17" s="571"/>
    </row>
    <row r="18" spans="1:12">
      <c r="A18" s="571"/>
      <c r="B18" s="84" t="s">
        <v>360</v>
      </c>
      <c r="C18" s="84" t="s">
        <v>344</v>
      </c>
      <c r="D18" s="84" t="s">
        <v>345</v>
      </c>
      <c r="E18" s="84" t="s">
        <v>346</v>
      </c>
      <c r="F18" s="84" t="s">
        <v>347</v>
      </c>
      <c r="G18" s="84" t="s">
        <v>348</v>
      </c>
      <c r="H18" s="84" t="s">
        <v>349</v>
      </c>
      <c r="I18" s="84" t="s">
        <v>541</v>
      </c>
      <c r="J18" s="84" t="s">
        <v>958</v>
      </c>
      <c r="K18" s="84"/>
    </row>
    <row r="19" spans="1:12">
      <c r="A19" s="571"/>
      <c r="B19" s="886" t="s">
        <v>2542</v>
      </c>
      <c r="C19" s="886" t="s">
        <v>33</v>
      </c>
      <c r="D19" s="886" t="s">
        <v>2542</v>
      </c>
      <c r="E19" s="886" t="s">
        <v>2543</v>
      </c>
      <c r="F19" s="886" t="s">
        <v>2544</v>
      </c>
      <c r="G19" s="886" t="s">
        <v>2545</v>
      </c>
      <c r="H19" s="886" t="s">
        <v>2546</v>
      </c>
      <c r="I19" s="886" t="s">
        <v>2547</v>
      </c>
      <c r="J19" s="886" t="s">
        <v>2548</v>
      </c>
      <c r="K19" s="84"/>
    </row>
    <row r="20" spans="1:12" ht="13.8" thickBot="1">
      <c r="I20" s="571" t="s">
        <v>361</v>
      </c>
    </row>
    <row r="21" spans="1:12" ht="55.2" customHeight="1" thickBot="1">
      <c r="A21" s="51" t="s">
        <v>331</v>
      </c>
      <c r="B21" s="1185" t="s">
        <v>27</v>
      </c>
      <c r="C21" s="1186" t="s">
        <v>2549</v>
      </c>
      <c r="D21" s="1183" t="s">
        <v>2550</v>
      </c>
      <c r="E21" s="1187" t="s">
        <v>2839</v>
      </c>
      <c r="F21" s="1183" t="s">
        <v>2834</v>
      </c>
      <c r="G21" s="1188" t="s">
        <v>2835</v>
      </c>
      <c r="H21" s="1183" t="s">
        <v>2551</v>
      </c>
      <c r="I21" s="1183" t="s">
        <v>2552</v>
      </c>
      <c r="J21" s="1189" t="s">
        <v>2836</v>
      </c>
      <c r="K21" s="1167" t="s">
        <v>168</v>
      </c>
    </row>
    <row r="22" spans="1:12">
      <c r="A22" s="571">
        <v>101</v>
      </c>
      <c r="B22" s="529" t="s">
        <v>2649</v>
      </c>
      <c r="C22" s="1190">
        <v>17295</v>
      </c>
      <c r="D22" s="1191">
        <v>4.3200000000000002E-2</v>
      </c>
      <c r="E22" s="1192">
        <v>41335.724999999999</v>
      </c>
      <c r="F22" s="63">
        <f>C41</f>
        <v>-763</v>
      </c>
      <c r="G22" s="1193">
        <f t="shared" ref="G22:G31" si="1">E22-F22</f>
        <v>42098.724999999999</v>
      </c>
      <c r="H22" s="1194">
        <f t="shared" ref="H22:H31" si="2">G22/E22</f>
        <v>1.0184586093506283</v>
      </c>
      <c r="I22" s="1300">
        <f>D22/H22</f>
        <v>4.2417040421057886E-2</v>
      </c>
      <c r="J22" s="1193">
        <f t="shared" ref="J22:J31" si="3">E22*I22</f>
        <v>1753.3391181587328</v>
      </c>
      <c r="K22" s="97"/>
      <c r="L22" s="1195"/>
    </row>
    <row r="23" spans="1:12">
      <c r="A23" s="571">
        <f>A22+1</f>
        <v>102</v>
      </c>
      <c r="B23" s="529" t="s">
        <v>2650</v>
      </c>
      <c r="C23" s="1196">
        <v>18402</v>
      </c>
      <c r="D23" s="1191">
        <v>4.0800000000000003E-2</v>
      </c>
      <c r="E23" s="1192">
        <v>16250</v>
      </c>
      <c r="F23" s="63">
        <f t="shared" ref="F23:F31" si="4">C42</f>
        <v>-40</v>
      </c>
      <c r="G23" s="1193">
        <f t="shared" si="1"/>
        <v>16290</v>
      </c>
      <c r="H23" s="1194">
        <f t="shared" si="2"/>
        <v>1.0024615384615385</v>
      </c>
      <c r="I23" s="1300">
        <f t="shared" ref="I23:I25" si="5">D23/H23</f>
        <v>4.0699815837937386E-2</v>
      </c>
      <c r="J23" s="1193">
        <f t="shared" si="3"/>
        <v>661.37200736648253</v>
      </c>
      <c r="K23" s="97"/>
      <c r="L23" s="1195"/>
    </row>
    <row r="24" spans="1:12">
      <c r="A24" s="571">
        <f t="shared" ref="A24:A33" si="6">A23+1</f>
        <v>103</v>
      </c>
      <c r="B24" s="529" t="s">
        <v>2651</v>
      </c>
      <c r="C24" s="1196">
        <v>20500</v>
      </c>
      <c r="D24" s="1191">
        <v>4.24E-2</v>
      </c>
      <c r="E24" s="1192">
        <v>30000</v>
      </c>
      <c r="F24" s="63">
        <f t="shared" si="4"/>
        <v>-84</v>
      </c>
      <c r="G24" s="1193">
        <f t="shared" si="1"/>
        <v>30084</v>
      </c>
      <c r="H24" s="1194">
        <f t="shared" si="2"/>
        <v>1.0027999999999999</v>
      </c>
      <c r="I24" s="1300">
        <f t="shared" si="5"/>
        <v>4.2281611487834068E-2</v>
      </c>
      <c r="J24" s="1193">
        <f t="shared" si="3"/>
        <v>1268.4483446350221</v>
      </c>
      <c r="K24" s="97"/>
      <c r="L24" s="1195"/>
    </row>
    <row r="25" spans="1:12">
      <c r="A25" s="571">
        <f t="shared" si="6"/>
        <v>104</v>
      </c>
      <c r="B25" s="529" t="s">
        <v>2652</v>
      </c>
      <c r="C25" s="1196">
        <v>21226</v>
      </c>
      <c r="D25" s="1191">
        <v>4.7800000000000002E-2</v>
      </c>
      <c r="E25" s="1192">
        <v>32419.224999999999</v>
      </c>
      <c r="F25" s="63">
        <f t="shared" si="4"/>
        <v>-50</v>
      </c>
      <c r="G25" s="1193">
        <f t="shared" si="1"/>
        <v>32469.224999999999</v>
      </c>
      <c r="H25" s="1194">
        <f t="shared" si="2"/>
        <v>1.001542294734066</v>
      </c>
      <c r="I25" s="1300">
        <f t="shared" si="5"/>
        <v>4.772639183719353E-2</v>
      </c>
      <c r="J25" s="1193">
        <f t="shared" si="3"/>
        <v>1547.2526354081403</v>
      </c>
      <c r="K25" s="97"/>
      <c r="L25" s="1195"/>
    </row>
    <row r="26" spans="1:12">
      <c r="A26" s="571">
        <f t="shared" si="6"/>
        <v>105</v>
      </c>
      <c r="B26" s="529" t="s">
        <v>2653</v>
      </c>
      <c r="C26" s="1196">
        <v>40925</v>
      </c>
      <c r="D26" s="1191">
        <v>6.25E-2</v>
      </c>
      <c r="E26" s="1197">
        <v>350000</v>
      </c>
      <c r="F26" s="63">
        <f t="shared" si="4"/>
        <v>5957.2889999999998</v>
      </c>
      <c r="G26" s="1193">
        <f t="shared" si="1"/>
        <v>344042.71100000001</v>
      </c>
      <c r="H26" s="1194">
        <f t="shared" si="2"/>
        <v>0.98297917428571435</v>
      </c>
      <c r="I26" s="1163">
        <f>+RATE(D45*4,-(D26*E26)/4,G26,-E26)*4</f>
        <v>6.4826262465199791E-2</v>
      </c>
      <c r="J26" s="1193">
        <f t="shared" si="3"/>
        <v>22689.191862819927</v>
      </c>
      <c r="K26" s="151">
        <v>1</v>
      </c>
      <c r="L26" s="1195"/>
    </row>
    <row r="27" spans="1:12">
      <c r="A27" s="571">
        <f t="shared" si="6"/>
        <v>106</v>
      </c>
      <c r="B27" s="529" t="s">
        <v>2654</v>
      </c>
      <c r="C27" s="1196">
        <v>41303</v>
      </c>
      <c r="D27" s="1191">
        <v>5.0999999999999997E-2</v>
      </c>
      <c r="E27" s="1197">
        <v>400010</v>
      </c>
      <c r="F27" s="63">
        <f t="shared" si="4"/>
        <v>12972.286</v>
      </c>
      <c r="G27" s="1193">
        <f t="shared" si="1"/>
        <v>387037.71399999998</v>
      </c>
      <c r="H27" s="1194">
        <f t="shared" si="2"/>
        <v>0.96757009574760622</v>
      </c>
      <c r="I27" s="1163">
        <f>+RATE(D46*4,-(D27*E27)/4,G27,-E27)*4</f>
        <v>5.3168989814364298E-2</v>
      </c>
      <c r="J27" s="1193">
        <f t="shared" si="3"/>
        <v>21268.127615643862</v>
      </c>
      <c r="K27" s="151">
        <v>1</v>
      </c>
      <c r="L27" s="1195"/>
    </row>
    <row r="28" spans="1:12">
      <c r="A28" s="571">
        <f t="shared" si="6"/>
        <v>107</v>
      </c>
      <c r="B28" s="529" t="s">
        <v>2655</v>
      </c>
      <c r="C28" s="1196">
        <v>41704</v>
      </c>
      <c r="D28" s="1191">
        <v>5.7500000000000002E-2</v>
      </c>
      <c r="E28" s="1197">
        <v>275010</v>
      </c>
      <c r="F28" s="63">
        <f t="shared" si="4"/>
        <v>6272.3580000000002</v>
      </c>
      <c r="G28" s="1193">
        <f t="shared" si="1"/>
        <v>268737.64199999999</v>
      </c>
      <c r="H28" s="1194">
        <f t="shared" si="2"/>
        <v>0.97719225482709715</v>
      </c>
      <c r="I28" s="1163">
        <f>+RATE(D47*4,-(D28*E28)/4,G28,-E28)*4</f>
        <v>6.0557349317951155E-2</v>
      </c>
      <c r="J28" s="1193">
        <f t="shared" si="3"/>
        <v>16653.876635929748</v>
      </c>
      <c r="K28" s="151">
        <v>1</v>
      </c>
      <c r="L28" s="1195"/>
    </row>
    <row r="29" spans="1:12">
      <c r="A29" s="571">
        <f t="shared" si="6"/>
        <v>108</v>
      </c>
      <c r="B29" s="529" t="s">
        <v>2656</v>
      </c>
      <c r="C29" s="1196">
        <v>42240</v>
      </c>
      <c r="D29" s="1191">
        <v>5.3749999999999999E-2</v>
      </c>
      <c r="E29" s="1197">
        <v>325010</v>
      </c>
      <c r="F29" s="63">
        <f t="shared" si="4"/>
        <v>6419.5780000000004</v>
      </c>
      <c r="G29" s="1193">
        <f t="shared" si="1"/>
        <v>318590.42200000002</v>
      </c>
      <c r="H29" s="1194">
        <f t="shared" si="2"/>
        <v>0.98024806005969056</v>
      </c>
      <c r="I29" s="1163">
        <f t="shared" ref="I29:I31" si="7">+RATE(D48*4,-(D29*E29)/4,G29,-E29)*4</f>
        <v>5.6347183692221123E-2</v>
      </c>
      <c r="J29" s="1193">
        <f t="shared" si="3"/>
        <v>18313.398171808789</v>
      </c>
      <c r="K29" s="151">
        <v>1</v>
      </c>
      <c r="L29" s="1195"/>
    </row>
    <row r="30" spans="1:12">
      <c r="A30" s="571">
        <f t="shared" si="6"/>
        <v>109</v>
      </c>
      <c r="B30" s="1198" t="s">
        <v>2657</v>
      </c>
      <c r="C30" s="1199">
        <v>42437</v>
      </c>
      <c r="D30" s="1200">
        <v>5.45E-2</v>
      </c>
      <c r="E30" s="1197">
        <v>300010</v>
      </c>
      <c r="F30" s="63">
        <f t="shared" si="4"/>
        <v>6959.81</v>
      </c>
      <c r="G30" s="1193">
        <f t="shared" si="1"/>
        <v>293050.19</v>
      </c>
      <c r="H30" s="1194">
        <f t="shared" si="2"/>
        <v>0.97680140661977932</v>
      </c>
      <c r="I30" s="1163">
        <f t="shared" si="7"/>
        <v>5.7567522761067455E-2</v>
      </c>
      <c r="J30" s="1193">
        <f t="shared" si="3"/>
        <v>17270.832503547848</v>
      </c>
      <c r="K30" s="151">
        <v>1</v>
      </c>
      <c r="L30" s="1195"/>
    </row>
    <row r="31" spans="1:12">
      <c r="A31" s="571">
        <f t="shared" si="6"/>
        <v>110</v>
      </c>
      <c r="B31" s="1198" t="s">
        <v>2658</v>
      </c>
      <c r="C31" s="1199">
        <v>42912</v>
      </c>
      <c r="D31" s="1200">
        <v>0.05</v>
      </c>
      <c r="E31" s="1197">
        <v>475010</v>
      </c>
      <c r="F31" s="63">
        <f t="shared" si="4"/>
        <v>12800.62</v>
      </c>
      <c r="G31" s="1193">
        <f t="shared" si="1"/>
        <v>462209.38</v>
      </c>
      <c r="H31" s="1194">
        <f t="shared" si="2"/>
        <v>0.9730518936443443</v>
      </c>
      <c r="I31" s="1163">
        <f t="shared" si="7"/>
        <v>5.1774373559252816E-2</v>
      </c>
      <c r="J31" s="1193">
        <f t="shared" si="3"/>
        <v>24593.34518438068</v>
      </c>
      <c r="K31" s="151">
        <v>1</v>
      </c>
      <c r="L31" s="1195"/>
    </row>
    <row r="32" spans="1:12">
      <c r="A32" s="571">
        <f t="shared" si="6"/>
        <v>111</v>
      </c>
      <c r="B32" s="973" t="s">
        <v>510</v>
      </c>
      <c r="C32" s="97"/>
      <c r="D32" s="97"/>
      <c r="E32" s="97"/>
      <c r="F32" s="63"/>
      <c r="K32" s="97"/>
    </row>
    <row r="33" spans="1:11">
      <c r="A33" s="571">
        <f t="shared" si="6"/>
        <v>112</v>
      </c>
      <c r="D33" s="68"/>
      <c r="E33" s="1193"/>
      <c r="I33" s="68" t="s">
        <v>2528</v>
      </c>
      <c r="J33" s="1193">
        <f>SUM(J22:J32)*1000</f>
        <v>126019184.07969923</v>
      </c>
      <c r="K33" s="14"/>
    </row>
    <row r="35" spans="1:11">
      <c r="B35" s="1" t="s">
        <v>2553</v>
      </c>
    </row>
    <row r="36" spans="1:11">
      <c r="B36" s="1"/>
    </row>
    <row r="37" spans="1:11">
      <c r="B37" s="84" t="s">
        <v>360</v>
      </c>
      <c r="C37" s="84" t="s">
        <v>344</v>
      </c>
      <c r="D37" s="84" t="s">
        <v>345</v>
      </c>
      <c r="E37" s="84" t="s">
        <v>346</v>
      </c>
      <c r="F37" s="84"/>
    </row>
    <row r="38" spans="1:11">
      <c r="A38" s="14"/>
      <c r="B38" s="111" t="s">
        <v>2554</v>
      </c>
      <c r="C38" s="111" t="s">
        <v>33</v>
      </c>
      <c r="D38" s="111" t="s">
        <v>33</v>
      </c>
    </row>
    <row r="39" spans="1:11" ht="13.8" thickBot="1"/>
    <row r="40" spans="1:11" ht="55.2" customHeight="1" thickBot="1">
      <c r="A40" s="51" t="s">
        <v>331</v>
      </c>
      <c r="B40" s="1185" t="s">
        <v>27</v>
      </c>
      <c r="C40" s="1201" t="s">
        <v>2834</v>
      </c>
      <c r="D40" s="1202" t="s">
        <v>2555</v>
      </c>
      <c r="E40" s="1378" t="s">
        <v>168</v>
      </c>
      <c r="F40" s="1379"/>
    </row>
    <row r="41" spans="1:11">
      <c r="A41" s="571">
        <v>201</v>
      </c>
      <c r="B41" s="529" t="s">
        <v>2649</v>
      </c>
      <c r="C41" s="1203">
        <v>-763</v>
      </c>
      <c r="D41" s="151">
        <v>30</v>
      </c>
      <c r="E41" s="1198" t="s">
        <v>2672</v>
      </c>
      <c r="F41" s="97"/>
    </row>
    <row r="42" spans="1:11">
      <c r="A42" s="571">
        <f>A41+1</f>
        <v>202</v>
      </c>
      <c r="B42" s="529" t="s">
        <v>2650</v>
      </c>
      <c r="C42" s="1203">
        <v>-40</v>
      </c>
      <c r="D42" s="151">
        <v>30</v>
      </c>
      <c r="E42" s="1198" t="s">
        <v>2672</v>
      </c>
      <c r="F42" s="97"/>
    </row>
    <row r="43" spans="1:11">
      <c r="A43" s="571">
        <f t="shared" ref="A43:A51" si="8">A42+1</f>
        <v>203</v>
      </c>
      <c r="B43" s="529" t="s">
        <v>2651</v>
      </c>
      <c r="C43" s="1203">
        <v>-84</v>
      </c>
      <c r="D43" s="151">
        <v>30</v>
      </c>
      <c r="E43" s="1198" t="s">
        <v>2672</v>
      </c>
      <c r="F43" s="97"/>
    </row>
    <row r="44" spans="1:11">
      <c r="A44" s="571">
        <f t="shared" si="8"/>
        <v>204</v>
      </c>
      <c r="B44" s="529" t="s">
        <v>2652</v>
      </c>
      <c r="C44" s="1203">
        <v>-50</v>
      </c>
      <c r="D44" s="151">
        <v>30</v>
      </c>
      <c r="E44" s="1198" t="s">
        <v>2672</v>
      </c>
      <c r="F44" s="97"/>
    </row>
    <row r="45" spans="1:11">
      <c r="A45" s="571">
        <f t="shared" si="8"/>
        <v>205</v>
      </c>
      <c r="B45" s="529" t="s">
        <v>2653</v>
      </c>
      <c r="C45" s="1203">
        <v>5957.2889999999998</v>
      </c>
      <c r="D45" s="151">
        <v>10</v>
      </c>
      <c r="E45" s="1198"/>
      <c r="F45" s="97"/>
    </row>
    <row r="46" spans="1:11">
      <c r="A46" s="571">
        <f t="shared" si="8"/>
        <v>206</v>
      </c>
      <c r="B46" s="529" t="s">
        <v>2654</v>
      </c>
      <c r="C46" s="1203">
        <v>12972.286</v>
      </c>
      <c r="D46" s="151">
        <v>30</v>
      </c>
      <c r="E46" s="1198" t="s">
        <v>2673</v>
      </c>
      <c r="F46" s="97"/>
    </row>
    <row r="47" spans="1:11">
      <c r="A47" s="571">
        <f t="shared" si="8"/>
        <v>207</v>
      </c>
      <c r="B47" s="529" t="s">
        <v>2655</v>
      </c>
      <c r="C47" s="1203">
        <v>6272.3580000000002</v>
      </c>
      <c r="D47" s="151">
        <v>10</v>
      </c>
      <c r="E47" s="1198"/>
      <c r="F47" s="97"/>
    </row>
    <row r="48" spans="1:11">
      <c r="A48" s="571">
        <f t="shared" si="8"/>
        <v>208</v>
      </c>
      <c r="B48" s="529" t="s">
        <v>2656</v>
      </c>
      <c r="C48" s="1203">
        <v>6419.5780000000004</v>
      </c>
      <c r="D48" s="151">
        <v>10</v>
      </c>
      <c r="E48" s="1198"/>
      <c r="F48" s="97"/>
    </row>
    <row r="49" spans="1:12">
      <c r="A49" s="571">
        <f t="shared" si="8"/>
        <v>209</v>
      </c>
      <c r="B49" s="529" t="s">
        <v>2657</v>
      </c>
      <c r="C49" s="1203">
        <v>6959.81</v>
      </c>
      <c r="D49" s="151">
        <v>10</v>
      </c>
      <c r="E49" s="1198" t="s">
        <v>2674</v>
      </c>
      <c r="F49" s="97"/>
    </row>
    <row r="50" spans="1:12">
      <c r="A50" s="571">
        <f t="shared" si="8"/>
        <v>210</v>
      </c>
      <c r="B50" s="1198" t="s">
        <v>2658</v>
      </c>
      <c r="C50" s="1203">
        <v>12800.62</v>
      </c>
      <c r="D50" s="151">
        <v>30</v>
      </c>
      <c r="E50" s="1198"/>
      <c r="F50" s="97"/>
    </row>
    <row r="51" spans="1:12">
      <c r="A51" s="571">
        <f t="shared" si="8"/>
        <v>211</v>
      </c>
      <c r="B51" s="973" t="s">
        <v>510</v>
      </c>
      <c r="C51" s="97"/>
      <c r="D51" s="97"/>
      <c r="E51" s="97"/>
      <c r="F51" s="97"/>
    </row>
    <row r="53" spans="1:12">
      <c r="B53" s="1" t="s">
        <v>2556</v>
      </c>
    </row>
    <row r="54" spans="1:12">
      <c r="B54" s="1"/>
    </row>
    <row r="55" spans="1:12">
      <c r="B55" s="84" t="s">
        <v>360</v>
      </c>
      <c r="C55" s="84" t="s">
        <v>344</v>
      </c>
      <c r="D55" s="84" t="s">
        <v>345</v>
      </c>
      <c r="E55" s="84" t="s">
        <v>346</v>
      </c>
      <c r="F55" s="84" t="s">
        <v>347</v>
      </c>
      <c r="G55" s="84" t="s">
        <v>348</v>
      </c>
    </row>
    <row r="56" spans="1:12">
      <c r="B56" s="111" t="s">
        <v>33</v>
      </c>
      <c r="C56" s="111" t="s">
        <v>33</v>
      </c>
      <c r="D56" s="111" t="s">
        <v>33</v>
      </c>
      <c r="E56" s="111" t="s">
        <v>33</v>
      </c>
      <c r="F56" s="111" t="s">
        <v>33</v>
      </c>
      <c r="G56" s="111" t="s">
        <v>2824</v>
      </c>
    </row>
    <row r="57" spans="1:12" ht="13.8" thickBot="1"/>
    <row r="58" spans="1:12" ht="66.599999999999994" thickBot="1">
      <c r="A58" s="51" t="s">
        <v>331</v>
      </c>
      <c r="B58" s="1185" t="s">
        <v>27</v>
      </c>
      <c r="C58" s="1186" t="s">
        <v>2557</v>
      </c>
      <c r="D58" s="1202" t="s">
        <v>2834</v>
      </c>
      <c r="E58" s="1202" t="s">
        <v>2837</v>
      </c>
      <c r="F58" s="1202" t="s">
        <v>2558</v>
      </c>
      <c r="G58" s="1202" t="s">
        <v>2838</v>
      </c>
      <c r="H58" s="1376" t="s">
        <v>168</v>
      </c>
      <c r="I58" s="1377"/>
    </row>
    <row r="59" spans="1:12">
      <c r="A59" s="571">
        <v>301</v>
      </c>
      <c r="B59" s="1204" t="s">
        <v>2675</v>
      </c>
      <c r="C59" s="1173">
        <v>31352</v>
      </c>
      <c r="D59" s="1023">
        <v>-286.60000000000002</v>
      </c>
      <c r="E59" s="1023">
        <v>-15.453921568627436</v>
      </c>
      <c r="F59" s="691">
        <v>34</v>
      </c>
      <c r="G59" s="63">
        <f>D59/F59</f>
        <v>-8.4294117647058826</v>
      </c>
      <c r="H59" s="529" t="s">
        <v>2676</v>
      </c>
      <c r="I59" s="97"/>
      <c r="J59" s="97"/>
      <c r="K59" s="97"/>
      <c r="L59" s="97"/>
    </row>
    <row r="60" spans="1:12">
      <c r="A60" s="571">
        <f>A59+1</f>
        <v>302</v>
      </c>
      <c r="B60" s="1204" t="s">
        <v>2677</v>
      </c>
      <c r="C60" s="1173">
        <v>31444</v>
      </c>
      <c r="D60" s="1023">
        <v>6247.5</v>
      </c>
      <c r="E60" s="1023">
        <v>382.8125</v>
      </c>
      <c r="F60" s="691">
        <v>34</v>
      </c>
      <c r="G60" s="63">
        <f t="shared" ref="G60:G66" si="9">D60/F60</f>
        <v>183.75</v>
      </c>
      <c r="H60" s="529" t="s">
        <v>2678</v>
      </c>
      <c r="I60" s="97"/>
      <c r="J60" s="97"/>
      <c r="K60" s="97"/>
      <c r="L60" s="97"/>
    </row>
    <row r="61" spans="1:12">
      <c r="A61" s="571">
        <f t="shared" ref="A61:A70" si="10">A60+1</f>
        <v>303</v>
      </c>
      <c r="B61" s="1204" t="s">
        <v>2677</v>
      </c>
      <c r="C61" s="1173">
        <v>31444</v>
      </c>
      <c r="D61" s="1023">
        <v>1025</v>
      </c>
      <c r="E61" s="1023">
        <v>62.80637254901967</v>
      </c>
      <c r="F61" s="691">
        <v>34</v>
      </c>
      <c r="G61" s="63">
        <f t="shared" si="9"/>
        <v>30.147058823529413</v>
      </c>
      <c r="H61" s="529" t="s">
        <v>2679</v>
      </c>
      <c r="I61" s="97"/>
      <c r="J61" s="97"/>
      <c r="K61" s="97"/>
      <c r="L61" s="97"/>
    </row>
    <row r="62" spans="1:12">
      <c r="A62" s="571">
        <f t="shared" si="10"/>
        <v>304</v>
      </c>
      <c r="B62" s="529" t="s">
        <v>2680</v>
      </c>
      <c r="C62" s="1173">
        <v>41076</v>
      </c>
      <c r="D62" s="1023">
        <v>0</v>
      </c>
      <c r="E62" s="1023">
        <v>0</v>
      </c>
      <c r="F62" s="691">
        <v>5</v>
      </c>
      <c r="G62" s="63">
        <f t="shared" si="9"/>
        <v>0</v>
      </c>
      <c r="H62" s="529" t="s">
        <v>2672</v>
      </c>
      <c r="I62" s="97"/>
      <c r="J62" s="97"/>
      <c r="K62" s="97"/>
      <c r="L62" s="97"/>
    </row>
    <row r="63" spans="1:12">
      <c r="A63" s="571">
        <f t="shared" si="10"/>
        <v>305</v>
      </c>
      <c r="B63" s="529" t="s">
        <v>2681</v>
      </c>
      <c r="C63" s="1173">
        <v>41333</v>
      </c>
      <c r="D63" s="1023">
        <v>2586.35098055555</v>
      </c>
      <c r="E63" s="1023">
        <v>2169.6611003549338</v>
      </c>
      <c r="F63" s="691">
        <v>30</v>
      </c>
      <c r="G63" s="63">
        <f t="shared" si="9"/>
        <v>86.211699351851664</v>
      </c>
      <c r="H63" s="529" t="s">
        <v>2682</v>
      </c>
      <c r="I63" s="97"/>
      <c r="J63" s="97"/>
      <c r="K63" s="97"/>
      <c r="L63" s="97"/>
    </row>
    <row r="64" spans="1:12">
      <c r="A64" s="571">
        <f t="shared" si="10"/>
        <v>306</v>
      </c>
      <c r="B64" s="529" t="s">
        <v>2683</v>
      </c>
      <c r="C64" s="1173">
        <v>41333</v>
      </c>
      <c r="D64" s="1023">
        <v>2886.8659722222401</v>
      </c>
      <c r="E64" s="1023">
        <v>2421.7597878086572</v>
      </c>
      <c r="F64" s="691">
        <v>30</v>
      </c>
      <c r="G64" s="63">
        <f t="shared" si="9"/>
        <v>96.228865740741341</v>
      </c>
      <c r="H64" s="529" t="s">
        <v>2682</v>
      </c>
      <c r="I64" s="97"/>
      <c r="J64" s="97"/>
      <c r="K64" s="97"/>
      <c r="L64" s="97"/>
    </row>
    <row r="65" spans="1:12">
      <c r="A65" s="571">
        <f t="shared" si="10"/>
        <v>307</v>
      </c>
      <c r="B65" s="529" t="s">
        <v>2684</v>
      </c>
      <c r="C65" s="1173">
        <v>42460</v>
      </c>
      <c r="D65" s="1023">
        <v>2147.8025000000098</v>
      </c>
      <c r="E65" s="1023">
        <v>1771.9370625000092</v>
      </c>
      <c r="F65" s="691">
        <v>10</v>
      </c>
      <c r="G65" s="63">
        <f t="shared" si="9"/>
        <v>214.78025000000099</v>
      </c>
      <c r="H65" s="529" t="s">
        <v>2685</v>
      </c>
      <c r="I65" s="97"/>
      <c r="J65" s="97"/>
      <c r="K65" s="97"/>
      <c r="L65" s="97"/>
    </row>
    <row r="66" spans="1:12">
      <c r="A66" s="571">
        <f t="shared" si="10"/>
        <v>308</v>
      </c>
      <c r="B66" s="529" t="s">
        <v>2686</v>
      </c>
      <c r="C66" s="1173">
        <v>42935</v>
      </c>
      <c r="D66" s="1023">
        <v>12749.1833444445</v>
      </c>
      <c r="E66" s="1023">
        <v>12572.111353549401</v>
      </c>
      <c r="F66" s="691">
        <v>30</v>
      </c>
      <c r="G66" s="63">
        <f t="shared" si="9"/>
        <v>424.97277814814998</v>
      </c>
      <c r="H66" s="383" t="s">
        <v>2687</v>
      </c>
      <c r="I66" s="97"/>
      <c r="J66" s="97"/>
      <c r="K66" s="97"/>
      <c r="L66" s="97"/>
    </row>
    <row r="67" spans="1:12">
      <c r="A67" s="571">
        <f t="shared" si="10"/>
        <v>309</v>
      </c>
      <c r="B67" s="97"/>
      <c r="C67" s="1173"/>
      <c r="D67" s="1023"/>
      <c r="E67" s="1023"/>
      <c r="F67" s="97"/>
      <c r="G67" s="63"/>
      <c r="H67" s="383"/>
      <c r="I67" s="97"/>
      <c r="J67" s="97"/>
      <c r="K67" s="97"/>
      <c r="L67" s="97"/>
    </row>
    <row r="68" spans="1:12">
      <c r="A68" s="571">
        <f t="shared" si="10"/>
        <v>310</v>
      </c>
      <c r="B68" s="97"/>
      <c r="C68" s="1173"/>
      <c r="D68" s="1023"/>
      <c r="E68" s="1023"/>
      <c r="F68" s="97"/>
      <c r="G68" s="63"/>
      <c r="H68" s="383"/>
      <c r="I68" s="97"/>
      <c r="J68" s="97"/>
      <c r="K68" s="97"/>
      <c r="L68" s="97"/>
    </row>
    <row r="69" spans="1:12">
      <c r="A69" s="571">
        <f t="shared" si="10"/>
        <v>311</v>
      </c>
      <c r="B69" s="973" t="s">
        <v>510</v>
      </c>
      <c r="C69" s="1173"/>
      <c r="D69" s="1023"/>
      <c r="E69" s="1023"/>
      <c r="F69" s="97"/>
      <c r="G69" s="14"/>
      <c r="H69" s="386"/>
      <c r="I69" s="97"/>
      <c r="J69" s="97"/>
      <c r="K69" s="97"/>
      <c r="L69" s="97"/>
    </row>
    <row r="70" spans="1:12">
      <c r="A70" s="571">
        <f t="shared" si="10"/>
        <v>312</v>
      </c>
      <c r="D70" s="68" t="s">
        <v>2528</v>
      </c>
      <c r="E70" s="7">
        <f>SUM(E59:E69)*1000</f>
        <v>19365634.255193394</v>
      </c>
      <c r="G70" s="7">
        <f>SUM(G59:G69)*1000</f>
        <v>1027661.2402995675</v>
      </c>
    </row>
    <row r="71" spans="1:12">
      <c r="A71" s="571"/>
      <c r="D71" s="68"/>
      <c r="E71" s="7"/>
      <c r="G71" s="7"/>
    </row>
    <row r="72" spans="1:12">
      <c r="B72" s="51" t="s">
        <v>232</v>
      </c>
    </row>
    <row r="73" spans="1:12">
      <c r="B73" s="477" t="s">
        <v>2875</v>
      </c>
    </row>
    <row r="74" spans="1:12">
      <c r="B74" s="481" t="s">
        <v>2876</v>
      </c>
      <c r="E74" s="1301"/>
    </row>
    <row r="75" spans="1:12">
      <c r="E75" s="1301"/>
    </row>
    <row r="76" spans="1:12">
      <c r="E76" s="1301"/>
    </row>
    <row r="77" spans="1:12">
      <c r="E77" s="1301"/>
    </row>
    <row r="78" spans="1:12">
      <c r="B78" s="479"/>
      <c r="E78" s="1301"/>
    </row>
    <row r="79" spans="1:12">
      <c r="E79" s="1301"/>
    </row>
    <row r="80" spans="1:12">
      <c r="E80" s="1301"/>
    </row>
    <row r="81" spans="5:5">
      <c r="E81" s="1301"/>
    </row>
  </sheetData>
  <mergeCells count="2">
    <mergeCell ref="H58:I58"/>
    <mergeCell ref="E40:F40"/>
  </mergeCells>
  <pageMargins left="0.7" right="0.7" top="0.75" bottom="0.75" header="0.3" footer="0.3"/>
  <pageSetup scale="70" orientation="landscape" r:id="rId1"/>
  <headerFooter>
    <oddHeader>&amp;CSchedule 5 ROR-4
Return and Capitalization&amp;RExhibit SCE-4
TO2019A Formula Rate Spreadsheet</oddHeader>
    <oddFooter>&amp;R5-ROR-4</oddFooter>
  </headerFooter>
  <rowBreaks count="1" manualBreakCount="1">
    <brk id="5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5"/>
  <sheetViews>
    <sheetView topLeftCell="A188" zoomScaleNormal="100" workbookViewId="0">
      <selection activeCell="B233" sqref="B233:H235"/>
    </sheetView>
  </sheetViews>
  <sheetFormatPr defaultColWidth="8.88671875" defaultRowHeight="13.2"/>
  <cols>
    <col min="1" max="1" width="4.6640625" style="999" customWidth="1"/>
    <col min="2" max="2" width="10.6640625" style="999" customWidth="1"/>
    <col min="3" max="6" width="13.6640625" style="999" customWidth="1"/>
    <col min="7" max="7" width="14.44140625" style="999" customWidth="1"/>
    <col min="8" max="12" width="13.6640625" style="999" customWidth="1"/>
    <col min="13" max="13" width="15.6640625" style="999" customWidth="1"/>
    <col min="14" max="14" width="8.88671875" style="999"/>
    <col min="15" max="15" width="14.44140625" style="999" customWidth="1"/>
    <col min="16" max="16" width="15.109375" style="999" customWidth="1"/>
    <col min="17" max="16384" width="8.88671875" style="999"/>
  </cols>
  <sheetData>
    <row r="1" spans="1:13">
      <c r="A1" s="396" t="s">
        <v>1198</v>
      </c>
      <c r="B1" s="231"/>
      <c r="C1" s="231"/>
      <c r="D1" s="231"/>
      <c r="E1" s="231"/>
      <c r="F1" s="231"/>
      <c r="G1" s="231"/>
      <c r="H1" s="231"/>
      <c r="I1" s="1005" t="s">
        <v>17</v>
      </c>
      <c r="J1" s="1002"/>
      <c r="K1" s="231"/>
      <c r="L1" s="231"/>
    </row>
    <row r="2" spans="1:13">
      <c r="A2" s="396"/>
      <c r="B2" s="231"/>
      <c r="C2" s="231"/>
      <c r="D2" s="231"/>
      <c r="E2" s="231"/>
      <c r="F2" s="231"/>
      <c r="G2" s="231"/>
      <c r="H2" s="231"/>
      <c r="I2" s="231"/>
      <c r="J2" s="231"/>
      <c r="K2" s="231"/>
      <c r="L2" s="231"/>
    </row>
    <row r="3" spans="1:13">
      <c r="A3" s="396"/>
      <c r="B3" s="396" t="s">
        <v>322</v>
      </c>
      <c r="C3" s="231"/>
      <c r="D3" s="231"/>
      <c r="E3" s="231"/>
      <c r="F3" s="231"/>
      <c r="G3" s="231"/>
      <c r="H3" s="231"/>
      <c r="I3" s="231"/>
      <c r="J3" s="231"/>
      <c r="K3" s="231"/>
      <c r="L3" s="231"/>
    </row>
    <row r="4" spans="1:13">
      <c r="A4" s="396"/>
      <c r="B4" s="396"/>
      <c r="C4" s="231"/>
      <c r="D4" s="231"/>
      <c r="E4" s="231"/>
      <c r="F4" s="231"/>
      <c r="G4" s="231"/>
      <c r="H4" s="231"/>
      <c r="I4" s="231"/>
      <c r="J4" s="231"/>
      <c r="K4" s="231"/>
      <c r="L4" s="231"/>
    </row>
    <row r="5" spans="1:13">
      <c r="A5" s="396"/>
      <c r="B5" s="477" t="s">
        <v>1544</v>
      </c>
      <c r="C5" s="231"/>
      <c r="D5" s="231"/>
      <c r="E5" s="231"/>
      <c r="F5" s="231"/>
      <c r="G5" s="231"/>
      <c r="H5" s="477"/>
      <c r="I5" s="891" t="s">
        <v>1736</v>
      </c>
      <c r="J5" s="890">
        <v>2017</v>
      </c>
      <c r="K5" s="231"/>
      <c r="L5" s="231"/>
    </row>
    <row r="6" spans="1:13">
      <c r="A6" s="396"/>
      <c r="B6" s="477"/>
      <c r="C6" s="231"/>
      <c r="D6" s="231"/>
      <c r="E6" s="231"/>
      <c r="F6" s="231"/>
      <c r="G6" s="231"/>
      <c r="H6" s="231"/>
      <c r="I6" s="231"/>
      <c r="J6" s="231"/>
      <c r="K6" s="231"/>
      <c r="L6" s="231"/>
    </row>
    <row r="7" spans="1:13">
      <c r="A7" s="396"/>
      <c r="B7" s="84" t="s">
        <v>360</v>
      </c>
      <c r="C7" s="84" t="s">
        <v>344</v>
      </c>
      <c r="D7" s="84" t="s">
        <v>345</v>
      </c>
      <c r="E7" s="84" t="s">
        <v>346</v>
      </c>
      <c r="F7" s="84" t="s">
        <v>347</v>
      </c>
      <c r="G7" s="84" t="s">
        <v>348</v>
      </c>
      <c r="H7" s="84" t="s">
        <v>349</v>
      </c>
      <c r="I7" s="84" t="s">
        <v>541</v>
      </c>
      <c r="J7" s="84" t="s">
        <v>958</v>
      </c>
      <c r="K7" s="84" t="s">
        <v>971</v>
      </c>
      <c r="L7" s="84" t="s">
        <v>974</v>
      </c>
      <c r="M7" s="84" t="s">
        <v>992</v>
      </c>
    </row>
    <row r="8" spans="1:13">
      <c r="A8" s="231"/>
      <c r="B8" s="452"/>
      <c r="C8" s="231"/>
      <c r="D8" s="231"/>
      <c r="E8" s="231"/>
      <c r="F8" s="231"/>
      <c r="G8" s="231"/>
      <c r="H8" s="231"/>
      <c r="I8" s="231"/>
      <c r="J8" s="231"/>
      <c r="K8" s="231"/>
      <c r="M8" s="248" t="s">
        <v>1233</v>
      </c>
    </row>
    <row r="9" spans="1:13">
      <c r="A9" s="231"/>
      <c r="B9" s="111"/>
      <c r="C9" s="84"/>
      <c r="D9" s="84"/>
      <c r="E9" s="231"/>
      <c r="F9" s="231"/>
      <c r="G9" s="231"/>
      <c r="H9" s="231"/>
      <c r="I9" s="231"/>
      <c r="J9" s="231"/>
      <c r="K9" s="231"/>
      <c r="L9" s="231"/>
    </row>
    <row r="10" spans="1:13">
      <c r="A10" s="51" t="s">
        <v>331</v>
      </c>
      <c r="B10" s="125" t="s">
        <v>1771</v>
      </c>
      <c r="C10" s="84">
        <v>350.1</v>
      </c>
      <c r="D10" s="84">
        <v>350.2</v>
      </c>
      <c r="E10" s="84">
        <v>352</v>
      </c>
      <c r="F10" s="84">
        <v>353</v>
      </c>
      <c r="G10" s="84">
        <v>354</v>
      </c>
      <c r="H10" s="84">
        <v>355</v>
      </c>
      <c r="I10" s="84">
        <v>356</v>
      </c>
      <c r="J10" s="84">
        <v>357</v>
      </c>
      <c r="K10" s="84">
        <v>358</v>
      </c>
      <c r="L10" s="84">
        <v>359</v>
      </c>
      <c r="M10" s="3" t="s">
        <v>196</v>
      </c>
    </row>
    <row r="11" spans="1:13">
      <c r="A11" s="571">
        <v>1</v>
      </c>
      <c r="B11" s="966" t="s">
        <v>2408</v>
      </c>
      <c r="C11" s="511">
        <v>86845703.104480609</v>
      </c>
      <c r="D11" s="568">
        <v>165326927.27681193</v>
      </c>
      <c r="E11" s="1007">
        <v>531582610.83188766</v>
      </c>
      <c r="F11" s="511">
        <v>3249175448.8296032</v>
      </c>
      <c r="G11" s="511">
        <v>2233991232.1950097</v>
      </c>
      <c r="H11" s="511">
        <v>324258227.83465576</v>
      </c>
      <c r="I11" s="511">
        <v>1235903790.5887618</v>
      </c>
      <c r="J11" s="511">
        <v>185508196.51440176</v>
      </c>
      <c r="K11" s="511">
        <v>81951071.953655437</v>
      </c>
      <c r="L11" s="511">
        <v>182027085.56504503</v>
      </c>
      <c r="M11" s="233">
        <f t="shared" ref="M11:M23" si="0">SUM(C11:L11)</f>
        <v>8276570294.694313</v>
      </c>
    </row>
    <row r="12" spans="1:13">
      <c r="A12" s="571">
        <f>A11+1</f>
        <v>2</v>
      </c>
      <c r="B12" s="724" t="s">
        <v>2617</v>
      </c>
      <c r="C12" s="235">
        <f>C130+C197 +C11</f>
        <v>81997511.329591066</v>
      </c>
      <c r="D12" s="235">
        <f>D130+D197 +D11</f>
        <v>165330397.22681195</v>
      </c>
      <c r="E12" s="235">
        <f t="shared" ref="E12:L12" si="1">E130+E197 +E11</f>
        <v>528854082.94456756</v>
      </c>
      <c r="F12" s="235">
        <f t="shared" si="1"/>
        <v>3250037231.0578914</v>
      </c>
      <c r="G12" s="235">
        <f t="shared" si="1"/>
        <v>2231001014.4046226</v>
      </c>
      <c r="H12" s="235">
        <f t="shared" si="1"/>
        <v>335699493.46825069</v>
      </c>
      <c r="I12" s="235">
        <f t="shared" si="1"/>
        <v>1232564516.1714423</v>
      </c>
      <c r="J12" s="235">
        <f t="shared" si="1"/>
        <v>185656754.46065056</v>
      </c>
      <c r="K12" s="235">
        <f t="shared" si="1"/>
        <v>81997920.308720946</v>
      </c>
      <c r="L12" s="235">
        <f t="shared" si="1"/>
        <v>160125967.75832444</v>
      </c>
      <c r="M12" s="233">
        <f t="shared" si="0"/>
        <v>8253264889.1308718</v>
      </c>
    </row>
    <row r="13" spans="1:13">
      <c r="A13" s="571">
        <f t="shared" ref="A13:A24" si="2">A12+1</f>
        <v>3</v>
      </c>
      <c r="B13" s="723" t="s">
        <v>2618</v>
      </c>
      <c r="C13" s="235">
        <f t="shared" ref="C13:D22" si="3">C131+C198 +C12</f>
        <v>82013020.485065579</v>
      </c>
      <c r="D13" s="235">
        <f t="shared" si="3"/>
        <v>165784066.13681194</v>
      </c>
      <c r="E13" s="235">
        <f t="shared" ref="E13:E22" si="4">E131+E198 +E12</f>
        <v>534882417.92989409</v>
      </c>
      <c r="F13" s="235">
        <f t="shared" ref="F13:F22" si="5">F131+F198 +F12</f>
        <v>3256654353.0725117</v>
      </c>
      <c r="G13" s="235">
        <f t="shared" ref="G13:G22" si="6">G131+G198 +G12</f>
        <v>2213130982.1333771</v>
      </c>
      <c r="H13" s="235">
        <f t="shared" ref="H13:H22" si="7">H131+H198 +H12</f>
        <v>339965913.33329707</v>
      </c>
      <c r="I13" s="235">
        <f t="shared" ref="I13:I22" si="8">I131+I198 +I12</f>
        <v>1235030893.795954</v>
      </c>
      <c r="J13" s="235">
        <f t="shared" ref="J13:J22" si="9">J131+J198 +J12</f>
        <v>186119194.09506792</v>
      </c>
      <c r="K13" s="235">
        <f t="shared" ref="K13:K22" si="10">K131+K198 +K12</f>
        <v>82775424.321385443</v>
      </c>
      <c r="L13" s="235">
        <f t="shared" ref="L13:L22" si="11">L131+L198 +L12</f>
        <v>161709714.73974848</v>
      </c>
      <c r="M13" s="233">
        <f t="shared" si="0"/>
        <v>8258065980.0431118</v>
      </c>
    </row>
    <row r="14" spans="1:13">
      <c r="A14" s="571">
        <f t="shared" si="2"/>
        <v>4</v>
      </c>
      <c r="B14" s="723" t="s">
        <v>2619</v>
      </c>
      <c r="C14" s="235">
        <f t="shared" si="3"/>
        <v>82413676.780734852</v>
      </c>
      <c r="D14" s="235">
        <f t="shared" si="3"/>
        <v>165733853.1359542</v>
      </c>
      <c r="E14" s="235">
        <f t="shared" si="4"/>
        <v>532806953.88800937</v>
      </c>
      <c r="F14" s="235">
        <f t="shared" si="5"/>
        <v>3260114606.4719715</v>
      </c>
      <c r="G14" s="235">
        <f t="shared" si="6"/>
        <v>2225922423.015646</v>
      </c>
      <c r="H14" s="235">
        <f t="shared" si="7"/>
        <v>342740513.52006418</v>
      </c>
      <c r="I14" s="235">
        <f t="shared" si="8"/>
        <v>1241178224.9469056</v>
      </c>
      <c r="J14" s="235">
        <f t="shared" si="9"/>
        <v>186361376.5458791</v>
      </c>
      <c r="K14" s="235">
        <f t="shared" si="10"/>
        <v>83455650.891343445</v>
      </c>
      <c r="L14" s="235">
        <f t="shared" si="11"/>
        <v>161453728.52818018</v>
      </c>
      <c r="M14" s="233">
        <f t="shared" si="0"/>
        <v>8282181007.7246895</v>
      </c>
    </row>
    <row r="15" spans="1:13">
      <c r="A15" s="571">
        <f t="shared" si="2"/>
        <v>5</v>
      </c>
      <c r="B15" s="724" t="s">
        <v>2620</v>
      </c>
      <c r="C15" s="235">
        <f t="shared" si="3"/>
        <v>82424960.000734851</v>
      </c>
      <c r="D15" s="235">
        <f t="shared" si="3"/>
        <v>165734428.73346913</v>
      </c>
      <c r="E15" s="235">
        <f t="shared" si="4"/>
        <v>540340484.50312638</v>
      </c>
      <c r="F15" s="235">
        <f t="shared" si="5"/>
        <v>3290596931.5240779</v>
      </c>
      <c r="G15" s="235">
        <f t="shared" si="6"/>
        <v>2251979964.6914034</v>
      </c>
      <c r="H15" s="235">
        <f t="shared" si="7"/>
        <v>344598338.85794425</v>
      </c>
      <c r="I15" s="235">
        <f t="shared" si="8"/>
        <v>1244265047.7625117</v>
      </c>
      <c r="J15" s="235">
        <f t="shared" si="9"/>
        <v>186611561.35820594</v>
      </c>
      <c r="K15" s="235">
        <f t="shared" si="10"/>
        <v>83540944.255076736</v>
      </c>
      <c r="L15" s="235">
        <f t="shared" si="11"/>
        <v>161600158.1218653</v>
      </c>
      <c r="M15" s="233">
        <f t="shared" si="0"/>
        <v>8351692819.8084164</v>
      </c>
    </row>
    <row r="16" spans="1:13">
      <c r="A16" s="571">
        <f t="shared" si="2"/>
        <v>6</v>
      </c>
      <c r="B16" s="723" t="s">
        <v>2621</v>
      </c>
      <c r="C16" s="235">
        <f t="shared" si="3"/>
        <v>82438879.958219945</v>
      </c>
      <c r="D16" s="235">
        <f t="shared" si="3"/>
        <v>165704350.73919225</v>
      </c>
      <c r="E16" s="235">
        <f t="shared" si="4"/>
        <v>548767497.36873901</v>
      </c>
      <c r="F16" s="235">
        <f t="shared" si="5"/>
        <v>3303060549.2557364</v>
      </c>
      <c r="G16" s="235">
        <f t="shared" si="6"/>
        <v>2258078708.9137988</v>
      </c>
      <c r="H16" s="235">
        <f t="shared" si="7"/>
        <v>345368677.19838327</v>
      </c>
      <c r="I16" s="235">
        <f t="shared" si="8"/>
        <v>1242476528.4366479</v>
      </c>
      <c r="J16" s="235">
        <f t="shared" si="9"/>
        <v>187117539.03635201</v>
      </c>
      <c r="K16" s="235">
        <f t="shared" si="10"/>
        <v>83717688.500994444</v>
      </c>
      <c r="L16" s="235">
        <f t="shared" si="11"/>
        <v>168349231.71443564</v>
      </c>
      <c r="M16" s="233">
        <f t="shared" si="0"/>
        <v>8385079651.1225004</v>
      </c>
    </row>
    <row r="17" spans="1:15">
      <c r="A17" s="571">
        <f t="shared" si="2"/>
        <v>7</v>
      </c>
      <c r="B17" s="723" t="s">
        <v>2622</v>
      </c>
      <c r="C17" s="235">
        <f t="shared" si="3"/>
        <v>81409531.041870818</v>
      </c>
      <c r="D17" s="235">
        <f t="shared" si="3"/>
        <v>165534488.25595289</v>
      </c>
      <c r="E17" s="235">
        <f t="shared" si="4"/>
        <v>552041269.8048203</v>
      </c>
      <c r="F17" s="235">
        <f t="shared" si="5"/>
        <v>3313909561.1628776</v>
      </c>
      <c r="G17" s="235">
        <f t="shared" si="6"/>
        <v>2261350618.4544725</v>
      </c>
      <c r="H17" s="235">
        <f t="shared" si="7"/>
        <v>347377533.8652634</v>
      </c>
      <c r="I17" s="235">
        <f t="shared" si="8"/>
        <v>1244803717.1369219</v>
      </c>
      <c r="J17" s="235">
        <f t="shared" si="9"/>
        <v>188491606.57570153</v>
      </c>
      <c r="K17" s="235">
        <f t="shared" si="10"/>
        <v>84190542.091635212</v>
      </c>
      <c r="L17" s="235">
        <f t="shared" si="11"/>
        <v>167806375.11891511</v>
      </c>
      <c r="M17" s="233">
        <f t="shared" si="0"/>
        <v>8406915243.5084305</v>
      </c>
    </row>
    <row r="18" spans="1:15">
      <c r="A18" s="571">
        <f t="shared" si="2"/>
        <v>8</v>
      </c>
      <c r="B18" s="724" t="s">
        <v>2623</v>
      </c>
      <c r="C18" s="235">
        <f t="shared" si="3"/>
        <v>81421876.403887019</v>
      </c>
      <c r="D18" s="235">
        <f t="shared" si="3"/>
        <v>165199674.61073655</v>
      </c>
      <c r="E18" s="235">
        <f t="shared" si="4"/>
        <v>554107048.7279923</v>
      </c>
      <c r="F18" s="235">
        <f t="shared" si="5"/>
        <v>3321544470.6075063</v>
      </c>
      <c r="G18" s="235">
        <f t="shared" si="6"/>
        <v>2263663367.962369</v>
      </c>
      <c r="H18" s="235">
        <f t="shared" si="7"/>
        <v>350109484.59682691</v>
      </c>
      <c r="I18" s="235">
        <f t="shared" si="8"/>
        <v>1244039915.8336692</v>
      </c>
      <c r="J18" s="235">
        <f t="shared" si="9"/>
        <v>188624718.09472644</v>
      </c>
      <c r="K18" s="235">
        <f t="shared" si="10"/>
        <v>84257049.666369125</v>
      </c>
      <c r="L18" s="235">
        <f t="shared" si="11"/>
        <v>167839950.27240404</v>
      </c>
      <c r="M18" s="233">
        <f t="shared" si="0"/>
        <v>8420807556.7764864</v>
      </c>
    </row>
    <row r="19" spans="1:15">
      <c r="A19" s="571">
        <f t="shared" si="2"/>
        <v>9</v>
      </c>
      <c r="B19" s="723" t="s">
        <v>2624</v>
      </c>
      <c r="C19" s="235">
        <f t="shared" si="3"/>
        <v>81875010.633887053</v>
      </c>
      <c r="D19" s="235">
        <f t="shared" si="3"/>
        <v>164728138.38125554</v>
      </c>
      <c r="E19" s="235">
        <f t="shared" si="4"/>
        <v>558293841.55568182</v>
      </c>
      <c r="F19" s="235">
        <f t="shared" si="5"/>
        <v>3350799128.8351703</v>
      </c>
      <c r="G19" s="235">
        <f t="shared" si="6"/>
        <v>2265082996.3457894</v>
      </c>
      <c r="H19" s="235">
        <f t="shared" si="7"/>
        <v>350778177.54014826</v>
      </c>
      <c r="I19" s="235">
        <f t="shared" si="8"/>
        <v>1246103080.4025316</v>
      </c>
      <c r="J19" s="235">
        <f t="shared" si="9"/>
        <v>188962876.00330049</v>
      </c>
      <c r="K19" s="235">
        <f t="shared" si="10"/>
        <v>84383655.945058659</v>
      </c>
      <c r="L19" s="235">
        <f t="shared" si="11"/>
        <v>168194578.75962457</v>
      </c>
      <c r="M19" s="233">
        <f t="shared" si="0"/>
        <v>8459201484.4024467</v>
      </c>
    </row>
    <row r="20" spans="1:15">
      <c r="A20" s="571">
        <f t="shared" si="2"/>
        <v>10</v>
      </c>
      <c r="B20" s="723" t="s">
        <v>2625</v>
      </c>
      <c r="C20" s="235">
        <f t="shared" si="3"/>
        <v>81886831.423887074</v>
      </c>
      <c r="D20" s="235">
        <f t="shared" si="3"/>
        <v>164709519.96722952</v>
      </c>
      <c r="E20" s="235">
        <f t="shared" si="4"/>
        <v>560085940.2329005</v>
      </c>
      <c r="F20" s="235">
        <f t="shared" si="5"/>
        <v>3354129788.6444764</v>
      </c>
      <c r="G20" s="235">
        <f t="shared" si="6"/>
        <v>2263017843.9178081</v>
      </c>
      <c r="H20" s="235">
        <f t="shared" si="7"/>
        <v>354174066.57641131</v>
      </c>
      <c r="I20" s="235">
        <f t="shared" si="8"/>
        <v>1247812336.6400785</v>
      </c>
      <c r="J20" s="235">
        <f t="shared" si="9"/>
        <v>189290135.91687733</v>
      </c>
      <c r="K20" s="235">
        <f t="shared" si="10"/>
        <v>84485994.066605121</v>
      </c>
      <c r="L20" s="235">
        <f t="shared" si="11"/>
        <v>168808262.22314706</v>
      </c>
      <c r="M20" s="233">
        <f t="shared" si="0"/>
        <v>8468400719.6094227</v>
      </c>
    </row>
    <row r="21" spans="1:15">
      <c r="A21" s="571">
        <f t="shared" si="2"/>
        <v>11</v>
      </c>
      <c r="B21" s="724" t="s">
        <v>2626</v>
      </c>
      <c r="C21" s="235">
        <f t="shared" si="3"/>
        <v>81898670.463887021</v>
      </c>
      <c r="D21" s="235">
        <f t="shared" si="3"/>
        <v>164708798.40418896</v>
      </c>
      <c r="E21" s="235">
        <f t="shared" si="4"/>
        <v>557690364.6600107</v>
      </c>
      <c r="F21" s="235">
        <f t="shared" si="5"/>
        <v>3337803869.7518563</v>
      </c>
      <c r="G21" s="235">
        <f t="shared" si="6"/>
        <v>2267000465.6816745</v>
      </c>
      <c r="H21" s="235">
        <f t="shared" si="7"/>
        <v>357358231.11677372</v>
      </c>
      <c r="I21" s="235">
        <f t="shared" si="8"/>
        <v>1247335361.2178495</v>
      </c>
      <c r="J21" s="235">
        <f t="shared" si="9"/>
        <v>189937864.06722775</v>
      </c>
      <c r="K21" s="235">
        <f t="shared" si="10"/>
        <v>84808332.546487942</v>
      </c>
      <c r="L21" s="235">
        <f t="shared" si="11"/>
        <v>169009659.89762434</v>
      </c>
      <c r="M21" s="233">
        <f t="shared" si="0"/>
        <v>8457551617.80758</v>
      </c>
    </row>
    <row r="22" spans="1:15">
      <c r="A22" s="571">
        <f t="shared" si="2"/>
        <v>12</v>
      </c>
      <c r="B22" s="724" t="s">
        <v>2627</v>
      </c>
      <c r="C22" s="235">
        <f t="shared" si="3"/>
        <v>87866111.14856644</v>
      </c>
      <c r="D22" s="235">
        <f t="shared" si="3"/>
        <v>164907956.70031324</v>
      </c>
      <c r="E22" s="235">
        <f t="shared" si="4"/>
        <v>559289848.66007018</v>
      </c>
      <c r="F22" s="235">
        <f t="shared" si="5"/>
        <v>3340005248.8568726</v>
      </c>
      <c r="G22" s="235">
        <f t="shared" si="6"/>
        <v>2268750108.1658549</v>
      </c>
      <c r="H22" s="235">
        <f t="shared" si="7"/>
        <v>362445560.88366669</v>
      </c>
      <c r="I22" s="235">
        <f t="shared" si="8"/>
        <v>1244772135.9283471</v>
      </c>
      <c r="J22" s="235">
        <f t="shared" si="9"/>
        <v>190107795.93953431</v>
      </c>
      <c r="K22" s="235">
        <f t="shared" si="10"/>
        <v>84849890.172531247</v>
      </c>
      <c r="L22" s="235">
        <f t="shared" si="11"/>
        <v>171154663.06990889</v>
      </c>
      <c r="M22" s="233">
        <f t="shared" si="0"/>
        <v>8474149319.5256653</v>
      </c>
    </row>
    <row r="23" spans="1:15">
      <c r="A23" s="571">
        <f t="shared" si="2"/>
        <v>13</v>
      </c>
      <c r="B23" s="723" t="s">
        <v>2628</v>
      </c>
      <c r="C23" s="117">
        <v>87876203.008566424</v>
      </c>
      <c r="D23" s="117">
        <v>164901118.05652422</v>
      </c>
      <c r="E23" s="459">
        <f>'7-PlantStudy'!E10</f>
        <v>569698022.82553017</v>
      </c>
      <c r="F23" s="459">
        <f>'7-PlantStudy'!E11</f>
        <v>3409447773.6593328</v>
      </c>
      <c r="G23" s="459">
        <f>'7-PlantStudy'!E20</f>
        <v>2283380921.6603918</v>
      </c>
      <c r="H23" s="459">
        <f>'7-PlantStudy'!E21</f>
        <v>364424080.39844126</v>
      </c>
      <c r="I23" s="459">
        <f>'7-PlantStudy'!E22</f>
        <v>1245933686.1010468</v>
      </c>
      <c r="J23" s="459">
        <f>'7-PlantStudy'!E23</f>
        <v>190222488.72271055</v>
      </c>
      <c r="K23" s="459">
        <f>'7-PlantStudy'!E24</f>
        <v>84920373.966592565</v>
      </c>
      <c r="L23" s="459">
        <f>'7-PlantStudy'!E25</f>
        <v>172640884.93140152</v>
      </c>
      <c r="M23" s="368">
        <f t="shared" si="0"/>
        <v>8573445553.3305378</v>
      </c>
      <c r="O23" s="1"/>
    </row>
    <row r="24" spans="1:15">
      <c r="A24" s="571">
        <f t="shared" si="2"/>
        <v>14</v>
      </c>
      <c r="B24" s="1103" t="s">
        <v>1199</v>
      </c>
      <c r="C24" s="233">
        <f t="shared" ref="C24:M24" si="12">AVERAGE(C11:C23)</f>
        <v>83259075.829490662</v>
      </c>
      <c r="D24" s="233">
        <f t="shared" si="12"/>
        <v>165254132.12501943</v>
      </c>
      <c r="E24" s="233">
        <f t="shared" si="12"/>
        <v>548341567.99486387</v>
      </c>
      <c r="F24" s="233">
        <f t="shared" si="12"/>
        <v>3310559920.1330676</v>
      </c>
      <c r="G24" s="233">
        <f t="shared" si="12"/>
        <v>2252796203.657094</v>
      </c>
      <c r="H24" s="233">
        <f t="shared" si="12"/>
        <v>347638330.70693278</v>
      </c>
      <c r="I24" s="233">
        <f t="shared" si="12"/>
        <v>1242478402.6894362</v>
      </c>
      <c r="J24" s="233">
        <f t="shared" si="12"/>
        <v>187924008.25620276</v>
      </c>
      <c r="K24" s="233">
        <f t="shared" si="12"/>
        <v>83794964.5143428</v>
      </c>
      <c r="L24" s="233">
        <f t="shared" si="12"/>
        <v>167747712.36158651</v>
      </c>
      <c r="M24" s="233">
        <f t="shared" si="12"/>
        <v>8389794318.2680359</v>
      </c>
    </row>
    <row r="25" spans="1:15">
      <c r="A25" s="477"/>
      <c r="B25" s="477"/>
      <c r="C25" s="477"/>
      <c r="D25" s="477"/>
      <c r="E25" s="477"/>
      <c r="F25" s="477"/>
      <c r="G25" s="477"/>
      <c r="H25" s="477"/>
      <c r="I25" s="477"/>
      <c r="J25" s="477"/>
      <c r="K25" s="477"/>
      <c r="L25" s="477"/>
    </row>
    <row r="26" spans="1:15">
      <c r="A26" s="477"/>
      <c r="B26" s="396" t="s">
        <v>323</v>
      </c>
      <c r="C26" s="477"/>
      <c r="D26" s="477"/>
      <c r="E26" s="477"/>
      <c r="F26" s="477"/>
      <c r="G26" s="477"/>
      <c r="H26" s="477"/>
      <c r="I26" s="477"/>
      <c r="J26" s="477"/>
      <c r="K26" s="477"/>
      <c r="L26" s="477"/>
    </row>
    <row r="27" spans="1:15">
      <c r="A27" s="477"/>
      <c r="B27" s="396"/>
      <c r="C27" s="477"/>
      <c r="D27" s="477"/>
      <c r="E27" s="477"/>
      <c r="F27" s="477"/>
      <c r="G27" s="477"/>
      <c r="H27" s="477"/>
      <c r="I27" s="477"/>
      <c r="J27" s="477"/>
      <c r="K27" s="477"/>
      <c r="L27" s="477"/>
    </row>
    <row r="28" spans="1:15">
      <c r="A28" s="477"/>
      <c r="B28" s="240" t="s">
        <v>1737</v>
      </c>
      <c r="C28" s="479"/>
      <c r="D28" s="479"/>
      <c r="E28" s="479"/>
      <c r="F28" s="479"/>
      <c r="G28" s="479"/>
      <c r="H28" s="479"/>
      <c r="I28" s="477"/>
      <c r="J28" s="477"/>
      <c r="K28" s="477"/>
      <c r="L28" s="477"/>
    </row>
    <row r="29" spans="1:15">
      <c r="A29" s="477"/>
      <c r="B29" s="396"/>
      <c r="C29" s="477"/>
      <c r="D29" s="477"/>
      <c r="E29" s="477"/>
      <c r="F29" s="477"/>
      <c r="G29" s="477"/>
      <c r="H29" s="477"/>
      <c r="I29" s="477"/>
      <c r="J29" s="477"/>
      <c r="K29" s="477"/>
      <c r="L29" s="477"/>
    </row>
    <row r="30" spans="1:15">
      <c r="A30" s="396"/>
      <c r="B30" s="84" t="s">
        <v>360</v>
      </c>
      <c r="C30" s="84" t="s">
        <v>344</v>
      </c>
      <c r="D30" s="84" t="s">
        <v>345</v>
      </c>
      <c r="E30" s="84" t="s">
        <v>346</v>
      </c>
      <c r="F30" s="84" t="s">
        <v>347</v>
      </c>
      <c r="G30" s="477"/>
      <c r="H30" s="477"/>
      <c r="I30" s="477"/>
      <c r="J30" s="477"/>
      <c r="K30" s="477"/>
      <c r="L30" s="477"/>
    </row>
    <row r="31" spans="1:15">
      <c r="A31" s="231"/>
      <c r="B31" s="248"/>
      <c r="C31" s="231"/>
      <c r="D31" s="231"/>
      <c r="E31" s="231"/>
      <c r="F31" s="248" t="s">
        <v>1200</v>
      </c>
      <c r="G31" s="477"/>
      <c r="H31" s="477"/>
      <c r="K31" s="477"/>
      <c r="L31" s="477"/>
    </row>
    <row r="32" spans="1:15">
      <c r="A32" s="231"/>
      <c r="B32" s="111"/>
      <c r="C32" s="84"/>
      <c r="D32" s="84"/>
      <c r="E32" s="231"/>
      <c r="F32" s="231"/>
      <c r="G32" s="477"/>
      <c r="H32" s="477"/>
      <c r="K32" s="477"/>
      <c r="L32" s="477"/>
    </row>
    <row r="33" spans="1:12" ht="12.75" customHeight="1">
      <c r="A33" s="51" t="s">
        <v>331</v>
      </c>
      <c r="B33" s="125" t="s">
        <v>1771</v>
      </c>
      <c r="C33" s="369">
        <v>360</v>
      </c>
      <c r="D33" s="369">
        <v>361</v>
      </c>
      <c r="E33" s="369">
        <v>362</v>
      </c>
      <c r="F33" s="3" t="s">
        <v>196</v>
      </c>
      <c r="G33" s="477"/>
      <c r="H33" s="477"/>
      <c r="K33" s="477"/>
      <c r="L33" s="477"/>
    </row>
    <row r="34" spans="1:12" ht="12.75" customHeight="1">
      <c r="A34" s="571">
        <f>A24+1</f>
        <v>15</v>
      </c>
      <c r="B34" s="723" t="s">
        <v>2408</v>
      </c>
      <c r="C34" s="1007">
        <v>0</v>
      </c>
      <c r="D34" s="1007">
        <v>0</v>
      </c>
      <c r="E34" s="1007">
        <v>0</v>
      </c>
      <c r="F34" s="233">
        <f>SUM(C34:E34)</f>
        <v>0</v>
      </c>
      <c r="G34" s="477"/>
      <c r="H34" s="477"/>
      <c r="K34" s="477"/>
      <c r="L34" s="477"/>
    </row>
    <row r="35" spans="1:12" ht="12.75" customHeight="1">
      <c r="A35" s="571">
        <f>A34+1</f>
        <v>16</v>
      </c>
      <c r="B35" s="723" t="s">
        <v>2628</v>
      </c>
      <c r="C35" s="398">
        <v>0</v>
      </c>
      <c r="D35" s="398">
        <v>0</v>
      </c>
      <c r="E35" s="398">
        <v>0</v>
      </c>
      <c r="F35" s="368">
        <f>SUM(C35:E35)</f>
        <v>0</v>
      </c>
      <c r="G35" s="477"/>
      <c r="H35" s="477"/>
      <c r="K35" s="477"/>
      <c r="L35" s="477"/>
    </row>
    <row r="36" spans="1:12" ht="12.75" customHeight="1">
      <c r="A36" s="571">
        <f>A35+1</f>
        <v>17</v>
      </c>
      <c r="B36" s="1103" t="s">
        <v>1201</v>
      </c>
      <c r="C36" s="233">
        <f>AVERAGE(C34:C35)</f>
        <v>0</v>
      </c>
      <c r="D36" s="233">
        <f>AVERAGE(D34:D35)</f>
        <v>0</v>
      </c>
      <c r="E36" s="233">
        <f>AVERAGE(E34:E35)</f>
        <v>0</v>
      </c>
      <c r="F36" s="233">
        <f>AVERAGE(F34:F35)</f>
        <v>0</v>
      </c>
      <c r="G36" s="477"/>
      <c r="H36" s="477"/>
      <c r="K36" s="477"/>
      <c r="L36" s="477"/>
    </row>
    <row r="37" spans="1:12" ht="12.75" customHeight="1">
      <c r="A37" s="477"/>
      <c r="B37" s="477"/>
      <c r="C37" s="477"/>
      <c r="D37" s="477"/>
      <c r="E37" s="477"/>
      <c r="F37" s="477"/>
      <c r="G37" s="477"/>
      <c r="H37" s="477"/>
      <c r="K37" s="477"/>
      <c r="L37" s="477"/>
    </row>
    <row r="38" spans="1:12">
      <c r="A38" s="477"/>
      <c r="B38" s="1" t="s">
        <v>1054</v>
      </c>
      <c r="C38" s="639"/>
      <c r="D38" s="639"/>
      <c r="E38" s="1104"/>
      <c r="F38" s="1105"/>
      <c r="G38" s="1106"/>
      <c r="H38" s="477"/>
      <c r="K38" s="477"/>
      <c r="L38" s="477"/>
    </row>
    <row r="39" spans="1:12">
      <c r="A39" s="477"/>
      <c r="B39" s="477" t="s">
        <v>1055</v>
      </c>
      <c r="C39" s="639"/>
      <c r="D39" s="639"/>
      <c r="E39" s="1104"/>
      <c r="F39" s="1105"/>
      <c r="G39" s="1106"/>
      <c r="H39" s="477"/>
      <c r="K39" s="477"/>
      <c r="L39" s="477"/>
    </row>
    <row r="40" spans="1:12">
      <c r="A40" s="477"/>
      <c r="B40" s="477"/>
      <c r="C40" s="639"/>
      <c r="D40" s="639"/>
      <c r="E40" s="1104"/>
      <c r="F40" s="1105"/>
      <c r="G40" s="1106"/>
      <c r="H40" s="477"/>
      <c r="K40" s="477"/>
      <c r="L40" s="477"/>
    </row>
    <row r="41" spans="1:12">
      <c r="A41" s="477"/>
      <c r="B41" s="477"/>
      <c r="C41" s="639"/>
      <c r="D41" s="1107" t="s">
        <v>175</v>
      </c>
      <c r="E41" s="1108" t="s">
        <v>179</v>
      </c>
      <c r="F41" s="1105"/>
      <c r="G41" s="1106"/>
      <c r="H41" s="477"/>
      <c r="K41" s="477"/>
      <c r="L41" s="477"/>
    </row>
    <row r="42" spans="1:12">
      <c r="A42" s="571">
        <f>A36+1</f>
        <v>18</v>
      </c>
      <c r="B42" s="477"/>
      <c r="C42" s="1104" t="s">
        <v>324</v>
      </c>
      <c r="D42" s="1105">
        <f>M24+F36</f>
        <v>8389794318.2680359</v>
      </c>
      <c r="E42" s="1109" t="str">
        <f>"Sum of Line "&amp;A24&amp;", "&amp;M7&amp;" and Line "&amp;A36&amp;", "&amp;F30&amp;""</f>
        <v>Sum of Line 14, Col 12 and Line 17, Col 5</v>
      </c>
      <c r="F42" s="477"/>
      <c r="G42" s="477"/>
      <c r="H42" s="479"/>
      <c r="K42" s="477"/>
      <c r="L42" s="477"/>
    </row>
    <row r="43" spans="1:12">
      <c r="A43" s="571">
        <f>A42+1</f>
        <v>19</v>
      </c>
      <c r="B43" s="477"/>
      <c r="C43" s="1104" t="s">
        <v>156</v>
      </c>
      <c r="D43" s="1105">
        <f>M23+F35</f>
        <v>8573445553.3305378</v>
      </c>
      <c r="E43" s="1109" t="str">
        <f>"Sum of Line "&amp;A23&amp;", "&amp;M7&amp;" and Line "&amp;A35&amp;", "&amp;F30&amp;""</f>
        <v>Sum of Line 13, Col 12 and Line 16, Col 5</v>
      </c>
      <c r="F43" s="477"/>
      <c r="G43" s="477"/>
      <c r="H43" s="479"/>
      <c r="I43" s="477"/>
      <c r="J43" s="477"/>
      <c r="K43" s="477"/>
      <c r="L43" s="477"/>
    </row>
    <row r="44" spans="1:12">
      <c r="A44" s="477"/>
      <c r="B44" s="477"/>
      <c r="C44" s="639"/>
      <c r="D44" s="639"/>
      <c r="E44" s="1110"/>
      <c r="F44" s="1111"/>
      <c r="G44" s="1112"/>
      <c r="H44" s="477"/>
      <c r="I44" s="477"/>
      <c r="J44" s="477"/>
      <c r="K44" s="477"/>
      <c r="L44" s="477"/>
    </row>
    <row r="45" spans="1:12">
      <c r="A45" s="477"/>
      <c r="B45" s="1" t="s">
        <v>1738</v>
      </c>
      <c r="C45" s="477"/>
      <c r="D45" s="477"/>
      <c r="E45" s="1110"/>
      <c r="F45" s="1111"/>
      <c r="G45" s="1112"/>
      <c r="H45" s="477"/>
      <c r="I45" s="477"/>
      <c r="J45" s="477"/>
      <c r="K45" s="477"/>
      <c r="L45" s="477"/>
    </row>
    <row r="46" spans="1:12">
      <c r="A46" s="477"/>
      <c r="B46" s="481" t="s">
        <v>305</v>
      </c>
      <c r="C46" s="477"/>
      <c r="D46" s="477"/>
      <c r="E46" s="1110"/>
      <c r="F46" s="1111"/>
      <c r="G46" s="1112"/>
      <c r="H46" s="477"/>
      <c r="I46" s="477"/>
      <c r="J46" s="477"/>
      <c r="K46" s="477"/>
      <c r="L46" s="477"/>
    </row>
    <row r="47" spans="1:12" ht="12.75" customHeight="1">
      <c r="A47" s="477"/>
      <c r="B47" s="481"/>
      <c r="C47" s="477"/>
      <c r="D47" s="477"/>
      <c r="E47" s="1110"/>
      <c r="F47" s="1111"/>
      <c r="G47" s="1112"/>
      <c r="H47" s="477"/>
      <c r="I47" s="477"/>
      <c r="J47" s="477"/>
      <c r="K47" s="477"/>
      <c r="L47" s="477"/>
    </row>
    <row r="48" spans="1:12">
      <c r="A48" s="477"/>
      <c r="B48" s="1"/>
      <c r="C48" s="248" t="s">
        <v>361</v>
      </c>
      <c r="D48" s="477"/>
      <c r="E48" s="1110"/>
      <c r="F48" s="84" t="s">
        <v>360</v>
      </c>
      <c r="G48" s="84" t="s">
        <v>344</v>
      </c>
      <c r="H48" s="84" t="s">
        <v>345</v>
      </c>
      <c r="I48" s="477"/>
      <c r="J48" s="477"/>
      <c r="K48" s="477"/>
      <c r="L48" s="477"/>
    </row>
    <row r="49" spans="1:12">
      <c r="A49" s="477"/>
      <c r="B49" s="1"/>
      <c r="C49" s="571" t="s">
        <v>404</v>
      </c>
      <c r="D49" s="1110"/>
      <c r="F49" s="571" t="s">
        <v>1220</v>
      </c>
      <c r="G49" s="571" t="s">
        <v>1221</v>
      </c>
      <c r="H49" s="1091" t="s">
        <v>196</v>
      </c>
      <c r="I49" s="1112"/>
      <c r="J49" s="477"/>
      <c r="K49" s="477"/>
      <c r="L49" s="477"/>
    </row>
    <row r="50" spans="1:12">
      <c r="A50" s="477"/>
      <c r="B50" s="477"/>
      <c r="C50" s="571" t="s">
        <v>193</v>
      </c>
      <c r="D50" s="646" t="s">
        <v>194</v>
      </c>
      <c r="F50" s="646" t="s">
        <v>373</v>
      </c>
      <c r="G50" s="646" t="s">
        <v>373</v>
      </c>
      <c r="H50" s="646" t="s">
        <v>1202</v>
      </c>
      <c r="I50" s="646"/>
      <c r="J50" s="477"/>
      <c r="K50" s="477"/>
      <c r="L50" s="477"/>
    </row>
    <row r="51" spans="1:12">
      <c r="A51" s="477"/>
      <c r="B51" s="477"/>
      <c r="C51" s="3" t="s">
        <v>192</v>
      </c>
      <c r="D51" s="630" t="s">
        <v>179</v>
      </c>
      <c r="F51" s="643" t="s">
        <v>2</v>
      </c>
      <c r="G51" s="643" t="s">
        <v>2</v>
      </c>
      <c r="H51" s="643" t="s">
        <v>2</v>
      </c>
      <c r="I51" s="1113" t="s">
        <v>168</v>
      </c>
      <c r="J51" s="477"/>
      <c r="K51" s="477"/>
      <c r="L51" s="477"/>
    </row>
    <row r="52" spans="1:12">
      <c r="A52" s="571">
        <f>A43+1</f>
        <v>20</v>
      </c>
      <c r="B52" s="477"/>
      <c r="C52" s="627" t="s">
        <v>180</v>
      </c>
      <c r="D52" s="1090" t="s">
        <v>1222</v>
      </c>
      <c r="F52" s="1023">
        <v>2941903413</v>
      </c>
      <c r="G52" s="511">
        <v>1588136353</v>
      </c>
      <c r="H52" s="1105">
        <f>SUM(F52:G52)</f>
        <v>4530039766</v>
      </c>
      <c r="I52" s="1090" t="s">
        <v>1739</v>
      </c>
      <c r="J52" s="479"/>
      <c r="K52" s="477"/>
      <c r="L52" s="477"/>
    </row>
    <row r="53" spans="1:12" ht="12.75" customHeight="1">
      <c r="A53" s="571">
        <f>A52+1</f>
        <v>21</v>
      </c>
      <c r="B53" s="477"/>
      <c r="C53" s="634" t="s">
        <v>180</v>
      </c>
      <c r="D53" s="1090" t="s">
        <v>1766</v>
      </c>
      <c r="E53" s="14"/>
      <c r="F53" s="1023">
        <v>3102162333</v>
      </c>
      <c r="G53" s="511">
        <v>1324870316</v>
      </c>
      <c r="H53" s="1105">
        <f>SUM(F53:G53)</f>
        <v>4427032649</v>
      </c>
      <c r="I53" s="476" t="s">
        <v>1740</v>
      </c>
      <c r="J53" s="479"/>
      <c r="K53" s="477"/>
      <c r="L53" s="477"/>
    </row>
    <row r="54" spans="1:12" ht="12.75" customHeight="1">
      <c r="A54" s="477"/>
      <c r="B54" s="477"/>
      <c r="C54" s="634"/>
      <c r="D54" s="1114"/>
      <c r="E54" s="1115"/>
      <c r="F54" s="1105"/>
      <c r="G54" s="481"/>
      <c r="H54" s="477"/>
      <c r="I54" s="477"/>
      <c r="J54" s="477"/>
      <c r="K54" s="477"/>
      <c r="L54" s="477"/>
    </row>
    <row r="55" spans="1:12" ht="12.75" customHeight="1">
      <c r="A55" s="477"/>
      <c r="B55" s="477"/>
      <c r="C55" s="639" t="s">
        <v>1224</v>
      </c>
      <c r="D55" s="639"/>
      <c r="E55" s="1110"/>
      <c r="F55" s="1108" t="s">
        <v>175</v>
      </c>
      <c r="G55" s="1116" t="s">
        <v>179</v>
      </c>
      <c r="H55" s="477"/>
      <c r="I55" s="477"/>
      <c r="J55" s="477"/>
      <c r="K55" s="477"/>
      <c r="L55" s="477"/>
    </row>
    <row r="56" spans="1:12">
      <c r="A56" s="571">
        <f>A53+1</f>
        <v>22</v>
      </c>
      <c r="B56" s="477"/>
      <c r="C56" s="639"/>
      <c r="D56" s="639"/>
      <c r="E56" s="1104" t="s">
        <v>84</v>
      </c>
      <c r="F56" s="1105">
        <f>(H52+H53)/2</f>
        <v>4478536207.5</v>
      </c>
      <c r="G56" s="517" t="str">
        <f>"Average of Line "&amp;A52&amp;" and "&amp;A53&amp;"."</f>
        <v>Average of Line 20 and 21.</v>
      </c>
      <c r="H56" s="477"/>
      <c r="I56" s="479"/>
      <c r="J56" s="477"/>
      <c r="K56" s="477"/>
      <c r="L56" s="477"/>
    </row>
    <row r="57" spans="1:12">
      <c r="A57" s="571">
        <f>A56+1</f>
        <v>23</v>
      </c>
      <c r="B57" s="477"/>
      <c r="C57" s="639"/>
      <c r="D57" s="639"/>
      <c r="E57" s="608" t="s">
        <v>241</v>
      </c>
      <c r="F57" s="1117">
        <f>'27-Allocators'!G14</f>
        <v>6.0143362776597958E-2</v>
      </c>
      <c r="G57" s="517" t="str">
        <f>"27-Allocators, Line "&amp;'27-Allocators'!A14&amp;""</f>
        <v>27-Allocators, Line 9</v>
      </c>
      <c r="H57" s="477"/>
      <c r="I57" s="479"/>
      <c r="J57" s="477"/>
      <c r="K57" s="477"/>
      <c r="L57" s="477"/>
    </row>
    <row r="58" spans="1:12">
      <c r="A58" s="571">
        <f>A57+1</f>
        <v>24</v>
      </c>
      <c r="B58" s="477"/>
      <c r="C58" s="639"/>
      <c r="D58" s="639"/>
      <c r="E58" s="608" t="s">
        <v>306</v>
      </c>
      <c r="F58" s="1105">
        <f>F56*F57</f>
        <v>269354227.83580166</v>
      </c>
      <c r="G58" s="517" t="str">
        <f>"Line "&amp;A56&amp;" * Line "&amp;A57&amp;"."</f>
        <v>Line 22 * Line 23.</v>
      </c>
      <c r="H58" s="477"/>
      <c r="I58" s="479"/>
      <c r="J58" s="477"/>
      <c r="K58" s="477"/>
      <c r="L58" s="477"/>
    </row>
    <row r="59" spans="1:12">
      <c r="A59" s="477"/>
      <c r="B59" s="477"/>
      <c r="C59" s="639"/>
      <c r="D59" s="639"/>
      <c r="E59" s="608"/>
      <c r="F59" s="1105"/>
      <c r="G59" s="1106"/>
      <c r="H59" s="477"/>
      <c r="I59" s="477"/>
      <c r="J59" s="477"/>
      <c r="K59" s="477"/>
      <c r="L59" s="477"/>
    </row>
    <row r="60" spans="1:12">
      <c r="A60" s="477"/>
      <c r="B60" s="477"/>
      <c r="C60" s="639" t="s">
        <v>1223</v>
      </c>
      <c r="D60" s="639"/>
      <c r="E60" s="1110"/>
      <c r="F60" s="1108" t="s">
        <v>175</v>
      </c>
      <c r="G60" s="1116" t="s">
        <v>179</v>
      </c>
      <c r="H60" s="477"/>
      <c r="I60" s="477"/>
      <c r="J60" s="477"/>
      <c r="K60" s="477"/>
      <c r="L60" s="477"/>
    </row>
    <row r="61" spans="1:12">
      <c r="A61" s="571">
        <f>A58+1</f>
        <v>25</v>
      </c>
      <c r="B61" s="477"/>
      <c r="C61" s="639"/>
      <c r="D61" s="639"/>
      <c r="E61" s="1104" t="s">
        <v>156</v>
      </c>
      <c r="F61" s="1105">
        <f>H53</f>
        <v>4427032649</v>
      </c>
      <c r="G61" s="517" t="str">
        <f>"Line "&amp;A53&amp;"."</f>
        <v>Line 21.</v>
      </c>
      <c r="H61" s="479"/>
      <c r="I61" s="477"/>
      <c r="J61" s="477"/>
      <c r="K61" s="477"/>
      <c r="L61" s="477"/>
    </row>
    <row r="62" spans="1:12">
      <c r="A62" s="571">
        <f>A61+1</f>
        <v>26</v>
      </c>
      <c r="B62" s="477"/>
      <c r="C62" s="639"/>
      <c r="D62" s="639"/>
      <c r="E62" s="608" t="s">
        <v>241</v>
      </c>
      <c r="F62" s="1117">
        <f>'27-Allocators'!G14</f>
        <v>6.0143362776597958E-2</v>
      </c>
      <c r="G62" s="517" t="str">
        <f>"27-Allocators, Line "&amp;'27-Allocators'!A14&amp;""</f>
        <v>27-Allocators, Line 9</v>
      </c>
      <c r="H62" s="479"/>
      <c r="I62" s="477"/>
      <c r="J62" s="477"/>
      <c r="K62" s="477"/>
      <c r="L62" s="477"/>
    </row>
    <row r="63" spans="1:12">
      <c r="A63" s="571">
        <f>A62+1</f>
        <v>27</v>
      </c>
      <c r="B63" s="477"/>
      <c r="C63" s="639"/>
      <c r="D63" s="639"/>
      <c r="E63" s="608" t="s">
        <v>306</v>
      </c>
      <c r="F63" s="1105">
        <f>F61*F62</f>
        <v>266256630.63265046</v>
      </c>
      <c r="G63" s="517" t="str">
        <f>"Line "&amp;A61&amp;" * Line "&amp;A62&amp;"."</f>
        <v>Line 25 * Line 26.</v>
      </c>
      <c r="H63" s="479"/>
      <c r="I63" s="477"/>
      <c r="J63" s="477"/>
      <c r="K63" s="477"/>
      <c r="L63" s="477"/>
    </row>
    <row r="64" spans="1:12">
      <c r="A64" s="477"/>
      <c r="B64" s="477"/>
      <c r="C64" s="477"/>
      <c r="D64" s="477"/>
      <c r="E64" s="477"/>
      <c r="F64" s="477"/>
      <c r="G64" s="477"/>
      <c r="H64" s="477"/>
      <c r="I64" s="477"/>
      <c r="J64" s="477"/>
      <c r="K64" s="477"/>
      <c r="L64" s="477"/>
    </row>
    <row r="65" spans="1:14">
      <c r="A65" s="477"/>
      <c r="B65" s="477"/>
      <c r="C65" s="477"/>
      <c r="D65" s="477"/>
      <c r="E65" s="477"/>
      <c r="F65" s="477"/>
      <c r="G65" s="477"/>
      <c r="H65" s="477"/>
      <c r="I65" s="477"/>
      <c r="J65" s="477"/>
      <c r="K65" s="477"/>
      <c r="L65" s="477"/>
    </row>
    <row r="66" spans="1:14">
      <c r="A66" s="477"/>
      <c r="B66" s="1" t="s">
        <v>1545</v>
      </c>
      <c r="C66" s="477"/>
      <c r="D66" s="477"/>
      <c r="E66" s="477"/>
      <c r="F66" s="477"/>
      <c r="G66" s="477"/>
      <c r="H66" s="477"/>
      <c r="I66" s="477"/>
      <c r="J66" s="477"/>
      <c r="K66" s="477"/>
      <c r="L66" s="477"/>
    </row>
    <row r="67" spans="1:14">
      <c r="A67" s="477"/>
      <c r="C67" s="477"/>
      <c r="D67" s="477"/>
      <c r="E67" s="477"/>
      <c r="F67" s="477"/>
      <c r="G67" s="477"/>
      <c r="H67" s="477"/>
      <c r="I67" s="477"/>
      <c r="J67" s="477"/>
      <c r="K67" s="477"/>
      <c r="L67" s="477"/>
    </row>
    <row r="68" spans="1:14">
      <c r="B68" s="1" t="s">
        <v>2409</v>
      </c>
      <c r="C68" s="477"/>
      <c r="D68" s="477"/>
      <c r="E68" s="477"/>
      <c r="F68" s="477"/>
      <c r="G68" s="477"/>
      <c r="H68" s="477"/>
      <c r="I68" s="477"/>
      <c r="J68" s="477"/>
      <c r="K68" s="477"/>
      <c r="L68" s="477"/>
    </row>
    <row r="69" spans="1:14">
      <c r="A69" s="477"/>
      <c r="C69" s="477"/>
      <c r="D69" s="477"/>
      <c r="E69" s="477"/>
      <c r="F69" s="477"/>
      <c r="G69" s="477"/>
      <c r="H69" s="477"/>
      <c r="I69" s="477"/>
      <c r="J69" s="477"/>
      <c r="K69" s="477"/>
      <c r="L69" s="477"/>
    </row>
    <row r="70" spans="1:14">
      <c r="A70" s="396"/>
      <c r="B70" s="84" t="s">
        <v>360</v>
      </c>
      <c r="C70" s="84" t="s">
        <v>344</v>
      </c>
      <c r="D70" s="84" t="s">
        <v>345</v>
      </c>
      <c r="E70" s="84" t="s">
        <v>346</v>
      </c>
      <c r="F70" s="84" t="s">
        <v>347</v>
      </c>
      <c r="G70" s="84" t="s">
        <v>348</v>
      </c>
      <c r="H70" s="84" t="s">
        <v>349</v>
      </c>
      <c r="I70" s="84" t="s">
        <v>541</v>
      </c>
      <c r="J70" s="84" t="s">
        <v>958</v>
      </c>
      <c r="K70" s="84" t="s">
        <v>971</v>
      </c>
      <c r="L70" s="84" t="s">
        <v>974</v>
      </c>
      <c r="M70" s="84" t="s">
        <v>992</v>
      </c>
    </row>
    <row r="71" spans="1:14">
      <c r="A71" s="231"/>
      <c r="B71" s="248"/>
      <c r="C71" s="231"/>
      <c r="D71" s="231"/>
      <c r="E71" s="231"/>
      <c r="F71" s="231"/>
      <c r="G71" s="231"/>
      <c r="H71" s="231"/>
      <c r="I71" s="231"/>
      <c r="J71" s="231"/>
      <c r="K71" s="231"/>
      <c r="M71" s="248" t="s">
        <v>1233</v>
      </c>
    </row>
    <row r="72" spans="1:14">
      <c r="A72" s="51"/>
      <c r="B72" s="125" t="s">
        <v>1771</v>
      </c>
      <c r="C72" s="84">
        <v>350.1</v>
      </c>
      <c r="D72" s="84">
        <v>350.2</v>
      </c>
      <c r="E72" s="84">
        <v>352</v>
      </c>
      <c r="F72" s="84">
        <v>353</v>
      </c>
      <c r="G72" s="84">
        <v>354</v>
      </c>
      <c r="H72" s="84">
        <v>355</v>
      </c>
      <c r="I72" s="84">
        <v>356</v>
      </c>
      <c r="J72" s="84">
        <v>357</v>
      </c>
      <c r="K72" s="84">
        <v>358</v>
      </c>
      <c r="L72" s="84">
        <v>359</v>
      </c>
      <c r="M72" s="3" t="s">
        <v>196</v>
      </c>
    </row>
    <row r="73" spans="1:14">
      <c r="A73" s="571">
        <f>A63+1</f>
        <v>28</v>
      </c>
      <c r="B73" s="966" t="s">
        <v>2408</v>
      </c>
      <c r="C73" s="511">
        <v>129517154.04000002</v>
      </c>
      <c r="D73" s="511">
        <v>209428812.60000002</v>
      </c>
      <c r="E73" s="1007">
        <v>825778508.24000001</v>
      </c>
      <c r="F73" s="1007">
        <v>5586246879.5699997</v>
      </c>
      <c r="G73" s="1007">
        <v>2305498226.4400005</v>
      </c>
      <c r="H73" s="1007">
        <v>1158164968.4300003</v>
      </c>
      <c r="I73" s="1007">
        <v>1499811259.55</v>
      </c>
      <c r="J73" s="1007">
        <v>253220290.41</v>
      </c>
      <c r="K73" s="1007">
        <v>368734328.63</v>
      </c>
      <c r="L73" s="1007">
        <v>200535234.44999999</v>
      </c>
      <c r="M73" s="233">
        <f t="shared" ref="M73:M85" si="13">SUM(C73:L73)</f>
        <v>12536935662.359999</v>
      </c>
      <c r="N73" s="14"/>
    </row>
    <row r="74" spans="1:14">
      <c r="A74" s="571">
        <f t="shared" ref="A74:A85" si="14">A73+1</f>
        <v>29</v>
      </c>
      <c r="B74" s="724" t="s">
        <v>2617</v>
      </c>
      <c r="C74" s="511">
        <v>131378834.44999999</v>
      </c>
      <c r="D74" s="511">
        <v>209432282.55000001</v>
      </c>
      <c r="E74" s="1007">
        <v>821581817.11000013</v>
      </c>
      <c r="F74" s="1007">
        <v>5587843439.6599989</v>
      </c>
      <c r="G74" s="1007">
        <v>2303288694.5999999</v>
      </c>
      <c r="H74" s="1007">
        <v>1198334409.4800003</v>
      </c>
      <c r="I74" s="1007">
        <v>1489256987.23</v>
      </c>
      <c r="J74" s="1007">
        <v>253416854.25999999</v>
      </c>
      <c r="K74" s="1007">
        <v>367637510.72000003</v>
      </c>
      <c r="L74" s="1007">
        <v>181870487.78</v>
      </c>
      <c r="M74" s="233">
        <f t="shared" si="13"/>
        <v>12544041317.839998</v>
      </c>
      <c r="N74" s="14"/>
    </row>
    <row r="75" spans="1:14">
      <c r="A75" s="571">
        <f t="shared" si="14"/>
        <v>30</v>
      </c>
      <c r="B75" s="723" t="s">
        <v>2618</v>
      </c>
      <c r="C75" s="511">
        <v>131394149.10000002</v>
      </c>
      <c r="D75" s="511">
        <v>209885951.46000004</v>
      </c>
      <c r="E75" s="1007">
        <v>830639898.80000007</v>
      </c>
      <c r="F75" s="1007">
        <v>5601903855.8400011</v>
      </c>
      <c r="G75" s="1007">
        <v>2290647334.4299998</v>
      </c>
      <c r="H75" s="1007">
        <v>1213024812.6700001</v>
      </c>
      <c r="I75" s="1007">
        <v>1496353589.9000001</v>
      </c>
      <c r="J75" s="1007">
        <v>253857398.16</v>
      </c>
      <c r="K75" s="1007">
        <v>370873865.63999999</v>
      </c>
      <c r="L75" s="1007">
        <v>183453262.98999998</v>
      </c>
      <c r="M75" s="233">
        <f t="shared" si="13"/>
        <v>12582034118.99</v>
      </c>
      <c r="N75" s="14"/>
    </row>
    <row r="76" spans="1:14">
      <c r="A76" s="571">
        <f t="shared" si="14"/>
        <v>31</v>
      </c>
      <c r="B76" s="723" t="s">
        <v>2619</v>
      </c>
      <c r="C76" s="511">
        <v>131237780.74000001</v>
      </c>
      <c r="D76" s="511">
        <v>209952218.04000002</v>
      </c>
      <c r="E76" s="1007">
        <v>827239561.38999999</v>
      </c>
      <c r="F76" s="1007">
        <v>5610673606.6500006</v>
      </c>
      <c r="G76" s="1007">
        <v>2300102273.7600002</v>
      </c>
      <c r="H76" s="1007">
        <v>1221317310.8199999</v>
      </c>
      <c r="I76" s="1007">
        <v>1506732163.1400001</v>
      </c>
      <c r="J76" s="1007">
        <v>253855831.97</v>
      </c>
      <c r="K76" s="1007">
        <v>370602080.31999999</v>
      </c>
      <c r="L76" s="1007">
        <v>183167786.39000002</v>
      </c>
      <c r="M76" s="233">
        <f t="shared" si="13"/>
        <v>12614880613.219999</v>
      </c>
      <c r="N76" s="14"/>
    </row>
    <row r="77" spans="1:14">
      <c r="A77" s="571">
        <f t="shared" si="14"/>
        <v>32</v>
      </c>
      <c r="B77" s="724" t="s">
        <v>2620</v>
      </c>
      <c r="C77" s="511">
        <v>131249063.96000001</v>
      </c>
      <c r="D77" s="511">
        <v>209952774.83000001</v>
      </c>
      <c r="E77" s="1007">
        <v>838658329.56000006</v>
      </c>
      <c r="F77" s="1007">
        <v>5638495922.1400013</v>
      </c>
      <c r="G77" s="1007">
        <v>2319350718.6600003</v>
      </c>
      <c r="H77" s="1007">
        <v>1228634537.8099999</v>
      </c>
      <c r="I77" s="1007">
        <v>1514411785.8100002</v>
      </c>
      <c r="J77" s="1007">
        <v>253429387.49000001</v>
      </c>
      <c r="K77" s="1007">
        <v>372129606.30000001</v>
      </c>
      <c r="L77" s="1007">
        <v>183311693.40000001</v>
      </c>
      <c r="M77" s="233">
        <f t="shared" si="13"/>
        <v>12689623819.959999</v>
      </c>
      <c r="N77" s="14"/>
    </row>
    <row r="78" spans="1:14">
      <c r="A78" s="571">
        <f t="shared" si="14"/>
        <v>33</v>
      </c>
      <c r="B78" s="723" t="s">
        <v>2621</v>
      </c>
      <c r="C78" s="511">
        <v>131262629.39000002</v>
      </c>
      <c r="D78" s="511">
        <v>210021494.91000003</v>
      </c>
      <c r="E78" s="1007">
        <v>847569487.17000008</v>
      </c>
      <c r="F78" s="1007">
        <v>5656987999.9299994</v>
      </c>
      <c r="G78" s="1007">
        <v>2324305485.04</v>
      </c>
      <c r="H78" s="1007">
        <v>1231820325.4200001</v>
      </c>
      <c r="I78" s="1007">
        <v>1513503677.6800001</v>
      </c>
      <c r="J78" s="1007">
        <v>253935044.16</v>
      </c>
      <c r="K78" s="1007">
        <v>372276466.06999999</v>
      </c>
      <c r="L78" s="1007">
        <v>190014214.03</v>
      </c>
      <c r="M78" s="233">
        <f t="shared" si="13"/>
        <v>12731696823.799999</v>
      </c>
      <c r="N78" s="14"/>
    </row>
    <row r="79" spans="1:14">
      <c r="A79" s="571">
        <f t="shared" si="14"/>
        <v>34</v>
      </c>
      <c r="B79" s="723" t="s">
        <v>2622</v>
      </c>
      <c r="C79" s="511">
        <v>131656979.69</v>
      </c>
      <c r="D79" s="511">
        <v>210412890.44000003</v>
      </c>
      <c r="E79" s="1007">
        <v>852493265.84000003</v>
      </c>
      <c r="F79" s="1007">
        <v>5682316528.960001</v>
      </c>
      <c r="G79" s="1007">
        <v>2326687641.0300002</v>
      </c>
      <c r="H79" s="1007">
        <v>1238729355.6100001</v>
      </c>
      <c r="I79" s="1007">
        <v>1517863406.0600002</v>
      </c>
      <c r="J79" s="1007">
        <v>255114081.19</v>
      </c>
      <c r="K79" s="1007">
        <v>371791118.30000001</v>
      </c>
      <c r="L79" s="1007">
        <v>189504963.67000002</v>
      </c>
      <c r="M79" s="233">
        <f t="shared" si="13"/>
        <v>12776570230.790001</v>
      </c>
      <c r="N79" s="14"/>
    </row>
    <row r="80" spans="1:14">
      <c r="A80" s="571">
        <f t="shared" si="14"/>
        <v>35</v>
      </c>
      <c r="B80" s="724" t="s">
        <v>2623</v>
      </c>
      <c r="C80" s="511">
        <v>131669331.61000001</v>
      </c>
      <c r="D80" s="511">
        <v>211181934.89000002</v>
      </c>
      <c r="E80" s="1007">
        <v>855677898.75999999</v>
      </c>
      <c r="F80" s="1007">
        <v>5699938077.2799997</v>
      </c>
      <c r="G80" s="1007">
        <v>2328487000.4100003</v>
      </c>
      <c r="H80" s="1007">
        <v>1248163748.5900002</v>
      </c>
      <c r="I80" s="1007">
        <v>1515097590.28</v>
      </c>
      <c r="J80" s="1007">
        <v>257612022.34999999</v>
      </c>
      <c r="K80" s="1007">
        <v>369992617.23000002</v>
      </c>
      <c r="L80" s="1007">
        <v>189561686.74000001</v>
      </c>
      <c r="M80" s="233">
        <f t="shared" si="13"/>
        <v>12807381908.140001</v>
      </c>
      <c r="N80" s="14"/>
    </row>
    <row r="81" spans="1:14">
      <c r="A81" s="571">
        <f t="shared" si="14"/>
        <v>36</v>
      </c>
      <c r="B81" s="723" t="s">
        <v>2624</v>
      </c>
      <c r="C81" s="511">
        <v>132122465.84</v>
      </c>
      <c r="D81" s="511">
        <v>210772635.17000002</v>
      </c>
      <c r="E81" s="1007">
        <v>862262673.79999995</v>
      </c>
      <c r="F81" s="1007">
        <v>5767479991.9000006</v>
      </c>
      <c r="G81" s="1007">
        <v>2329659077.5999999</v>
      </c>
      <c r="H81" s="1007">
        <v>1250309323.49</v>
      </c>
      <c r="I81" s="1007">
        <v>1520655990.5600002</v>
      </c>
      <c r="J81" s="1007">
        <v>257719916.97</v>
      </c>
      <c r="K81" s="1007">
        <v>373462879.52999997</v>
      </c>
      <c r="L81" s="1007">
        <v>189881476.38000003</v>
      </c>
      <c r="M81" s="233">
        <f t="shared" si="13"/>
        <v>12894326431.24</v>
      </c>
      <c r="N81" s="14"/>
    </row>
    <row r="82" spans="1:14">
      <c r="A82" s="571">
        <f t="shared" si="14"/>
        <v>37</v>
      </c>
      <c r="B82" s="723" t="s">
        <v>2625</v>
      </c>
      <c r="C82" s="511">
        <v>132134286.63</v>
      </c>
      <c r="D82" s="511">
        <v>210811380.28000003</v>
      </c>
      <c r="E82" s="1007">
        <v>865002125.90999997</v>
      </c>
      <c r="F82" s="1007">
        <v>5775192265.8500004</v>
      </c>
      <c r="G82" s="1007">
        <v>2327714920.5</v>
      </c>
      <c r="H82" s="1007">
        <v>1257773378.9400001</v>
      </c>
      <c r="I82" s="1007">
        <v>1524633562.3700001</v>
      </c>
      <c r="J82" s="1007">
        <v>258054612.93000001</v>
      </c>
      <c r="K82" s="1007">
        <v>372183869.41000003</v>
      </c>
      <c r="L82" s="1007">
        <v>190427673.80000001</v>
      </c>
      <c r="M82" s="233">
        <f t="shared" si="13"/>
        <v>12913928076.620001</v>
      </c>
      <c r="N82" s="14"/>
    </row>
    <row r="83" spans="1:14">
      <c r="A83" s="571">
        <f t="shared" si="14"/>
        <v>38</v>
      </c>
      <c r="B83" s="724" t="s">
        <v>2626</v>
      </c>
      <c r="C83" s="511">
        <v>132146125.67000002</v>
      </c>
      <c r="D83" s="511">
        <v>210811077.08000001</v>
      </c>
      <c r="E83" s="1007">
        <v>861261427.49000001</v>
      </c>
      <c r="F83" s="1007">
        <v>5736314270.3400002</v>
      </c>
      <c r="G83" s="1007">
        <v>2330813154.0700002</v>
      </c>
      <c r="H83" s="1007">
        <v>1268202518.3700001</v>
      </c>
      <c r="I83" s="1007">
        <v>1523176664.5500002</v>
      </c>
      <c r="J83" s="1007">
        <v>258218973.43000001</v>
      </c>
      <c r="K83" s="1007">
        <v>374081690.02999997</v>
      </c>
      <c r="L83" s="1007">
        <v>190628198.46000001</v>
      </c>
      <c r="M83" s="233">
        <f t="shared" si="13"/>
        <v>12885654099.49</v>
      </c>
      <c r="N83" s="14"/>
    </row>
    <row r="84" spans="1:14">
      <c r="A84" s="571">
        <f t="shared" si="14"/>
        <v>39</v>
      </c>
      <c r="B84" s="724" t="s">
        <v>2627</v>
      </c>
      <c r="C84" s="511">
        <v>132141953.22</v>
      </c>
      <c r="D84" s="511">
        <v>211027939.90000004</v>
      </c>
      <c r="E84" s="1007">
        <v>863692706</v>
      </c>
      <c r="F84" s="1007">
        <v>5741418351.5599995</v>
      </c>
      <c r="G84" s="1007">
        <v>2332193517.2200003</v>
      </c>
      <c r="H84" s="1007">
        <v>1285954661.1800001</v>
      </c>
      <c r="I84" s="1007">
        <v>1521698252.1200001</v>
      </c>
      <c r="J84" s="1007">
        <v>256220577.09</v>
      </c>
      <c r="K84" s="1007">
        <v>374087950.02999997</v>
      </c>
      <c r="L84" s="1007">
        <v>192477732.14000002</v>
      </c>
      <c r="M84" s="368">
        <f t="shared" si="13"/>
        <v>12910913640.460001</v>
      </c>
      <c r="N84" s="14"/>
    </row>
    <row r="85" spans="1:14">
      <c r="A85" s="571">
        <f t="shared" si="14"/>
        <v>40</v>
      </c>
      <c r="B85" s="723" t="s">
        <v>2628</v>
      </c>
      <c r="C85" s="511">
        <v>132152045.08</v>
      </c>
      <c r="D85" s="511">
        <v>211042975.33000001</v>
      </c>
      <c r="E85" s="491">
        <f>'7-PlantStudy'!C10</f>
        <v>879621910</v>
      </c>
      <c r="F85" s="491">
        <f>'7-PlantStudy'!C11</f>
        <v>5902949228</v>
      </c>
      <c r="G85" s="491">
        <f>'7-PlantStudy'!C20</f>
        <v>2343145352</v>
      </c>
      <c r="H85" s="491">
        <f>'7-PlantStudy'!C21</f>
        <v>1292702467</v>
      </c>
      <c r="I85" s="491">
        <f>'7-PlantStudy'!C22</f>
        <v>1524531167</v>
      </c>
      <c r="J85" s="491">
        <f>'7-PlantStudy'!C23</f>
        <v>256348021</v>
      </c>
      <c r="K85" s="491">
        <f>'7-PlantStudy'!C24</f>
        <v>376710004</v>
      </c>
      <c r="L85" s="491">
        <f>'7-PlantStudy'!C25</f>
        <v>193773411</v>
      </c>
      <c r="M85" s="233">
        <f t="shared" si="13"/>
        <v>13112976580.41</v>
      </c>
      <c r="N85" s="14"/>
    </row>
    <row r="87" spans="1:14">
      <c r="B87" s="44" t="s">
        <v>2410</v>
      </c>
      <c r="C87" s="14"/>
      <c r="D87" s="14"/>
      <c r="E87" s="14"/>
    </row>
    <row r="88" spans="1:14">
      <c r="B88" s="14"/>
      <c r="C88" s="14"/>
      <c r="D88" s="14"/>
    </row>
    <row r="89" spans="1:14">
      <c r="A89" s="396"/>
      <c r="B89" s="359" t="s">
        <v>360</v>
      </c>
      <c r="C89" s="359" t="s">
        <v>344</v>
      </c>
      <c r="D89" s="359" t="s">
        <v>345</v>
      </c>
      <c r="E89" s="84" t="s">
        <v>346</v>
      </c>
      <c r="F89" s="84" t="s">
        <v>347</v>
      </c>
      <c r="G89" s="84" t="s">
        <v>348</v>
      </c>
      <c r="H89" s="84" t="s">
        <v>349</v>
      </c>
      <c r="I89" s="84" t="s">
        <v>541</v>
      </c>
      <c r="J89" s="84" t="s">
        <v>958</v>
      </c>
      <c r="K89" s="84" t="s">
        <v>971</v>
      </c>
      <c r="L89" s="84" t="s">
        <v>974</v>
      </c>
      <c r="M89" s="84" t="s">
        <v>992</v>
      </c>
    </row>
    <row r="90" spans="1:14">
      <c r="A90" s="231"/>
      <c r="B90" s="454"/>
      <c r="C90" s="240"/>
      <c r="D90" s="240"/>
      <c r="E90" s="231"/>
      <c r="F90" s="231"/>
      <c r="G90" s="231"/>
      <c r="H90" s="231"/>
      <c r="I90" s="231"/>
      <c r="J90" s="231"/>
      <c r="K90" s="231"/>
      <c r="M90" s="248" t="s">
        <v>1233</v>
      </c>
    </row>
    <row r="91" spans="1:14">
      <c r="A91" s="51"/>
      <c r="B91" s="125" t="s">
        <v>1771</v>
      </c>
      <c r="C91" s="359">
        <v>350.1</v>
      </c>
      <c r="D91" s="359">
        <v>350.2</v>
      </c>
      <c r="E91" s="84">
        <v>352</v>
      </c>
      <c r="F91" s="84">
        <v>353</v>
      </c>
      <c r="G91" s="84">
        <v>354</v>
      </c>
      <c r="H91" s="84">
        <v>355</v>
      </c>
      <c r="I91" s="84">
        <v>356</v>
      </c>
      <c r="J91" s="84">
        <v>357</v>
      </c>
      <c r="K91" s="84">
        <v>358</v>
      </c>
      <c r="L91" s="84">
        <v>359</v>
      </c>
      <c r="M91" s="3" t="s">
        <v>196</v>
      </c>
    </row>
    <row r="92" spans="1:14">
      <c r="A92" s="571">
        <f>A85+1</f>
        <v>41</v>
      </c>
      <c r="B92" s="724" t="s">
        <v>2617</v>
      </c>
      <c r="C92" s="491">
        <f>C74-C73</f>
        <v>1861680.4099999666</v>
      </c>
      <c r="D92" s="491">
        <f>D74-D73</f>
        <v>3469.9499999880791</v>
      </c>
      <c r="E92" s="491">
        <f t="shared" ref="E92:L92" si="15">E74-E73</f>
        <v>-4196691.129999876</v>
      </c>
      <c r="F92" s="491">
        <f t="shared" si="15"/>
        <v>1596560.0899991989</v>
      </c>
      <c r="G92" s="491">
        <f t="shared" si="15"/>
        <v>-2209531.8400006294</v>
      </c>
      <c r="H92" s="491">
        <f t="shared" si="15"/>
        <v>40169441.049999952</v>
      </c>
      <c r="I92" s="491">
        <f t="shared" si="15"/>
        <v>-10554272.319999933</v>
      </c>
      <c r="J92" s="491">
        <f t="shared" si="15"/>
        <v>196563.84999999404</v>
      </c>
      <c r="K92" s="491">
        <f t="shared" si="15"/>
        <v>-1096817.9099999666</v>
      </c>
      <c r="L92" s="491">
        <f t="shared" si="15"/>
        <v>-18664746.669999987</v>
      </c>
      <c r="M92" s="233">
        <f t="shared" ref="M92:M104" si="16">SUM(C92:L92)</f>
        <v>7105655.4799987078</v>
      </c>
      <c r="N92" s="14"/>
    </row>
    <row r="93" spans="1:14">
      <c r="A93" s="571">
        <f t="shared" ref="A93:A104" si="17">A92+1</f>
        <v>42</v>
      </c>
      <c r="B93" s="723" t="s">
        <v>2618</v>
      </c>
      <c r="C93" s="491">
        <f t="shared" ref="C93:L103" si="18">C75-C74</f>
        <v>15314.650000035763</v>
      </c>
      <c r="D93" s="491">
        <f t="shared" si="18"/>
        <v>453668.91000002623</v>
      </c>
      <c r="E93" s="491">
        <f t="shared" si="18"/>
        <v>9058081.689999938</v>
      </c>
      <c r="F93" s="491">
        <f t="shared" si="18"/>
        <v>14060416.180002213</v>
      </c>
      <c r="G93" s="491">
        <f t="shared" si="18"/>
        <v>-12641360.170000076</v>
      </c>
      <c r="H93" s="491">
        <f t="shared" si="18"/>
        <v>14690403.189999819</v>
      </c>
      <c r="I93" s="491">
        <f t="shared" si="18"/>
        <v>7096602.6700000763</v>
      </c>
      <c r="J93" s="491">
        <f t="shared" si="18"/>
        <v>440543.90000000596</v>
      </c>
      <c r="K93" s="491">
        <f t="shared" si="18"/>
        <v>3236354.9199999571</v>
      </c>
      <c r="L93" s="491">
        <f t="shared" si="18"/>
        <v>1582775.2099999785</v>
      </c>
      <c r="M93" s="233">
        <f t="shared" si="16"/>
        <v>37992801.150001973</v>
      </c>
      <c r="N93" s="14"/>
    </row>
    <row r="94" spans="1:14">
      <c r="A94" s="571">
        <f t="shared" si="17"/>
        <v>43</v>
      </c>
      <c r="B94" s="723" t="s">
        <v>2619</v>
      </c>
      <c r="C94" s="491">
        <f t="shared" si="18"/>
        <v>-156368.36000001431</v>
      </c>
      <c r="D94" s="491">
        <f t="shared" si="18"/>
        <v>66266.579999983311</v>
      </c>
      <c r="E94" s="491">
        <f t="shared" si="18"/>
        <v>-3400337.4100000858</v>
      </c>
      <c r="F94" s="491">
        <f t="shared" si="18"/>
        <v>8769750.8099994659</v>
      </c>
      <c r="G94" s="491">
        <f t="shared" si="18"/>
        <v>9454939.3300004005</v>
      </c>
      <c r="H94" s="491">
        <f t="shared" si="18"/>
        <v>8292498.1499998569</v>
      </c>
      <c r="I94" s="491">
        <f t="shared" si="18"/>
        <v>10378573.24000001</v>
      </c>
      <c r="J94" s="491">
        <f t="shared" si="18"/>
        <v>-1566.1899999976158</v>
      </c>
      <c r="K94" s="491">
        <f t="shared" si="18"/>
        <v>-271785.31999999285</v>
      </c>
      <c r="L94" s="491">
        <f t="shared" si="18"/>
        <v>-285476.59999996424</v>
      </c>
      <c r="M94" s="233">
        <f t="shared" si="16"/>
        <v>32846494.229999661</v>
      </c>
      <c r="N94" s="14"/>
    </row>
    <row r="95" spans="1:14">
      <c r="A95" s="571">
        <f t="shared" si="17"/>
        <v>44</v>
      </c>
      <c r="B95" s="724" t="s">
        <v>2620</v>
      </c>
      <c r="C95" s="491">
        <f t="shared" si="18"/>
        <v>11283.219999998808</v>
      </c>
      <c r="D95" s="491">
        <f t="shared" si="18"/>
        <v>556.78999999165535</v>
      </c>
      <c r="E95" s="491">
        <f t="shared" si="18"/>
        <v>11418768.170000076</v>
      </c>
      <c r="F95" s="491">
        <f t="shared" si="18"/>
        <v>27822315.490000725</v>
      </c>
      <c r="G95" s="491">
        <f t="shared" si="18"/>
        <v>19248444.900000095</v>
      </c>
      <c r="H95" s="491">
        <f t="shared" si="18"/>
        <v>7317226.9900000095</v>
      </c>
      <c r="I95" s="491">
        <f t="shared" si="18"/>
        <v>7679622.6700000763</v>
      </c>
      <c r="J95" s="491">
        <f t="shared" si="18"/>
        <v>-426444.47999998927</v>
      </c>
      <c r="K95" s="491">
        <f t="shared" si="18"/>
        <v>1527525.9800000191</v>
      </c>
      <c r="L95" s="491">
        <f t="shared" si="18"/>
        <v>143907.00999999046</v>
      </c>
      <c r="M95" s="233">
        <f t="shared" si="16"/>
        <v>74743206.740000993</v>
      </c>
      <c r="N95" s="14"/>
    </row>
    <row r="96" spans="1:14">
      <c r="A96" s="571">
        <f t="shared" si="17"/>
        <v>45</v>
      </c>
      <c r="B96" s="723" t="s">
        <v>2621</v>
      </c>
      <c r="C96" s="491">
        <f t="shared" si="18"/>
        <v>13565.430000007153</v>
      </c>
      <c r="D96" s="491">
        <f t="shared" si="18"/>
        <v>68720.080000013113</v>
      </c>
      <c r="E96" s="491">
        <f t="shared" si="18"/>
        <v>8911157.6100000143</v>
      </c>
      <c r="F96" s="491">
        <f t="shared" si="18"/>
        <v>18492077.789998055</v>
      </c>
      <c r="G96" s="491">
        <f t="shared" si="18"/>
        <v>4954766.3799996376</v>
      </c>
      <c r="H96" s="491">
        <f t="shared" si="18"/>
        <v>3185787.6100001335</v>
      </c>
      <c r="I96" s="491">
        <f t="shared" si="18"/>
        <v>-908108.13000011444</v>
      </c>
      <c r="J96" s="491">
        <f t="shared" si="18"/>
        <v>505656.66999998689</v>
      </c>
      <c r="K96" s="491">
        <f t="shared" si="18"/>
        <v>146859.76999998093</v>
      </c>
      <c r="L96" s="491">
        <f t="shared" si="18"/>
        <v>6702520.6299999952</v>
      </c>
      <c r="M96" s="233">
        <f t="shared" si="16"/>
        <v>42073003.839997709</v>
      </c>
      <c r="N96" s="14"/>
    </row>
    <row r="97" spans="1:14">
      <c r="A97" s="571">
        <f t="shared" si="17"/>
        <v>46</v>
      </c>
      <c r="B97" s="723" t="s">
        <v>2622</v>
      </c>
      <c r="C97" s="491">
        <f t="shared" si="18"/>
        <v>394350.29999998212</v>
      </c>
      <c r="D97" s="491">
        <f t="shared" si="18"/>
        <v>391395.53000000119</v>
      </c>
      <c r="E97" s="491">
        <f t="shared" si="18"/>
        <v>4923778.6699999571</v>
      </c>
      <c r="F97" s="491">
        <f t="shared" si="18"/>
        <v>25328529.03000164</v>
      </c>
      <c r="G97" s="491">
        <f t="shared" si="18"/>
        <v>2382155.990000248</v>
      </c>
      <c r="H97" s="491">
        <f t="shared" si="18"/>
        <v>6909030.1900000572</v>
      </c>
      <c r="I97" s="491">
        <f t="shared" si="18"/>
        <v>4359728.3800001144</v>
      </c>
      <c r="J97" s="491">
        <f t="shared" si="18"/>
        <v>1179037.0300000012</v>
      </c>
      <c r="K97" s="491">
        <f t="shared" si="18"/>
        <v>-485347.76999998093</v>
      </c>
      <c r="L97" s="491">
        <f t="shared" si="18"/>
        <v>-509250.3599999845</v>
      </c>
      <c r="M97" s="233">
        <f t="shared" si="16"/>
        <v>44873406.990002036</v>
      </c>
      <c r="N97" s="14"/>
    </row>
    <row r="98" spans="1:14">
      <c r="A98" s="571">
        <f t="shared" si="17"/>
        <v>47</v>
      </c>
      <c r="B98" s="724" t="s">
        <v>2623</v>
      </c>
      <c r="C98" s="491">
        <f t="shared" si="18"/>
        <v>12351.920000016689</v>
      </c>
      <c r="D98" s="491">
        <f t="shared" si="18"/>
        <v>769044.44999998808</v>
      </c>
      <c r="E98" s="491">
        <f t="shared" si="18"/>
        <v>3184632.9199999571</v>
      </c>
      <c r="F98" s="491">
        <f t="shared" si="18"/>
        <v>17621548.319998741</v>
      </c>
      <c r="G98" s="491">
        <f t="shared" si="18"/>
        <v>1799359.3800001144</v>
      </c>
      <c r="H98" s="491">
        <f t="shared" si="18"/>
        <v>9434392.9800000191</v>
      </c>
      <c r="I98" s="491">
        <f t="shared" si="18"/>
        <v>-2765815.7800002098</v>
      </c>
      <c r="J98" s="491">
        <f t="shared" si="18"/>
        <v>2497941.1599999964</v>
      </c>
      <c r="K98" s="491">
        <f t="shared" si="18"/>
        <v>-1798501.0699999928</v>
      </c>
      <c r="L98" s="491">
        <f t="shared" si="18"/>
        <v>56723.069999992847</v>
      </c>
      <c r="M98" s="233">
        <f t="shared" si="16"/>
        <v>30811677.349998623</v>
      </c>
      <c r="N98" s="14"/>
    </row>
    <row r="99" spans="1:14">
      <c r="A99" s="571">
        <f t="shared" si="17"/>
        <v>48</v>
      </c>
      <c r="B99" s="723" t="s">
        <v>2624</v>
      </c>
      <c r="C99" s="491">
        <f t="shared" si="18"/>
        <v>453134.22999998927</v>
      </c>
      <c r="D99" s="491">
        <f t="shared" si="18"/>
        <v>-409299.71999999881</v>
      </c>
      <c r="E99" s="491">
        <f t="shared" si="18"/>
        <v>6584775.0399999619</v>
      </c>
      <c r="F99" s="491">
        <f t="shared" si="18"/>
        <v>67541914.620000839</v>
      </c>
      <c r="G99" s="491">
        <f t="shared" si="18"/>
        <v>1172077.1899995804</v>
      </c>
      <c r="H99" s="491">
        <f t="shared" si="18"/>
        <v>2145574.8999998569</v>
      </c>
      <c r="I99" s="491">
        <f t="shared" si="18"/>
        <v>5558400.2800002098</v>
      </c>
      <c r="J99" s="491">
        <f t="shared" si="18"/>
        <v>107894.62000000477</v>
      </c>
      <c r="K99" s="491">
        <f t="shared" si="18"/>
        <v>3470262.2999999523</v>
      </c>
      <c r="L99" s="491">
        <f t="shared" si="18"/>
        <v>319789.6400000155</v>
      </c>
      <c r="M99" s="233">
        <f t="shared" si="16"/>
        <v>86944523.100000411</v>
      </c>
      <c r="N99" s="14"/>
    </row>
    <row r="100" spans="1:14">
      <c r="A100" s="571">
        <f t="shared" si="17"/>
        <v>49</v>
      </c>
      <c r="B100" s="723" t="s">
        <v>2625</v>
      </c>
      <c r="C100" s="491">
        <f t="shared" si="18"/>
        <v>11820.789999991655</v>
      </c>
      <c r="D100" s="491">
        <f t="shared" si="18"/>
        <v>38745.110000014305</v>
      </c>
      <c r="E100" s="491">
        <f t="shared" si="18"/>
        <v>2739452.1100000143</v>
      </c>
      <c r="F100" s="491">
        <f t="shared" si="18"/>
        <v>7712273.9499998093</v>
      </c>
      <c r="G100" s="491">
        <f t="shared" si="18"/>
        <v>-1944157.0999999046</v>
      </c>
      <c r="H100" s="491">
        <f t="shared" si="18"/>
        <v>7464055.4500000477</v>
      </c>
      <c r="I100" s="491">
        <f t="shared" si="18"/>
        <v>3977571.8099999428</v>
      </c>
      <c r="J100" s="491">
        <f t="shared" si="18"/>
        <v>334695.96000000834</v>
      </c>
      <c r="K100" s="491">
        <f t="shared" si="18"/>
        <v>-1279010.1199999452</v>
      </c>
      <c r="L100" s="491">
        <f t="shared" si="18"/>
        <v>546197.41999998689</v>
      </c>
      <c r="M100" s="233">
        <f t="shared" si="16"/>
        <v>19601645.379999965</v>
      </c>
      <c r="N100" s="14"/>
    </row>
    <row r="101" spans="1:14">
      <c r="A101" s="571">
        <f t="shared" si="17"/>
        <v>50</v>
      </c>
      <c r="B101" s="724" t="s">
        <v>2626</v>
      </c>
      <c r="C101" s="491">
        <f t="shared" si="18"/>
        <v>11839.040000021458</v>
      </c>
      <c r="D101" s="491">
        <f t="shared" si="18"/>
        <v>-303.20000001788139</v>
      </c>
      <c r="E101" s="491">
        <f t="shared" si="18"/>
        <v>-3740698.4199999571</v>
      </c>
      <c r="F101" s="491">
        <f t="shared" si="18"/>
        <v>-38877995.510000229</v>
      </c>
      <c r="G101" s="491">
        <f t="shared" si="18"/>
        <v>3098233.5700001717</v>
      </c>
      <c r="H101" s="491">
        <f t="shared" si="18"/>
        <v>10429139.430000067</v>
      </c>
      <c r="I101" s="491">
        <f t="shared" si="18"/>
        <v>-1456897.8199999332</v>
      </c>
      <c r="J101" s="491">
        <f t="shared" si="18"/>
        <v>164360.5</v>
      </c>
      <c r="K101" s="491">
        <f t="shared" si="18"/>
        <v>1897820.6199999452</v>
      </c>
      <c r="L101" s="491">
        <f t="shared" si="18"/>
        <v>200524.65999999642</v>
      </c>
      <c r="M101" s="233">
        <f t="shared" si="16"/>
        <v>-28273977.129999936</v>
      </c>
      <c r="N101" s="14"/>
    </row>
    <row r="102" spans="1:14">
      <c r="A102" s="571">
        <f t="shared" si="17"/>
        <v>51</v>
      </c>
      <c r="B102" s="724" t="s">
        <v>2627</v>
      </c>
      <c r="C102" s="491">
        <f t="shared" si="18"/>
        <v>-4172.4500000178814</v>
      </c>
      <c r="D102" s="491">
        <f t="shared" si="18"/>
        <v>216862.82000002265</v>
      </c>
      <c r="E102" s="491">
        <f t="shared" si="18"/>
        <v>2431278.5099999905</v>
      </c>
      <c r="F102" s="491">
        <f t="shared" si="18"/>
        <v>5104081.2199993134</v>
      </c>
      <c r="G102" s="491">
        <f t="shared" si="18"/>
        <v>1380363.1500000954</v>
      </c>
      <c r="H102" s="491">
        <f t="shared" si="18"/>
        <v>17752142.809999943</v>
      </c>
      <c r="I102" s="491">
        <f t="shared" si="18"/>
        <v>-1478412.4300000668</v>
      </c>
      <c r="J102" s="491">
        <f t="shared" si="18"/>
        <v>-1998396.3400000036</v>
      </c>
      <c r="K102" s="491">
        <f t="shared" si="18"/>
        <v>6260</v>
      </c>
      <c r="L102" s="491">
        <f t="shared" si="18"/>
        <v>1849533.6800000072</v>
      </c>
      <c r="M102" s="233">
        <f t="shared" si="16"/>
        <v>25259540.969999284</v>
      </c>
      <c r="N102" s="14"/>
    </row>
    <row r="103" spans="1:14">
      <c r="A103" s="571">
        <f t="shared" si="17"/>
        <v>52</v>
      </c>
      <c r="B103" s="723" t="s">
        <v>2628</v>
      </c>
      <c r="C103" s="491">
        <f t="shared" si="18"/>
        <v>10091.859999999404</v>
      </c>
      <c r="D103" s="491">
        <f t="shared" si="18"/>
        <v>15035.42999997735</v>
      </c>
      <c r="E103" s="491">
        <f t="shared" si="18"/>
        <v>15929204</v>
      </c>
      <c r="F103" s="491">
        <f t="shared" si="18"/>
        <v>161530876.44000053</v>
      </c>
      <c r="G103" s="491">
        <f t="shared" si="18"/>
        <v>10951834.779999733</v>
      </c>
      <c r="H103" s="491">
        <f t="shared" si="18"/>
        <v>6747805.8199999332</v>
      </c>
      <c r="I103" s="491">
        <f t="shared" si="18"/>
        <v>2832914.879999876</v>
      </c>
      <c r="J103" s="491">
        <f t="shared" si="18"/>
        <v>127443.90999999642</v>
      </c>
      <c r="K103" s="491">
        <f t="shared" si="18"/>
        <v>2622053.9700000286</v>
      </c>
      <c r="L103" s="491">
        <f t="shared" si="18"/>
        <v>1295678.8599999845</v>
      </c>
      <c r="M103" s="368">
        <f t="shared" si="16"/>
        <v>202062939.95000005</v>
      </c>
      <c r="N103" s="14"/>
    </row>
    <row r="104" spans="1:14">
      <c r="A104" s="571">
        <f t="shared" si="17"/>
        <v>53</v>
      </c>
      <c r="B104" s="1103" t="s">
        <v>4</v>
      </c>
      <c r="C104" s="233">
        <f t="shared" ref="C104:L104" si="19">SUM(C92:C103)</f>
        <v>2634891.0399999768</v>
      </c>
      <c r="D104" s="233">
        <f t="shared" si="19"/>
        <v>1614162.7299999893</v>
      </c>
      <c r="E104" s="233">
        <f t="shared" si="19"/>
        <v>53843401.75999999</v>
      </c>
      <c r="F104" s="233">
        <f t="shared" si="19"/>
        <v>316702348.43000031</v>
      </c>
      <c r="G104" s="233">
        <f t="shared" si="19"/>
        <v>37647125.559999466</v>
      </c>
      <c r="H104" s="233">
        <f t="shared" si="19"/>
        <v>134537498.56999969</v>
      </c>
      <c r="I104" s="233">
        <f t="shared" si="19"/>
        <v>24719907.450000048</v>
      </c>
      <c r="J104" s="233">
        <f t="shared" si="19"/>
        <v>3127730.5900000036</v>
      </c>
      <c r="K104" s="233">
        <f t="shared" si="19"/>
        <v>7975675.3700000048</v>
      </c>
      <c r="L104" s="233">
        <f t="shared" si="19"/>
        <v>-6761823.4499999881</v>
      </c>
      <c r="M104" s="233">
        <f t="shared" si="16"/>
        <v>576040918.04999948</v>
      </c>
      <c r="N104" s="14"/>
    </row>
    <row r="105" spans="1:14">
      <c r="A105" s="571"/>
      <c r="B105" s="1103"/>
      <c r="C105" s="235"/>
      <c r="D105" s="235"/>
      <c r="E105" s="235"/>
      <c r="F105" s="235"/>
      <c r="G105" s="235"/>
      <c r="H105" s="235"/>
      <c r="I105" s="235"/>
      <c r="J105" s="235"/>
      <c r="K105" s="235"/>
      <c r="L105" s="235"/>
      <c r="M105" s="233"/>
    </row>
    <row r="106" spans="1:14">
      <c r="B106" s="44" t="s">
        <v>2411</v>
      </c>
      <c r="C106" s="14"/>
      <c r="D106" s="14"/>
      <c r="E106" s="14"/>
    </row>
    <row r="107" spans="1:14">
      <c r="B107" s="14"/>
      <c r="C107" s="14"/>
      <c r="D107" s="14"/>
    </row>
    <row r="108" spans="1:14">
      <c r="A108" s="396"/>
      <c r="B108" s="359" t="s">
        <v>360</v>
      </c>
      <c r="C108" s="359" t="s">
        <v>344</v>
      </c>
      <c r="D108" s="359" t="s">
        <v>345</v>
      </c>
      <c r="E108" s="84" t="s">
        <v>346</v>
      </c>
      <c r="F108" s="84" t="s">
        <v>347</v>
      </c>
      <c r="G108" s="84" t="s">
        <v>348</v>
      </c>
      <c r="H108" s="84" t="s">
        <v>349</v>
      </c>
      <c r="I108" s="84" t="s">
        <v>541</v>
      </c>
      <c r="J108" s="84" t="s">
        <v>958</v>
      </c>
      <c r="K108" s="84" t="s">
        <v>971</v>
      </c>
      <c r="L108" s="84" t="s">
        <v>974</v>
      </c>
      <c r="M108" s="84" t="s">
        <v>992</v>
      </c>
    </row>
    <row r="109" spans="1:14">
      <c r="A109" s="231"/>
      <c r="B109" s="454"/>
      <c r="C109" s="240"/>
      <c r="D109" s="240"/>
      <c r="E109" s="231"/>
      <c r="F109" s="231"/>
      <c r="G109" s="231"/>
      <c r="H109" s="231"/>
      <c r="I109" s="231"/>
      <c r="J109" s="231"/>
      <c r="K109" s="231"/>
      <c r="M109" s="248" t="s">
        <v>1233</v>
      </c>
    </row>
    <row r="110" spans="1:14">
      <c r="A110" s="51"/>
      <c r="B110" s="125" t="s">
        <v>1771</v>
      </c>
      <c r="C110" s="359">
        <v>350.1</v>
      </c>
      <c r="D110" s="359">
        <v>350.2</v>
      </c>
      <c r="E110" s="84">
        <v>352</v>
      </c>
      <c r="F110" s="84">
        <v>353</v>
      </c>
      <c r="G110" s="84">
        <v>354</v>
      </c>
      <c r="H110" s="84">
        <v>355</v>
      </c>
      <c r="I110" s="84">
        <v>356</v>
      </c>
      <c r="J110" s="84">
        <v>357</v>
      </c>
      <c r="K110" s="84">
        <v>358</v>
      </c>
      <c r="L110" s="84">
        <v>359</v>
      </c>
      <c r="M110" s="3" t="s">
        <v>196</v>
      </c>
    </row>
    <row r="111" spans="1:14">
      <c r="A111" s="571">
        <f>A104+1</f>
        <v>54</v>
      </c>
      <c r="B111" s="966" t="s">
        <v>2408</v>
      </c>
      <c r="C111" s="1124">
        <v>18676990.549999997</v>
      </c>
      <c r="D111" s="1124">
        <v>94873059.930000007</v>
      </c>
      <c r="E111" s="1124">
        <v>264612612.76285636</v>
      </c>
      <c r="F111" s="1124">
        <v>1133695494.8447433</v>
      </c>
      <c r="G111" s="1124">
        <v>1757159286.4618266</v>
      </c>
      <c r="H111" s="1124">
        <v>151903902.76000002</v>
      </c>
      <c r="I111" s="1124">
        <v>815549135.04719687</v>
      </c>
      <c r="J111" s="1124">
        <v>185286762.54000002</v>
      </c>
      <c r="K111" s="1124">
        <v>79876648.5</v>
      </c>
      <c r="L111" s="1124">
        <v>138148965.33059186</v>
      </c>
      <c r="M111" s="1082">
        <f t="shared" ref="M111:M123" si="20">SUM(C111:L111)</f>
        <v>4639782858.7272158</v>
      </c>
      <c r="N111" s="14"/>
    </row>
    <row r="112" spans="1:14">
      <c r="A112" s="571">
        <f t="shared" ref="A112:A123" si="21">A111+1</f>
        <v>55</v>
      </c>
      <c r="B112" s="724" t="s">
        <v>2617</v>
      </c>
      <c r="C112" s="1124">
        <v>18676518.229999997</v>
      </c>
      <c r="D112" s="1124">
        <v>94876529.88000001</v>
      </c>
      <c r="E112" s="1124">
        <v>264645104.75285637</v>
      </c>
      <c r="F112" s="1124">
        <v>1134003514.0547433</v>
      </c>
      <c r="G112" s="1124">
        <v>1757105733.4118266</v>
      </c>
      <c r="H112" s="1124">
        <v>151893376.45000002</v>
      </c>
      <c r="I112" s="1124">
        <v>815800030.82719707</v>
      </c>
      <c r="J112" s="1124">
        <v>185437235.91000003</v>
      </c>
      <c r="K112" s="1124">
        <v>79929256.200000003</v>
      </c>
      <c r="L112" s="1124">
        <v>138052636.47059187</v>
      </c>
      <c r="M112" s="1082">
        <f t="shared" si="20"/>
        <v>4640419936.1872149</v>
      </c>
      <c r="N112" s="14"/>
    </row>
    <row r="113" spans="1:14">
      <c r="A113" s="571">
        <f t="shared" si="21"/>
        <v>56</v>
      </c>
      <c r="B113" s="723" t="s">
        <v>2618</v>
      </c>
      <c r="C113" s="1124">
        <v>18691886.859999996</v>
      </c>
      <c r="D113" s="1124">
        <v>95330198.790000007</v>
      </c>
      <c r="E113" s="1124">
        <v>264975714.42285633</v>
      </c>
      <c r="F113" s="1124">
        <v>1135011020.8947434</v>
      </c>
      <c r="G113" s="1124">
        <v>1758904118.3718266</v>
      </c>
      <c r="H113" s="1124">
        <v>152004527.61000001</v>
      </c>
      <c r="I113" s="1124">
        <v>815962416.657197</v>
      </c>
      <c r="J113" s="1124">
        <v>185898801.91000003</v>
      </c>
      <c r="K113" s="1124">
        <v>80694377.780000001</v>
      </c>
      <c r="L113" s="1124">
        <v>139629836.22059187</v>
      </c>
      <c r="M113" s="1082">
        <f t="shared" si="20"/>
        <v>4647102899.5172148</v>
      </c>
      <c r="N113" s="14"/>
    </row>
    <row r="114" spans="1:14">
      <c r="A114" s="571">
        <f t="shared" si="21"/>
        <v>57</v>
      </c>
      <c r="B114" s="723" t="s">
        <v>2619</v>
      </c>
      <c r="C114" s="1124">
        <v>18690106.389999997</v>
      </c>
      <c r="D114" s="1124">
        <v>95315395.770000011</v>
      </c>
      <c r="E114" s="1124">
        <v>265391800.09285629</v>
      </c>
      <c r="F114" s="1124">
        <v>1134469788.3147433</v>
      </c>
      <c r="G114" s="1124">
        <v>1759144819.1518266</v>
      </c>
      <c r="H114" s="1124">
        <v>152579551.30000001</v>
      </c>
      <c r="I114" s="1124">
        <v>820004289.22719705</v>
      </c>
      <c r="J114" s="1124">
        <v>186131258.85000002</v>
      </c>
      <c r="K114" s="1124">
        <v>81379398.549999997</v>
      </c>
      <c r="L114" s="1124">
        <v>139175160.90059188</v>
      </c>
      <c r="M114" s="1082">
        <f t="shared" si="20"/>
        <v>4652281568.5472155</v>
      </c>
      <c r="N114" s="14"/>
    </row>
    <row r="115" spans="1:14">
      <c r="A115" s="571">
        <f t="shared" si="21"/>
        <v>58</v>
      </c>
      <c r="B115" s="724" t="s">
        <v>2620</v>
      </c>
      <c r="C115" s="1124">
        <v>18701389.609999996</v>
      </c>
      <c r="D115" s="1124">
        <v>95315965.650000006</v>
      </c>
      <c r="E115" s="1124">
        <v>265618773.91285637</v>
      </c>
      <c r="F115" s="1124">
        <v>1166956821.1847432</v>
      </c>
      <c r="G115" s="1124">
        <v>1759588944.3118267</v>
      </c>
      <c r="H115" s="1124">
        <v>152261118.28</v>
      </c>
      <c r="I115" s="1124">
        <v>820805742.95719707</v>
      </c>
      <c r="J115" s="1124">
        <v>186354446.32000002</v>
      </c>
      <c r="K115" s="1124">
        <v>81457429.030000001</v>
      </c>
      <c r="L115" s="1124">
        <v>139304594.79059187</v>
      </c>
      <c r="M115" s="1082">
        <f t="shared" si="20"/>
        <v>4686365226.0472155</v>
      </c>
      <c r="N115" s="14"/>
    </row>
    <row r="116" spans="1:14">
      <c r="A116" s="571">
        <f t="shared" si="21"/>
        <v>59</v>
      </c>
      <c r="B116" s="723" t="s">
        <v>2621</v>
      </c>
      <c r="C116" s="1124">
        <v>18715053.429999996</v>
      </c>
      <c r="D116" s="1124">
        <v>95315922.430000007</v>
      </c>
      <c r="E116" s="1124">
        <v>273135306.78285635</v>
      </c>
      <c r="F116" s="1124">
        <v>1174877109.0047431</v>
      </c>
      <c r="G116" s="1124">
        <v>1761384448.0418267</v>
      </c>
      <c r="H116" s="1124">
        <v>152068596.22</v>
      </c>
      <c r="I116" s="1124">
        <v>818579132.57719707</v>
      </c>
      <c r="J116" s="1124">
        <v>186860411.19000003</v>
      </c>
      <c r="K116" s="1124">
        <v>81634323.769999996</v>
      </c>
      <c r="L116" s="1124">
        <v>145740021.56059188</v>
      </c>
      <c r="M116" s="1082">
        <f t="shared" si="20"/>
        <v>4708310325.0072155</v>
      </c>
      <c r="N116" s="14"/>
    </row>
    <row r="117" spans="1:14">
      <c r="A117" s="571">
        <f t="shared" si="21"/>
        <v>60</v>
      </c>
      <c r="B117" s="723" t="s">
        <v>2622</v>
      </c>
      <c r="C117" s="1124">
        <v>18714292.569999997</v>
      </c>
      <c r="D117" s="1124">
        <v>95316683.290000007</v>
      </c>
      <c r="E117" s="1124">
        <v>273306086.3928563</v>
      </c>
      <c r="F117" s="1124">
        <v>1174813678.4947431</v>
      </c>
      <c r="G117" s="1124">
        <v>1761309419.0618267</v>
      </c>
      <c r="H117" s="1124">
        <v>152124117.28999999</v>
      </c>
      <c r="I117" s="1124">
        <v>819894933.12719703</v>
      </c>
      <c r="J117" s="1124">
        <v>188226697.06000003</v>
      </c>
      <c r="K117" s="1124">
        <v>82112002.729999989</v>
      </c>
      <c r="L117" s="1124">
        <v>145423584.26059189</v>
      </c>
      <c r="M117" s="1082">
        <f t="shared" si="20"/>
        <v>4711241494.277215</v>
      </c>
      <c r="N117" s="14"/>
    </row>
    <row r="118" spans="1:14">
      <c r="A118" s="571">
        <f t="shared" si="21"/>
        <v>61</v>
      </c>
      <c r="B118" s="724" t="s">
        <v>2623</v>
      </c>
      <c r="C118" s="1124">
        <v>18726642.669999998</v>
      </c>
      <c r="D118" s="1124">
        <v>95317444.290000007</v>
      </c>
      <c r="E118" s="1124">
        <v>273267754.52285635</v>
      </c>
      <c r="F118" s="1124">
        <v>1174922189.0447431</v>
      </c>
      <c r="G118" s="1124">
        <v>1761690976.2818267</v>
      </c>
      <c r="H118" s="1124">
        <v>152184301.60999998</v>
      </c>
      <c r="I118" s="1124">
        <v>820127330.68719709</v>
      </c>
      <c r="J118" s="1124">
        <v>188454164.70000002</v>
      </c>
      <c r="K118" s="1124">
        <v>82187902.229999989</v>
      </c>
      <c r="L118" s="1124">
        <v>145613116.6305919</v>
      </c>
      <c r="M118" s="1082">
        <f t="shared" si="20"/>
        <v>4712491822.6672153</v>
      </c>
      <c r="N118" s="14"/>
    </row>
    <row r="119" spans="1:14">
      <c r="A119" s="571">
        <f t="shared" si="21"/>
        <v>62</v>
      </c>
      <c r="B119" s="723" t="s">
        <v>2624</v>
      </c>
      <c r="C119" s="1124">
        <v>19179776.899999999</v>
      </c>
      <c r="D119" s="1124">
        <v>94864828.060000002</v>
      </c>
      <c r="E119" s="1124">
        <v>272944914.93285632</v>
      </c>
      <c r="F119" s="1124">
        <v>1175321777.2347434</v>
      </c>
      <c r="G119" s="1124">
        <v>1762179404.5318267</v>
      </c>
      <c r="H119" s="1124">
        <v>152264271.29999998</v>
      </c>
      <c r="I119" s="1124">
        <v>820451272.14719713</v>
      </c>
      <c r="J119" s="1124">
        <v>188783135.16000003</v>
      </c>
      <c r="K119" s="1124">
        <v>82297670.319999993</v>
      </c>
      <c r="L119" s="1124">
        <v>145733021.20059189</v>
      </c>
      <c r="M119" s="1082">
        <f t="shared" si="20"/>
        <v>4714020071.7872152</v>
      </c>
      <c r="N119" s="14"/>
    </row>
    <row r="120" spans="1:14">
      <c r="A120" s="571">
        <f t="shared" si="21"/>
        <v>63</v>
      </c>
      <c r="B120" s="723" t="s">
        <v>2625</v>
      </c>
      <c r="C120" s="1124">
        <v>19191597.689999998</v>
      </c>
      <c r="D120" s="1124">
        <v>94863648.25</v>
      </c>
      <c r="E120" s="1124">
        <v>272955425.8528564</v>
      </c>
      <c r="F120" s="1124">
        <v>1175350247.3647432</v>
      </c>
      <c r="G120" s="1124">
        <v>1760569393.7818265</v>
      </c>
      <c r="H120" s="1124">
        <v>154038484.23999998</v>
      </c>
      <c r="I120" s="1124">
        <v>821031818.56719708</v>
      </c>
      <c r="J120" s="1124">
        <v>189110691.77000004</v>
      </c>
      <c r="K120" s="1124">
        <v>82406964.719999999</v>
      </c>
      <c r="L120" s="1124">
        <v>145892022.90059191</v>
      </c>
      <c r="M120" s="1082">
        <f t="shared" si="20"/>
        <v>4715410295.1372156</v>
      </c>
      <c r="N120" s="14"/>
    </row>
    <row r="121" spans="1:14">
      <c r="A121" s="571">
        <f t="shared" si="21"/>
        <v>64</v>
      </c>
      <c r="B121" s="724" t="s">
        <v>2626</v>
      </c>
      <c r="C121" s="1124">
        <v>19203436.729999997</v>
      </c>
      <c r="D121" s="1124">
        <v>94863053.870000005</v>
      </c>
      <c r="E121" s="1124">
        <v>273089481.05285633</v>
      </c>
      <c r="F121" s="1124">
        <v>1176020629.894743</v>
      </c>
      <c r="G121" s="1124">
        <v>1761225259.6018264</v>
      </c>
      <c r="H121" s="1124">
        <v>154334614.85999998</v>
      </c>
      <c r="I121" s="1124">
        <v>821042450.7971971</v>
      </c>
      <c r="J121" s="1124">
        <v>189739133.67000005</v>
      </c>
      <c r="K121" s="1124">
        <v>82721369.289999992</v>
      </c>
      <c r="L121" s="1124">
        <v>146087538.71059191</v>
      </c>
      <c r="M121" s="1082">
        <f t="shared" si="20"/>
        <v>4718326968.4772148</v>
      </c>
      <c r="N121" s="14"/>
    </row>
    <row r="122" spans="1:14">
      <c r="A122" s="571">
        <f t="shared" si="21"/>
        <v>65</v>
      </c>
      <c r="B122" s="724" t="s">
        <v>2627</v>
      </c>
      <c r="C122" s="1124">
        <v>20856532.167499997</v>
      </c>
      <c r="D122" s="1124">
        <v>95067594.370000005</v>
      </c>
      <c r="E122" s="1124">
        <v>273124696.78285635</v>
      </c>
      <c r="F122" s="1124">
        <v>1176034396.7047431</v>
      </c>
      <c r="G122" s="1124">
        <v>1761585803.6918268</v>
      </c>
      <c r="H122" s="1124">
        <v>154373423.38</v>
      </c>
      <c r="I122" s="1124">
        <v>817939424.5471971</v>
      </c>
      <c r="J122" s="1124">
        <v>189822549.78000006</v>
      </c>
      <c r="K122" s="1124">
        <v>82763104.669999987</v>
      </c>
      <c r="L122" s="1124">
        <v>146241840.06059191</v>
      </c>
      <c r="M122" s="1082">
        <f t="shared" si="20"/>
        <v>4717809366.1547155</v>
      </c>
      <c r="N122" s="14"/>
    </row>
    <row r="123" spans="1:14">
      <c r="A123" s="571">
        <f t="shared" si="21"/>
        <v>66</v>
      </c>
      <c r="B123" s="723" t="s">
        <v>2628</v>
      </c>
      <c r="C123" s="1124">
        <v>20866624.027499996</v>
      </c>
      <c r="D123" s="1124">
        <v>95067405.480000004</v>
      </c>
      <c r="E123" s="1124">
        <v>273150052.0128563</v>
      </c>
      <c r="F123" s="1124">
        <v>1176074825.7047431</v>
      </c>
      <c r="G123" s="1124">
        <v>1762377598.9918268</v>
      </c>
      <c r="H123" s="1124">
        <v>154450782.31999999</v>
      </c>
      <c r="I123" s="1124">
        <v>818269306.59719729</v>
      </c>
      <c r="J123" s="1124">
        <v>189937751.33000007</v>
      </c>
      <c r="K123" s="1124">
        <v>82820739.109999985</v>
      </c>
      <c r="L123" s="1124">
        <v>146444293.85059193</v>
      </c>
      <c r="M123" s="1082">
        <f t="shared" si="20"/>
        <v>4719459379.424715</v>
      </c>
      <c r="N123" s="14"/>
    </row>
    <row r="124" spans="1:14">
      <c r="A124" s="571"/>
      <c r="B124" s="1103"/>
      <c r="C124" s="233"/>
      <c r="D124" s="233"/>
      <c r="E124" s="233"/>
      <c r="F124" s="233"/>
      <c r="G124" s="233"/>
      <c r="H124" s="233"/>
      <c r="I124" s="233"/>
      <c r="J124" s="233"/>
      <c r="K124" s="233"/>
      <c r="L124" s="233"/>
      <c r="M124" s="233"/>
      <c r="N124" s="14"/>
    </row>
    <row r="125" spans="1:14">
      <c r="B125" s="44" t="s">
        <v>2412</v>
      </c>
      <c r="C125" s="14"/>
      <c r="D125" s="14"/>
      <c r="E125" s="14"/>
      <c r="F125" s="14"/>
      <c r="G125" s="14"/>
    </row>
    <row r="126" spans="1:14">
      <c r="B126" s="14"/>
      <c r="C126" s="14"/>
      <c r="D126" s="14"/>
      <c r="E126" s="14"/>
      <c r="F126" s="14"/>
      <c r="G126" s="14"/>
    </row>
    <row r="127" spans="1:14">
      <c r="A127" s="396"/>
      <c r="B127" s="359" t="s">
        <v>360</v>
      </c>
      <c r="C127" s="359" t="s">
        <v>344</v>
      </c>
      <c r="D127" s="359" t="s">
        <v>345</v>
      </c>
      <c r="E127" s="359" t="s">
        <v>346</v>
      </c>
      <c r="F127" s="359" t="s">
        <v>347</v>
      </c>
      <c r="G127" s="359" t="s">
        <v>348</v>
      </c>
      <c r="H127" s="84" t="s">
        <v>349</v>
      </c>
      <c r="I127" s="84" t="s">
        <v>541</v>
      </c>
      <c r="J127" s="84" t="s">
        <v>958</v>
      </c>
      <c r="K127" s="84" t="s">
        <v>971</v>
      </c>
      <c r="L127" s="84" t="s">
        <v>974</v>
      </c>
      <c r="M127" s="84" t="s">
        <v>992</v>
      </c>
    </row>
    <row r="128" spans="1:14">
      <c r="A128" s="231"/>
      <c r="B128" s="454"/>
      <c r="C128" s="240"/>
      <c r="D128" s="240"/>
      <c r="E128" s="240"/>
      <c r="F128" s="240"/>
      <c r="G128" s="240"/>
      <c r="H128" s="231"/>
      <c r="I128" s="231"/>
      <c r="J128" s="231"/>
      <c r="K128" s="231"/>
      <c r="M128" s="248" t="s">
        <v>1233</v>
      </c>
    </row>
    <row r="129" spans="1:16">
      <c r="A129" s="51"/>
      <c r="B129" s="125" t="s">
        <v>1771</v>
      </c>
      <c r="C129" s="359">
        <v>350.1</v>
      </c>
      <c r="D129" s="359">
        <v>350.2</v>
      </c>
      <c r="E129" s="359">
        <v>352</v>
      </c>
      <c r="F129" s="359">
        <v>353</v>
      </c>
      <c r="G129" s="359">
        <v>354</v>
      </c>
      <c r="H129" s="84">
        <v>355</v>
      </c>
      <c r="I129" s="84">
        <v>356</v>
      </c>
      <c r="J129" s="84">
        <v>357</v>
      </c>
      <c r="K129" s="84">
        <v>358</v>
      </c>
      <c r="L129" s="84">
        <v>359</v>
      </c>
      <c r="M129" s="3" t="s">
        <v>196</v>
      </c>
    </row>
    <row r="130" spans="1:16">
      <c r="A130" s="571">
        <f>A123+1</f>
        <v>67</v>
      </c>
      <c r="B130" s="724" t="s">
        <v>2617</v>
      </c>
      <c r="C130" s="1119">
        <f>C112-C111</f>
        <v>-472.32000000029802</v>
      </c>
      <c r="D130" s="1119">
        <f t="shared" ref="D130:L130" si="22">D112-D111</f>
        <v>3469.9500000029802</v>
      </c>
      <c r="E130" s="1119">
        <f t="shared" si="22"/>
        <v>32491.990000009537</v>
      </c>
      <c r="F130" s="1119">
        <f t="shared" si="22"/>
        <v>308019.21000003815</v>
      </c>
      <c r="G130" s="1119">
        <f t="shared" si="22"/>
        <v>-53553.049999952316</v>
      </c>
      <c r="H130" s="1119">
        <f t="shared" si="22"/>
        <v>-10526.310000002384</v>
      </c>
      <c r="I130" s="1119">
        <f t="shared" si="22"/>
        <v>250895.78000020981</v>
      </c>
      <c r="J130" s="1119">
        <f t="shared" si="22"/>
        <v>150473.37000000477</v>
      </c>
      <c r="K130" s="1119">
        <f t="shared" si="22"/>
        <v>52607.70000000298</v>
      </c>
      <c r="L130" s="1119">
        <f t="shared" si="22"/>
        <v>-96328.859999984503</v>
      </c>
      <c r="M130" s="1119">
        <f t="shared" ref="M130:M141" si="23">SUM(C130:L130)</f>
        <v>637077.46000032872</v>
      </c>
      <c r="N130" s="14"/>
      <c r="P130" s="7"/>
    </row>
    <row r="131" spans="1:16">
      <c r="A131" s="571">
        <f t="shared" ref="A131:A142" si="24">A130+1</f>
        <v>68</v>
      </c>
      <c r="B131" s="723" t="s">
        <v>2618</v>
      </c>
      <c r="C131" s="1119">
        <f t="shared" ref="C131:L141" si="25">C113-C112</f>
        <v>15368.629999998957</v>
      </c>
      <c r="D131" s="1119">
        <f t="shared" si="25"/>
        <v>453668.90999999642</v>
      </c>
      <c r="E131" s="1119">
        <f t="shared" si="25"/>
        <v>330609.66999995708</v>
      </c>
      <c r="F131" s="1119">
        <f t="shared" si="25"/>
        <v>1007506.8400001526</v>
      </c>
      <c r="G131" s="1119">
        <f t="shared" si="25"/>
        <v>1798384.9600000381</v>
      </c>
      <c r="H131" s="1119">
        <f t="shared" si="25"/>
        <v>111151.15999999642</v>
      </c>
      <c r="I131" s="1119">
        <f t="shared" si="25"/>
        <v>162385.82999992371</v>
      </c>
      <c r="J131" s="1119">
        <f t="shared" si="25"/>
        <v>461566</v>
      </c>
      <c r="K131" s="1119">
        <f t="shared" si="25"/>
        <v>765121.57999999821</v>
      </c>
      <c r="L131" s="1119">
        <f t="shared" si="25"/>
        <v>1577199.75</v>
      </c>
      <c r="M131" s="1119">
        <f t="shared" si="23"/>
        <v>6682963.3300000615</v>
      </c>
      <c r="N131" s="14"/>
      <c r="P131" s="7"/>
    </row>
    <row r="132" spans="1:16">
      <c r="A132" s="571">
        <f t="shared" si="24"/>
        <v>69</v>
      </c>
      <c r="B132" s="723" t="s">
        <v>2619</v>
      </c>
      <c r="C132" s="1119">
        <f t="shared" si="25"/>
        <v>-1780.4699999988079</v>
      </c>
      <c r="D132" s="1119">
        <f t="shared" si="25"/>
        <v>-14803.019999995828</v>
      </c>
      <c r="E132" s="1119">
        <f t="shared" si="25"/>
        <v>416085.66999995708</v>
      </c>
      <c r="F132" s="1119">
        <f t="shared" si="25"/>
        <v>-541232.58000016212</v>
      </c>
      <c r="G132" s="1119">
        <f t="shared" si="25"/>
        <v>240700.77999997139</v>
      </c>
      <c r="H132" s="1119">
        <f t="shared" si="25"/>
        <v>575023.68999999762</v>
      </c>
      <c r="I132" s="1119">
        <f t="shared" si="25"/>
        <v>4041872.5700000525</v>
      </c>
      <c r="J132" s="1119">
        <f t="shared" si="25"/>
        <v>232456.93999999762</v>
      </c>
      <c r="K132" s="1119">
        <f t="shared" si="25"/>
        <v>685020.76999999583</v>
      </c>
      <c r="L132" s="1119">
        <f t="shared" si="25"/>
        <v>-454675.31999999285</v>
      </c>
      <c r="M132" s="1119">
        <f t="shared" si="23"/>
        <v>5178669.0299998224</v>
      </c>
      <c r="N132" s="14"/>
      <c r="P132" s="7"/>
    </row>
    <row r="133" spans="1:16">
      <c r="A133" s="571">
        <f t="shared" si="24"/>
        <v>70</v>
      </c>
      <c r="B133" s="724" t="s">
        <v>2620</v>
      </c>
      <c r="C133" s="1119">
        <f t="shared" si="25"/>
        <v>11283.219999998808</v>
      </c>
      <c r="D133" s="1119">
        <f t="shared" si="25"/>
        <v>569.87999999523163</v>
      </c>
      <c r="E133" s="1119">
        <f t="shared" si="25"/>
        <v>226973.82000008225</v>
      </c>
      <c r="F133" s="1119">
        <f t="shared" si="25"/>
        <v>32487032.869999886</v>
      </c>
      <c r="G133" s="1119">
        <f t="shared" si="25"/>
        <v>444125.16000008583</v>
      </c>
      <c r="H133" s="1119">
        <f t="shared" si="25"/>
        <v>-318433.02000001073</v>
      </c>
      <c r="I133" s="1119">
        <f t="shared" si="25"/>
        <v>801453.73000001907</v>
      </c>
      <c r="J133" s="1119">
        <f t="shared" si="25"/>
        <v>223187.46999999881</v>
      </c>
      <c r="K133" s="1119">
        <f t="shared" si="25"/>
        <v>78030.480000004172</v>
      </c>
      <c r="L133" s="1119">
        <f t="shared" si="25"/>
        <v>129433.88999998569</v>
      </c>
      <c r="M133" s="1119">
        <f t="shared" si="23"/>
        <v>34083657.500000045</v>
      </c>
      <c r="N133" s="14"/>
      <c r="P133" s="7"/>
    </row>
    <row r="134" spans="1:16">
      <c r="A134" s="571">
        <f t="shared" si="24"/>
        <v>71</v>
      </c>
      <c r="B134" s="723" t="s">
        <v>2621</v>
      </c>
      <c r="C134" s="1119">
        <f t="shared" si="25"/>
        <v>13663.820000000298</v>
      </c>
      <c r="D134" s="1119">
        <f t="shared" si="25"/>
        <v>-43.219999998807907</v>
      </c>
      <c r="E134" s="1119">
        <f t="shared" si="25"/>
        <v>7516532.869999975</v>
      </c>
      <c r="F134" s="1119">
        <f t="shared" si="25"/>
        <v>7920287.8199999332</v>
      </c>
      <c r="G134" s="1119">
        <f t="shared" si="25"/>
        <v>1795503.7300000191</v>
      </c>
      <c r="H134" s="1119">
        <f t="shared" si="25"/>
        <v>-192522.06000000238</v>
      </c>
      <c r="I134" s="1119">
        <f t="shared" si="25"/>
        <v>-2226610.3799999952</v>
      </c>
      <c r="J134" s="1119">
        <f t="shared" si="25"/>
        <v>505964.87000000477</v>
      </c>
      <c r="K134" s="1119">
        <f t="shared" si="25"/>
        <v>176894.73999999464</v>
      </c>
      <c r="L134" s="1119">
        <f t="shared" si="25"/>
        <v>6435426.7700000107</v>
      </c>
      <c r="M134" s="1119">
        <f t="shared" si="23"/>
        <v>21945098.959999941</v>
      </c>
      <c r="N134" s="14"/>
      <c r="P134" s="7"/>
    </row>
    <row r="135" spans="1:16">
      <c r="A135" s="571">
        <f t="shared" si="24"/>
        <v>72</v>
      </c>
      <c r="B135" s="723" t="s">
        <v>2622</v>
      </c>
      <c r="C135" s="1119">
        <f t="shared" si="25"/>
        <v>-760.85999999940395</v>
      </c>
      <c r="D135" s="1119">
        <f t="shared" si="25"/>
        <v>760.85999999940395</v>
      </c>
      <c r="E135" s="1119">
        <f t="shared" si="25"/>
        <v>170779.6099999547</v>
      </c>
      <c r="F135" s="1119">
        <f t="shared" si="25"/>
        <v>-63430.509999990463</v>
      </c>
      <c r="G135" s="1119">
        <f t="shared" si="25"/>
        <v>-75028.980000019073</v>
      </c>
      <c r="H135" s="1119">
        <f t="shared" si="25"/>
        <v>55521.069999992847</v>
      </c>
      <c r="I135" s="1119">
        <f t="shared" si="25"/>
        <v>1315800.5499999523</v>
      </c>
      <c r="J135" s="1119">
        <f t="shared" si="25"/>
        <v>1366285.8700000048</v>
      </c>
      <c r="K135" s="1119">
        <f t="shared" si="25"/>
        <v>477678.95999999344</v>
      </c>
      <c r="L135" s="1119">
        <f t="shared" si="25"/>
        <v>-316437.29999998212</v>
      </c>
      <c r="M135" s="1119">
        <f t="shared" si="23"/>
        <v>2931169.2699999064</v>
      </c>
      <c r="N135" s="14"/>
      <c r="P135" s="7"/>
    </row>
    <row r="136" spans="1:16">
      <c r="A136" s="571">
        <f t="shared" si="24"/>
        <v>73</v>
      </c>
      <c r="B136" s="724" t="s">
        <v>2623</v>
      </c>
      <c r="C136" s="1119">
        <f t="shared" si="25"/>
        <v>12350.10000000149</v>
      </c>
      <c r="D136" s="1119">
        <f t="shared" si="25"/>
        <v>761</v>
      </c>
      <c r="E136" s="1119">
        <f t="shared" si="25"/>
        <v>-38331.869999945164</v>
      </c>
      <c r="F136" s="1119">
        <f t="shared" si="25"/>
        <v>108510.54999995232</v>
      </c>
      <c r="G136" s="1119">
        <f t="shared" si="25"/>
        <v>381557.22000002861</v>
      </c>
      <c r="H136" s="1119">
        <f t="shared" si="25"/>
        <v>60184.319999992847</v>
      </c>
      <c r="I136" s="1119">
        <f t="shared" si="25"/>
        <v>232397.56000006199</v>
      </c>
      <c r="J136" s="1119">
        <f t="shared" si="25"/>
        <v>227467.63999998569</v>
      </c>
      <c r="K136" s="1119">
        <f t="shared" si="25"/>
        <v>75899.5</v>
      </c>
      <c r="L136" s="1119">
        <f t="shared" si="25"/>
        <v>189532.37000000477</v>
      </c>
      <c r="M136" s="1119">
        <f t="shared" si="23"/>
        <v>1250328.3900000826</v>
      </c>
      <c r="N136" s="14"/>
      <c r="P136" s="7"/>
    </row>
    <row r="137" spans="1:16">
      <c r="A137" s="571">
        <f t="shared" si="24"/>
        <v>74</v>
      </c>
      <c r="B137" s="723" t="s">
        <v>2624</v>
      </c>
      <c r="C137" s="1119">
        <f t="shared" si="25"/>
        <v>453134.23000000045</v>
      </c>
      <c r="D137" s="1119">
        <f t="shared" si="25"/>
        <v>-452616.23000000417</v>
      </c>
      <c r="E137" s="1119">
        <f t="shared" si="25"/>
        <v>-322839.59000003338</v>
      </c>
      <c r="F137" s="1119">
        <f t="shared" si="25"/>
        <v>399588.19000029564</v>
      </c>
      <c r="G137" s="1119">
        <f t="shared" si="25"/>
        <v>488428.25</v>
      </c>
      <c r="H137" s="1119">
        <f t="shared" si="25"/>
        <v>79969.689999997616</v>
      </c>
      <c r="I137" s="1119">
        <f t="shared" si="25"/>
        <v>323941.46000003815</v>
      </c>
      <c r="J137" s="1119">
        <f t="shared" si="25"/>
        <v>328970.46000000834</v>
      </c>
      <c r="K137" s="1119">
        <f t="shared" si="25"/>
        <v>109768.09000000358</v>
      </c>
      <c r="L137" s="1119">
        <f t="shared" si="25"/>
        <v>119904.56999999285</v>
      </c>
      <c r="M137" s="1119">
        <f t="shared" si="23"/>
        <v>1528249.1200002991</v>
      </c>
      <c r="N137" s="14"/>
      <c r="P137" s="7"/>
    </row>
    <row r="138" spans="1:16">
      <c r="A138" s="571">
        <f t="shared" si="24"/>
        <v>75</v>
      </c>
      <c r="B138" s="723" t="s">
        <v>2625</v>
      </c>
      <c r="C138" s="1119">
        <f t="shared" si="25"/>
        <v>11820.789999999106</v>
      </c>
      <c r="D138" s="1119">
        <f t="shared" si="25"/>
        <v>-1179.8100000023842</v>
      </c>
      <c r="E138" s="1119">
        <f t="shared" si="25"/>
        <v>10510.920000076294</v>
      </c>
      <c r="F138" s="1119">
        <f t="shared" si="25"/>
        <v>28470.129999876022</v>
      </c>
      <c r="G138" s="1119">
        <f t="shared" si="25"/>
        <v>-1610010.7500002384</v>
      </c>
      <c r="H138" s="1119">
        <f t="shared" si="25"/>
        <v>1774212.9399999976</v>
      </c>
      <c r="I138" s="1119">
        <f t="shared" si="25"/>
        <v>580546.41999995708</v>
      </c>
      <c r="J138" s="1119">
        <f t="shared" si="25"/>
        <v>327556.61000001431</v>
      </c>
      <c r="K138" s="1119">
        <f t="shared" si="25"/>
        <v>109294.40000000596</v>
      </c>
      <c r="L138" s="1119">
        <f t="shared" si="25"/>
        <v>159001.70000001788</v>
      </c>
      <c r="M138" s="1119">
        <f t="shared" si="23"/>
        <v>1390223.3499997035</v>
      </c>
      <c r="N138" s="14"/>
      <c r="P138" s="7"/>
    </row>
    <row r="139" spans="1:16">
      <c r="A139" s="571">
        <f t="shared" si="24"/>
        <v>76</v>
      </c>
      <c r="B139" s="724" t="s">
        <v>2626</v>
      </c>
      <c r="C139" s="1119">
        <f t="shared" si="25"/>
        <v>11839.039999999106</v>
      </c>
      <c r="D139" s="1119">
        <f t="shared" si="25"/>
        <v>-594.37999999523163</v>
      </c>
      <c r="E139" s="1119">
        <f t="shared" si="25"/>
        <v>134055.19999992847</v>
      </c>
      <c r="F139" s="1119">
        <f t="shared" si="25"/>
        <v>670382.52999973297</v>
      </c>
      <c r="G139" s="1119">
        <f t="shared" si="25"/>
        <v>655865.81999993324</v>
      </c>
      <c r="H139" s="1119">
        <f t="shared" si="25"/>
        <v>296130.62000000477</v>
      </c>
      <c r="I139" s="1119">
        <f t="shared" si="25"/>
        <v>10632.230000019073</v>
      </c>
      <c r="J139" s="1119">
        <f t="shared" si="25"/>
        <v>628441.90000000596</v>
      </c>
      <c r="K139" s="1119">
        <f t="shared" si="25"/>
        <v>314404.56999999285</v>
      </c>
      <c r="L139" s="1119">
        <f t="shared" si="25"/>
        <v>195515.81000000238</v>
      </c>
      <c r="M139" s="1119">
        <f t="shared" si="23"/>
        <v>2916673.3399996236</v>
      </c>
      <c r="N139" s="14"/>
      <c r="P139" s="7"/>
    </row>
    <row r="140" spans="1:16">
      <c r="A140" s="571">
        <f t="shared" si="24"/>
        <v>77</v>
      </c>
      <c r="B140" s="724" t="s">
        <v>2627</v>
      </c>
      <c r="C140" s="1119">
        <f t="shared" si="25"/>
        <v>1653095.4375</v>
      </c>
      <c r="D140" s="1119">
        <f t="shared" si="25"/>
        <v>204540.5</v>
      </c>
      <c r="E140" s="1119">
        <f t="shared" si="25"/>
        <v>35215.730000019073</v>
      </c>
      <c r="F140" s="1119">
        <f t="shared" si="25"/>
        <v>13766.810000181198</v>
      </c>
      <c r="G140" s="1119">
        <f t="shared" si="25"/>
        <v>360544.09000039101</v>
      </c>
      <c r="H140" s="1119">
        <f t="shared" si="25"/>
        <v>38808.520000010729</v>
      </c>
      <c r="I140" s="1119">
        <f t="shared" si="25"/>
        <v>-3103026.25</v>
      </c>
      <c r="J140" s="1119">
        <f t="shared" si="25"/>
        <v>83416.110000014305</v>
      </c>
      <c r="K140" s="1119">
        <f t="shared" si="25"/>
        <v>41735.379999995232</v>
      </c>
      <c r="L140" s="1119">
        <f t="shared" si="25"/>
        <v>154301.34999999404</v>
      </c>
      <c r="M140" s="1119">
        <f t="shared" si="23"/>
        <v>-517602.32249939442</v>
      </c>
      <c r="N140" s="14"/>
      <c r="P140" s="7"/>
    </row>
    <row r="141" spans="1:16">
      <c r="A141" s="571">
        <f t="shared" si="24"/>
        <v>78</v>
      </c>
      <c r="B141" s="723" t="s">
        <v>2628</v>
      </c>
      <c r="C141" s="1120">
        <f t="shared" si="25"/>
        <v>10091.859999999404</v>
      </c>
      <c r="D141" s="1120">
        <f t="shared" si="25"/>
        <v>-188.89000000059605</v>
      </c>
      <c r="E141" s="1120">
        <f t="shared" si="25"/>
        <v>25355.229999959469</v>
      </c>
      <c r="F141" s="1120">
        <f t="shared" si="25"/>
        <v>40429</v>
      </c>
      <c r="G141" s="1120">
        <f t="shared" si="25"/>
        <v>791795.29999995232</v>
      </c>
      <c r="H141" s="1120">
        <f t="shared" si="25"/>
        <v>77358.939999997616</v>
      </c>
      <c r="I141" s="1120">
        <f t="shared" si="25"/>
        <v>329882.05000019073</v>
      </c>
      <c r="J141" s="1120">
        <f t="shared" si="25"/>
        <v>115201.55000001192</v>
      </c>
      <c r="K141" s="1120">
        <f t="shared" si="25"/>
        <v>57634.439999997616</v>
      </c>
      <c r="L141" s="1120">
        <f t="shared" si="25"/>
        <v>202453.79000002146</v>
      </c>
      <c r="M141" s="1120">
        <f t="shared" si="23"/>
        <v>1650013.2700001299</v>
      </c>
      <c r="N141" s="14"/>
      <c r="P141" s="7"/>
    </row>
    <row r="142" spans="1:16">
      <c r="A142" s="571">
        <f t="shared" si="24"/>
        <v>79</v>
      </c>
      <c r="B142" s="1103" t="s">
        <v>4</v>
      </c>
      <c r="C142" s="1119">
        <f t="shared" ref="C142:M142" si="26">SUM(C130:C141)</f>
        <v>2189633.4774999991</v>
      </c>
      <c r="D142" s="1119">
        <f t="shared" si="26"/>
        <v>194345.54999999702</v>
      </c>
      <c r="E142" s="1119">
        <f t="shared" si="26"/>
        <v>8537439.2499999404</v>
      </c>
      <c r="F142" s="1119">
        <f t="shared" si="26"/>
        <v>42379330.859999895</v>
      </c>
      <c r="G142" s="1119">
        <f t="shared" si="26"/>
        <v>5218312.5300002098</v>
      </c>
      <c r="H142" s="1119">
        <f t="shared" si="26"/>
        <v>2546879.5599999726</v>
      </c>
      <c r="I142" s="1119">
        <f t="shared" si="26"/>
        <v>2720171.5500004292</v>
      </c>
      <c r="J142" s="1119">
        <f t="shared" si="26"/>
        <v>4650988.7900000513</v>
      </c>
      <c r="K142" s="1119">
        <f t="shared" si="26"/>
        <v>2944090.6099999845</v>
      </c>
      <c r="L142" s="1119">
        <f t="shared" si="26"/>
        <v>8295328.5200000703</v>
      </c>
      <c r="M142" s="1119">
        <f t="shared" si="26"/>
        <v>79676520.697500557</v>
      </c>
      <c r="N142" s="14"/>
      <c r="P142" s="7"/>
    </row>
    <row r="143" spans="1:16">
      <c r="A143" s="571"/>
      <c r="B143" s="1103"/>
      <c r="C143" s="1295"/>
      <c r="D143" s="1295"/>
      <c r="E143" s="1295"/>
      <c r="F143" s="1295"/>
      <c r="G143" s="1295"/>
      <c r="H143" s="1295"/>
      <c r="I143" s="1295"/>
      <c r="J143" s="1295"/>
      <c r="K143" s="1295"/>
      <c r="L143" s="1295"/>
      <c r="M143" s="1295"/>
    </row>
    <row r="144" spans="1:16">
      <c r="B144" s="1121" t="s">
        <v>2413</v>
      </c>
      <c r="C144" s="14"/>
      <c r="D144" s="14"/>
      <c r="E144" s="14"/>
      <c r="F144" s="14"/>
      <c r="G144" s="14"/>
    </row>
    <row r="145" spans="1:14">
      <c r="B145" s="14"/>
      <c r="C145" s="14"/>
      <c r="D145" s="14"/>
      <c r="E145" s="14"/>
      <c r="F145" s="14"/>
      <c r="G145" s="14"/>
    </row>
    <row r="146" spans="1:14">
      <c r="A146" s="396"/>
      <c r="B146" s="359" t="s">
        <v>360</v>
      </c>
      <c r="C146" s="359" t="s">
        <v>344</v>
      </c>
      <c r="D146" s="359" t="s">
        <v>345</v>
      </c>
      <c r="E146" s="359" t="s">
        <v>346</v>
      </c>
      <c r="F146" s="359" t="s">
        <v>347</v>
      </c>
      <c r="G146" s="359" t="s">
        <v>348</v>
      </c>
      <c r="H146" s="84" t="s">
        <v>349</v>
      </c>
      <c r="I146" s="84" t="s">
        <v>541</v>
      </c>
      <c r="J146" s="84" t="s">
        <v>958</v>
      </c>
      <c r="K146" s="84" t="s">
        <v>971</v>
      </c>
      <c r="L146" s="84" t="s">
        <v>974</v>
      </c>
      <c r="M146" s="84" t="s">
        <v>992</v>
      </c>
    </row>
    <row r="147" spans="1:14">
      <c r="A147" s="231"/>
      <c r="B147" s="454"/>
      <c r="C147" s="240"/>
      <c r="D147" s="240"/>
      <c r="E147" s="240"/>
      <c r="F147" s="240"/>
      <c r="G147" s="240"/>
      <c r="H147" s="231"/>
      <c r="I147" s="231"/>
      <c r="J147" s="231"/>
      <c r="K147" s="231"/>
      <c r="M147" s="248" t="s">
        <v>1233</v>
      </c>
    </row>
    <row r="148" spans="1:14">
      <c r="A148" s="51"/>
      <c r="B148" s="125" t="s">
        <v>1771</v>
      </c>
      <c r="C148" s="359">
        <v>350.1</v>
      </c>
      <c r="D148" s="359">
        <v>350.2</v>
      </c>
      <c r="E148" s="359">
        <v>352</v>
      </c>
      <c r="F148" s="359">
        <v>353</v>
      </c>
      <c r="G148" s="359">
        <v>354</v>
      </c>
      <c r="H148" s="84">
        <v>355</v>
      </c>
      <c r="I148" s="84">
        <v>356</v>
      </c>
      <c r="J148" s="84">
        <v>357</v>
      </c>
      <c r="K148" s="84">
        <v>358</v>
      </c>
      <c r="L148" s="84">
        <v>359</v>
      </c>
      <c r="M148" s="3" t="s">
        <v>196</v>
      </c>
    </row>
    <row r="149" spans="1:14">
      <c r="A149" s="571">
        <f>A142+1</f>
        <v>80</v>
      </c>
      <c r="B149" s="724" t="s">
        <v>2617</v>
      </c>
      <c r="C149" s="1082">
        <f>C92-C130</f>
        <v>1862152.7299999669</v>
      </c>
      <c r="D149" s="1082">
        <f t="shared" ref="D149:L160" si="27">D92-D130</f>
        <v>-1.4901161193847656E-8</v>
      </c>
      <c r="E149" s="1082">
        <f t="shared" si="27"/>
        <v>-4229183.1199998856</v>
      </c>
      <c r="F149" s="1082">
        <f t="shared" si="27"/>
        <v>1288540.8799991608</v>
      </c>
      <c r="G149" s="1082">
        <f t="shared" si="27"/>
        <v>-2155978.7900006771</v>
      </c>
      <c r="H149" s="1082">
        <f t="shared" si="27"/>
        <v>40179967.359999955</v>
      </c>
      <c r="I149" s="1082">
        <f t="shared" si="27"/>
        <v>-10805168.100000143</v>
      </c>
      <c r="J149" s="1082">
        <f t="shared" si="27"/>
        <v>46090.479999989271</v>
      </c>
      <c r="K149" s="1082">
        <f t="shared" si="27"/>
        <v>-1149425.6099999696</v>
      </c>
      <c r="L149" s="1082">
        <f t="shared" si="27"/>
        <v>-18568417.810000002</v>
      </c>
      <c r="M149" s="1082">
        <f t="shared" ref="M149:M160" si="28">SUM(C149:L149)</f>
        <v>6468578.0199983791</v>
      </c>
      <c r="N149" s="14"/>
    </row>
    <row r="150" spans="1:14">
      <c r="A150" s="571">
        <f t="shared" ref="A150:A161" si="29">A149+1</f>
        <v>81</v>
      </c>
      <c r="B150" s="723" t="s">
        <v>2618</v>
      </c>
      <c r="C150" s="1082">
        <f t="shared" ref="C150:C160" si="30">C93-C131</f>
        <v>-53.979999963194132</v>
      </c>
      <c r="D150" s="1082">
        <f t="shared" si="27"/>
        <v>2.9802322387695313E-8</v>
      </c>
      <c r="E150" s="1082">
        <f t="shared" si="27"/>
        <v>8727472.0199999809</v>
      </c>
      <c r="F150" s="1082">
        <f t="shared" si="27"/>
        <v>13052909.34000206</v>
      </c>
      <c r="G150" s="1082">
        <f t="shared" si="27"/>
        <v>-14439745.130000114</v>
      </c>
      <c r="H150" s="1082">
        <f t="shared" si="27"/>
        <v>14579252.029999822</v>
      </c>
      <c r="I150" s="1082">
        <f t="shared" si="27"/>
        <v>6934216.8400001526</v>
      </c>
      <c r="J150" s="1082">
        <f t="shared" si="27"/>
        <v>-21022.09999999404</v>
      </c>
      <c r="K150" s="1082">
        <f t="shared" si="27"/>
        <v>2471233.3399999589</v>
      </c>
      <c r="L150" s="1082">
        <f t="shared" si="27"/>
        <v>5575.4599999785423</v>
      </c>
      <c r="M150" s="1082">
        <f t="shared" si="28"/>
        <v>31309837.820001911</v>
      </c>
      <c r="N150" s="14"/>
    </row>
    <row r="151" spans="1:14">
      <c r="A151" s="571">
        <f t="shared" si="29"/>
        <v>82</v>
      </c>
      <c r="B151" s="723" t="s">
        <v>2619</v>
      </c>
      <c r="C151" s="1082">
        <f t="shared" si="30"/>
        <v>-154587.8900000155</v>
      </c>
      <c r="D151" s="1082">
        <f t="shared" si="27"/>
        <v>81069.599999979138</v>
      </c>
      <c r="E151" s="1082">
        <f t="shared" si="27"/>
        <v>-3816423.0800000429</v>
      </c>
      <c r="F151" s="1082">
        <f t="shared" si="27"/>
        <v>9310983.3899996281</v>
      </c>
      <c r="G151" s="1082">
        <f t="shared" si="27"/>
        <v>9214238.5500004292</v>
      </c>
      <c r="H151" s="1082">
        <f t="shared" si="27"/>
        <v>7717474.4599998593</v>
      </c>
      <c r="I151" s="1082">
        <f t="shared" si="27"/>
        <v>6336700.6699999571</v>
      </c>
      <c r="J151" s="1082">
        <f t="shared" si="27"/>
        <v>-234023.12999999523</v>
      </c>
      <c r="K151" s="1082">
        <f t="shared" si="27"/>
        <v>-956806.08999998868</v>
      </c>
      <c r="L151" s="1082">
        <f t="shared" si="27"/>
        <v>169198.72000002861</v>
      </c>
      <c r="M151" s="1082">
        <f t="shared" si="28"/>
        <v>27667825.199999839</v>
      </c>
      <c r="N151" s="14"/>
    </row>
    <row r="152" spans="1:14">
      <c r="A152" s="571">
        <f t="shared" si="29"/>
        <v>83</v>
      </c>
      <c r="B152" s="724" t="s">
        <v>2620</v>
      </c>
      <c r="C152" s="1082">
        <f t="shared" si="30"/>
        <v>0</v>
      </c>
      <c r="D152" s="1082">
        <f t="shared" si="27"/>
        <v>-13.090000003576279</v>
      </c>
      <c r="E152" s="1082">
        <f t="shared" si="27"/>
        <v>11191794.349999994</v>
      </c>
      <c r="F152" s="1082">
        <f t="shared" si="27"/>
        <v>-4664717.3799991608</v>
      </c>
      <c r="G152" s="1082">
        <f t="shared" si="27"/>
        <v>18804319.74000001</v>
      </c>
      <c r="H152" s="1082">
        <f t="shared" si="27"/>
        <v>7635660.0100000203</v>
      </c>
      <c r="I152" s="1082">
        <f t="shared" si="27"/>
        <v>6878168.9400000572</v>
      </c>
      <c r="J152" s="1082">
        <f t="shared" si="27"/>
        <v>-649631.94999998808</v>
      </c>
      <c r="K152" s="1082">
        <f t="shared" si="27"/>
        <v>1449495.5000000149</v>
      </c>
      <c r="L152" s="1082">
        <f t="shared" si="27"/>
        <v>14473.120000004768</v>
      </c>
      <c r="M152" s="1082">
        <f t="shared" si="28"/>
        <v>40659549.240000948</v>
      </c>
      <c r="N152" s="14"/>
    </row>
    <row r="153" spans="1:14">
      <c r="A153" s="571">
        <f t="shared" si="29"/>
        <v>84</v>
      </c>
      <c r="B153" s="723" t="s">
        <v>2621</v>
      </c>
      <c r="C153" s="1082">
        <f t="shared" si="30"/>
        <v>-98.389999993145466</v>
      </c>
      <c r="D153" s="1082">
        <f t="shared" si="27"/>
        <v>68763.300000011921</v>
      </c>
      <c r="E153" s="1082">
        <f t="shared" si="27"/>
        <v>1394624.7400000393</v>
      </c>
      <c r="F153" s="1082">
        <f t="shared" si="27"/>
        <v>10571789.969998121</v>
      </c>
      <c r="G153" s="1082">
        <f t="shared" si="27"/>
        <v>3159262.6499996185</v>
      </c>
      <c r="H153" s="1082">
        <f t="shared" si="27"/>
        <v>3378309.6700001359</v>
      </c>
      <c r="I153" s="1082">
        <f t="shared" si="27"/>
        <v>1318502.2499998808</v>
      </c>
      <c r="J153" s="1082">
        <f t="shared" si="27"/>
        <v>-308.20000001788139</v>
      </c>
      <c r="K153" s="1082">
        <f t="shared" si="27"/>
        <v>-30034.970000013709</v>
      </c>
      <c r="L153" s="1082">
        <f t="shared" si="27"/>
        <v>267093.8599999845</v>
      </c>
      <c r="M153" s="1082">
        <f t="shared" si="28"/>
        <v>20127904.879997768</v>
      </c>
      <c r="N153" s="14"/>
    </row>
    <row r="154" spans="1:14">
      <c r="A154" s="571">
        <f t="shared" si="29"/>
        <v>85</v>
      </c>
      <c r="B154" s="723" t="s">
        <v>2622</v>
      </c>
      <c r="C154" s="1082">
        <f t="shared" si="30"/>
        <v>395111.15999998152</v>
      </c>
      <c r="D154" s="1082">
        <f t="shared" si="27"/>
        <v>390634.67000000179</v>
      </c>
      <c r="E154" s="1082">
        <f t="shared" si="27"/>
        <v>4752999.0600000024</v>
      </c>
      <c r="F154" s="1082">
        <f t="shared" si="27"/>
        <v>25391959.540001631</v>
      </c>
      <c r="G154" s="1082">
        <f t="shared" si="27"/>
        <v>2457184.970000267</v>
      </c>
      <c r="H154" s="1082">
        <f t="shared" si="27"/>
        <v>6853509.1200000644</v>
      </c>
      <c r="I154" s="1082">
        <f t="shared" si="27"/>
        <v>3043927.8300001621</v>
      </c>
      <c r="J154" s="1082">
        <f t="shared" si="27"/>
        <v>-187248.84000000358</v>
      </c>
      <c r="K154" s="1082">
        <f t="shared" si="27"/>
        <v>-963026.72999997437</v>
      </c>
      <c r="L154" s="1082">
        <f t="shared" si="27"/>
        <v>-192813.06000000238</v>
      </c>
      <c r="M154" s="1082">
        <f t="shared" si="28"/>
        <v>41942237.72000213</v>
      </c>
      <c r="N154" s="14"/>
    </row>
    <row r="155" spans="1:14">
      <c r="A155" s="571">
        <f t="shared" si="29"/>
        <v>86</v>
      </c>
      <c r="B155" s="724" t="s">
        <v>2623</v>
      </c>
      <c r="C155" s="1082">
        <f t="shared" si="30"/>
        <v>1.8200000151991844</v>
      </c>
      <c r="D155" s="1082">
        <f t="shared" si="27"/>
        <v>768283.44999998808</v>
      </c>
      <c r="E155" s="1082">
        <f t="shared" si="27"/>
        <v>3222964.7899999022</v>
      </c>
      <c r="F155" s="1082">
        <f t="shared" si="27"/>
        <v>17513037.769998789</v>
      </c>
      <c r="G155" s="1082">
        <f t="shared" si="27"/>
        <v>1417802.1600000858</v>
      </c>
      <c r="H155" s="1082">
        <f t="shared" si="27"/>
        <v>9374208.6600000262</v>
      </c>
      <c r="I155" s="1082">
        <f t="shared" si="27"/>
        <v>-2998213.3400002718</v>
      </c>
      <c r="J155" s="1082">
        <f t="shared" si="27"/>
        <v>2270473.5200000107</v>
      </c>
      <c r="K155" s="1082">
        <f t="shared" si="27"/>
        <v>-1874400.5699999928</v>
      </c>
      <c r="L155" s="1082">
        <f t="shared" si="27"/>
        <v>-132809.30000001192</v>
      </c>
      <c r="M155" s="1082">
        <f t="shared" si="28"/>
        <v>29561348.959998541</v>
      </c>
      <c r="N155" s="14"/>
    </row>
    <row r="156" spans="1:14">
      <c r="A156" s="571">
        <f t="shared" si="29"/>
        <v>87</v>
      </c>
      <c r="B156" s="723" t="s">
        <v>2624</v>
      </c>
      <c r="C156" s="1082">
        <f t="shared" si="30"/>
        <v>-1.1175870895385742E-8</v>
      </c>
      <c r="D156" s="1082">
        <f t="shared" si="27"/>
        <v>43316.510000005364</v>
      </c>
      <c r="E156" s="1082">
        <f t="shared" si="27"/>
        <v>6907614.6299999952</v>
      </c>
      <c r="F156" s="1082">
        <f t="shared" si="27"/>
        <v>67142326.430000544</v>
      </c>
      <c r="G156" s="1082">
        <f t="shared" si="27"/>
        <v>683648.93999958038</v>
      </c>
      <c r="H156" s="1082">
        <f t="shared" si="27"/>
        <v>2065605.2099998593</v>
      </c>
      <c r="I156" s="1082">
        <f t="shared" si="27"/>
        <v>5234458.8200001717</v>
      </c>
      <c r="J156" s="1082">
        <f t="shared" si="27"/>
        <v>-221075.84000000358</v>
      </c>
      <c r="K156" s="1082">
        <f t="shared" si="27"/>
        <v>3360494.2099999487</v>
      </c>
      <c r="L156" s="1082">
        <f t="shared" si="27"/>
        <v>199885.07000002265</v>
      </c>
      <c r="M156" s="1082">
        <f t="shared" si="28"/>
        <v>85416273.980000108</v>
      </c>
      <c r="N156" s="14"/>
    </row>
    <row r="157" spans="1:14">
      <c r="A157" s="571">
        <f t="shared" si="29"/>
        <v>88</v>
      </c>
      <c r="B157" s="723" t="s">
        <v>2625</v>
      </c>
      <c r="C157" s="1082">
        <f t="shared" si="30"/>
        <v>-7.4505805969238281E-9</v>
      </c>
      <c r="D157" s="1082">
        <f t="shared" si="27"/>
        <v>39924.920000016689</v>
      </c>
      <c r="E157" s="1082">
        <f t="shared" si="27"/>
        <v>2728941.189999938</v>
      </c>
      <c r="F157" s="1082">
        <f t="shared" si="27"/>
        <v>7683803.8199999332</v>
      </c>
      <c r="G157" s="1082">
        <f t="shared" si="27"/>
        <v>-334146.34999966621</v>
      </c>
      <c r="H157" s="1082">
        <f t="shared" si="27"/>
        <v>5689842.5100000501</v>
      </c>
      <c r="I157" s="1082">
        <f t="shared" si="27"/>
        <v>3397025.3899999857</v>
      </c>
      <c r="J157" s="1082">
        <f t="shared" si="27"/>
        <v>7139.3499999940395</v>
      </c>
      <c r="K157" s="1082">
        <f t="shared" si="27"/>
        <v>-1388304.5199999511</v>
      </c>
      <c r="L157" s="1082">
        <f t="shared" si="27"/>
        <v>387195.71999996901</v>
      </c>
      <c r="M157" s="1082">
        <f t="shared" si="28"/>
        <v>18211422.030000262</v>
      </c>
      <c r="N157" s="14"/>
    </row>
    <row r="158" spans="1:14">
      <c r="A158" s="571">
        <f t="shared" si="29"/>
        <v>89</v>
      </c>
      <c r="B158" s="724" t="s">
        <v>2626</v>
      </c>
      <c r="C158" s="1082">
        <f t="shared" si="30"/>
        <v>2.2351741790771484E-8</v>
      </c>
      <c r="D158" s="1082">
        <f t="shared" si="27"/>
        <v>291.17999997735023</v>
      </c>
      <c r="E158" s="1082">
        <f t="shared" si="27"/>
        <v>-3874753.6199998856</v>
      </c>
      <c r="F158" s="1082">
        <f t="shared" si="27"/>
        <v>-39548378.039999962</v>
      </c>
      <c r="G158" s="1082">
        <f t="shared" si="27"/>
        <v>2442367.7500002384</v>
      </c>
      <c r="H158" s="1082">
        <f t="shared" si="27"/>
        <v>10133008.810000062</v>
      </c>
      <c r="I158" s="1082">
        <f t="shared" si="27"/>
        <v>-1467530.0499999523</v>
      </c>
      <c r="J158" s="1082">
        <f t="shared" si="27"/>
        <v>-464081.40000000596</v>
      </c>
      <c r="K158" s="1082">
        <f t="shared" si="27"/>
        <v>1583416.0499999523</v>
      </c>
      <c r="L158" s="1082">
        <f t="shared" si="27"/>
        <v>5008.8499999940395</v>
      </c>
      <c r="M158" s="1082">
        <f t="shared" si="28"/>
        <v>-31190650.469999559</v>
      </c>
      <c r="N158" s="14"/>
    </row>
    <row r="159" spans="1:14">
      <c r="A159" s="571">
        <f t="shared" si="29"/>
        <v>90</v>
      </c>
      <c r="B159" s="724" t="s">
        <v>2627</v>
      </c>
      <c r="C159" s="1082">
        <f t="shared" si="30"/>
        <v>-1657267.8875000179</v>
      </c>
      <c r="D159" s="1082">
        <f t="shared" si="27"/>
        <v>12322.32000002265</v>
      </c>
      <c r="E159" s="1082">
        <f t="shared" si="27"/>
        <v>2396062.7799999714</v>
      </c>
      <c r="F159" s="1082">
        <f t="shared" si="27"/>
        <v>5090314.4099991322</v>
      </c>
      <c r="G159" s="1082">
        <f t="shared" si="27"/>
        <v>1019819.0599997044</v>
      </c>
      <c r="H159" s="1082">
        <f t="shared" si="27"/>
        <v>17713334.289999932</v>
      </c>
      <c r="I159" s="1082">
        <f t="shared" si="27"/>
        <v>1624613.8199999332</v>
      </c>
      <c r="J159" s="1082">
        <f t="shared" si="27"/>
        <v>-2081812.4500000179</v>
      </c>
      <c r="K159" s="1082">
        <f t="shared" si="27"/>
        <v>-35475.379999995232</v>
      </c>
      <c r="L159" s="1082">
        <f t="shared" si="27"/>
        <v>1695232.3300000131</v>
      </c>
      <c r="M159" s="1082">
        <f t="shared" si="28"/>
        <v>25777143.292498678</v>
      </c>
      <c r="N159" s="14"/>
    </row>
    <row r="160" spans="1:14">
      <c r="A160" s="571">
        <f t="shared" si="29"/>
        <v>91</v>
      </c>
      <c r="B160" s="723" t="s">
        <v>2628</v>
      </c>
      <c r="C160" s="1122">
        <f t="shared" si="30"/>
        <v>0</v>
      </c>
      <c r="D160" s="1122">
        <f t="shared" si="27"/>
        <v>15224.319999977946</v>
      </c>
      <c r="E160" s="1122">
        <f t="shared" si="27"/>
        <v>15903848.770000041</v>
      </c>
      <c r="F160" s="1122">
        <f t="shared" si="27"/>
        <v>161490447.44000053</v>
      </c>
      <c r="G160" s="1122">
        <f t="shared" si="27"/>
        <v>10160039.479999781</v>
      </c>
      <c r="H160" s="1122">
        <f t="shared" si="27"/>
        <v>6670446.8799999356</v>
      </c>
      <c r="I160" s="1122">
        <f t="shared" si="27"/>
        <v>2503032.8299996853</v>
      </c>
      <c r="J160" s="1122">
        <f t="shared" si="27"/>
        <v>12242.359999984503</v>
      </c>
      <c r="K160" s="1122">
        <f t="shared" si="27"/>
        <v>2564419.530000031</v>
      </c>
      <c r="L160" s="1122">
        <f t="shared" si="27"/>
        <v>1093225.069999963</v>
      </c>
      <c r="M160" s="1122">
        <f t="shared" si="28"/>
        <v>200412926.67999995</v>
      </c>
      <c r="N160" s="14"/>
    </row>
    <row r="161" spans="1:14">
      <c r="A161" s="571">
        <f t="shared" si="29"/>
        <v>92</v>
      </c>
      <c r="B161" s="1103" t="s">
        <v>4</v>
      </c>
      <c r="C161" s="1082">
        <f t="shared" ref="C161:M161" si="31">SUM(C149:C160)</f>
        <v>445257.56249997765</v>
      </c>
      <c r="D161" s="1082">
        <f t="shared" si="31"/>
        <v>1419817.1799999923</v>
      </c>
      <c r="E161" s="1082">
        <f t="shared" si="31"/>
        <v>45305962.51000005</v>
      </c>
      <c r="F161" s="1082">
        <f t="shared" si="31"/>
        <v>274323017.57000041</v>
      </c>
      <c r="G161" s="1082">
        <f t="shared" si="31"/>
        <v>32428813.029999256</v>
      </c>
      <c r="H161" s="1082">
        <f t="shared" si="31"/>
        <v>131990619.00999972</v>
      </c>
      <c r="I161" s="1082">
        <f t="shared" si="31"/>
        <v>21999735.899999619</v>
      </c>
      <c r="J161" s="1082">
        <f t="shared" si="31"/>
        <v>-1523258.2000000477</v>
      </c>
      <c r="K161" s="1082">
        <f t="shared" si="31"/>
        <v>5031584.7600000203</v>
      </c>
      <c r="L161" s="1082">
        <f t="shared" si="31"/>
        <v>-15057151.970000058</v>
      </c>
      <c r="M161" s="1082">
        <f t="shared" si="31"/>
        <v>496364397.35249889</v>
      </c>
      <c r="N161" s="14"/>
    </row>
    <row r="162" spans="1:14">
      <c r="A162" s="571"/>
      <c r="B162" s="1103"/>
      <c r="C162" s="1295"/>
      <c r="D162" s="1295"/>
      <c r="E162" s="1295"/>
      <c r="F162" s="1295"/>
      <c r="G162" s="1295"/>
      <c r="H162" s="1295"/>
      <c r="I162" s="1295"/>
      <c r="J162" s="1295"/>
      <c r="K162" s="1295"/>
      <c r="L162" s="1295"/>
      <c r="M162" s="1295"/>
    </row>
    <row r="163" spans="1:14" s="477" customFormat="1">
      <c r="B163" s="44" t="s">
        <v>2414</v>
      </c>
      <c r="M163" s="1118"/>
    </row>
    <row r="164" spans="1:14" s="477" customFormat="1">
      <c r="M164" s="1118"/>
    </row>
    <row r="165" spans="1:14" s="477" customFormat="1">
      <c r="B165" s="125" t="s">
        <v>1771</v>
      </c>
      <c r="C165" s="359">
        <v>350.1</v>
      </c>
      <c r="D165" s="359">
        <v>350.2</v>
      </c>
      <c r="E165" s="359">
        <v>352</v>
      </c>
      <c r="F165" s="359">
        <v>353</v>
      </c>
      <c r="G165" s="359">
        <v>354</v>
      </c>
      <c r="H165" s="84">
        <v>355</v>
      </c>
      <c r="I165" s="84">
        <v>356</v>
      </c>
      <c r="J165" s="84">
        <v>357</v>
      </c>
      <c r="K165" s="84">
        <v>358</v>
      </c>
      <c r="L165" s="84">
        <v>359</v>
      </c>
      <c r="M165" s="1118"/>
    </row>
    <row r="166" spans="1:14" s="477" customFormat="1">
      <c r="A166" s="571">
        <f>A161+1</f>
        <v>93</v>
      </c>
      <c r="B166" s="724" t="s">
        <v>2617</v>
      </c>
      <c r="C166" s="1125">
        <f>C149/C$161</f>
        <v>4.1821922564202607</v>
      </c>
      <c r="D166" s="1125">
        <f t="shared" ref="D166:L166" si="32">D149/D$161</f>
        <v>-1.0495126699233022E-14</v>
      </c>
      <c r="E166" s="1125">
        <f t="shared" si="32"/>
        <v>-9.3347164163357296E-2</v>
      </c>
      <c r="F166" s="1125">
        <f t="shared" si="32"/>
        <v>4.6971664697088612E-3</v>
      </c>
      <c r="G166" s="1125">
        <f>G149/G$161</f>
        <v>-6.6483432125814271E-2</v>
      </c>
      <c r="H166" s="1125">
        <f t="shared" si="32"/>
        <v>0.30441532634191137</v>
      </c>
      <c r="I166" s="1125">
        <f t="shared" si="32"/>
        <v>-0.49114990057677604</v>
      </c>
      <c r="J166" s="1125">
        <f t="shared" si="32"/>
        <v>-3.0257824970177628E-2</v>
      </c>
      <c r="K166" s="1125">
        <f t="shared" si="32"/>
        <v>-0.2284420644441186</v>
      </c>
      <c r="L166" s="1125">
        <f t="shared" si="32"/>
        <v>1.2331958823950111</v>
      </c>
      <c r="M166" s="1118"/>
    </row>
    <row r="167" spans="1:14" s="477" customFormat="1">
      <c r="A167" s="571">
        <f t="shared" ref="A167:A177" si="33">A166+1</f>
        <v>94</v>
      </c>
      <c r="B167" s="723" t="s">
        <v>2618</v>
      </c>
      <c r="C167" s="1125">
        <f>C150/C$161</f>
        <v>-1.212332018800845E-4</v>
      </c>
      <c r="D167" s="1125">
        <f t="shared" ref="C167:L177" si="34">D150/D$161</f>
        <v>2.0990253398466043E-14</v>
      </c>
      <c r="E167" s="1125">
        <f t="shared" si="34"/>
        <v>0.19263407146628064</v>
      </c>
      <c r="F167" s="1125">
        <f t="shared" si="34"/>
        <v>4.7582260707201798E-2</v>
      </c>
      <c r="G167" s="1125">
        <f t="shared" si="34"/>
        <v>-0.44527516676734946</v>
      </c>
      <c r="H167" s="1125">
        <f t="shared" si="34"/>
        <v>0.11045672896567964</v>
      </c>
      <c r="I167" s="1125">
        <f t="shared" si="34"/>
        <v>0.31519545832367346</v>
      </c>
      <c r="J167" s="1125">
        <f t="shared" si="34"/>
        <v>1.3800746321269356E-2</v>
      </c>
      <c r="K167" s="1125">
        <f t="shared" si="34"/>
        <v>0.49114413407992535</v>
      </c>
      <c r="L167" s="1125">
        <f t="shared" si="34"/>
        <v>-3.7028649316199475E-4</v>
      </c>
      <c r="M167" s="1118"/>
    </row>
    <row r="168" spans="1:14" s="477" customFormat="1">
      <c r="A168" s="571">
        <f t="shared" si="33"/>
        <v>95</v>
      </c>
      <c r="B168" s="723" t="s">
        <v>2619</v>
      </c>
      <c r="C168" s="1125">
        <f t="shared" si="34"/>
        <v>-0.34718756742065049</v>
      </c>
      <c r="D168" s="1125">
        <f t="shared" si="34"/>
        <v>5.7098618851745109E-2</v>
      </c>
      <c r="E168" s="1125">
        <f t="shared" si="34"/>
        <v>-8.4236662650256505E-2</v>
      </c>
      <c r="F168" s="1125">
        <f t="shared" si="34"/>
        <v>3.3941677488378084E-2</v>
      </c>
      <c r="G168" s="1125">
        <f t="shared" si="34"/>
        <v>0.28413739785901254</v>
      </c>
      <c r="H168" s="1125">
        <f t="shared" si="34"/>
        <v>5.8469870949049624E-2</v>
      </c>
      <c r="I168" s="1125">
        <f t="shared" si="34"/>
        <v>0.28803530636929453</v>
      </c>
      <c r="J168" s="1125">
        <f t="shared" si="34"/>
        <v>0.15363326453780973</v>
      </c>
      <c r="K168" s="1125">
        <f t="shared" si="34"/>
        <v>-0.19015998649300003</v>
      </c>
      <c r="L168" s="1125">
        <f t="shared" si="34"/>
        <v>-1.1237099840470558E-2</v>
      </c>
      <c r="M168" s="1118"/>
    </row>
    <row r="169" spans="1:14" s="477" customFormat="1">
      <c r="A169" s="571">
        <f t="shared" si="33"/>
        <v>96</v>
      </c>
      <c r="B169" s="724" t="s">
        <v>2620</v>
      </c>
      <c r="C169" s="1125">
        <f t="shared" si="34"/>
        <v>0</v>
      </c>
      <c r="D169" s="1125">
        <f t="shared" si="34"/>
        <v>-9.2194968394285458E-6</v>
      </c>
      <c r="E169" s="1125">
        <f t="shared" si="34"/>
        <v>0.24702696355981207</v>
      </c>
      <c r="F169" s="1125">
        <f t="shared" si="34"/>
        <v>-1.7004469480250015E-2</v>
      </c>
      <c r="G169" s="1125">
        <f t="shared" si="34"/>
        <v>0.57986457051648799</v>
      </c>
      <c r="H169" s="1125">
        <f t="shared" si="34"/>
        <v>5.7850020458056463E-2</v>
      </c>
      <c r="I169" s="1125">
        <f t="shared" si="34"/>
        <v>0.31264779592195818</v>
      </c>
      <c r="J169" s="1125">
        <f t="shared" si="34"/>
        <v>0.42647526860513058</v>
      </c>
      <c r="K169" s="1125">
        <f t="shared" si="34"/>
        <v>0.28807931678368648</v>
      </c>
      <c r="L169" s="1125">
        <f t="shared" si="34"/>
        <v>-9.6121232148291269E-4</v>
      </c>
      <c r="M169" s="1118"/>
    </row>
    <row r="170" spans="1:14" s="477" customFormat="1">
      <c r="A170" s="571">
        <f t="shared" si="33"/>
        <v>97</v>
      </c>
      <c r="B170" s="723" t="s">
        <v>2621</v>
      </c>
      <c r="C170" s="1125">
        <f t="shared" si="34"/>
        <v>-2.2097322601488751E-4</v>
      </c>
      <c r="D170" s="1125">
        <f t="shared" si="34"/>
        <v>4.843109448782152E-2</v>
      </c>
      <c r="E170" s="1125">
        <f t="shared" si="34"/>
        <v>3.078236644221418E-2</v>
      </c>
      <c r="F170" s="1125">
        <f t="shared" si="34"/>
        <v>3.8537743072545719E-2</v>
      </c>
      <c r="G170" s="1125">
        <f t="shared" si="34"/>
        <v>9.7421470439792129E-2</v>
      </c>
      <c r="H170" s="1125">
        <f t="shared" si="34"/>
        <v>2.5595074069197237E-2</v>
      </c>
      <c r="I170" s="1125">
        <f t="shared" si="34"/>
        <v>5.9932639918641187E-2</v>
      </c>
      <c r="J170" s="1125">
        <f t="shared" si="34"/>
        <v>2.0232945407277095E-4</v>
      </c>
      <c r="K170" s="1125">
        <f t="shared" si="34"/>
        <v>-5.9692863049401537E-3</v>
      </c>
      <c r="L170" s="1125">
        <f t="shared" si="34"/>
        <v>-1.7738670668406852E-2</v>
      </c>
      <c r="M170" s="1118"/>
    </row>
    <row r="171" spans="1:14" s="477" customFormat="1">
      <c r="A171" s="571">
        <f t="shared" si="33"/>
        <v>98</v>
      </c>
      <c r="B171" s="723" t="s">
        <v>2622</v>
      </c>
      <c r="C171" s="1125">
        <f t="shared" si="34"/>
        <v>0.88737664057081878</v>
      </c>
      <c r="D171" s="1125">
        <f t="shared" si="34"/>
        <v>0.2751302600803886</v>
      </c>
      <c r="E171" s="1125">
        <f t="shared" si="34"/>
        <v>0.10490890815863162</v>
      </c>
      <c r="F171" s="1125">
        <f t="shared" si="34"/>
        <v>9.2562263877555354E-2</v>
      </c>
      <c r="G171" s="1125">
        <f t="shared" si="34"/>
        <v>7.5771659225614379E-2</v>
      </c>
      <c r="H171" s="1125">
        <f t="shared" si="34"/>
        <v>5.1924213791897107E-2</v>
      </c>
      <c r="I171" s="1125">
        <f t="shared" si="34"/>
        <v>0.13836201688222152</v>
      </c>
      <c r="J171" s="1125">
        <f t="shared" si="34"/>
        <v>0.12292652683569845</v>
      </c>
      <c r="K171" s="1125">
        <f t="shared" si="34"/>
        <v>-0.19139630473003708</v>
      </c>
      <c r="L171" s="1125">
        <f t="shared" si="34"/>
        <v>1.2805413692055711E-2</v>
      </c>
      <c r="M171" s="1118"/>
    </row>
    <row r="172" spans="1:14" s="477" customFormat="1">
      <c r="A172" s="571">
        <f t="shared" si="33"/>
        <v>99</v>
      </c>
      <c r="B172" s="724" t="s">
        <v>2623</v>
      </c>
      <c r="C172" s="1125">
        <f t="shared" si="34"/>
        <v>4.0875218491078987E-6</v>
      </c>
      <c r="D172" s="1125">
        <f t="shared" si="34"/>
        <v>0.54111434966577332</v>
      </c>
      <c r="E172" s="1125">
        <f t="shared" si="34"/>
        <v>7.1137762260067225E-2</v>
      </c>
      <c r="F172" s="1125">
        <f t="shared" si="34"/>
        <v>6.3840934403289348E-2</v>
      </c>
      <c r="G172" s="1125">
        <f t="shared" si="34"/>
        <v>4.372044572487143E-2</v>
      </c>
      <c r="H172" s="1125">
        <f t="shared" si="34"/>
        <v>7.1021779656096837E-2</v>
      </c>
      <c r="I172" s="1125">
        <f t="shared" si="34"/>
        <v>-0.13628406057366915</v>
      </c>
      <c r="J172" s="1125">
        <f t="shared" si="34"/>
        <v>-1.4905375332953663</v>
      </c>
      <c r="K172" s="1125">
        <f t="shared" si="34"/>
        <v>-0.37252687958296171</v>
      </c>
      <c r="L172" s="1125">
        <f t="shared" si="34"/>
        <v>8.8203466541761557E-3</v>
      </c>
      <c r="M172" s="1118"/>
    </row>
    <row r="173" spans="1:14" s="477" customFormat="1">
      <c r="A173" s="571">
        <f t="shared" si="33"/>
        <v>100</v>
      </c>
      <c r="B173" s="723" t="s">
        <v>2624</v>
      </c>
      <c r="C173" s="1125">
        <f t="shared" si="34"/>
        <v>-2.5099789058352721E-14</v>
      </c>
      <c r="D173" s="1125">
        <f t="shared" si="34"/>
        <v>3.0508512370589571E-2</v>
      </c>
      <c r="E173" s="1125">
        <f t="shared" si="34"/>
        <v>0.15246590619226616</v>
      </c>
      <c r="F173" s="1125">
        <f t="shared" si="34"/>
        <v>0.24475644451843159</v>
      </c>
      <c r="G173" s="1125">
        <f t="shared" si="34"/>
        <v>2.1081528311478751E-2</v>
      </c>
      <c r="H173" s="1125">
        <f t="shared" si="34"/>
        <v>1.564963650820796E-2</v>
      </c>
      <c r="I173" s="1125">
        <f t="shared" si="34"/>
        <v>0.23793280263879268</v>
      </c>
      <c r="J173" s="1125">
        <f t="shared" si="34"/>
        <v>0.14513353021831535</v>
      </c>
      <c r="K173" s="1125">
        <f t="shared" si="34"/>
        <v>0.66787987687599548</v>
      </c>
      <c r="L173" s="1125">
        <f t="shared" si="34"/>
        <v>-1.3275091491290957E-2</v>
      </c>
      <c r="M173" s="1118"/>
    </row>
    <row r="174" spans="1:14" s="477" customFormat="1">
      <c r="A174" s="571">
        <f t="shared" si="33"/>
        <v>101</v>
      </c>
      <c r="B174" s="723" t="s">
        <v>2625</v>
      </c>
      <c r="C174" s="1125">
        <f t="shared" si="34"/>
        <v>-1.6733192705568482E-14</v>
      </c>
      <c r="D174" s="1125">
        <f t="shared" si="34"/>
        <v>2.811976116531912E-2</v>
      </c>
      <c r="E174" s="1125">
        <f t="shared" si="34"/>
        <v>6.0233599261854308E-2</v>
      </c>
      <c r="F174" s="1125">
        <f t="shared" si="34"/>
        <v>2.8010058682149112E-2</v>
      </c>
      <c r="G174" s="1125">
        <f t="shared" si="34"/>
        <v>-1.0303995699458812E-2</v>
      </c>
      <c r="H174" s="1125">
        <f t="shared" si="34"/>
        <v>4.3107931099019871E-2</v>
      </c>
      <c r="I174" s="1125">
        <f t="shared" si="34"/>
        <v>0.15441209864705896</v>
      </c>
      <c r="J174" s="1125">
        <f t="shared" si="34"/>
        <v>-4.6868941851052016E-3</v>
      </c>
      <c r="K174" s="1125">
        <f t="shared" si="34"/>
        <v>-0.27591794359436478</v>
      </c>
      <c r="L174" s="1125">
        <f t="shared" si="34"/>
        <v>-2.571507020526987E-2</v>
      </c>
      <c r="M174" s="1118"/>
    </row>
    <row r="175" spans="1:14" s="477" customFormat="1">
      <c r="A175" s="571">
        <f t="shared" si="33"/>
        <v>102</v>
      </c>
      <c r="B175" s="724" t="s">
        <v>2626</v>
      </c>
      <c r="C175" s="1125">
        <f t="shared" si="34"/>
        <v>5.0199578116705443E-14</v>
      </c>
      <c r="D175" s="1125">
        <f t="shared" si="34"/>
        <v>2.0508274169309026E-4</v>
      </c>
      <c r="E175" s="1125">
        <f t="shared" si="34"/>
        <v>-8.5524143078179612E-2</v>
      </c>
      <c r="F175" s="1125">
        <f t="shared" si="34"/>
        <v>-0.14416718797542463</v>
      </c>
      <c r="G175" s="1125">
        <f t="shared" si="34"/>
        <v>7.5314743951338955E-2</v>
      </c>
      <c r="H175" s="1125">
        <f t="shared" si="34"/>
        <v>7.6770674203993056E-2</v>
      </c>
      <c r="I175" s="1125">
        <f t="shared" si="34"/>
        <v>-6.6706712147393446E-2</v>
      </c>
      <c r="J175" s="1125">
        <f t="shared" si="34"/>
        <v>0.30466364796197482</v>
      </c>
      <c r="K175" s="1125">
        <f t="shared" si="34"/>
        <v>0.31469529492730752</v>
      </c>
      <c r="L175" s="1125">
        <f t="shared" si="34"/>
        <v>-3.3265587077647193E-4</v>
      </c>
      <c r="M175" s="1118"/>
    </row>
    <row r="176" spans="1:14" s="477" customFormat="1">
      <c r="A176" s="571">
        <f t="shared" si="33"/>
        <v>103</v>
      </c>
      <c r="B176" s="724" t="s">
        <v>2627</v>
      </c>
      <c r="C176" s="1125">
        <f t="shared" si="34"/>
        <v>-3.7220432106643919</v>
      </c>
      <c r="D176" s="1125">
        <f t="shared" si="34"/>
        <v>8.6788075067683827E-3</v>
      </c>
      <c r="E176" s="1125">
        <f t="shared" si="34"/>
        <v>5.2886257067623413E-2</v>
      </c>
      <c r="F176" s="1125">
        <f t="shared" si="34"/>
        <v>1.8555914319877333E-2</v>
      </c>
      <c r="G176" s="1125">
        <f t="shared" si="34"/>
        <v>3.1447930550411757E-2</v>
      </c>
      <c r="H176" s="1125">
        <f t="shared" si="34"/>
        <v>0.13420146388326246</v>
      </c>
      <c r="I176" s="1125">
        <f t="shared" si="34"/>
        <v>7.3846969226569734E-2</v>
      </c>
      <c r="J176" s="1125">
        <f t="shared" si="34"/>
        <v>1.366683895087486</v>
      </c>
      <c r="K176" s="1125">
        <f t="shared" si="34"/>
        <v>-7.0505380893146454E-3</v>
      </c>
      <c r="L176" s="1125">
        <f t="shared" si="34"/>
        <v>-0.11258651924199226</v>
      </c>
      <c r="M176" s="1118"/>
    </row>
    <row r="177" spans="1:13" s="477" customFormat="1">
      <c r="A177" s="571">
        <f t="shared" si="33"/>
        <v>104</v>
      </c>
      <c r="B177" s="723" t="s">
        <v>2628</v>
      </c>
      <c r="C177" s="1125">
        <f t="shared" si="34"/>
        <v>0</v>
      </c>
      <c r="D177" s="1125">
        <f t="shared" si="34"/>
        <v>1.0722732626730175E-2</v>
      </c>
      <c r="E177" s="1125">
        <f t="shared" si="34"/>
        <v>0.35103213548304379</v>
      </c>
      <c r="F177" s="1125">
        <f t="shared" si="34"/>
        <v>0.58868719391653745</v>
      </c>
      <c r="G177" s="1125">
        <f t="shared" si="34"/>
        <v>0.31330284801361458</v>
      </c>
      <c r="H177" s="1125">
        <f t="shared" si="34"/>
        <v>5.0537280073628392E-2</v>
      </c>
      <c r="I177" s="1125">
        <f t="shared" si="34"/>
        <v>0.1137755853696284</v>
      </c>
      <c r="J177" s="1125">
        <f t="shared" si="34"/>
        <v>-8.0369565711079834E-3</v>
      </c>
      <c r="K177" s="1125">
        <f t="shared" si="34"/>
        <v>0.50966438057182217</v>
      </c>
      <c r="L177" s="1125">
        <f t="shared" si="34"/>
        <v>-7.2605036608391141E-2</v>
      </c>
      <c r="M177" s="1118"/>
    </row>
    <row r="179" spans="1:13">
      <c r="B179" s="1" t="s">
        <v>1546</v>
      </c>
    </row>
    <row r="180" spans="1:13">
      <c r="B180" s="481" t="s">
        <v>2415</v>
      </c>
    </row>
    <row r="181" spans="1:13">
      <c r="B181" s="16"/>
      <c r="C181" s="84">
        <v>350.1</v>
      </c>
      <c r="D181" s="84">
        <v>350.2</v>
      </c>
      <c r="E181" s="84">
        <v>352</v>
      </c>
      <c r="F181" s="84">
        <v>353</v>
      </c>
      <c r="G181" s="84">
        <v>354</v>
      </c>
      <c r="H181" s="84">
        <v>355</v>
      </c>
      <c r="I181" s="84">
        <v>356</v>
      </c>
      <c r="J181" s="84">
        <v>357</v>
      </c>
      <c r="K181" s="84">
        <v>358</v>
      </c>
      <c r="L181" s="84">
        <v>359</v>
      </c>
      <c r="M181" s="3" t="s">
        <v>196</v>
      </c>
    </row>
    <row r="182" spans="1:13">
      <c r="A182" s="571">
        <f>A177+1</f>
        <v>105</v>
      </c>
      <c r="B182" s="16"/>
      <c r="C182" s="7">
        <f t="shared" ref="C182:L182" si="35">C23-C11</f>
        <v>1030499.904085815</v>
      </c>
      <c r="D182" s="7">
        <f t="shared" si="35"/>
        <v>-425809.22028771043</v>
      </c>
      <c r="E182" s="7">
        <f t="shared" si="35"/>
        <v>38115411.993642509</v>
      </c>
      <c r="F182" s="7">
        <f t="shared" si="35"/>
        <v>160272324.82972956</v>
      </c>
      <c r="G182" s="7">
        <f t="shared" si="35"/>
        <v>49389689.465382099</v>
      </c>
      <c r="H182" s="7">
        <f t="shared" si="35"/>
        <v>40165852.563785493</v>
      </c>
      <c r="I182" s="7">
        <f t="shared" si="35"/>
        <v>10029895.512284994</v>
      </c>
      <c r="J182" s="7">
        <f t="shared" si="35"/>
        <v>4714292.2083087862</v>
      </c>
      <c r="K182" s="7">
        <f t="shared" si="35"/>
        <v>2969302.0129371285</v>
      </c>
      <c r="L182" s="7">
        <f t="shared" si="35"/>
        <v>-9386200.633643508</v>
      </c>
      <c r="M182" s="7">
        <f>M23-M11</f>
        <v>296875258.63622475</v>
      </c>
    </row>
    <row r="183" spans="1:13">
      <c r="B183" s="16"/>
      <c r="C183" s="7"/>
      <c r="D183" s="7"/>
      <c r="E183" s="7"/>
      <c r="F183" s="7"/>
      <c r="G183" s="7"/>
      <c r="H183" s="7"/>
      <c r="I183" s="7"/>
      <c r="J183" s="7"/>
      <c r="K183" s="7"/>
      <c r="L183" s="7"/>
      <c r="M183" s="7"/>
    </row>
    <row r="184" spans="1:13">
      <c r="B184" s="481" t="s">
        <v>2416</v>
      </c>
      <c r="C184" s="7"/>
      <c r="D184" s="7"/>
      <c r="E184" s="7"/>
      <c r="F184" s="7"/>
      <c r="G184" s="7"/>
      <c r="H184" s="7"/>
      <c r="I184" s="7"/>
      <c r="J184" s="7"/>
      <c r="K184" s="7"/>
      <c r="L184" s="7"/>
      <c r="M184" s="7"/>
    </row>
    <row r="185" spans="1:13">
      <c r="B185" s="16"/>
      <c r="C185" s="84">
        <v>350.1</v>
      </c>
      <c r="D185" s="84">
        <v>350.2</v>
      </c>
      <c r="E185" s="84">
        <v>352</v>
      </c>
      <c r="F185" s="84">
        <v>353</v>
      </c>
      <c r="G185" s="84">
        <v>354</v>
      </c>
      <c r="H185" s="84">
        <v>355</v>
      </c>
      <c r="I185" s="84">
        <v>356</v>
      </c>
      <c r="J185" s="84">
        <v>357</v>
      </c>
      <c r="K185" s="84">
        <v>358</v>
      </c>
      <c r="L185" s="84">
        <v>359</v>
      </c>
      <c r="M185" s="3" t="s">
        <v>196</v>
      </c>
    </row>
    <row r="186" spans="1:13">
      <c r="A186" s="571">
        <f>A182+1</f>
        <v>106</v>
      </c>
      <c r="B186" s="16"/>
      <c r="C186" s="7">
        <f>C142</f>
        <v>2189633.4774999991</v>
      </c>
      <c r="D186" s="7">
        <f t="shared" ref="D186:M186" si="36">D142</f>
        <v>194345.54999999702</v>
      </c>
      <c r="E186" s="7">
        <f t="shared" si="36"/>
        <v>8537439.2499999404</v>
      </c>
      <c r="F186" s="7">
        <f t="shared" si="36"/>
        <v>42379330.859999895</v>
      </c>
      <c r="G186" s="7">
        <f t="shared" si="36"/>
        <v>5218312.5300002098</v>
      </c>
      <c r="H186" s="7">
        <f t="shared" si="36"/>
        <v>2546879.5599999726</v>
      </c>
      <c r="I186" s="7">
        <f t="shared" si="36"/>
        <v>2720171.5500004292</v>
      </c>
      <c r="J186" s="7">
        <f t="shared" si="36"/>
        <v>4650988.7900000513</v>
      </c>
      <c r="K186" s="7">
        <f t="shared" si="36"/>
        <v>2944090.6099999845</v>
      </c>
      <c r="L186" s="7">
        <f t="shared" si="36"/>
        <v>8295328.5200000703</v>
      </c>
      <c r="M186" s="7">
        <f t="shared" si="36"/>
        <v>79676520.697500557</v>
      </c>
    </row>
    <row r="187" spans="1:13">
      <c r="B187" s="16"/>
      <c r="C187" s="7"/>
      <c r="D187" s="7"/>
      <c r="E187" s="7"/>
      <c r="F187" s="7"/>
      <c r="G187" s="7"/>
      <c r="H187" s="7"/>
      <c r="I187" s="7"/>
      <c r="J187" s="7"/>
      <c r="K187" s="7"/>
      <c r="L187" s="7"/>
      <c r="M187" s="7"/>
    </row>
    <row r="188" spans="1:13">
      <c r="B188" s="481" t="s">
        <v>2417</v>
      </c>
      <c r="C188" s="7"/>
      <c r="D188" s="7"/>
      <c r="E188" s="7"/>
      <c r="F188" s="7"/>
      <c r="G188" s="7"/>
      <c r="H188" s="7"/>
      <c r="I188" s="7"/>
      <c r="J188" s="7"/>
      <c r="K188" s="7"/>
      <c r="L188" s="7"/>
      <c r="M188" s="7"/>
    </row>
    <row r="189" spans="1:13">
      <c r="C189" s="84">
        <v>350.1</v>
      </c>
      <c r="D189" s="84">
        <v>350.2</v>
      </c>
      <c r="E189" s="84">
        <v>352</v>
      </c>
      <c r="F189" s="84">
        <v>353</v>
      </c>
      <c r="G189" s="84">
        <v>354</v>
      </c>
      <c r="H189" s="84">
        <v>355</v>
      </c>
      <c r="I189" s="84">
        <v>356</v>
      </c>
      <c r="J189" s="84">
        <v>357</v>
      </c>
      <c r="K189" s="84">
        <v>358</v>
      </c>
      <c r="L189" s="84">
        <v>359</v>
      </c>
      <c r="M189" s="3" t="s">
        <v>196</v>
      </c>
    </row>
    <row r="190" spans="1:13">
      <c r="A190" s="571">
        <f>A186+1</f>
        <v>107</v>
      </c>
      <c r="C190" s="7">
        <f>C182-C186</f>
        <v>-1159133.5734141842</v>
      </c>
      <c r="D190" s="7">
        <f t="shared" ref="D190:M190" si="37">D182-D186</f>
        <v>-620154.77028770745</v>
      </c>
      <c r="E190" s="7">
        <f t="shared" si="37"/>
        <v>29577972.743642569</v>
      </c>
      <c r="F190" s="7">
        <f t="shared" si="37"/>
        <v>117892993.96972966</v>
      </c>
      <c r="G190" s="7">
        <f t="shared" si="37"/>
        <v>44171376.935381889</v>
      </c>
      <c r="H190" s="7">
        <f t="shared" si="37"/>
        <v>37618973.003785521</v>
      </c>
      <c r="I190" s="7">
        <f t="shared" si="37"/>
        <v>7309723.962284565</v>
      </c>
      <c r="J190" s="7">
        <f t="shared" si="37"/>
        <v>63303.418308734894</v>
      </c>
      <c r="K190" s="7">
        <f t="shared" si="37"/>
        <v>25211.402937144041</v>
      </c>
      <c r="L190" s="7">
        <f t="shared" si="37"/>
        <v>-17681529.153643578</v>
      </c>
      <c r="M190" s="7">
        <f t="shared" si="37"/>
        <v>217198737.93872419</v>
      </c>
    </row>
    <row r="192" spans="1:13">
      <c r="B192" s="44" t="s">
        <v>2418</v>
      </c>
      <c r="C192" s="14"/>
      <c r="D192" s="14"/>
      <c r="E192" s="14"/>
      <c r="F192" s="14"/>
      <c r="G192" s="14"/>
    </row>
    <row r="193" spans="1:14">
      <c r="A193" s="396"/>
      <c r="B193" s="359" t="s">
        <v>360</v>
      </c>
      <c r="C193" s="359" t="s">
        <v>344</v>
      </c>
      <c r="D193" s="359" t="s">
        <v>345</v>
      </c>
      <c r="E193" s="359" t="s">
        <v>346</v>
      </c>
      <c r="F193" s="359" t="s">
        <v>347</v>
      </c>
      <c r="G193" s="359" t="s">
        <v>348</v>
      </c>
      <c r="H193" s="84" t="s">
        <v>349</v>
      </c>
      <c r="I193" s="84" t="s">
        <v>541</v>
      </c>
      <c r="J193" s="84" t="s">
        <v>958</v>
      </c>
      <c r="K193" s="84" t="s">
        <v>971</v>
      </c>
      <c r="L193" s="84" t="s">
        <v>974</v>
      </c>
      <c r="M193" s="84" t="s">
        <v>992</v>
      </c>
    </row>
    <row r="194" spans="1:14">
      <c r="A194" s="231"/>
      <c r="B194" s="452"/>
      <c r="C194" s="240"/>
      <c r="D194" s="240"/>
      <c r="E194" s="240"/>
      <c r="F194" s="518"/>
      <c r="G194" s="240"/>
      <c r="H194" s="231"/>
      <c r="I194" s="231"/>
      <c r="J194" s="231"/>
      <c r="K194" s="231"/>
      <c r="L194" s="231"/>
      <c r="M194" s="248" t="s">
        <v>1233</v>
      </c>
    </row>
    <row r="195" spans="1:14">
      <c r="A195" s="231"/>
      <c r="B195" s="111"/>
      <c r="C195" s="359"/>
      <c r="D195" s="359"/>
      <c r="E195" s="240"/>
      <c r="F195" s="240"/>
      <c r="G195" s="240"/>
      <c r="H195" s="231"/>
      <c r="I195" s="231"/>
      <c r="J195" s="231"/>
      <c r="K195" s="231"/>
      <c r="L195" s="231"/>
    </row>
    <row r="196" spans="1:14">
      <c r="A196" s="51"/>
      <c r="B196" s="125" t="s">
        <v>1771</v>
      </c>
      <c r="C196" s="359">
        <v>350.1</v>
      </c>
      <c r="D196" s="359">
        <v>350.2</v>
      </c>
      <c r="E196" s="359">
        <v>352</v>
      </c>
      <c r="F196" s="359">
        <v>353</v>
      </c>
      <c r="G196" s="359">
        <v>354</v>
      </c>
      <c r="H196" s="84">
        <v>355</v>
      </c>
      <c r="I196" s="84">
        <v>356</v>
      </c>
      <c r="J196" s="84">
        <v>357</v>
      </c>
      <c r="K196" s="84">
        <v>358</v>
      </c>
      <c r="L196" s="84">
        <v>359</v>
      </c>
      <c r="M196" s="3" t="s">
        <v>196</v>
      </c>
    </row>
    <row r="197" spans="1:14">
      <c r="A197" s="571">
        <f>A190+1</f>
        <v>108</v>
      </c>
      <c r="B197" s="724" t="s">
        <v>2617</v>
      </c>
      <c r="C197" s="491">
        <f>C$190*C166</f>
        <v>-4847719.4548895471</v>
      </c>
      <c r="D197" s="491">
        <f t="shared" ref="D197:L197" si="38">D$190*D166</f>
        <v>6.5086028873032397E-9</v>
      </c>
      <c r="E197" s="491">
        <f t="shared" si="38"/>
        <v>-2761019.8773201103</v>
      </c>
      <c r="F197" s="491">
        <f t="shared" si="38"/>
        <v>553763.01828820317</v>
      </c>
      <c r="G197" s="491">
        <f t="shared" si="38"/>
        <v>-2936664.7403872199</v>
      </c>
      <c r="H197" s="491">
        <f t="shared" si="38"/>
        <v>11451791.943594923</v>
      </c>
      <c r="I197" s="491">
        <f t="shared" si="38"/>
        <v>-3590170.1973197414</v>
      </c>
      <c r="J197" s="491">
        <f t="shared" si="38"/>
        <v>-1915.4237511996382</v>
      </c>
      <c r="K197" s="491">
        <f t="shared" si="38"/>
        <v>-5759.3449344936998</v>
      </c>
      <c r="L197" s="491">
        <f t="shared" si="38"/>
        <v>-21804788.946720608</v>
      </c>
      <c r="M197" s="491">
        <f t="shared" ref="M197:M209" si="39">SUM(C197:L197)</f>
        <v>-23942483.023439787</v>
      </c>
      <c r="N197" s="14"/>
    </row>
    <row r="198" spans="1:14">
      <c r="A198" s="571">
        <f t="shared" ref="A198:A209" si="40">A197+1</f>
        <v>109</v>
      </c>
      <c r="B198" s="723" t="s">
        <v>2618</v>
      </c>
      <c r="C198" s="491">
        <f t="shared" ref="C198:L208" si="41">C$190*C167</f>
        <v>140.52547451170554</v>
      </c>
      <c r="D198" s="491">
        <f t="shared" si="41"/>
        <v>-1.3017205774606479E-8</v>
      </c>
      <c r="E198" s="491">
        <f t="shared" si="41"/>
        <v>5697725.3153265435</v>
      </c>
      <c r="F198" s="491">
        <f t="shared" si="41"/>
        <v>5609615.1746202465</v>
      </c>
      <c r="G198" s="491">
        <f t="shared" si="41"/>
        <v>-19668417.231245626</v>
      </c>
      <c r="H198" s="491">
        <f t="shared" si="41"/>
        <v>4155268.7050463567</v>
      </c>
      <c r="I198" s="491">
        <f t="shared" si="41"/>
        <v>2303991.7945118221</v>
      </c>
      <c r="J198" s="491">
        <f t="shared" si="41"/>
        <v>873.63441734804826</v>
      </c>
      <c r="K198" s="491">
        <f t="shared" si="41"/>
        <v>12382.432664503696</v>
      </c>
      <c r="L198" s="491">
        <f t="shared" si="41"/>
        <v>6547.2314240442538</v>
      </c>
      <c r="M198" s="491">
        <f t="shared" si="39"/>
        <v>-1881872.4177602609</v>
      </c>
      <c r="N198" s="14"/>
    </row>
    <row r="199" spans="1:14">
      <c r="A199" s="571">
        <f t="shared" si="40"/>
        <v>110</v>
      </c>
      <c r="B199" s="723" t="s">
        <v>2619</v>
      </c>
      <c r="C199" s="491">
        <f t="shared" si="41"/>
        <v>402436.76566927659</v>
      </c>
      <c r="D199" s="491">
        <f t="shared" si="41"/>
        <v>-35409.980857749353</v>
      </c>
      <c r="E199" s="491">
        <f t="shared" si="41"/>
        <v>-2491549.7118847007</v>
      </c>
      <c r="F199" s="491">
        <f t="shared" si="41"/>
        <v>4001485.9794598664</v>
      </c>
      <c r="G199" s="491">
        <f t="shared" si="41"/>
        <v>12550740.102269014</v>
      </c>
      <c r="H199" s="491">
        <f t="shared" si="41"/>
        <v>2199576.4967671209</v>
      </c>
      <c r="I199" s="491">
        <f t="shared" si="41"/>
        <v>2105458.5809516083</v>
      </c>
      <c r="J199" s="491">
        <f t="shared" si="41"/>
        <v>9725.5108111734953</v>
      </c>
      <c r="K199" s="491">
        <f t="shared" si="41"/>
        <v>-4794.2000419968927</v>
      </c>
      <c r="L199" s="491">
        <f t="shared" si="41"/>
        <v>198689.10843168377</v>
      </c>
      <c r="M199" s="491">
        <f t="shared" si="39"/>
        <v>18936358.651575293</v>
      </c>
      <c r="N199" s="14"/>
    </row>
    <row r="200" spans="1:14">
      <c r="A200" s="571">
        <f t="shared" si="40"/>
        <v>111</v>
      </c>
      <c r="B200" s="724" t="s">
        <v>2620</v>
      </c>
      <c r="C200" s="491">
        <f t="shared" si="41"/>
        <v>0</v>
      </c>
      <c r="D200" s="491">
        <f t="shared" si="41"/>
        <v>5.717514944624055</v>
      </c>
      <c r="E200" s="491">
        <f t="shared" si="41"/>
        <v>7306556.7951169079</v>
      </c>
      <c r="F200" s="491">
        <f t="shared" si="41"/>
        <v>-2004707.817893567</v>
      </c>
      <c r="G200" s="491">
        <f t="shared" si="41"/>
        <v>25613416.515757121</v>
      </c>
      <c r="H200" s="491">
        <f t="shared" si="41"/>
        <v>2176258.3578800661</v>
      </c>
      <c r="I200" s="491">
        <f t="shared" si="41"/>
        <v>2285369.0856061922</v>
      </c>
      <c r="J200" s="491">
        <f t="shared" si="41"/>
        <v>26997.342326840655</v>
      </c>
      <c r="K200" s="491">
        <f t="shared" si="41"/>
        <v>7262.8837332906824</v>
      </c>
      <c r="L200" s="491">
        <f t="shared" si="41"/>
        <v>16995.703685141543</v>
      </c>
      <c r="M200" s="491">
        <f t="shared" si="39"/>
        <v>35428154.583726935</v>
      </c>
      <c r="N200" s="14"/>
    </row>
    <row r="201" spans="1:14">
      <c r="A201" s="571">
        <f t="shared" si="40"/>
        <v>112</v>
      </c>
      <c r="B201" s="723" t="s">
        <v>2621</v>
      </c>
      <c r="C201" s="491">
        <f t="shared" si="41"/>
        <v>256.1374850994967</v>
      </c>
      <c r="D201" s="491">
        <f t="shared" si="41"/>
        <v>-30034.774276877208</v>
      </c>
      <c r="E201" s="491">
        <f t="shared" si="41"/>
        <v>910479.99561262864</v>
      </c>
      <c r="F201" s="491">
        <f t="shared" si="41"/>
        <v>4543329.9116586233</v>
      </c>
      <c r="G201" s="491">
        <f t="shared" si="41"/>
        <v>4303240.4923952222</v>
      </c>
      <c r="H201" s="491">
        <f t="shared" si="41"/>
        <v>962860.40043902164</v>
      </c>
      <c r="I201" s="491">
        <f t="shared" si="41"/>
        <v>438091.05413626396</v>
      </c>
      <c r="J201" s="491">
        <f t="shared" si="41"/>
        <v>12.808146067346584</v>
      </c>
      <c r="K201" s="491">
        <f t="shared" si="41"/>
        <v>-150.49408228102189</v>
      </c>
      <c r="L201" s="491">
        <f t="shared" si="41"/>
        <v>313646.82257031795</v>
      </c>
      <c r="M201" s="491">
        <f t="shared" si="39"/>
        <v>11441732.354084086</v>
      </c>
      <c r="N201" s="14"/>
    </row>
    <row r="202" spans="1:14">
      <c r="A202" s="571">
        <f t="shared" si="40"/>
        <v>113</v>
      </c>
      <c r="B202" s="723" t="s">
        <v>2622</v>
      </c>
      <c r="C202" s="491">
        <f t="shared" si="41"/>
        <v>-1028588.0563491273</v>
      </c>
      <c r="D202" s="491">
        <f t="shared" si="41"/>
        <v>-170623.34323935059</v>
      </c>
      <c r="E202" s="491">
        <f t="shared" si="41"/>
        <v>3102992.8260813076</v>
      </c>
      <c r="F202" s="491">
        <f t="shared" si="41"/>
        <v>10912442.417141158</v>
      </c>
      <c r="G202" s="491">
        <f t="shared" si="41"/>
        <v>3346938.5206739195</v>
      </c>
      <c r="H202" s="491">
        <f t="shared" si="41"/>
        <v>1953335.5968801652</v>
      </c>
      <c r="I202" s="491">
        <f t="shared" si="41"/>
        <v>1011388.1502739962</v>
      </c>
      <c r="J202" s="491">
        <f t="shared" si="41"/>
        <v>7781.6693495201444</v>
      </c>
      <c r="K202" s="491">
        <f t="shared" si="41"/>
        <v>-4825.369359229373</v>
      </c>
      <c r="L202" s="491">
        <f t="shared" si="41"/>
        <v>-226419.2955205497</v>
      </c>
      <c r="M202" s="491">
        <f t="shared" si="39"/>
        <v>18904423.115931809</v>
      </c>
      <c r="N202" s="14"/>
    </row>
    <row r="203" spans="1:14">
      <c r="A203" s="571">
        <f t="shared" si="40"/>
        <v>114</v>
      </c>
      <c r="B203" s="724" t="s">
        <v>2623</v>
      </c>
      <c r="C203" s="491">
        <f t="shared" si="41"/>
        <v>-4.7379838073649925</v>
      </c>
      <c r="D203" s="491">
        <f t="shared" si="41"/>
        <v>-335574.64521635987</v>
      </c>
      <c r="E203" s="491">
        <f t="shared" si="41"/>
        <v>2104110.7931719935</v>
      </c>
      <c r="F203" s="491">
        <f t="shared" si="41"/>
        <v>7526398.8946288982</v>
      </c>
      <c r="G203" s="491">
        <f t="shared" si="41"/>
        <v>1931192.2878962017</v>
      </c>
      <c r="H203" s="491">
        <f t="shared" si="41"/>
        <v>2671766.4115635105</v>
      </c>
      <c r="I203" s="491">
        <f t="shared" si="41"/>
        <v>-996198.86325279053</v>
      </c>
      <c r="J203" s="491">
        <f t="shared" si="41"/>
        <v>-94356.120975066442</v>
      </c>
      <c r="K203" s="491">
        <f t="shared" si="41"/>
        <v>-9391.9252660829861</v>
      </c>
      <c r="L203" s="491">
        <f t="shared" si="41"/>
        <v>-155957.2165110583</v>
      </c>
      <c r="M203" s="491">
        <f t="shared" si="39"/>
        <v>12641984.878055438</v>
      </c>
      <c r="N203" s="14"/>
    </row>
    <row r="204" spans="1:14">
      <c r="A204" s="571">
        <f t="shared" si="40"/>
        <v>115</v>
      </c>
      <c r="B204" s="723" t="s">
        <v>2624</v>
      </c>
      <c r="C204" s="491">
        <f t="shared" si="41"/>
        <v>2.909400818315063E-8</v>
      </c>
      <c r="D204" s="491">
        <f t="shared" si="41"/>
        <v>-18919.999481002655</v>
      </c>
      <c r="E204" s="491">
        <f t="shared" si="41"/>
        <v>4509632.4176896131</v>
      </c>
      <c r="F204" s="491">
        <f t="shared" si="41"/>
        <v>28855070.037663929</v>
      </c>
      <c r="G204" s="491">
        <f t="shared" si="41"/>
        <v>931200.13342025282</v>
      </c>
      <c r="H204" s="491">
        <f t="shared" si="41"/>
        <v>588723.25332133158</v>
      </c>
      <c r="I204" s="491">
        <f t="shared" si="41"/>
        <v>1739223.1088623072</v>
      </c>
      <c r="J204" s="491">
        <f t="shared" si="41"/>
        <v>9187.448574033433</v>
      </c>
      <c r="K204" s="491">
        <f t="shared" si="41"/>
        <v>16838.188689530874</v>
      </c>
      <c r="L204" s="491">
        <f t="shared" si="41"/>
        <v>234723.91722054686</v>
      </c>
      <c r="M204" s="491">
        <f t="shared" si="39"/>
        <v>36865678.505960584</v>
      </c>
      <c r="N204" s="14"/>
    </row>
    <row r="205" spans="1:14">
      <c r="A205" s="571">
        <f t="shared" si="40"/>
        <v>116</v>
      </c>
      <c r="B205" s="723" t="s">
        <v>2625</v>
      </c>
      <c r="C205" s="491">
        <f t="shared" si="41"/>
        <v>1.9396005455433756E-8</v>
      </c>
      <c r="D205" s="491">
        <f t="shared" si="41"/>
        <v>-17438.604026023677</v>
      </c>
      <c r="E205" s="491">
        <f t="shared" si="41"/>
        <v>1781587.7572186159</v>
      </c>
      <c r="F205" s="491">
        <f t="shared" si="41"/>
        <v>3302189.6793063791</v>
      </c>
      <c r="G205" s="491">
        <f t="shared" si="41"/>
        <v>-455141.67798134912</v>
      </c>
      <c r="H205" s="491">
        <f t="shared" si="41"/>
        <v>1621676.0962630748</v>
      </c>
      <c r="I205" s="491">
        <f t="shared" si="41"/>
        <v>1128709.817547055</v>
      </c>
      <c r="J205" s="491">
        <f t="shared" si="41"/>
        <v>-296.69642316849172</v>
      </c>
      <c r="K205" s="491">
        <f t="shared" si="41"/>
        <v>-6956.2784535457122</v>
      </c>
      <c r="L205" s="491">
        <f t="shared" si="41"/>
        <v>454681.76352247054</v>
      </c>
      <c r="M205" s="491">
        <f t="shared" si="39"/>
        <v>7809011.8569735279</v>
      </c>
      <c r="N205" s="14"/>
    </row>
    <row r="206" spans="1:14">
      <c r="A206" s="571">
        <f t="shared" si="40"/>
        <v>117</v>
      </c>
      <c r="B206" s="724" t="s">
        <v>2626</v>
      </c>
      <c r="C206" s="491">
        <f t="shared" si="41"/>
        <v>-5.8188016366301261E-8</v>
      </c>
      <c r="D206" s="491">
        <f t="shared" si="41"/>
        <v>-127.18304056465163</v>
      </c>
      <c r="E206" s="491">
        <f t="shared" si="41"/>
        <v>-2529630.7728897836</v>
      </c>
      <c r="F206" s="491">
        <f t="shared" si="41"/>
        <v>-16996301.422619618</v>
      </c>
      <c r="G206" s="491">
        <f t="shared" si="41"/>
        <v>3326755.9438663661</v>
      </c>
      <c r="H206" s="491">
        <f t="shared" si="41"/>
        <v>2888033.9203624283</v>
      </c>
      <c r="I206" s="491">
        <f t="shared" si="41"/>
        <v>-487607.65222902072</v>
      </c>
      <c r="J206" s="491">
        <f t="shared" si="41"/>
        <v>19286.250350402039</v>
      </c>
      <c r="K206" s="491">
        <f t="shared" si="41"/>
        <v>7933.909882835731</v>
      </c>
      <c r="L206" s="491">
        <f t="shared" si="41"/>
        <v>5881.8644772648795</v>
      </c>
      <c r="M206" s="491">
        <f t="shared" si="39"/>
        <v>-13765775.141839745</v>
      </c>
      <c r="N206" s="14"/>
    </row>
    <row r="207" spans="1:14">
      <c r="A207" s="571">
        <f t="shared" si="40"/>
        <v>118</v>
      </c>
      <c r="B207" s="724" t="s">
        <v>2627</v>
      </c>
      <c r="C207" s="491">
        <f t="shared" si="41"/>
        <v>4314345.2471794197</v>
      </c>
      <c r="D207" s="491">
        <f t="shared" si="41"/>
        <v>-5382.2038757311775</v>
      </c>
      <c r="E207" s="491">
        <f t="shared" si="41"/>
        <v>1564268.2700594394</v>
      </c>
      <c r="F207" s="491">
        <f t="shared" si="41"/>
        <v>2187612.2950161188</v>
      </c>
      <c r="G207" s="491">
        <f t="shared" si="41"/>
        <v>1389098.3941799493</v>
      </c>
      <c r="H207" s="491">
        <f t="shared" si="41"/>
        <v>5048521.2468929477</v>
      </c>
      <c r="I207" s="491">
        <f t="shared" si="41"/>
        <v>539800.96049754764</v>
      </c>
      <c r="J207" s="491">
        <f t="shared" si="41"/>
        <v>86515.762306534278</v>
      </c>
      <c r="K207" s="491">
        <f t="shared" si="41"/>
        <v>-177.75395669339318</v>
      </c>
      <c r="L207" s="491">
        <f t="shared" si="41"/>
        <v>1990701.8222845397</v>
      </c>
      <c r="M207" s="491">
        <f t="shared" si="39"/>
        <v>17115304.040584069</v>
      </c>
      <c r="N207" s="14"/>
    </row>
    <row r="208" spans="1:14">
      <c r="A208" s="571">
        <f t="shared" si="40"/>
        <v>119</v>
      </c>
      <c r="B208" s="723" t="s">
        <v>2628</v>
      </c>
      <c r="C208" s="112">
        <f t="shared" si="41"/>
        <v>0</v>
      </c>
      <c r="D208" s="112">
        <f t="shared" si="41"/>
        <v>-6649.7537889863579</v>
      </c>
      <c r="E208" s="112">
        <f t="shared" si="41"/>
        <v>10382818.935460115</v>
      </c>
      <c r="F208" s="112">
        <f t="shared" si="41"/>
        <v>69402095.802459434</v>
      </c>
      <c r="G208" s="112">
        <f t="shared" si="41"/>
        <v>13839018.194538033</v>
      </c>
      <c r="H208" s="112">
        <f t="shared" si="41"/>
        <v>1901160.5747745745</v>
      </c>
      <c r="I208" s="112">
        <f t="shared" si="41"/>
        <v>831668.1226993259</v>
      </c>
      <c r="J208" s="112">
        <f t="shared" si="41"/>
        <v>-508.76682374998433</v>
      </c>
      <c r="K208" s="112">
        <f t="shared" si="41"/>
        <v>12849.354061306136</v>
      </c>
      <c r="L208" s="112">
        <f t="shared" si="41"/>
        <v>1283768.0714926273</v>
      </c>
      <c r="M208" s="112">
        <f t="shared" si="39"/>
        <v>97646220.534872666</v>
      </c>
      <c r="N208" s="14"/>
    </row>
    <row r="209" spans="1:44">
      <c r="A209" s="571">
        <f t="shared" si="40"/>
        <v>120</v>
      </c>
      <c r="B209" s="1103" t="s">
        <v>4</v>
      </c>
      <c r="C209" s="233">
        <f t="shared" ref="C209:L209" si="42">SUM(C197:C208)</f>
        <v>-1159133.5734141823</v>
      </c>
      <c r="D209" s="233">
        <f t="shared" si="42"/>
        <v>-620154.77028770745</v>
      </c>
      <c r="E209" s="233">
        <f t="shared" si="42"/>
        <v>29577972.743642569</v>
      </c>
      <c r="F209" s="233">
        <f t="shared" si="42"/>
        <v>117892993.96972966</v>
      </c>
      <c r="G209" s="233">
        <f t="shared" si="42"/>
        <v>44171376.935381882</v>
      </c>
      <c r="H209" s="233">
        <f t="shared" si="42"/>
        <v>37618973.003785521</v>
      </c>
      <c r="I209" s="233">
        <f t="shared" si="42"/>
        <v>7309723.9622845659</v>
      </c>
      <c r="J209" s="233">
        <f t="shared" si="42"/>
        <v>63303.418308734901</v>
      </c>
      <c r="K209" s="233">
        <f t="shared" si="42"/>
        <v>25211.402937144041</v>
      </c>
      <c r="L209" s="233">
        <f t="shared" si="42"/>
        <v>-17681529.153643582</v>
      </c>
      <c r="M209" s="491">
        <f t="shared" si="39"/>
        <v>217198737.93872461</v>
      </c>
      <c r="N209" s="14"/>
    </row>
    <row r="210" spans="1:44">
      <c r="C210" s="14"/>
      <c r="D210" s="14"/>
      <c r="E210" s="14"/>
      <c r="F210" s="14"/>
      <c r="G210" s="14"/>
      <c r="H210" s="14"/>
      <c r="I210" s="14"/>
      <c r="J210" s="14"/>
      <c r="K210" s="14"/>
      <c r="L210" s="14"/>
      <c r="M210" s="14"/>
    </row>
    <row r="211" spans="1:44">
      <c r="B211" s="399" t="s">
        <v>232</v>
      </c>
    </row>
    <row r="212" spans="1:44">
      <c r="B212" s="479" t="s">
        <v>1867</v>
      </c>
      <c r="C212" s="14"/>
      <c r="D212" s="14"/>
      <c r="E212" s="14"/>
      <c r="F212" s="14"/>
      <c r="G212" s="14"/>
      <c r="H212" s="14"/>
      <c r="I212" s="14"/>
      <c r="J212" s="14"/>
      <c r="K212" s="14"/>
      <c r="L212" s="14"/>
    </row>
    <row r="213" spans="1:44">
      <c r="B213" s="892" t="s">
        <v>1890</v>
      </c>
      <c r="C213" s="479"/>
      <c r="D213" s="479"/>
      <c r="E213" s="479"/>
      <c r="F213" s="479"/>
      <c r="G213" s="479"/>
      <c r="H213" s="479"/>
      <c r="I213" s="14"/>
      <c r="J213" s="479"/>
      <c r="K213" s="479"/>
      <c r="L213" s="479"/>
      <c r="M213" s="479"/>
      <c r="N213" s="477"/>
      <c r="O213" s="477"/>
      <c r="P213" s="477"/>
      <c r="Q213" s="477"/>
      <c r="R213" s="477"/>
      <c r="S213" s="477"/>
      <c r="T213" s="477"/>
      <c r="U213" s="477"/>
      <c r="V213" s="477"/>
      <c r="W213" s="477"/>
      <c r="X213" s="477"/>
      <c r="Y213" s="477"/>
      <c r="Z213" s="477"/>
      <c r="AA213" s="477"/>
      <c r="AB213" s="477"/>
      <c r="AC213" s="477"/>
      <c r="AD213" s="477"/>
      <c r="AE213" s="477"/>
      <c r="AF213" s="477"/>
      <c r="AG213" s="477"/>
      <c r="AH213" s="477"/>
      <c r="AI213" s="477"/>
      <c r="AJ213" s="477"/>
      <c r="AK213" s="477"/>
      <c r="AL213" s="477"/>
      <c r="AM213" s="477"/>
      <c r="AN213" s="477"/>
      <c r="AO213" s="477"/>
      <c r="AP213" s="477"/>
      <c r="AQ213" s="477"/>
      <c r="AR213" s="477"/>
    </row>
    <row r="214" spans="1:44">
      <c r="B214" s="1098" t="s">
        <v>1868</v>
      </c>
      <c r="C214" s="14"/>
      <c r="D214" s="14"/>
      <c r="E214" s="14"/>
      <c r="F214" s="14"/>
      <c r="G214" s="14"/>
      <c r="H214" s="14"/>
      <c r="I214" s="14"/>
      <c r="J214" s="14"/>
      <c r="K214" s="14"/>
      <c r="L214" s="14"/>
      <c r="M214" s="14"/>
    </row>
    <row r="215" spans="1:44">
      <c r="B215" s="476" t="s">
        <v>2419</v>
      </c>
      <c r="C215" s="14"/>
      <c r="D215" s="14"/>
      <c r="E215" s="14"/>
      <c r="F215" s="14"/>
      <c r="G215" s="14"/>
      <c r="H215" s="14"/>
      <c r="I215" s="14"/>
      <c r="J215" s="14"/>
      <c r="K215" s="14"/>
      <c r="L215" s="14"/>
      <c r="M215" s="14"/>
    </row>
    <row r="216" spans="1:44">
      <c r="B216" s="476" t="s">
        <v>2420</v>
      </c>
      <c r="C216" s="14"/>
      <c r="D216" s="14"/>
      <c r="E216" s="14"/>
      <c r="F216" s="14"/>
      <c r="G216" s="14"/>
      <c r="H216" s="14"/>
      <c r="I216" s="14"/>
      <c r="J216" s="14"/>
      <c r="K216" s="14"/>
      <c r="L216" s="14"/>
      <c r="M216" s="14"/>
    </row>
    <row r="217" spans="1:44">
      <c r="B217" s="114" t="s">
        <v>1869</v>
      </c>
      <c r="C217" s="14"/>
      <c r="D217" s="14"/>
      <c r="E217" s="14"/>
      <c r="F217" s="14"/>
      <c r="G217" s="14"/>
      <c r="H217" s="14"/>
      <c r="I217" s="14"/>
      <c r="J217" s="14"/>
      <c r="K217" s="14"/>
      <c r="L217" s="14"/>
      <c r="M217" s="14"/>
    </row>
    <row r="218" spans="1:44">
      <c r="B218" s="479" t="s">
        <v>1870</v>
      </c>
      <c r="C218" s="14"/>
      <c r="D218" s="14"/>
      <c r="E218" s="14"/>
      <c r="F218" s="14"/>
      <c r="G218" s="14"/>
      <c r="H218" s="14"/>
      <c r="I218" s="14"/>
      <c r="J218" s="14"/>
      <c r="K218" s="14"/>
      <c r="L218" s="14"/>
      <c r="M218" s="14"/>
    </row>
    <row r="219" spans="1:44">
      <c r="B219" s="476" t="s">
        <v>2421</v>
      </c>
      <c r="C219" s="14"/>
      <c r="D219" s="14"/>
      <c r="E219" s="14"/>
      <c r="F219" s="14"/>
      <c r="G219" s="14"/>
      <c r="H219" s="14"/>
      <c r="I219" s="14"/>
      <c r="J219" s="14"/>
      <c r="K219" s="14"/>
      <c r="L219" s="14"/>
      <c r="M219" s="14"/>
    </row>
    <row r="220" spans="1:44">
      <c r="B220" s="476" t="s">
        <v>2422</v>
      </c>
      <c r="C220" s="14"/>
      <c r="D220" s="14"/>
      <c r="E220" s="14"/>
      <c r="F220" s="14"/>
      <c r="G220" s="14"/>
      <c r="H220" s="14"/>
      <c r="I220" s="14"/>
      <c r="J220" s="14"/>
      <c r="K220" s="14"/>
      <c r="L220" s="14"/>
      <c r="M220" s="14"/>
    </row>
    <row r="221" spans="1:44">
      <c r="B221" s="476" t="s">
        <v>2423</v>
      </c>
      <c r="C221" s="14"/>
      <c r="D221" s="14"/>
      <c r="E221" s="14"/>
      <c r="F221" s="14"/>
      <c r="G221" s="14"/>
      <c r="H221" s="14"/>
      <c r="I221" s="14"/>
      <c r="J221" s="14"/>
      <c r="K221" s="14"/>
      <c r="L221" s="14"/>
      <c r="M221" s="14"/>
    </row>
    <row r="222" spans="1:44">
      <c r="B222" s="479" t="str">
        <f>"2) Amounts on Line "&amp;A34&amp;" must match 6-Plant Study amounts for Distribution Plant - ISO for previous year."</f>
        <v>2) Amounts on Line 15 must match 6-Plant Study amounts for Distribution Plant - ISO for previous year.</v>
      </c>
      <c r="C222" s="14"/>
      <c r="D222" s="14"/>
      <c r="E222" s="14"/>
      <c r="F222" s="14"/>
      <c r="G222" s="14"/>
      <c r="H222" s="14"/>
      <c r="I222" s="14"/>
      <c r="J222" s="14"/>
      <c r="K222" s="14"/>
      <c r="L222" s="14"/>
    </row>
    <row r="223" spans="1:44">
      <c r="B223" s="476" t="str">
        <f>"Amounts on Line "&amp;A35&amp;" must match amounts on 6-PlantStudy for Distribution Plant - ISO."</f>
        <v>Amounts on Line 16 must match amounts on 6-PlantStudy for Distribution Plant - ISO.</v>
      </c>
      <c r="C223" s="14"/>
      <c r="D223" s="14"/>
      <c r="E223" s="14"/>
      <c r="F223" s="14"/>
      <c r="G223" s="14"/>
      <c r="H223" s="14"/>
      <c r="I223" s="14"/>
      <c r="J223" s="14"/>
      <c r="K223" s="14"/>
      <c r="L223" s="14"/>
    </row>
    <row r="224" spans="1:44">
      <c r="B224" s="1123" t="s">
        <v>2424</v>
      </c>
      <c r="C224" s="14"/>
      <c r="D224" s="14"/>
      <c r="E224" s="14"/>
      <c r="F224" s="14"/>
      <c r="G224" s="14"/>
      <c r="H224" s="14"/>
      <c r="I224" s="14"/>
      <c r="J224" s="14"/>
      <c r="K224" s="14"/>
      <c r="L224" s="14"/>
    </row>
    <row r="225" spans="2:12">
      <c r="B225" s="479" t="s">
        <v>2425</v>
      </c>
      <c r="C225" s="14"/>
      <c r="D225" s="14"/>
      <c r="E225" s="14"/>
      <c r="F225" s="14"/>
      <c r="G225" s="14"/>
      <c r="H225" s="14"/>
      <c r="I225" s="14"/>
      <c r="J225" s="14"/>
      <c r="K225" s="14"/>
      <c r="L225" s="14"/>
    </row>
    <row r="226" spans="2:12">
      <c r="B226" s="479" t="s">
        <v>2426</v>
      </c>
      <c r="C226" s="14"/>
      <c r="D226" s="14"/>
      <c r="E226" s="14"/>
      <c r="F226" s="14"/>
      <c r="G226" s="14"/>
      <c r="H226" s="14"/>
      <c r="I226" s="14"/>
      <c r="J226" s="14"/>
      <c r="K226" s="14"/>
      <c r="L226" s="14"/>
    </row>
    <row r="227" spans="2:12">
      <c r="B227" s="14" t="s">
        <v>2589</v>
      </c>
      <c r="C227" s="14"/>
      <c r="D227" s="14"/>
      <c r="E227" s="14"/>
      <c r="F227" s="14"/>
      <c r="G227" s="14"/>
      <c r="H227" s="14"/>
      <c r="I227" s="14"/>
      <c r="J227" s="14"/>
      <c r="L227" s="14"/>
    </row>
    <row r="228" spans="2:12">
      <c r="B228" s="477" t="s">
        <v>2427</v>
      </c>
      <c r="C228" s="14"/>
      <c r="D228" s="14"/>
      <c r="E228" s="14"/>
      <c r="F228" s="14"/>
      <c r="G228" s="14"/>
      <c r="H228" s="14"/>
      <c r="I228" s="14"/>
      <c r="J228" s="14"/>
      <c r="K228" s="14"/>
      <c r="L228" s="14"/>
    </row>
    <row r="229" spans="2:12">
      <c r="B229" s="477" t="s">
        <v>2428</v>
      </c>
      <c r="C229" s="14"/>
      <c r="D229" s="14"/>
      <c r="E229" s="14"/>
      <c r="F229" s="14"/>
      <c r="G229" s="14"/>
      <c r="H229" s="14"/>
      <c r="I229" s="14"/>
      <c r="J229" s="14"/>
      <c r="K229" s="14"/>
      <c r="L229" s="14"/>
    </row>
    <row r="230" spans="2:12">
      <c r="B230" s="999" t="str">
        <f>"9) Amount on Line "&amp;A23&amp;" less amount on Line "&amp;A11&amp;" for each account."</f>
        <v>9) Amount on Line 13 less amount on Line 1 for each account.</v>
      </c>
      <c r="C230" s="14"/>
      <c r="D230" s="14"/>
      <c r="E230" s="14"/>
      <c r="F230" s="14"/>
      <c r="G230" s="14"/>
      <c r="H230" s="14"/>
      <c r="I230" s="14"/>
      <c r="J230" s="14"/>
      <c r="K230" s="14"/>
      <c r="L230" s="14"/>
    </row>
    <row r="231" spans="2:12">
      <c r="B231" s="999" t="str">
        <f>"10) Line "&amp;A142&amp;""</f>
        <v>10) Line 79</v>
      </c>
      <c r="C231" s="14"/>
      <c r="D231" s="14"/>
      <c r="E231" s="14"/>
      <c r="F231" s="14"/>
      <c r="G231" s="14"/>
      <c r="H231" s="14"/>
      <c r="I231" s="14"/>
      <c r="J231" s="14"/>
      <c r="K231" s="14"/>
      <c r="L231" s="14"/>
    </row>
    <row r="232" spans="2:12">
      <c r="B232" s="999" t="str">
        <f>"11) Amount on Line "&amp;A182&amp;" less amount on Line "&amp;A186&amp;" for each account."</f>
        <v>11) Amount on Line 105 less amount on Line 106 for each account.</v>
      </c>
      <c r="C232" s="14"/>
      <c r="D232" s="14"/>
      <c r="E232" s="14"/>
      <c r="F232" s="14"/>
      <c r="G232" s="14"/>
      <c r="H232" s="14"/>
      <c r="I232" s="14"/>
      <c r="J232" s="14"/>
      <c r="K232" s="14"/>
      <c r="L232" s="14"/>
    </row>
    <row r="233" spans="2:12">
      <c r="B233" s="479" t="str">
        <f>"12) For each column (FERC Account) divide Line "&amp;A190&amp;" by Line "&amp;A161&amp;" to arrive at a ratio for each column."</f>
        <v>12) For each column (FERC Account) divide Line 107 by Line 92 to arrive at a ratio for each column.</v>
      </c>
    </row>
    <row r="234" spans="2:12">
      <c r="B234" s="476" t="str">
        <f>"Apply the ratio of each column to each monthly value from Lines "&amp;A149&amp;"-"&amp;A160&amp;" to calculate the values for"</f>
        <v>Apply the ratio of each column to each monthly value from Lines 80-91 to calculate the values for</v>
      </c>
    </row>
    <row r="235" spans="2:12">
      <c r="B235" s="476" t="str">
        <f>"the corresponsing months listed in Lines "&amp;A197&amp;"-"&amp;A208&amp;"."</f>
        <v>the corresponsing months listed in Lines 108-119.</v>
      </c>
    </row>
  </sheetData>
  <phoneticPr fontId="22" type="noConversion"/>
  <pageMargins left="0.75" right="0.75" top="1" bottom="1" header="0.5" footer="0.5"/>
  <pageSetup scale="65" orientation="landscape" cellComments="asDisplayed" r:id="rId1"/>
  <headerFooter alignWithMargins="0">
    <oddHeader>&amp;CSchedule 6
Plant In Service
&amp;RExhibit SCE-4
TO2019A Formula Rate Spreadsheet</oddHeader>
    <oddFooter>&amp;R&amp;A</oddFooter>
  </headerFooter>
  <rowBreaks count="4" manualBreakCount="4">
    <brk id="37" max="16383" man="1"/>
    <brk id="86" max="12" man="1"/>
    <brk id="124" max="12" man="1"/>
    <brk id="17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RowHeight="13.8"/>
  <cols>
    <col min="1" max="1" width="4.6640625" customWidth="1"/>
    <col min="2" max="2" width="25.6640625" style="127" customWidth="1"/>
    <col min="3" max="5" width="15.6640625" style="127" customWidth="1"/>
    <col min="6" max="6" width="12.33203125" style="127" customWidth="1"/>
    <col min="8" max="8" width="15.5546875" customWidth="1"/>
  </cols>
  <sheetData>
    <row r="1" spans="1:8" ht="13.2">
      <c r="A1" s="1" t="s">
        <v>431</v>
      </c>
      <c r="B1" s="172"/>
      <c r="C1" s="172"/>
      <c r="D1" s="172"/>
      <c r="E1" s="173" t="s">
        <v>451</v>
      </c>
      <c r="F1" s="186"/>
      <c r="G1" s="12"/>
    </row>
    <row r="2" spans="1:8">
      <c r="B2" s="172"/>
      <c r="C2" s="172"/>
      <c r="G2" s="12"/>
    </row>
    <row r="3" spans="1:8" ht="13.2">
      <c r="A3" s="893" t="s">
        <v>1741</v>
      </c>
      <c r="B3" s="894"/>
      <c r="C3" s="894"/>
      <c r="D3" s="894"/>
      <c r="E3" s="895" t="s">
        <v>1736</v>
      </c>
      <c r="F3" s="173">
        <v>2017</v>
      </c>
      <c r="G3" s="12"/>
    </row>
    <row r="4" spans="1:8" ht="13.2">
      <c r="A4" s="170"/>
      <c r="B4" s="172"/>
      <c r="C4" s="172"/>
      <c r="D4" s="172"/>
      <c r="E4" s="172"/>
      <c r="F4" s="172"/>
      <c r="G4" s="12"/>
    </row>
    <row r="5" spans="1:8">
      <c r="B5" s="170"/>
      <c r="C5" s="84" t="s">
        <v>360</v>
      </c>
      <c r="E5" s="84" t="s">
        <v>344</v>
      </c>
      <c r="F5" s="84" t="s">
        <v>345</v>
      </c>
      <c r="G5" s="12"/>
    </row>
    <row r="6" spans="1:8">
      <c r="B6" s="170"/>
      <c r="C6" s="84"/>
      <c r="E6" s="84"/>
      <c r="F6" s="84"/>
      <c r="G6" s="12"/>
    </row>
    <row r="7" spans="1:8" ht="13.2">
      <c r="A7" s="51" t="s">
        <v>331</v>
      </c>
      <c r="B7" s="170"/>
      <c r="C7" s="171" t="s">
        <v>196</v>
      </c>
      <c r="D7" s="171"/>
      <c r="E7" s="171" t="s">
        <v>1135</v>
      </c>
      <c r="F7" s="171" t="s">
        <v>433</v>
      </c>
      <c r="G7" s="12"/>
    </row>
    <row r="8" spans="1:8" ht="13.2">
      <c r="A8" s="2">
        <v>1</v>
      </c>
      <c r="B8" s="163" t="s">
        <v>99</v>
      </c>
      <c r="C8" s="163" t="s">
        <v>373</v>
      </c>
      <c r="D8" s="163" t="s">
        <v>437</v>
      </c>
      <c r="E8" s="163" t="s">
        <v>1136</v>
      </c>
      <c r="F8" s="163" t="s">
        <v>434</v>
      </c>
      <c r="G8" s="174" t="s">
        <v>168</v>
      </c>
    </row>
    <row r="9" spans="1:8" ht="12.75" customHeight="1">
      <c r="A9" s="2">
        <f>A8+1</f>
        <v>2</v>
      </c>
      <c r="B9" s="164" t="s">
        <v>427</v>
      </c>
      <c r="C9" s="175"/>
      <c r="D9" s="175"/>
      <c r="E9" s="175"/>
      <c r="F9" s="176"/>
      <c r="G9" s="12"/>
    </row>
    <row r="10" spans="1:8" ht="13.2">
      <c r="A10" s="2">
        <f t="shared" ref="A10:A28" si="0">A9+1</f>
        <v>3</v>
      </c>
      <c r="B10" s="165">
        <v>352</v>
      </c>
      <c r="C10" s="511">
        <v>879621910</v>
      </c>
      <c r="D10" s="157" t="s">
        <v>438</v>
      </c>
      <c r="E10" s="979">
        <v>569698022.82553017</v>
      </c>
      <c r="F10" s="159">
        <f>E10/C10</f>
        <v>0.64766238351831207</v>
      </c>
      <c r="G10" s="12"/>
      <c r="H10" s="978"/>
    </row>
    <row r="11" spans="1:8" ht="13.2">
      <c r="A11" s="2">
        <f t="shared" si="0"/>
        <v>4</v>
      </c>
      <c r="B11" s="165">
        <v>353</v>
      </c>
      <c r="C11" s="117">
        <v>5902949228</v>
      </c>
      <c r="D11" s="157" t="s">
        <v>439</v>
      </c>
      <c r="E11" s="117">
        <v>3409447773.6593328</v>
      </c>
      <c r="F11" s="160">
        <f>E11/C11</f>
        <v>0.57758378769158081</v>
      </c>
      <c r="G11" s="12"/>
      <c r="H11" s="477"/>
    </row>
    <row r="12" spans="1:8" ht="13.2">
      <c r="A12" s="2">
        <f t="shared" si="0"/>
        <v>5</v>
      </c>
      <c r="B12" s="167" t="s">
        <v>422</v>
      </c>
      <c r="C12" s="155">
        <f>SUM(C10:C11)</f>
        <v>6782571138</v>
      </c>
      <c r="D12" s="13" t="str">
        <f>"L "&amp;A10&amp;" + L "&amp;A11&amp;""</f>
        <v>L 3 + L 4</v>
      </c>
      <c r="E12" s="155">
        <f>SUM(E10:E11)</f>
        <v>3979145796.4848628</v>
      </c>
      <c r="F12" s="159">
        <f>E12/C12</f>
        <v>0.58667218013996492</v>
      </c>
      <c r="G12" s="15"/>
    </row>
    <row r="13" spans="1:8" ht="13.2">
      <c r="A13" s="2">
        <f t="shared" si="0"/>
        <v>6</v>
      </c>
      <c r="B13" s="177"/>
      <c r="C13" s="178"/>
      <c r="D13" s="178"/>
      <c r="E13" s="178"/>
      <c r="F13" s="159"/>
      <c r="G13" s="12"/>
    </row>
    <row r="14" spans="1:8" ht="13.2">
      <c r="A14" s="2">
        <f t="shared" si="0"/>
        <v>7</v>
      </c>
      <c r="B14" s="166" t="s">
        <v>423</v>
      </c>
      <c r="C14" s="179"/>
      <c r="D14" s="179"/>
      <c r="E14" s="179"/>
      <c r="F14" s="180"/>
      <c r="G14" s="12"/>
    </row>
    <row r="15" spans="1:8" ht="13.2">
      <c r="A15" s="2">
        <f t="shared" si="0"/>
        <v>8</v>
      </c>
      <c r="B15" s="165">
        <v>350</v>
      </c>
      <c r="C15" s="720">
        <v>343195020</v>
      </c>
      <c r="D15" s="157" t="s">
        <v>440</v>
      </c>
      <c r="E15" s="720">
        <v>252777320.81821257</v>
      </c>
      <c r="F15" s="159">
        <f>E15/C15</f>
        <v>0.73654134264014837</v>
      </c>
      <c r="G15" s="12"/>
      <c r="H15" s="477"/>
    </row>
    <row r="16" spans="1:8" ht="13.2">
      <c r="A16" s="2">
        <f t="shared" si="0"/>
        <v>9</v>
      </c>
      <c r="B16" s="165"/>
      <c r="C16" s="155"/>
      <c r="D16" s="155"/>
      <c r="E16" s="155"/>
      <c r="F16" s="159"/>
      <c r="G16" s="12"/>
    </row>
    <row r="17" spans="1:8" ht="13.2">
      <c r="A17" s="2">
        <f t="shared" si="0"/>
        <v>10</v>
      </c>
      <c r="B17" s="166" t="s">
        <v>424</v>
      </c>
      <c r="C17" s="155">
        <f>C12+C15</f>
        <v>7125766158</v>
      </c>
      <c r="D17" s="13" t="str">
        <f>"L "&amp;A12&amp;" + L "&amp;A15&amp;""</f>
        <v>L 5 + L 8</v>
      </c>
      <c r="E17" s="155">
        <f>E12+E15</f>
        <v>4231923117.3030753</v>
      </c>
      <c r="F17" s="159">
        <f>E17/C17</f>
        <v>0.59389026014444124</v>
      </c>
      <c r="G17" s="15"/>
    </row>
    <row r="18" spans="1:8" ht="13.2">
      <c r="A18" s="2">
        <f t="shared" si="0"/>
        <v>11</v>
      </c>
      <c r="B18" s="177"/>
      <c r="C18" s="178"/>
      <c r="D18" s="178"/>
      <c r="E18" s="178"/>
      <c r="F18" s="159"/>
      <c r="G18" s="12"/>
    </row>
    <row r="19" spans="1:8" ht="13.2">
      <c r="A19" s="2">
        <f t="shared" si="0"/>
        <v>12</v>
      </c>
      <c r="B19" s="166" t="s">
        <v>425</v>
      </c>
      <c r="C19" s="178"/>
      <c r="D19" s="178"/>
      <c r="E19" s="178"/>
      <c r="F19" s="159"/>
      <c r="G19" s="12"/>
    </row>
    <row r="20" spans="1:8" ht="13.2">
      <c r="A20" s="2">
        <f t="shared" si="0"/>
        <v>13</v>
      </c>
      <c r="B20" s="165">
        <v>354</v>
      </c>
      <c r="C20" s="728">
        <v>2343145352</v>
      </c>
      <c r="D20" s="157" t="s">
        <v>441</v>
      </c>
      <c r="E20" s="728">
        <v>2283380921.6603918</v>
      </c>
      <c r="F20" s="181">
        <f>E20/C20</f>
        <v>0.97449392958546255</v>
      </c>
      <c r="G20" s="12"/>
      <c r="H20" s="477"/>
    </row>
    <row r="21" spans="1:8" ht="13.2">
      <c r="A21" s="2">
        <f t="shared" si="0"/>
        <v>14</v>
      </c>
      <c r="B21" s="165">
        <v>355</v>
      </c>
      <c r="C21" s="728">
        <v>1292702467</v>
      </c>
      <c r="D21" s="157" t="s">
        <v>442</v>
      </c>
      <c r="E21" s="728">
        <v>364424080.39844126</v>
      </c>
      <c r="F21" s="181">
        <f t="shared" ref="F21:F26" si="1">E21/C21</f>
        <v>0.28190870652870909</v>
      </c>
      <c r="G21" s="12"/>
      <c r="H21" s="477"/>
    </row>
    <row r="22" spans="1:8" ht="13.2">
      <c r="A22" s="2">
        <f t="shared" si="0"/>
        <v>15</v>
      </c>
      <c r="B22" s="165">
        <v>356</v>
      </c>
      <c r="C22" s="728">
        <v>1524531167</v>
      </c>
      <c r="D22" s="157" t="s">
        <v>443</v>
      </c>
      <c r="E22" s="728">
        <v>1245933686.1010468</v>
      </c>
      <c r="F22" s="181">
        <f t="shared" si="1"/>
        <v>0.81725694631275903</v>
      </c>
      <c r="G22" s="12"/>
      <c r="H22" s="477"/>
    </row>
    <row r="23" spans="1:8" ht="13.2">
      <c r="A23" s="2">
        <f t="shared" si="0"/>
        <v>16</v>
      </c>
      <c r="B23" s="165">
        <v>357</v>
      </c>
      <c r="C23" s="728">
        <v>256348021</v>
      </c>
      <c r="D23" s="157" t="s">
        <v>444</v>
      </c>
      <c r="E23" s="728">
        <v>190222488.72271055</v>
      </c>
      <c r="F23" s="181">
        <f t="shared" si="1"/>
        <v>0.74204781445420465</v>
      </c>
      <c r="G23" s="12"/>
      <c r="H23" s="477"/>
    </row>
    <row r="24" spans="1:8" ht="13.2">
      <c r="A24" s="2">
        <f t="shared" si="0"/>
        <v>17</v>
      </c>
      <c r="B24" s="165">
        <v>358</v>
      </c>
      <c r="C24" s="728">
        <v>376710004</v>
      </c>
      <c r="D24" s="157" t="s">
        <v>445</v>
      </c>
      <c r="E24" s="728">
        <v>84920373.966592565</v>
      </c>
      <c r="F24" s="181">
        <f t="shared" si="1"/>
        <v>0.22542638386261854</v>
      </c>
      <c r="G24" s="12"/>
      <c r="H24" s="477"/>
    </row>
    <row r="25" spans="1:8" ht="13.2">
      <c r="A25" s="2">
        <f t="shared" si="0"/>
        <v>18</v>
      </c>
      <c r="B25" s="165">
        <v>359</v>
      </c>
      <c r="C25" s="182">
        <v>193773411</v>
      </c>
      <c r="D25" s="157" t="s">
        <v>446</v>
      </c>
      <c r="E25" s="182">
        <v>172640884.93140152</v>
      </c>
      <c r="F25" s="183">
        <f t="shared" si="1"/>
        <v>0.89094207528504266</v>
      </c>
      <c r="G25" s="12"/>
      <c r="H25" s="477"/>
    </row>
    <row r="26" spans="1:8" ht="13.2">
      <c r="A26" s="2">
        <f t="shared" si="0"/>
        <v>19</v>
      </c>
      <c r="B26" s="167" t="s">
        <v>426</v>
      </c>
      <c r="C26" s="155">
        <f>SUM(C20:C25)</f>
        <v>5987210422</v>
      </c>
      <c r="D26" s="158" t="str">
        <f>"Sum L"&amp;A20&amp;" to L"&amp;A25&amp;""</f>
        <v>Sum L13 to L18</v>
      </c>
      <c r="E26" s="155">
        <f>SUM(E20:E25)</f>
        <v>4341522435.7805843</v>
      </c>
      <c r="F26" s="159">
        <f t="shared" si="1"/>
        <v>0.72513276296882156</v>
      </c>
      <c r="G26" s="15"/>
    </row>
    <row r="27" spans="1:8" ht="13.2">
      <c r="A27" s="2">
        <f t="shared" si="0"/>
        <v>20</v>
      </c>
      <c r="B27" s="184"/>
      <c r="C27" s="155"/>
      <c r="D27" s="155"/>
      <c r="E27" s="155"/>
      <c r="F27" s="159"/>
      <c r="G27" s="12"/>
    </row>
    <row r="28" spans="1:8" ht="13.2">
      <c r="A28" s="2">
        <f t="shared" si="0"/>
        <v>21</v>
      </c>
      <c r="B28" s="185" t="s">
        <v>436</v>
      </c>
      <c r="C28" s="161">
        <f>C17+C26</f>
        <v>13112976580</v>
      </c>
      <c r="D28" s="13" t="str">
        <f>"L "&amp;A17&amp;" + L "&amp;A26&amp;""</f>
        <v>L 10 + L 19</v>
      </c>
      <c r="E28" s="161">
        <f>E17+E26</f>
        <v>8573445553.0836601</v>
      </c>
      <c r="F28" s="162">
        <f>E28/C28</f>
        <v>0.65381383858794784</v>
      </c>
      <c r="G28" s="12" t="s">
        <v>361</v>
      </c>
      <c r="H28" s="14"/>
    </row>
    <row r="29" spans="1:8">
      <c r="A29" s="2"/>
      <c r="B29" s="132"/>
      <c r="C29" s="128"/>
      <c r="D29" s="128"/>
      <c r="E29" s="128"/>
      <c r="F29" s="131"/>
    </row>
    <row r="30" spans="1:8">
      <c r="A30" s="2"/>
      <c r="B30" s="129"/>
      <c r="C30" s="130"/>
      <c r="D30" s="130"/>
      <c r="E30" s="588"/>
      <c r="F30" s="130"/>
    </row>
    <row r="31" spans="1:8">
      <c r="A31" s="170" t="s">
        <v>435</v>
      </c>
      <c r="C31" s="130"/>
      <c r="D31" s="130"/>
      <c r="E31" s="130"/>
      <c r="F31" s="130"/>
    </row>
    <row r="32" spans="1:8">
      <c r="A32" s="2"/>
      <c r="B32" s="135"/>
      <c r="C32" s="130"/>
      <c r="D32" s="130"/>
      <c r="E32" s="130"/>
      <c r="F32" s="130"/>
    </row>
    <row r="33" spans="1:9" ht="13.2">
      <c r="A33" s="51" t="s">
        <v>331</v>
      </c>
      <c r="B33" s="170"/>
      <c r="C33" s="171" t="s">
        <v>196</v>
      </c>
      <c r="D33" s="171"/>
      <c r="E33" s="171" t="s">
        <v>307</v>
      </c>
      <c r="F33" s="171" t="s">
        <v>433</v>
      </c>
    </row>
    <row r="34" spans="1:9" ht="13.2">
      <c r="A34" s="2">
        <f>A28+1</f>
        <v>22</v>
      </c>
      <c r="B34" s="163" t="s">
        <v>99</v>
      </c>
      <c r="C34" s="163" t="s">
        <v>373</v>
      </c>
      <c r="D34" s="163" t="s">
        <v>437</v>
      </c>
      <c r="E34" s="163" t="s">
        <v>1136</v>
      </c>
      <c r="F34" s="163" t="s">
        <v>434</v>
      </c>
    </row>
    <row r="35" spans="1:9">
      <c r="A35" s="2">
        <f t="shared" ref="A35:A42" si="2">A34+1</f>
        <v>23</v>
      </c>
      <c r="B35" s="164" t="s">
        <v>428</v>
      </c>
      <c r="C35" s="128"/>
      <c r="D35" s="128"/>
      <c r="E35" s="128"/>
      <c r="F35" s="131"/>
    </row>
    <row r="36" spans="1:9" ht="13.2">
      <c r="A36" s="2">
        <f t="shared" si="2"/>
        <v>24</v>
      </c>
      <c r="B36" s="165">
        <v>360</v>
      </c>
      <c r="C36" s="720">
        <v>125242449</v>
      </c>
      <c r="D36" s="157" t="s">
        <v>447</v>
      </c>
      <c r="E36" s="980">
        <v>0</v>
      </c>
      <c r="F36" s="159">
        <f>E36/C36</f>
        <v>0</v>
      </c>
      <c r="H36" s="477"/>
    </row>
    <row r="37" spans="1:9" ht="13.2">
      <c r="A37" s="2">
        <f t="shared" si="2"/>
        <v>25</v>
      </c>
      <c r="B37" s="166" t="s">
        <v>429</v>
      </c>
      <c r="C37" s="155"/>
      <c r="D37" s="155"/>
      <c r="E37" s="155"/>
      <c r="F37" s="159"/>
    </row>
    <row r="38" spans="1:9" ht="13.2">
      <c r="A38" s="2">
        <f t="shared" si="2"/>
        <v>26</v>
      </c>
      <c r="B38" s="165">
        <v>361</v>
      </c>
      <c r="C38" s="720">
        <v>644469720</v>
      </c>
      <c r="D38" s="157" t="s">
        <v>448</v>
      </c>
      <c r="E38" s="154">
        <v>0</v>
      </c>
      <c r="F38" s="159">
        <f>E38/C38</f>
        <v>0</v>
      </c>
      <c r="H38" s="477"/>
    </row>
    <row r="39" spans="1:9" ht="13.2">
      <c r="A39" s="2">
        <f t="shared" si="2"/>
        <v>27</v>
      </c>
      <c r="B39" s="165">
        <v>362</v>
      </c>
      <c r="C39" s="156">
        <v>2539477720</v>
      </c>
      <c r="D39" s="157" t="s">
        <v>449</v>
      </c>
      <c r="E39" s="156">
        <v>0</v>
      </c>
      <c r="F39" s="160">
        <f>E39/C39</f>
        <v>0</v>
      </c>
      <c r="H39" s="477"/>
    </row>
    <row r="40" spans="1:9" ht="13.2">
      <c r="A40" s="2">
        <f t="shared" si="2"/>
        <v>28</v>
      </c>
      <c r="B40" s="167" t="s">
        <v>430</v>
      </c>
      <c r="C40" s="155">
        <f>SUM(C38:C39)</f>
        <v>3183947440</v>
      </c>
      <c r="D40" s="13" t="str">
        <f>"L "&amp;A38&amp;" + L "&amp;A39&amp;""</f>
        <v>L 26 + L 27</v>
      </c>
      <c r="E40" s="155">
        <f>SUM(E38:E39)</f>
        <v>0</v>
      </c>
      <c r="F40" s="159">
        <f>E40/C40</f>
        <v>0</v>
      </c>
      <c r="G40" s="14"/>
    </row>
    <row r="41" spans="1:9">
      <c r="A41" s="2">
        <f t="shared" si="2"/>
        <v>29</v>
      </c>
      <c r="B41" s="168"/>
      <c r="C41" s="139"/>
      <c r="D41" s="155"/>
      <c r="E41" s="155"/>
      <c r="F41" s="159"/>
    </row>
    <row r="42" spans="1:9" ht="13.2">
      <c r="A42" s="2">
        <f t="shared" si="2"/>
        <v>30</v>
      </c>
      <c r="B42" s="169" t="s">
        <v>1234</v>
      </c>
      <c r="C42" s="161">
        <f>C36+C40</f>
        <v>3309189889</v>
      </c>
      <c r="D42" s="13" t="str">
        <f>"L "&amp;A36&amp;" + L "&amp;A40&amp;""</f>
        <v>L 24 + L 28</v>
      </c>
      <c r="E42" s="161">
        <f>E36+E40</f>
        <v>0</v>
      </c>
      <c r="F42" s="162">
        <f>E42/C42</f>
        <v>0</v>
      </c>
      <c r="G42" s="12" t="s">
        <v>362</v>
      </c>
      <c r="H42" s="15"/>
    </row>
    <row r="43" spans="1:9">
      <c r="A43" s="2"/>
      <c r="B43" s="136"/>
      <c r="C43" s="137"/>
      <c r="D43" s="137"/>
      <c r="E43" s="137"/>
      <c r="F43" s="138"/>
      <c r="H43" s="140"/>
      <c r="I43" s="12"/>
    </row>
    <row r="44" spans="1:9">
      <c r="A44" s="61"/>
      <c r="E44" s="133"/>
    </row>
    <row r="45" spans="1:9">
      <c r="A45" s="83" t="s">
        <v>232</v>
      </c>
    </row>
    <row r="46" spans="1:9">
      <c r="A46" s="13" t="s">
        <v>450</v>
      </c>
      <c r="E46" s="133"/>
    </row>
    <row r="47" spans="1:9">
      <c r="A47" s="13" t="s">
        <v>455</v>
      </c>
    </row>
    <row r="48" spans="1:9">
      <c r="A48" s="13" t="s">
        <v>452</v>
      </c>
      <c r="C48" s="133"/>
      <c r="D48" s="133"/>
    </row>
    <row r="49" spans="1:4">
      <c r="A49" s="13" t="s">
        <v>454</v>
      </c>
      <c r="C49" s="134"/>
      <c r="D49" s="134"/>
    </row>
    <row r="50" spans="1:4">
      <c r="A50" s="61"/>
      <c r="C50" s="133"/>
      <c r="D50" s="133"/>
    </row>
    <row r="51" spans="1:4">
      <c r="A51" s="83" t="s">
        <v>379</v>
      </c>
    </row>
    <row r="52" spans="1:4">
      <c r="A52" s="13" t="s">
        <v>453</v>
      </c>
    </row>
    <row r="53" spans="1:4">
      <c r="A53" s="13" t="s">
        <v>1438</v>
      </c>
    </row>
    <row r="54" spans="1:4">
      <c r="A54" s="481" t="s">
        <v>2037</v>
      </c>
    </row>
  </sheetData>
  <pageMargins left="0.7" right="0.7" top="0.75" bottom="0.75" header="0.3" footer="0.3"/>
  <pageSetup scale="90" orientation="portrait" cellComments="asDisplayed" r:id="rId1"/>
  <headerFooter>
    <oddHeader>&amp;CSchedule 7
Transmission Plant Study Summary
&amp;RExhibit SCE-4
TO2019A Formula Rate Spreadsheet</oddHeader>
    <oddFooter>&amp;R7-PlantStudy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4"/>
  <sheetViews>
    <sheetView topLeftCell="A127" zoomScale="110" zoomScaleNormal="110" workbookViewId="0">
      <selection activeCell="B140" sqref="B140"/>
    </sheetView>
  </sheetViews>
  <sheetFormatPr defaultColWidth="8.88671875" defaultRowHeight="13.2"/>
  <cols>
    <col min="1" max="1" width="4.6640625" style="999" customWidth="1"/>
    <col min="2" max="2" width="7.6640625" style="999" customWidth="1"/>
    <col min="3" max="3" width="10.6640625" style="999" customWidth="1"/>
    <col min="4" max="4" width="13.6640625" style="999" customWidth="1"/>
    <col min="5" max="6" width="14.6640625" style="999" customWidth="1"/>
    <col min="7" max="10" width="13.6640625" style="999" customWidth="1"/>
    <col min="11" max="12" width="11.6640625" style="999" customWidth="1"/>
    <col min="13" max="13" width="13.6640625" style="999" customWidth="1"/>
    <col min="14" max="14" width="14.6640625" style="999" customWidth="1"/>
    <col min="15" max="15" width="13.6640625" style="14" customWidth="1"/>
    <col min="16" max="23" width="8.88671875" style="14"/>
    <col min="24" max="16384" width="8.88671875" style="999"/>
  </cols>
  <sheetData>
    <row r="1" spans="1:18">
      <c r="A1" s="1" t="s">
        <v>163</v>
      </c>
      <c r="B1" s="1"/>
      <c r="C1" s="231"/>
      <c r="D1" s="231"/>
      <c r="E1" s="231"/>
      <c r="F1" s="231"/>
      <c r="G1" s="231"/>
      <c r="H1" s="231"/>
      <c r="I1" s="231"/>
      <c r="J1" s="519" t="s">
        <v>451</v>
      </c>
      <c r="K1" s="186"/>
      <c r="L1" s="231"/>
      <c r="M1" s="231"/>
      <c r="N1" s="231"/>
      <c r="O1" s="240"/>
      <c r="P1" s="240"/>
      <c r="Q1" s="240"/>
      <c r="R1" s="240"/>
    </row>
    <row r="2" spans="1:18">
      <c r="A2" s="231"/>
      <c r="B2" s="231"/>
      <c r="C2" s="231"/>
      <c r="D2" s="231"/>
      <c r="E2" s="231"/>
      <c r="F2" s="231"/>
      <c r="G2" s="231"/>
      <c r="H2" s="231"/>
      <c r="I2" s="231"/>
      <c r="L2" s="231"/>
      <c r="M2" s="231"/>
      <c r="N2" s="231"/>
      <c r="O2" s="240"/>
      <c r="P2" s="240"/>
      <c r="Q2" s="240"/>
      <c r="R2" s="240"/>
    </row>
    <row r="3" spans="1:18">
      <c r="A3" s="231"/>
      <c r="B3" s="1" t="s">
        <v>329</v>
      </c>
      <c r="C3" s="231"/>
      <c r="D3" s="231"/>
      <c r="E3" s="231"/>
      <c r="F3" s="231"/>
      <c r="G3" s="891" t="s">
        <v>1736</v>
      </c>
      <c r="H3" s="1002">
        <v>2017</v>
      </c>
      <c r="I3" s="231"/>
      <c r="J3" s="231"/>
      <c r="K3" s="231"/>
      <c r="L3" s="231"/>
      <c r="M3" s="231"/>
      <c r="N3" s="231"/>
      <c r="O3" s="240"/>
      <c r="P3" s="240"/>
      <c r="Q3" s="240"/>
      <c r="R3" s="240"/>
    </row>
    <row r="4" spans="1:18">
      <c r="A4" s="231"/>
      <c r="B4" s="231"/>
      <c r="C4" s="231"/>
      <c r="D4" s="231"/>
      <c r="E4" s="231"/>
      <c r="F4" s="231"/>
      <c r="G4" s="231"/>
      <c r="H4" s="231"/>
      <c r="I4" s="231"/>
      <c r="J4" s="231"/>
      <c r="K4" s="231"/>
      <c r="L4" s="231"/>
      <c r="M4" s="231"/>
      <c r="N4" s="231"/>
      <c r="O4" s="240"/>
      <c r="P4" s="240"/>
      <c r="Q4" s="240"/>
      <c r="R4" s="240"/>
    </row>
    <row r="5" spans="1:18">
      <c r="A5" s="231"/>
      <c r="B5" s="231"/>
      <c r="C5" s="477" t="s">
        <v>1549</v>
      </c>
      <c r="D5" s="231"/>
      <c r="E5" s="231"/>
      <c r="F5" s="231"/>
      <c r="G5" s="231"/>
      <c r="H5" s="231"/>
      <c r="I5" s="231"/>
      <c r="J5" s="477"/>
      <c r="K5" s="231"/>
      <c r="L5" s="231"/>
      <c r="M5" s="231"/>
      <c r="N5" s="231"/>
      <c r="O5" s="240"/>
      <c r="P5" s="240"/>
      <c r="Q5" s="240"/>
      <c r="R5" s="240"/>
    </row>
    <row r="6" spans="1:18">
      <c r="A6" s="231"/>
      <c r="B6" s="231"/>
      <c r="C6" s="231"/>
      <c r="D6" s="231"/>
      <c r="E6" s="231"/>
      <c r="F6" s="231"/>
      <c r="G6" s="231"/>
      <c r="H6" s="231"/>
      <c r="I6" s="231"/>
      <c r="J6" s="231"/>
      <c r="K6" s="231"/>
      <c r="L6" s="231"/>
      <c r="M6" s="231"/>
      <c r="N6" s="231"/>
      <c r="O6" s="240"/>
      <c r="P6" s="240"/>
      <c r="Q6" s="240"/>
      <c r="R6" s="240"/>
    </row>
    <row r="7" spans="1:18">
      <c r="A7" s="231"/>
      <c r="B7" s="231"/>
      <c r="C7" s="84" t="s">
        <v>360</v>
      </c>
      <c r="D7" s="84" t="s">
        <v>344</v>
      </c>
      <c r="E7" s="84" t="s">
        <v>345</v>
      </c>
      <c r="F7" s="84" t="s">
        <v>346</v>
      </c>
      <c r="G7" s="84" t="s">
        <v>347</v>
      </c>
      <c r="H7" s="84" t="s">
        <v>348</v>
      </c>
      <c r="I7" s="84" t="s">
        <v>349</v>
      </c>
      <c r="J7" s="84" t="s">
        <v>541</v>
      </c>
      <c r="K7" s="84" t="s">
        <v>958</v>
      </c>
      <c r="L7" s="84" t="s">
        <v>971</v>
      </c>
      <c r="M7" s="84" t="s">
        <v>974</v>
      </c>
      <c r="N7" s="84" t="s">
        <v>992</v>
      </c>
      <c r="O7" s="240"/>
      <c r="P7" s="240"/>
      <c r="Q7" s="240"/>
      <c r="R7" s="240"/>
    </row>
    <row r="8" spans="1:18">
      <c r="A8" s="231"/>
      <c r="B8" s="231"/>
      <c r="C8" s="248"/>
      <c r="D8" s="231"/>
      <c r="E8" s="231"/>
      <c r="F8" s="231"/>
      <c r="G8" s="231"/>
      <c r="H8" s="231"/>
      <c r="I8" s="231"/>
      <c r="J8" s="231"/>
      <c r="K8" s="231"/>
      <c r="L8" s="231"/>
      <c r="M8" s="231"/>
      <c r="N8" s="460" t="s">
        <v>1663</v>
      </c>
      <c r="O8" s="240"/>
      <c r="P8" s="240"/>
      <c r="Q8" s="240"/>
      <c r="R8" s="240"/>
    </row>
    <row r="9" spans="1:18">
      <c r="A9" s="231"/>
      <c r="B9" s="231"/>
      <c r="C9" s="452"/>
      <c r="D9" s="520" t="s">
        <v>12</v>
      </c>
      <c r="E9" s="231"/>
      <c r="F9" s="231"/>
      <c r="G9" s="231"/>
      <c r="H9" s="231"/>
      <c r="I9" s="231"/>
      <c r="J9" s="231"/>
      <c r="K9" s="231"/>
      <c r="L9" s="231"/>
      <c r="M9" s="231"/>
      <c r="N9" s="231"/>
      <c r="O9" s="240"/>
      <c r="P9" s="240"/>
      <c r="Q9" s="240"/>
      <c r="R9" s="240"/>
    </row>
    <row r="10" spans="1:18">
      <c r="A10" s="231"/>
      <c r="B10" s="231"/>
      <c r="C10" s="111"/>
      <c r="D10" s="520" t="s">
        <v>972</v>
      </c>
      <c r="E10" s="231"/>
      <c r="F10" s="231"/>
      <c r="G10" s="231"/>
      <c r="H10" s="231"/>
      <c r="I10" s="231"/>
      <c r="J10" s="231"/>
      <c r="K10" s="231"/>
      <c r="L10" s="231"/>
      <c r="M10" s="231"/>
      <c r="N10" s="231"/>
      <c r="O10" s="240"/>
      <c r="P10" s="240"/>
      <c r="Q10" s="240"/>
      <c r="R10" s="240"/>
    </row>
    <row r="11" spans="1:18" ht="12.75" customHeight="1">
      <c r="A11" s="51" t="s">
        <v>331</v>
      </c>
      <c r="B11" s="51"/>
      <c r="C11" s="125" t="s">
        <v>1771</v>
      </c>
      <c r="D11" s="84">
        <v>350.1</v>
      </c>
      <c r="E11" s="84">
        <v>350.2</v>
      </c>
      <c r="F11" s="84">
        <v>352</v>
      </c>
      <c r="G11" s="84">
        <v>353</v>
      </c>
      <c r="H11" s="84">
        <v>354</v>
      </c>
      <c r="I11" s="84">
        <v>355</v>
      </c>
      <c r="J11" s="84">
        <v>356</v>
      </c>
      <c r="K11" s="84">
        <v>357</v>
      </c>
      <c r="L11" s="84">
        <v>358</v>
      </c>
      <c r="M11" s="84">
        <v>359</v>
      </c>
      <c r="N11" s="3" t="s">
        <v>196</v>
      </c>
      <c r="O11" s="240"/>
      <c r="P11" s="240"/>
      <c r="Q11" s="240"/>
      <c r="R11" s="240"/>
    </row>
    <row r="12" spans="1:18" ht="12.75" customHeight="1">
      <c r="A12" s="571">
        <v>1</v>
      </c>
      <c r="B12" s="571"/>
      <c r="C12" s="966" t="s">
        <v>2408</v>
      </c>
      <c r="D12" s="511">
        <v>0</v>
      </c>
      <c r="E12" s="511">
        <v>18079938.998426363</v>
      </c>
      <c r="F12" s="511">
        <v>72260282.663679585</v>
      </c>
      <c r="G12" s="511">
        <v>439653027.79319572</v>
      </c>
      <c r="H12" s="511">
        <v>465353601.53802383</v>
      </c>
      <c r="I12" s="511">
        <v>46058792.048423626</v>
      </c>
      <c r="J12" s="511">
        <v>407738326.31860054</v>
      </c>
      <c r="K12" s="511">
        <v>839658.64846191066</v>
      </c>
      <c r="L12" s="511">
        <v>2896107.6429296676</v>
      </c>
      <c r="M12" s="511">
        <v>14910822.350216078</v>
      </c>
      <c r="N12" s="233">
        <f t="shared" ref="N12:N25" si="0">SUM(D12:M12)</f>
        <v>1467790558.0019572</v>
      </c>
      <c r="O12" s="240"/>
      <c r="P12" s="240"/>
      <c r="Q12" s="240"/>
      <c r="R12" s="240"/>
    </row>
    <row r="13" spans="1:18" ht="12.75" customHeight="1">
      <c r="A13" s="571">
        <f>A12+1</f>
        <v>2</v>
      </c>
      <c r="B13" s="571"/>
      <c r="C13" s="724" t="s">
        <v>2617</v>
      </c>
      <c r="D13" s="235">
        <f>D12+D70+D119</f>
        <v>0</v>
      </c>
      <c r="E13" s="235">
        <f>E12+E70+E119</f>
        <v>18308641.247825958</v>
      </c>
      <c r="F13" s="235">
        <f t="shared" ref="F13:M23" si="1">F12+F70+F119</f>
        <v>72968804.244017243</v>
      </c>
      <c r="G13" s="235">
        <f t="shared" si="1"/>
        <v>446340018.72784311</v>
      </c>
      <c r="H13" s="235">
        <f t="shared" si="1"/>
        <v>470658390.43021107</v>
      </c>
      <c r="I13" s="235">
        <f t="shared" si="1"/>
        <v>43293011.345410295</v>
      </c>
      <c r="J13" s="235">
        <f t="shared" si="1"/>
        <v>424670241.37882358</v>
      </c>
      <c r="K13" s="235">
        <f t="shared" si="1"/>
        <v>1097967.7757830168</v>
      </c>
      <c r="L13" s="235">
        <f t="shared" si="1"/>
        <v>2966994.1553756823</v>
      </c>
      <c r="M13" s="235">
        <f t="shared" si="1"/>
        <v>15230980.215377729</v>
      </c>
      <c r="N13" s="233">
        <f t="shared" si="0"/>
        <v>1495535049.5206678</v>
      </c>
      <c r="O13" s="240"/>
      <c r="P13" s="240"/>
      <c r="Q13" s="240"/>
      <c r="R13" s="240"/>
    </row>
    <row r="14" spans="1:18" ht="12.75" customHeight="1">
      <c r="A14" s="571">
        <f t="shared" ref="A14:A25" si="2">A13+1</f>
        <v>3</v>
      </c>
      <c r="B14" s="571"/>
      <c r="C14" s="723" t="s">
        <v>2618</v>
      </c>
      <c r="D14" s="235">
        <f t="shared" ref="D14:E23" si="3">D13+D71+D120</f>
        <v>0</v>
      </c>
      <c r="E14" s="235">
        <f t="shared" si="3"/>
        <v>18537348.297323044</v>
      </c>
      <c r="F14" s="235">
        <f t="shared" si="1"/>
        <v>74988693.844718993</v>
      </c>
      <c r="G14" s="235">
        <f t="shared" si="1"/>
        <v>453020610.35094732</v>
      </c>
      <c r="H14" s="235">
        <f t="shared" si="1"/>
        <v>480300558.95883393</v>
      </c>
      <c r="I14" s="235">
        <f t="shared" si="1"/>
        <v>42956298.737676308</v>
      </c>
      <c r="J14" s="235">
        <f t="shared" si="1"/>
        <v>418952853.46026802</v>
      </c>
      <c r="K14" s="235">
        <f t="shared" si="1"/>
        <v>1351770.1504963308</v>
      </c>
      <c r="L14" s="235">
        <f t="shared" si="1"/>
        <v>3647254.3542192318</v>
      </c>
      <c r="M14" s="235">
        <f t="shared" si="1"/>
        <v>15439118.894470777</v>
      </c>
      <c r="N14" s="233">
        <f t="shared" si="0"/>
        <v>1509194507.0489535</v>
      </c>
      <c r="O14" s="240"/>
      <c r="P14" s="240"/>
      <c r="Q14" s="240"/>
      <c r="R14" s="240"/>
    </row>
    <row r="15" spans="1:18" ht="12.75" customHeight="1">
      <c r="A15" s="571">
        <f t="shared" si="2"/>
        <v>4</v>
      </c>
      <c r="B15" s="571"/>
      <c r="C15" s="723" t="s">
        <v>2619</v>
      </c>
      <c r="D15" s="235">
        <f t="shared" si="3"/>
        <v>0</v>
      </c>
      <c r="E15" s="235">
        <f t="shared" si="3"/>
        <v>18752244.128077272</v>
      </c>
      <c r="F15" s="235">
        <f t="shared" si="1"/>
        <v>75746244.909942716</v>
      </c>
      <c r="G15" s="235">
        <f t="shared" si="1"/>
        <v>459717421.87273008</v>
      </c>
      <c r="H15" s="235">
        <f t="shared" si="1"/>
        <v>481542497.23768032</v>
      </c>
      <c r="I15" s="235">
        <f t="shared" si="1"/>
        <v>43274320.361517444</v>
      </c>
      <c r="J15" s="235">
        <f t="shared" si="1"/>
        <v>414004345.44137681</v>
      </c>
      <c r="K15" s="235">
        <f t="shared" si="1"/>
        <v>1591256.606636734</v>
      </c>
      <c r="L15" s="235">
        <f t="shared" si="1"/>
        <v>3753210.1234456752</v>
      </c>
      <c r="M15" s="235">
        <f t="shared" si="1"/>
        <v>15648580.450380001</v>
      </c>
      <c r="N15" s="233">
        <f t="shared" si="0"/>
        <v>1514030121.1317871</v>
      </c>
      <c r="O15" s="240"/>
      <c r="P15" s="240"/>
      <c r="Q15" s="240"/>
      <c r="R15" s="240"/>
    </row>
    <row r="16" spans="1:18" ht="12.75" customHeight="1">
      <c r="A16" s="571">
        <f t="shared" si="2"/>
        <v>5</v>
      </c>
      <c r="B16" s="571"/>
      <c r="C16" s="724" t="s">
        <v>2620</v>
      </c>
      <c r="D16" s="235">
        <f t="shared" si="3"/>
        <v>0</v>
      </c>
      <c r="E16" s="235">
        <f t="shared" si="3"/>
        <v>18981511.622959178</v>
      </c>
      <c r="F16" s="235">
        <f t="shared" si="1"/>
        <v>78025130.488813192</v>
      </c>
      <c r="G16" s="235">
        <f t="shared" si="1"/>
        <v>466431065.19129223</v>
      </c>
      <c r="H16" s="235">
        <f t="shared" si="1"/>
        <v>479419454.55270314</v>
      </c>
      <c r="I16" s="235">
        <f t="shared" si="1"/>
        <v>43608478.598969497</v>
      </c>
      <c r="J16" s="235">
        <f t="shared" si="1"/>
        <v>408380384.75620097</v>
      </c>
      <c r="K16" s="235">
        <f t="shared" si="1"/>
        <v>1801902.0790769379</v>
      </c>
      <c r="L16" s="235">
        <f t="shared" si="1"/>
        <v>4266250.9241917273</v>
      </c>
      <c r="M16" s="235">
        <f t="shared" si="1"/>
        <v>15858405.195883648</v>
      </c>
      <c r="N16" s="233">
        <f t="shared" si="0"/>
        <v>1516772583.4100907</v>
      </c>
      <c r="O16" s="240"/>
      <c r="P16" s="240"/>
      <c r="Q16" s="240"/>
      <c r="R16" s="240"/>
    </row>
    <row r="17" spans="1:18" ht="12.75" customHeight="1">
      <c r="A17" s="571">
        <f t="shared" si="2"/>
        <v>6</v>
      </c>
      <c r="B17" s="571"/>
      <c r="C17" s="723" t="s">
        <v>2621</v>
      </c>
      <c r="D17" s="235">
        <f t="shared" si="3"/>
        <v>0</v>
      </c>
      <c r="E17" s="235">
        <f t="shared" si="3"/>
        <v>19198530.585951746</v>
      </c>
      <c r="F17" s="235">
        <f t="shared" si="1"/>
        <v>79324141.340459436</v>
      </c>
      <c r="G17" s="235">
        <f t="shared" si="1"/>
        <v>473196865.92424947</v>
      </c>
      <c r="H17" s="235">
        <f t="shared" si="1"/>
        <v>482881385.79127371</v>
      </c>
      <c r="I17" s="235">
        <f t="shared" si="1"/>
        <v>44346449.125898607</v>
      </c>
      <c r="J17" s="235">
        <f t="shared" si="1"/>
        <v>409860084.45766383</v>
      </c>
      <c r="K17" s="235">
        <f t="shared" si="1"/>
        <v>2058471.3416056111</v>
      </c>
      <c r="L17" s="235">
        <f t="shared" si="1"/>
        <v>4530616.6980482507</v>
      </c>
      <c r="M17" s="235">
        <f t="shared" si="1"/>
        <v>16067283.985776877</v>
      </c>
      <c r="N17" s="233">
        <f t="shared" si="0"/>
        <v>1531463829.2509277</v>
      </c>
      <c r="O17" s="240"/>
      <c r="P17" s="240"/>
      <c r="Q17" s="240"/>
      <c r="R17" s="240"/>
    </row>
    <row r="18" spans="1:18" ht="12.75" customHeight="1">
      <c r="A18" s="571">
        <f t="shared" si="2"/>
        <v>7</v>
      </c>
      <c r="B18" s="571"/>
      <c r="C18" s="723" t="s">
        <v>2622</v>
      </c>
      <c r="D18" s="235">
        <f t="shared" si="3"/>
        <v>0</v>
      </c>
      <c r="E18" s="235">
        <f t="shared" si="3"/>
        <v>19358181.465678804</v>
      </c>
      <c r="F18" s="235">
        <f t="shared" si="1"/>
        <v>80982622.242188051</v>
      </c>
      <c r="G18" s="235">
        <f t="shared" si="1"/>
        <v>479978024.81112278</v>
      </c>
      <c r="H18" s="235">
        <f t="shared" si="1"/>
        <v>486603967.9031952</v>
      </c>
      <c r="I18" s="235">
        <f t="shared" si="1"/>
        <v>44761788.798674032</v>
      </c>
      <c r="J18" s="235">
        <f t="shared" si="1"/>
        <v>409133073.91139984</v>
      </c>
      <c r="K18" s="235">
        <f t="shared" si="1"/>
        <v>2302613.8797292132</v>
      </c>
      <c r="L18" s="235">
        <f t="shared" si="1"/>
        <v>4638564.5662836712</v>
      </c>
      <c r="M18" s="235">
        <f t="shared" si="1"/>
        <v>16287005.279989235</v>
      </c>
      <c r="N18" s="233">
        <f t="shared" si="0"/>
        <v>1544045842.8582609</v>
      </c>
      <c r="O18" s="240"/>
      <c r="P18" s="240"/>
      <c r="Q18" s="240"/>
      <c r="R18" s="240"/>
    </row>
    <row r="19" spans="1:18" ht="12.75" customHeight="1">
      <c r="A19" s="571">
        <f t="shared" si="2"/>
        <v>8</v>
      </c>
      <c r="B19" s="571"/>
      <c r="C19" s="724" t="s">
        <v>2623</v>
      </c>
      <c r="D19" s="235">
        <f t="shared" si="3"/>
        <v>0</v>
      </c>
      <c r="E19" s="235">
        <f t="shared" si="3"/>
        <v>19450336.731634524</v>
      </c>
      <c r="F19" s="235">
        <f t="shared" si="1"/>
        <v>82492566.69533962</v>
      </c>
      <c r="G19" s="235">
        <f t="shared" si="1"/>
        <v>486786988.36237866</v>
      </c>
      <c r="H19" s="235">
        <f t="shared" si="1"/>
        <v>490700721.88762051</v>
      </c>
      <c r="I19" s="235">
        <f t="shared" si="1"/>
        <v>44947546.447541058</v>
      </c>
      <c r="J19" s="235">
        <f t="shared" si="1"/>
        <v>416123576.24528956</v>
      </c>
      <c r="K19" s="235">
        <f t="shared" si="1"/>
        <v>2721167.4945174302</v>
      </c>
      <c r="L19" s="235">
        <f t="shared" si="1"/>
        <v>4594686.9755988168</v>
      </c>
      <c r="M19" s="235">
        <f t="shared" si="1"/>
        <v>16505750.957540784</v>
      </c>
      <c r="N19" s="233">
        <f t="shared" si="0"/>
        <v>1564323341.7974608</v>
      </c>
      <c r="O19" s="240"/>
      <c r="P19" s="240"/>
      <c r="Q19" s="240"/>
      <c r="R19" s="240"/>
    </row>
    <row r="20" spans="1:18" ht="12.75" customHeight="1">
      <c r="A20" s="571">
        <f t="shared" si="2"/>
        <v>9</v>
      </c>
      <c r="B20" s="571"/>
      <c r="C20" s="723" t="s">
        <v>2624</v>
      </c>
      <c r="D20" s="235">
        <f t="shared" si="3"/>
        <v>0</v>
      </c>
      <c r="E20" s="235">
        <f t="shared" si="3"/>
        <v>19671148.118358452</v>
      </c>
      <c r="F20" s="235">
        <f t="shared" si="1"/>
        <v>84381527.683574036</v>
      </c>
      <c r="G20" s="235">
        <f t="shared" si="1"/>
        <v>493577187.77980876</v>
      </c>
      <c r="H20" s="235">
        <f t="shared" si="1"/>
        <v>495061770.25810796</v>
      </c>
      <c r="I20" s="235">
        <f t="shared" si="1"/>
        <v>45825130.785796314</v>
      </c>
      <c r="J20" s="235">
        <f t="shared" si="1"/>
        <v>412604759.83255315</v>
      </c>
      <c r="K20" s="235">
        <f t="shared" si="1"/>
        <v>2965007.8912552227</v>
      </c>
      <c r="L20" s="235">
        <f t="shared" si="1"/>
        <v>5431862.4857546166</v>
      </c>
      <c r="M20" s="235">
        <f t="shared" si="1"/>
        <v>16723043.789282655</v>
      </c>
      <c r="N20" s="233">
        <f t="shared" si="0"/>
        <v>1576241438.6244912</v>
      </c>
      <c r="O20" s="240"/>
      <c r="P20" s="240"/>
      <c r="Q20" s="240"/>
      <c r="R20" s="240"/>
    </row>
    <row r="21" spans="1:18" ht="12.75" customHeight="1">
      <c r="A21" s="571">
        <f t="shared" si="2"/>
        <v>10</v>
      </c>
      <c r="B21" s="571"/>
      <c r="C21" s="723" t="s">
        <v>2625</v>
      </c>
      <c r="D21" s="235">
        <f t="shared" si="3"/>
        <v>0</v>
      </c>
      <c r="E21" s="235">
        <f t="shared" si="3"/>
        <v>19891911.267957151</v>
      </c>
      <c r="F21" s="235">
        <f t="shared" si="1"/>
        <v>85854639.171012044</v>
      </c>
      <c r="G21" s="235">
        <f t="shared" si="1"/>
        <v>500468911.09418929</v>
      </c>
      <c r="H21" s="235">
        <f t="shared" si="1"/>
        <v>499785590.98965532</v>
      </c>
      <c r="I21" s="235">
        <f t="shared" si="1"/>
        <v>46365835.978503279</v>
      </c>
      <c r="J21" s="235">
        <f t="shared" si="1"/>
        <v>411436307.5872435</v>
      </c>
      <c r="K21" s="235">
        <f t="shared" si="1"/>
        <v>3225332.9979892545</v>
      </c>
      <c r="L21" s="235">
        <f t="shared" si="1"/>
        <v>5470399.6217375118</v>
      </c>
      <c r="M21" s="235">
        <f t="shared" si="1"/>
        <v>16939955.09548068</v>
      </c>
      <c r="N21" s="233">
        <f t="shared" si="0"/>
        <v>1589438883.8037679</v>
      </c>
      <c r="O21" s="240"/>
      <c r="P21" s="240"/>
      <c r="Q21" s="240"/>
      <c r="R21" s="240"/>
    </row>
    <row r="22" spans="1:18" ht="12.75" customHeight="1">
      <c r="A22" s="571">
        <f t="shared" si="2"/>
        <v>11</v>
      </c>
      <c r="B22" s="571"/>
      <c r="C22" s="724" t="s">
        <v>2626</v>
      </c>
      <c r="D22" s="235">
        <f t="shared" si="3"/>
        <v>0</v>
      </c>
      <c r="E22" s="235">
        <f t="shared" si="3"/>
        <v>20119707.577015713</v>
      </c>
      <c r="F22" s="235">
        <f t="shared" si="1"/>
        <v>86660237.7258109</v>
      </c>
      <c r="G22" s="235">
        <f t="shared" si="1"/>
        <v>507400303.97938997</v>
      </c>
      <c r="H22" s="235">
        <f t="shared" si="1"/>
        <v>503523455.28187233</v>
      </c>
      <c r="I22" s="235">
        <f t="shared" si="1"/>
        <v>46501419.723334789</v>
      </c>
      <c r="J22" s="235">
        <f t="shared" si="1"/>
        <v>416480842.41036952</v>
      </c>
      <c r="K22" s="235">
        <f t="shared" si="1"/>
        <v>3453030.3798277061</v>
      </c>
      <c r="L22" s="235">
        <f t="shared" si="1"/>
        <v>6009297.1402837941</v>
      </c>
      <c r="M22" s="235">
        <f t="shared" si="1"/>
        <v>17159383.30604808</v>
      </c>
      <c r="N22" s="233">
        <f t="shared" si="0"/>
        <v>1607307677.5239527</v>
      </c>
      <c r="O22" s="240"/>
      <c r="P22" s="240"/>
      <c r="Q22" s="240"/>
      <c r="R22" s="240"/>
    </row>
    <row r="23" spans="1:18" ht="12.75" customHeight="1">
      <c r="A23" s="571">
        <f t="shared" si="2"/>
        <v>12</v>
      </c>
      <c r="B23" s="571"/>
      <c r="C23" s="724" t="s">
        <v>2627</v>
      </c>
      <c r="D23" s="235">
        <f t="shared" si="3"/>
        <v>0</v>
      </c>
      <c r="E23" s="235">
        <f t="shared" si="3"/>
        <v>20345360.097607587</v>
      </c>
      <c r="F23" s="235">
        <f t="shared" si="1"/>
        <v>88098215.370012209</v>
      </c>
      <c r="G23" s="235">
        <f t="shared" si="1"/>
        <v>514267080.51288569</v>
      </c>
      <c r="H23" s="235">
        <f t="shared" si="1"/>
        <v>507772421.52019131</v>
      </c>
      <c r="I23" s="235">
        <f t="shared" si="1"/>
        <v>45937859.869753093</v>
      </c>
      <c r="J23" s="235">
        <f t="shared" si="1"/>
        <v>417577654.96133363</v>
      </c>
      <c r="K23" s="235">
        <f t="shared" si="1"/>
        <v>3568060.4978088252</v>
      </c>
      <c r="L23" s="235">
        <f t="shared" si="1"/>
        <v>6276834.8221778441</v>
      </c>
      <c r="M23" s="235">
        <f t="shared" si="1"/>
        <v>17371470.534461863</v>
      </c>
      <c r="N23" s="233">
        <f t="shared" si="0"/>
        <v>1621214958.1862321</v>
      </c>
      <c r="O23" s="240"/>
      <c r="P23" s="240"/>
      <c r="Q23" s="240"/>
      <c r="R23" s="240"/>
    </row>
    <row r="24" spans="1:18">
      <c r="A24" s="571">
        <f t="shared" si="2"/>
        <v>13</v>
      </c>
      <c r="B24" s="571"/>
      <c r="C24" s="723" t="s">
        <v>2628</v>
      </c>
      <c r="D24" s="117">
        <v>0</v>
      </c>
      <c r="E24" s="117">
        <v>20570771.263630729</v>
      </c>
      <c r="F24" s="117">
        <v>90912859.774352491</v>
      </c>
      <c r="G24" s="117">
        <v>521029731.19827735</v>
      </c>
      <c r="H24" s="117">
        <v>508793022.97525769</v>
      </c>
      <c r="I24" s="117">
        <v>46422545.596403174</v>
      </c>
      <c r="J24" s="117">
        <v>417546824.55132133</v>
      </c>
      <c r="K24" s="117">
        <v>3830318.0792135773</v>
      </c>
      <c r="L24" s="117">
        <v>6981972.4030607948</v>
      </c>
      <c r="M24" s="117">
        <v>17589054.157599293</v>
      </c>
      <c r="N24" s="368">
        <f t="shared" si="0"/>
        <v>1633677099.9991164</v>
      </c>
      <c r="O24" s="240"/>
      <c r="P24" s="240"/>
      <c r="Q24" s="240"/>
      <c r="R24" s="240"/>
    </row>
    <row r="25" spans="1:18">
      <c r="A25" s="571">
        <f t="shared" si="2"/>
        <v>14</v>
      </c>
      <c r="B25" s="231"/>
      <c r="C25" s="1103" t="s">
        <v>1199</v>
      </c>
      <c r="D25" s="233">
        <f t="shared" ref="D25:M25" si="4">AVERAGE(D12:D24)</f>
        <v>0</v>
      </c>
      <c r="E25" s="233">
        <f t="shared" si="4"/>
        <v>19328125.492495887</v>
      </c>
      <c r="F25" s="233">
        <f t="shared" si="4"/>
        <v>80976612.781070799</v>
      </c>
      <c r="G25" s="233">
        <f t="shared" si="4"/>
        <v>480143633.66140854</v>
      </c>
      <c r="H25" s="233">
        <f t="shared" si="4"/>
        <v>488645910.71727902</v>
      </c>
      <c r="I25" s="233">
        <f t="shared" si="4"/>
        <v>44946113.647530876</v>
      </c>
      <c r="J25" s="233">
        <f t="shared" si="4"/>
        <v>414193021.17788029</v>
      </c>
      <c r="K25" s="233">
        <f t="shared" si="4"/>
        <v>2369735.2171078282</v>
      </c>
      <c r="L25" s="233">
        <f t="shared" si="4"/>
        <v>4728003.9933159444</v>
      </c>
      <c r="M25" s="233">
        <f t="shared" si="4"/>
        <v>16286988.785577515</v>
      </c>
      <c r="N25" s="233">
        <f t="shared" si="0"/>
        <v>1551618145.4736667</v>
      </c>
      <c r="O25" s="240"/>
      <c r="P25" s="240"/>
      <c r="Q25" s="240"/>
      <c r="R25" s="240"/>
    </row>
    <row r="26" spans="1:18">
      <c r="A26" s="231"/>
      <c r="B26" s="231"/>
      <c r="C26" s="231"/>
      <c r="D26" s="240"/>
      <c r="E26" s="240"/>
      <c r="F26" s="240"/>
      <c r="G26" s="240"/>
      <c r="H26" s="240"/>
      <c r="I26" s="240"/>
      <c r="J26" s="240"/>
      <c r="K26" s="240"/>
      <c r="L26" s="240"/>
      <c r="M26" s="240"/>
      <c r="N26" s="240"/>
      <c r="O26" s="240"/>
      <c r="P26" s="240"/>
      <c r="Q26" s="240"/>
      <c r="R26" s="240"/>
    </row>
    <row r="27" spans="1:18">
      <c r="A27" s="231"/>
      <c r="B27" s="396" t="s">
        <v>1550</v>
      </c>
      <c r="C27" s="231"/>
      <c r="D27" s="231"/>
      <c r="E27" s="231"/>
      <c r="F27" s="231"/>
      <c r="G27" s="231"/>
      <c r="H27" s="231"/>
      <c r="I27" s="231"/>
      <c r="J27" s="231"/>
      <c r="K27" s="231"/>
      <c r="L27" s="231"/>
      <c r="M27" s="231"/>
      <c r="N27" s="231"/>
      <c r="O27" s="240"/>
      <c r="P27" s="240"/>
      <c r="Q27" s="240"/>
      <c r="R27" s="240"/>
    </row>
    <row r="28" spans="1:18">
      <c r="A28" s="231"/>
      <c r="B28" s="396"/>
      <c r="C28" s="231"/>
      <c r="D28" s="231"/>
      <c r="E28" s="231"/>
      <c r="F28" s="231"/>
      <c r="G28" s="231"/>
      <c r="H28" s="231"/>
      <c r="I28" s="231"/>
      <c r="J28" s="231"/>
      <c r="K28" s="231"/>
      <c r="L28" s="231"/>
      <c r="M28" s="231"/>
      <c r="N28" s="231"/>
      <c r="O28" s="240"/>
      <c r="P28" s="240"/>
      <c r="Q28" s="240"/>
      <c r="R28" s="240"/>
    </row>
    <row r="29" spans="1:18">
      <c r="A29" s="231"/>
      <c r="B29" s="231"/>
      <c r="C29" s="84" t="s">
        <v>360</v>
      </c>
      <c r="D29" s="84" t="s">
        <v>344</v>
      </c>
      <c r="E29" s="84" t="s">
        <v>345</v>
      </c>
      <c r="F29" s="84" t="s">
        <v>346</v>
      </c>
      <c r="G29" s="84" t="s">
        <v>347</v>
      </c>
      <c r="H29" s="231"/>
      <c r="I29" s="231"/>
      <c r="J29" s="231"/>
      <c r="K29" s="231"/>
      <c r="L29" s="231"/>
      <c r="M29" s="231"/>
      <c r="N29" s="231"/>
      <c r="O29" s="240"/>
      <c r="P29" s="240"/>
      <c r="Q29" s="240"/>
      <c r="R29" s="240"/>
    </row>
    <row r="30" spans="1:18">
      <c r="A30" s="231"/>
      <c r="B30" s="231"/>
      <c r="C30" s="231"/>
      <c r="D30" s="520" t="s">
        <v>12</v>
      </c>
      <c r="E30" s="231"/>
      <c r="F30" s="231"/>
      <c r="G30" s="460" t="s">
        <v>1662</v>
      </c>
      <c r="H30" s="231"/>
      <c r="I30" s="231"/>
      <c r="J30" s="231"/>
      <c r="K30" s="231"/>
      <c r="L30" s="231"/>
      <c r="M30" s="231"/>
      <c r="N30" s="231"/>
      <c r="O30" s="521"/>
      <c r="P30" s="240"/>
      <c r="Q30" s="240"/>
      <c r="R30" s="240"/>
    </row>
    <row r="31" spans="1:18">
      <c r="A31" s="231"/>
      <c r="B31" s="231"/>
      <c r="C31" s="231"/>
      <c r="D31" s="520" t="s">
        <v>972</v>
      </c>
      <c r="E31" s="231"/>
      <c r="F31" s="231"/>
      <c r="G31" s="231"/>
      <c r="H31" s="231"/>
      <c r="I31" s="231"/>
      <c r="J31" s="231"/>
      <c r="K31" s="231"/>
      <c r="L31" s="231"/>
      <c r="M31" s="231"/>
      <c r="N31" s="231"/>
      <c r="O31" s="464"/>
      <c r="P31" s="240"/>
      <c r="Q31" s="240"/>
      <c r="R31" s="240"/>
    </row>
    <row r="32" spans="1:18">
      <c r="A32" s="231"/>
      <c r="B32" s="231"/>
      <c r="C32" s="125" t="s">
        <v>1771</v>
      </c>
      <c r="D32" s="84">
        <v>360</v>
      </c>
      <c r="E32" s="84">
        <v>361</v>
      </c>
      <c r="F32" s="84">
        <v>362</v>
      </c>
      <c r="G32" s="3" t="s">
        <v>196</v>
      </c>
      <c r="H32" s="896" t="s">
        <v>168</v>
      </c>
      <c r="I32" s="240"/>
      <c r="J32" s="240"/>
      <c r="K32" s="231"/>
      <c r="L32" s="231"/>
      <c r="M32" s="231"/>
      <c r="N32" s="231"/>
      <c r="O32" s="464"/>
      <c r="P32" s="240"/>
      <c r="Q32" s="240"/>
      <c r="R32" s="240"/>
    </row>
    <row r="33" spans="1:18">
      <c r="A33" s="571">
        <f>A25+1</f>
        <v>15</v>
      </c>
      <c r="C33" s="723" t="s">
        <v>2408</v>
      </c>
      <c r="D33" s="1007">
        <v>0</v>
      </c>
      <c r="E33" s="1007">
        <v>0</v>
      </c>
      <c r="F33" s="1007">
        <v>0</v>
      </c>
      <c r="G33" s="233">
        <f>SUM(D33:F33)</f>
        <v>0</v>
      </c>
      <c r="H33" s="476" t="s">
        <v>1772</v>
      </c>
      <c r="I33" s="240"/>
      <c r="J33" s="240"/>
      <c r="K33" s="231"/>
      <c r="L33" s="231"/>
      <c r="M33" s="231"/>
      <c r="N33" s="231"/>
      <c r="O33" s="464"/>
      <c r="P33" s="240"/>
      <c r="Q33" s="240"/>
      <c r="R33" s="240"/>
    </row>
    <row r="34" spans="1:18">
      <c r="A34" s="571">
        <v>16</v>
      </c>
      <c r="C34" s="723" t="s">
        <v>2628</v>
      </c>
      <c r="D34" s="398">
        <v>0</v>
      </c>
      <c r="E34" s="398">
        <v>0</v>
      </c>
      <c r="F34" s="398">
        <v>0</v>
      </c>
      <c r="G34" s="368">
        <f>SUM(D34:F34)</f>
        <v>0</v>
      </c>
      <c r="H34" s="476" t="s">
        <v>89</v>
      </c>
      <c r="I34" s="240"/>
      <c r="J34" s="240"/>
      <c r="K34" s="231"/>
      <c r="L34" s="231"/>
      <c r="O34" s="464"/>
      <c r="P34" s="240"/>
      <c r="Q34" s="240"/>
      <c r="R34" s="240"/>
    </row>
    <row r="35" spans="1:18">
      <c r="A35" s="571">
        <f>A34+1</f>
        <v>17</v>
      </c>
      <c r="C35" s="232" t="s">
        <v>1329</v>
      </c>
      <c r="D35" s="233">
        <f>AVERAGE(D33:D34)</f>
        <v>0</v>
      </c>
      <c r="E35" s="233">
        <f>AVERAGE(E33:E34)</f>
        <v>0</v>
      </c>
      <c r="F35" s="233">
        <f>AVERAGE(F33:F34)</f>
        <v>0</v>
      </c>
      <c r="G35" s="233">
        <f>AVERAGE(G33:G34)</f>
        <v>0</v>
      </c>
      <c r="H35" s="246" t="str">
        <f>"Average of Line "&amp;A33&amp;" and Line "&amp;A34&amp;""</f>
        <v>Average of Line 15 and Line 16</v>
      </c>
      <c r="I35" s="231"/>
      <c r="J35" s="240"/>
      <c r="K35" s="231"/>
      <c r="M35" s="634"/>
      <c r="N35" s="604"/>
      <c r="O35" s="464"/>
      <c r="P35" s="240"/>
      <c r="Q35" s="240"/>
      <c r="R35" s="240"/>
    </row>
    <row r="36" spans="1:18">
      <c r="C36" s="232"/>
      <c r="D36" s="14"/>
      <c r="E36" s="14"/>
      <c r="F36" s="14"/>
      <c r="G36" s="14"/>
      <c r="I36" s="231"/>
      <c r="J36" s="231"/>
      <c r="K36" s="231"/>
      <c r="M36" s="627"/>
      <c r="N36" s="1114"/>
      <c r="O36" s="464"/>
      <c r="P36" s="240"/>
      <c r="Q36" s="240"/>
      <c r="R36" s="240"/>
    </row>
    <row r="37" spans="1:18">
      <c r="B37" s="396" t="s">
        <v>1547</v>
      </c>
      <c r="I37" s="231"/>
      <c r="J37" s="231"/>
      <c r="K37" s="231"/>
      <c r="L37" s="231"/>
      <c r="M37" s="634"/>
      <c r="N37" s="1114"/>
      <c r="O37" s="464"/>
      <c r="P37" s="240"/>
      <c r="Q37" s="240"/>
      <c r="R37" s="240"/>
    </row>
    <row r="38" spans="1:18" ht="14.4">
      <c r="B38" s="371"/>
      <c r="C38" s="359" t="s">
        <v>360</v>
      </c>
      <c r="D38" s="359" t="s">
        <v>344</v>
      </c>
      <c r="E38" s="359" t="s">
        <v>345</v>
      </c>
      <c r="F38" s="359" t="s">
        <v>346</v>
      </c>
      <c r="G38" s="359" t="s">
        <v>347</v>
      </c>
      <c r="J38" s="231"/>
      <c r="K38" s="234"/>
      <c r="L38" s="231"/>
      <c r="O38" s="240"/>
      <c r="P38" s="240"/>
      <c r="Q38" s="240"/>
      <c r="R38" s="240"/>
    </row>
    <row r="39" spans="1:18" ht="14.4">
      <c r="B39" s="371"/>
      <c r="C39" s="359"/>
      <c r="D39" s="359"/>
      <c r="E39" s="543" t="s">
        <v>1798</v>
      </c>
      <c r="F39" s="359"/>
      <c r="G39" s="359"/>
      <c r="J39" s="231"/>
      <c r="K39" s="234"/>
      <c r="L39" s="231"/>
      <c r="O39" s="240"/>
      <c r="P39" s="240"/>
      <c r="Q39" s="240"/>
      <c r="R39" s="240"/>
    </row>
    <row r="40" spans="1:18">
      <c r="C40" s="14"/>
      <c r="D40" s="14"/>
      <c r="E40" s="452" t="s">
        <v>196</v>
      </c>
      <c r="F40" s="14"/>
      <c r="G40" s="14"/>
      <c r="J40" s="231"/>
      <c r="K40" s="234"/>
      <c r="L40" s="231"/>
      <c r="O40" s="240"/>
      <c r="P40" s="240"/>
      <c r="Q40" s="240"/>
      <c r="R40" s="240"/>
    </row>
    <row r="41" spans="1:18">
      <c r="B41" s="231"/>
      <c r="C41" s="14"/>
      <c r="D41" s="240"/>
      <c r="E41" s="452" t="s">
        <v>1797</v>
      </c>
      <c r="F41" s="111" t="s">
        <v>1220</v>
      </c>
      <c r="G41" s="111" t="s">
        <v>1221</v>
      </c>
      <c r="J41" s="231"/>
      <c r="K41" s="234"/>
      <c r="L41" s="231"/>
      <c r="O41" s="240"/>
      <c r="P41" s="240"/>
      <c r="Q41" s="240"/>
      <c r="R41" s="240"/>
    </row>
    <row r="42" spans="1:18">
      <c r="B42" s="231"/>
      <c r="C42" s="14"/>
      <c r="D42" s="240"/>
      <c r="E42" s="452" t="s">
        <v>1330</v>
      </c>
      <c r="F42" s="452" t="s">
        <v>1330</v>
      </c>
      <c r="G42" s="452" t="s">
        <v>1330</v>
      </c>
      <c r="J42" s="231"/>
      <c r="K42" s="234"/>
      <c r="L42" s="231"/>
      <c r="Q42" s="240"/>
      <c r="R42" s="240"/>
    </row>
    <row r="43" spans="1:18">
      <c r="B43" s="231"/>
      <c r="C43" s="125" t="s">
        <v>1771</v>
      </c>
      <c r="D43" s="240"/>
      <c r="E43" s="453" t="s">
        <v>1331</v>
      </c>
      <c r="F43" s="453" t="s">
        <v>1331</v>
      </c>
      <c r="G43" s="453" t="s">
        <v>1331</v>
      </c>
      <c r="H43" s="399" t="s">
        <v>179</v>
      </c>
      <c r="J43" s="231"/>
      <c r="K43" s="369"/>
      <c r="L43" s="231"/>
      <c r="O43" s="240"/>
      <c r="P43" s="240"/>
      <c r="Q43" s="240"/>
      <c r="R43" s="240"/>
    </row>
    <row r="44" spans="1:18">
      <c r="A44" s="571">
        <f>A35+1</f>
        <v>18</v>
      </c>
      <c r="B44" s="231"/>
      <c r="C44" s="723" t="s">
        <v>2408</v>
      </c>
      <c r="D44" s="1104" t="s">
        <v>1327</v>
      </c>
      <c r="E44" s="235">
        <f>SUM(F44:G44)</f>
        <v>1917414678</v>
      </c>
      <c r="F44" s="1007">
        <v>1073416375</v>
      </c>
      <c r="G44" s="591">
        <v>843998303</v>
      </c>
      <c r="H44" s="464" t="s">
        <v>1799</v>
      </c>
      <c r="I44" s="14"/>
      <c r="J44" s="240"/>
      <c r="L44" s="231"/>
      <c r="O44" s="240"/>
      <c r="P44" s="240"/>
      <c r="Q44" s="240"/>
      <c r="R44" s="240"/>
    </row>
    <row r="45" spans="1:18">
      <c r="A45" s="571">
        <f>A44+1</f>
        <v>19</v>
      </c>
      <c r="B45" s="231"/>
      <c r="C45" s="723" t="s">
        <v>2628</v>
      </c>
      <c r="D45" s="232" t="s">
        <v>1328</v>
      </c>
      <c r="E45" s="459">
        <f>SUM(F45:G45)</f>
        <v>1736829507</v>
      </c>
      <c r="F45" s="1007">
        <v>1094912964</v>
      </c>
      <c r="G45" s="591">
        <v>641916543</v>
      </c>
      <c r="H45" s="464" t="s">
        <v>1800</v>
      </c>
      <c r="I45" s="14"/>
      <c r="J45" s="240"/>
      <c r="K45" s="1126"/>
      <c r="L45" s="231"/>
      <c r="O45" s="240"/>
      <c r="P45" s="240"/>
      <c r="Q45" s="240"/>
      <c r="R45" s="240"/>
    </row>
    <row r="46" spans="1:18">
      <c r="A46" s="571">
        <f>A45+1</f>
        <v>20</v>
      </c>
      <c r="B46" s="231"/>
      <c r="D46" s="232" t="s">
        <v>1329</v>
      </c>
      <c r="E46" s="233">
        <f>AVERAGE(E44:E45)</f>
        <v>1827122092.5</v>
      </c>
      <c r="H46" s="246" t="str">
        <f>"Average of Line "&amp;A44&amp;" and Line "&amp;A45&amp;""</f>
        <v>Average of Line 18 and Line 19</v>
      </c>
      <c r="J46" s="231"/>
      <c r="K46" s="1126"/>
      <c r="L46" s="231"/>
      <c r="O46" s="240"/>
      <c r="P46" s="240"/>
      <c r="Q46" s="240"/>
      <c r="R46" s="240"/>
    </row>
    <row r="47" spans="1:18">
      <c r="E47" s="14"/>
      <c r="I47" s="231"/>
      <c r="J47" s="231"/>
      <c r="K47" s="231"/>
      <c r="L47" s="231"/>
      <c r="O47" s="240"/>
      <c r="P47" s="240"/>
      <c r="Q47" s="240"/>
      <c r="R47" s="240"/>
    </row>
    <row r="48" spans="1:18">
      <c r="B48" s="1" t="s">
        <v>1332</v>
      </c>
      <c r="C48" s="639"/>
      <c r="D48" s="1110"/>
      <c r="E48" s="231"/>
      <c r="F48" s="231"/>
      <c r="G48" s="231"/>
      <c r="H48" s="231"/>
      <c r="I48" s="231"/>
      <c r="J48" s="231"/>
      <c r="K48" s="231"/>
      <c r="L48" s="231"/>
      <c r="M48" s="231"/>
      <c r="N48" s="231"/>
      <c r="O48" s="240"/>
      <c r="P48" s="240"/>
      <c r="Q48" s="240"/>
      <c r="R48" s="240"/>
    </row>
    <row r="49" spans="1:18">
      <c r="B49" s="1"/>
      <c r="C49" s="639"/>
      <c r="D49" s="1110"/>
      <c r="E49" s="231"/>
      <c r="F49" s="231"/>
      <c r="G49" s="231"/>
      <c r="H49" s="231"/>
      <c r="I49" s="231"/>
      <c r="J49" s="231"/>
      <c r="K49" s="231"/>
      <c r="L49" s="231"/>
      <c r="M49" s="231"/>
      <c r="N49" s="231"/>
      <c r="O49" s="240"/>
      <c r="P49" s="240"/>
      <c r="Q49" s="240"/>
      <c r="R49" s="240"/>
    </row>
    <row r="50" spans="1:18">
      <c r="B50" s="231"/>
      <c r="C50" s="1"/>
      <c r="D50" s="639"/>
      <c r="E50" s="1110"/>
      <c r="F50" s="369" t="s">
        <v>175</v>
      </c>
      <c r="G50" s="399" t="s">
        <v>179</v>
      </c>
      <c r="H50" s="231"/>
      <c r="I50" s="231"/>
      <c r="J50" s="231"/>
      <c r="K50" s="231"/>
      <c r="L50" s="231"/>
      <c r="M50" s="231"/>
      <c r="N50" s="231"/>
      <c r="O50" s="240"/>
      <c r="P50" s="240"/>
      <c r="Q50" s="240"/>
      <c r="R50" s="240"/>
    </row>
    <row r="51" spans="1:18">
      <c r="A51" s="571">
        <f>A46+1</f>
        <v>21</v>
      </c>
      <c r="B51" s="231"/>
      <c r="C51" s="639"/>
      <c r="D51" s="639"/>
      <c r="E51" s="1104" t="s">
        <v>1333</v>
      </c>
      <c r="F51" s="1105">
        <f>E46</f>
        <v>1827122092.5</v>
      </c>
      <c r="G51" s="246" t="str">
        <f>"Line "&amp;A46&amp;""</f>
        <v>Line 20</v>
      </c>
      <c r="H51" s="240"/>
      <c r="I51" s="240"/>
      <c r="J51" s="231"/>
      <c r="K51" s="231"/>
      <c r="L51" s="231"/>
      <c r="M51" s="231"/>
      <c r="N51" s="231"/>
      <c r="O51" s="240"/>
      <c r="P51" s="240"/>
      <c r="Q51" s="240"/>
      <c r="R51" s="240"/>
    </row>
    <row r="52" spans="1:18">
      <c r="A52" s="571">
        <f>A51+1</f>
        <v>22</v>
      </c>
      <c r="B52" s="231"/>
      <c r="C52" s="639"/>
      <c r="D52" s="639"/>
      <c r="E52" s="608" t="s">
        <v>241</v>
      </c>
      <c r="F52" s="1126">
        <f>'27-Allocators'!G14</f>
        <v>6.0143362776597958E-2</v>
      </c>
      <c r="G52" s="464" t="str">
        <f>"27-Allocators, Line "&amp;'27-Allocators'!A14&amp;""</f>
        <v>27-Allocators, Line 9</v>
      </c>
      <c r="H52" s="240"/>
      <c r="I52" s="240"/>
      <c r="J52" s="231"/>
      <c r="K52" s="231"/>
      <c r="L52" s="231"/>
      <c r="M52" s="231"/>
      <c r="N52" s="231"/>
      <c r="O52" s="240"/>
      <c r="P52" s="240"/>
      <c r="Q52" s="240"/>
      <c r="R52" s="240"/>
    </row>
    <row r="53" spans="1:18">
      <c r="A53" s="571">
        <f>A52+1</f>
        <v>23</v>
      </c>
      <c r="B53" s="231"/>
      <c r="C53" s="639"/>
      <c r="D53" s="639"/>
      <c r="E53" s="608" t="s">
        <v>1334</v>
      </c>
      <c r="F53" s="1105">
        <f>F51*F52</f>
        <v>109889266.84636427</v>
      </c>
      <c r="G53" s="464" t="str">
        <f>"Line "&amp;A51&amp;" * Line "&amp;A52&amp;""</f>
        <v>Line 21 * Line 22</v>
      </c>
      <c r="H53" s="240"/>
      <c r="I53" s="240"/>
      <c r="J53" s="231"/>
      <c r="K53" s="231"/>
      <c r="L53" s="231"/>
      <c r="M53" s="231"/>
      <c r="O53" s="240"/>
      <c r="P53" s="240"/>
      <c r="Q53" s="240"/>
      <c r="R53" s="240"/>
    </row>
    <row r="54" spans="1:18">
      <c r="B54" s="639"/>
      <c r="C54" s="639"/>
      <c r="D54" s="608"/>
      <c r="E54" s="1105"/>
      <c r="F54" s="231"/>
      <c r="G54" s="240"/>
      <c r="H54" s="231"/>
      <c r="I54" s="231"/>
      <c r="J54" s="231"/>
      <c r="K54" s="231"/>
      <c r="L54" s="231"/>
      <c r="M54" s="231"/>
      <c r="O54" s="240"/>
      <c r="P54" s="240"/>
      <c r="Q54" s="240"/>
      <c r="R54" s="240"/>
    </row>
    <row r="55" spans="1:18">
      <c r="B55" s="1" t="s">
        <v>2194</v>
      </c>
      <c r="C55" s="639"/>
      <c r="D55" s="1110"/>
      <c r="E55" s="231"/>
      <c r="F55" s="231"/>
      <c r="G55" s="240"/>
      <c r="H55" s="231"/>
      <c r="I55" s="231"/>
      <c r="J55" s="231"/>
      <c r="K55" s="231"/>
      <c r="L55" s="231"/>
      <c r="M55" s="231"/>
      <c r="O55" s="240"/>
      <c r="P55" s="240"/>
      <c r="Q55" s="240"/>
      <c r="R55" s="240"/>
    </row>
    <row r="56" spans="1:18">
      <c r="B56" s="231"/>
      <c r="C56" s="231"/>
      <c r="D56" s="231"/>
      <c r="E56" s="231"/>
      <c r="F56" s="231"/>
      <c r="G56" s="240"/>
      <c r="H56" s="231"/>
      <c r="I56" s="231"/>
      <c r="J56" s="231"/>
      <c r="K56" s="231"/>
      <c r="L56" s="231"/>
      <c r="M56" s="231"/>
      <c r="O56" s="902"/>
      <c r="P56" s="1091"/>
      <c r="Q56" s="240"/>
      <c r="R56" s="240"/>
    </row>
    <row r="57" spans="1:18">
      <c r="B57" s="231"/>
      <c r="C57" s="231"/>
      <c r="D57" s="231"/>
      <c r="E57" s="231"/>
      <c r="F57" s="369" t="s">
        <v>175</v>
      </c>
      <c r="G57" s="521" t="s">
        <v>179</v>
      </c>
      <c r="H57" s="231"/>
      <c r="I57" s="231"/>
      <c r="J57" s="231"/>
      <c r="K57" s="231"/>
      <c r="L57" s="231"/>
      <c r="M57" s="231"/>
      <c r="O57" s="647"/>
      <c r="P57" s="647"/>
      <c r="Q57" s="240"/>
      <c r="R57" s="240"/>
    </row>
    <row r="58" spans="1:18">
      <c r="A58" s="571">
        <f>A53+1</f>
        <v>24</v>
      </c>
      <c r="B58" s="639"/>
      <c r="C58" s="639"/>
      <c r="E58" s="1104" t="s">
        <v>1335</v>
      </c>
      <c r="F58" s="1105">
        <f>E45</f>
        <v>1736829507</v>
      </c>
      <c r="G58" s="464" t="str">
        <f>"Line "&amp;A45&amp;""</f>
        <v>Line 19</v>
      </c>
      <c r="H58" s="240"/>
      <c r="I58" s="240"/>
      <c r="J58" s="231"/>
      <c r="K58" s="231"/>
      <c r="L58" s="231"/>
      <c r="M58" s="231"/>
      <c r="O58" s="1127"/>
      <c r="P58" s="649"/>
      <c r="Q58" s="240"/>
      <c r="R58" s="240"/>
    </row>
    <row r="59" spans="1:18">
      <c r="A59" s="571">
        <f>A58+1</f>
        <v>25</v>
      </c>
      <c r="B59" s="639"/>
      <c r="C59" s="639"/>
      <c r="E59" s="608" t="s">
        <v>241</v>
      </c>
      <c r="F59" s="1126">
        <f>'27-Allocators'!G14</f>
        <v>6.0143362776597958E-2</v>
      </c>
      <c r="G59" s="464" t="str">
        <f>"27-Allocators, Line "&amp;'27-Allocators'!A14&amp;""</f>
        <v>27-Allocators, Line 9</v>
      </c>
      <c r="H59" s="240"/>
      <c r="I59" s="240"/>
      <c r="J59" s="231"/>
      <c r="K59" s="231"/>
      <c r="L59" s="231"/>
      <c r="M59" s="231"/>
      <c r="O59" s="1127"/>
      <c r="P59" s="649"/>
      <c r="Q59" s="240"/>
      <c r="R59" s="240"/>
    </row>
    <row r="60" spans="1:18">
      <c r="A60" s="571">
        <f>A59+1</f>
        <v>26</v>
      </c>
      <c r="B60" s="639"/>
      <c r="C60" s="639"/>
      <c r="E60" s="608" t="s">
        <v>1336</v>
      </c>
      <c r="F60" s="1105">
        <f>F58*F59</f>
        <v>104458767.12060079</v>
      </c>
      <c r="G60" s="246" t="str">
        <f>"Line "&amp;A58&amp;" * Line "&amp;A59&amp;""</f>
        <v>Line 24 * Line 25</v>
      </c>
      <c r="H60" s="240"/>
      <c r="I60" s="240"/>
      <c r="J60" s="231"/>
      <c r="K60" s="231"/>
      <c r="L60" s="231"/>
      <c r="M60" s="231"/>
      <c r="Q60" s="240"/>
      <c r="R60" s="240"/>
    </row>
    <row r="61" spans="1:18">
      <c r="B61" s="231"/>
      <c r="C61" s="231"/>
      <c r="D61" s="231"/>
      <c r="E61" s="231"/>
      <c r="F61" s="231"/>
      <c r="G61" s="231"/>
      <c r="H61" s="231"/>
      <c r="I61" s="231"/>
      <c r="J61" s="231"/>
      <c r="K61" s="231"/>
      <c r="L61" s="231"/>
      <c r="M61" s="231"/>
      <c r="Q61" s="240"/>
      <c r="R61" s="240"/>
    </row>
    <row r="62" spans="1:18">
      <c r="Q62" s="240"/>
      <c r="R62" s="240"/>
    </row>
    <row r="63" spans="1:18">
      <c r="B63" s="1" t="s">
        <v>1548</v>
      </c>
      <c r="Q63" s="240"/>
      <c r="R63" s="240"/>
    </row>
    <row r="64" spans="1:18">
      <c r="Q64" s="240"/>
      <c r="R64" s="240"/>
    </row>
    <row r="65" spans="1:14">
      <c r="C65" s="1" t="s">
        <v>2429</v>
      </c>
      <c r="D65" s="477"/>
      <c r="E65" s="477"/>
      <c r="F65" s="477"/>
      <c r="G65" s="477"/>
      <c r="H65" s="477"/>
      <c r="I65" s="477"/>
      <c r="J65" s="477"/>
      <c r="K65" s="477"/>
      <c r="L65" s="477"/>
    </row>
    <row r="66" spans="1:14">
      <c r="A66" s="477"/>
      <c r="C66" s="477"/>
      <c r="D66" s="477"/>
      <c r="E66" s="477"/>
      <c r="F66" s="477"/>
      <c r="G66" s="477"/>
      <c r="H66" s="477"/>
      <c r="I66" s="477"/>
      <c r="J66" s="477"/>
      <c r="K66" s="477"/>
      <c r="L66" s="477"/>
    </row>
    <row r="67" spans="1:14">
      <c r="A67" s="396"/>
      <c r="C67" s="84" t="s">
        <v>360</v>
      </c>
      <c r="D67" s="84" t="s">
        <v>344</v>
      </c>
      <c r="E67" s="84" t="s">
        <v>345</v>
      </c>
      <c r="F67" s="84" t="s">
        <v>346</v>
      </c>
      <c r="G67" s="84" t="s">
        <v>347</v>
      </c>
      <c r="H67" s="84" t="s">
        <v>348</v>
      </c>
      <c r="I67" s="84" t="s">
        <v>349</v>
      </c>
      <c r="J67" s="84" t="s">
        <v>541</v>
      </c>
      <c r="K67" s="84" t="s">
        <v>958</v>
      </c>
      <c r="L67" s="84" t="s">
        <v>971</v>
      </c>
      <c r="M67" s="84" t="s">
        <v>974</v>
      </c>
      <c r="N67" s="84" t="s">
        <v>992</v>
      </c>
    </row>
    <row r="68" spans="1:14">
      <c r="A68" s="231"/>
      <c r="C68" s="248"/>
      <c r="D68" s="231"/>
      <c r="E68" s="231"/>
      <c r="F68" s="231"/>
      <c r="G68" s="231"/>
      <c r="H68" s="231"/>
      <c r="I68" s="231"/>
      <c r="J68" s="231"/>
      <c r="K68" s="231"/>
      <c r="L68" s="231"/>
      <c r="N68" s="248" t="s">
        <v>1233</v>
      </c>
    </row>
    <row r="69" spans="1:14">
      <c r="A69" s="51"/>
      <c r="C69" s="125" t="s">
        <v>1771</v>
      </c>
      <c r="D69" s="84">
        <v>350.1</v>
      </c>
      <c r="E69" s="84">
        <v>350.2</v>
      </c>
      <c r="F69" s="84">
        <v>352</v>
      </c>
      <c r="G69" s="84">
        <v>353</v>
      </c>
      <c r="H69" s="84">
        <v>354</v>
      </c>
      <c r="I69" s="84">
        <v>355</v>
      </c>
      <c r="J69" s="84">
        <v>356</v>
      </c>
      <c r="K69" s="84">
        <v>357</v>
      </c>
      <c r="L69" s="84">
        <v>358</v>
      </c>
      <c r="M69" s="84">
        <v>359</v>
      </c>
      <c r="N69" s="3" t="s">
        <v>196</v>
      </c>
    </row>
    <row r="70" spans="1:14">
      <c r="A70" s="571">
        <f>A60+1</f>
        <v>27</v>
      </c>
      <c r="C70" s="724" t="s">
        <v>2617</v>
      </c>
      <c r="D70" s="491">
        <f>'17-Depreciation'!C48</f>
        <v>0</v>
      </c>
      <c r="E70" s="491">
        <f>'17-Depreciation'!D48</f>
        <v>228702.24939958984</v>
      </c>
      <c r="F70" s="491">
        <f>'17-Depreciation'!E48</f>
        <v>1138472.7581982927</v>
      </c>
      <c r="G70" s="491">
        <f>'17-Depreciation'!F48</f>
        <v>6687886.1321742674</v>
      </c>
      <c r="H70" s="491">
        <f>'17-Depreciation'!G48</f>
        <v>4542448.8387965197</v>
      </c>
      <c r="I70" s="491">
        <f>'17-Depreciation'!H48</f>
        <v>991689.74679432239</v>
      </c>
      <c r="J70" s="491">
        <f>'17-Depreciation'!I48</f>
        <v>3141255.4677464361</v>
      </c>
      <c r="K70" s="491">
        <f>'17-Depreciation'!J48</f>
        <v>255073.77020730244</v>
      </c>
      <c r="L70" s="491">
        <f>'17-Depreciation'!K48</f>
        <v>264292.2070505388</v>
      </c>
      <c r="M70" s="491">
        <f>'17-Depreciation'!L48</f>
        <v>236635.21123455852</v>
      </c>
      <c r="N70" s="233">
        <f t="shared" ref="N70:N82" si="5">SUM(D70:M70)</f>
        <v>17486456.381601829</v>
      </c>
    </row>
    <row r="71" spans="1:14">
      <c r="A71" s="571">
        <f t="shared" ref="A71:A82" si="6">A70+1</f>
        <v>28</v>
      </c>
      <c r="C71" s="723" t="s">
        <v>2618</v>
      </c>
      <c r="D71" s="491">
        <f>'17-Depreciation'!C49</f>
        <v>0</v>
      </c>
      <c r="E71" s="491">
        <f>'17-Depreciation'!D49</f>
        <v>228707.04949708984</v>
      </c>
      <c r="F71" s="491">
        <f>'17-Depreciation'!E49</f>
        <v>1132629.1609729489</v>
      </c>
      <c r="G71" s="491">
        <f>'17-Depreciation'!F49</f>
        <v>6689659.9672608264</v>
      </c>
      <c r="H71" s="491">
        <f>'17-Depreciation'!G49</f>
        <v>4536368.7292893995</v>
      </c>
      <c r="I71" s="491">
        <f>'17-Depreciation'!H49</f>
        <v>1026680.9508570669</v>
      </c>
      <c r="J71" s="491">
        <f>'17-Depreciation'!I49</f>
        <v>3132768.1452690824</v>
      </c>
      <c r="K71" s="491">
        <f>'17-Depreciation'!J49</f>
        <v>255278.03738339455</v>
      </c>
      <c r="L71" s="491">
        <f>'17-Depreciation'!K49</f>
        <v>264443.29299562506</v>
      </c>
      <c r="M71" s="491">
        <f>'17-Depreciation'!L49</f>
        <v>208163.75808582176</v>
      </c>
      <c r="N71" s="233">
        <f t="shared" si="5"/>
        <v>17474699.091611255</v>
      </c>
    </row>
    <row r="72" spans="1:14">
      <c r="A72" s="571">
        <f t="shared" si="6"/>
        <v>29</v>
      </c>
      <c r="C72" s="723" t="s">
        <v>2619</v>
      </c>
      <c r="D72" s="491">
        <f>'17-Depreciation'!C50</f>
        <v>0</v>
      </c>
      <c r="E72" s="491">
        <f>'17-Depreciation'!D50</f>
        <v>229334.62482258983</v>
      </c>
      <c r="F72" s="491">
        <f>'17-Depreciation'!E50</f>
        <v>1145539.8450665232</v>
      </c>
      <c r="G72" s="491">
        <f>'17-Depreciation'!F50</f>
        <v>6703280.2100742534</v>
      </c>
      <c r="H72" s="491">
        <f>'17-Depreciation'!G50</f>
        <v>4500032.9970045341</v>
      </c>
      <c r="I72" s="491">
        <f>'17-Depreciation'!H50</f>
        <v>1039729.0849443338</v>
      </c>
      <c r="J72" s="491">
        <f>'17-Depreciation'!I50</f>
        <v>3139036.8550647162</v>
      </c>
      <c r="K72" s="491">
        <f>'17-Depreciation'!J50</f>
        <v>255913.89188071841</v>
      </c>
      <c r="L72" s="491">
        <f>'17-Depreciation'!K50</f>
        <v>266950.74343646801</v>
      </c>
      <c r="M72" s="491">
        <f>'17-Depreciation'!L50</f>
        <v>210222.62916167302</v>
      </c>
      <c r="N72" s="233">
        <f t="shared" si="5"/>
        <v>17490040.881455809</v>
      </c>
    </row>
    <row r="73" spans="1:14">
      <c r="A73" s="571">
        <f t="shared" si="6"/>
        <v>30</v>
      </c>
      <c r="C73" s="724" t="s">
        <v>2620</v>
      </c>
      <c r="D73" s="491">
        <f>'17-Depreciation'!C51</f>
        <v>0</v>
      </c>
      <c r="E73" s="491">
        <f>'17-Depreciation'!D51</f>
        <v>229265.16350473664</v>
      </c>
      <c r="F73" s="491">
        <f>'17-Depreciation'!E51</f>
        <v>1141094.8929101534</v>
      </c>
      <c r="G73" s="491">
        <f>'17-Depreciation'!F51</f>
        <v>6710402.5649881409</v>
      </c>
      <c r="H73" s="491">
        <f>'17-Depreciation'!G51</f>
        <v>4526042.2601318136</v>
      </c>
      <c r="I73" s="491">
        <f>'17-Depreciation'!H51</f>
        <v>1048214.7371821963</v>
      </c>
      <c r="J73" s="491">
        <f>'17-Depreciation'!I51</f>
        <v>3154661.3217400517</v>
      </c>
      <c r="K73" s="491">
        <f>'17-Depreciation'!J51</f>
        <v>256246.89275058379</v>
      </c>
      <c r="L73" s="491">
        <f>'17-Depreciation'!K51</f>
        <v>269144.4741245826</v>
      </c>
      <c r="M73" s="491">
        <f>'17-Depreciation'!L51</f>
        <v>209889.84708663422</v>
      </c>
      <c r="N73" s="233">
        <f t="shared" si="5"/>
        <v>17544962.154418893</v>
      </c>
    </row>
    <row r="74" spans="1:14">
      <c r="A74" s="571">
        <f t="shared" si="6"/>
        <v>31</v>
      </c>
      <c r="C74" s="723" t="s">
        <v>2621</v>
      </c>
      <c r="D74" s="491">
        <f>'17-Depreciation'!C52</f>
        <v>0</v>
      </c>
      <c r="E74" s="491">
        <f>'17-Depreciation'!D52</f>
        <v>229265.95974796565</v>
      </c>
      <c r="F74" s="491">
        <f>'17-Depreciation'!E52</f>
        <v>1157229.2043108623</v>
      </c>
      <c r="G74" s="491">
        <f>'17-Depreciation'!F52</f>
        <v>6773145.3507203935</v>
      </c>
      <c r="H74" s="491">
        <f>'17-Depreciation'!G52</f>
        <v>4579025.9282058543</v>
      </c>
      <c r="I74" s="491">
        <f>'17-Depreciation'!H52</f>
        <v>1053896.5863405464</v>
      </c>
      <c r="J74" s="491">
        <f>'17-Depreciation'!I52</f>
        <v>3162506.9963963837</v>
      </c>
      <c r="K74" s="491">
        <f>'17-Depreciation'!J52</f>
        <v>256590.89686753319</v>
      </c>
      <c r="L74" s="491">
        <f>'17-Depreciation'!K52</f>
        <v>269419.54522262246</v>
      </c>
      <c r="M74" s="491">
        <f>'17-Depreciation'!L52</f>
        <v>210080.2055584249</v>
      </c>
      <c r="N74" s="233">
        <f t="shared" si="5"/>
        <v>17691160.673370589</v>
      </c>
    </row>
    <row r="75" spans="1:14">
      <c r="A75" s="571">
        <f t="shared" si="6"/>
        <v>32</v>
      </c>
      <c r="C75" s="723" t="s">
        <v>2622</v>
      </c>
      <c r="D75" s="491">
        <f>'17-Depreciation'!C53</f>
        <v>0</v>
      </c>
      <c r="E75" s="491">
        <f>'17-Depreciation'!D53</f>
        <v>229224.35185588259</v>
      </c>
      <c r="F75" s="491">
        <f>'17-Depreciation'!E53</f>
        <v>1175277.0568647161</v>
      </c>
      <c r="G75" s="491">
        <f>'17-Depreciation'!F53</f>
        <v>6798799.6305513903</v>
      </c>
      <c r="H75" s="491">
        <f>'17-Depreciation'!G53</f>
        <v>4591426.7081247242</v>
      </c>
      <c r="I75" s="491">
        <f>'17-Depreciation'!H53</f>
        <v>1056252.5377650557</v>
      </c>
      <c r="J75" s="491">
        <f>'17-Depreciation'!I53</f>
        <v>3157961.1764431465</v>
      </c>
      <c r="K75" s="491">
        <f>'17-Depreciation'!J53</f>
        <v>257286.61617498402</v>
      </c>
      <c r="L75" s="491">
        <f>'17-Depreciation'!K53</f>
        <v>269989.54541570711</v>
      </c>
      <c r="M75" s="491">
        <f>'17-Depreciation'!L53</f>
        <v>218854.00122876631</v>
      </c>
      <c r="N75" s="233">
        <f t="shared" si="5"/>
        <v>17755071.624424372</v>
      </c>
    </row>
    <row r="76" spans="1:14">
      <c r="A76" s="571">
        <f t="shared" si="6"/>
        <v>33</v>
      </c>
      <c r="C76" s="724" t="s">
        <v>2623</v>
      </c>
      <c r="D76" s="491">
        <f>'17-Depreciation'!C54</f>
        <v>0</v>
      </c>
      <c r="E76" s="491">
        <f>'17-Depreciation'!D54</f>
        <v>228989.37542073484</v>
      </c>
      <c r="F76" s="491">
        <f>'17-Depreciation'!E54</f>
        <v>1182288.3861653234</v>
      </c>
      <c r="G76" s="491">
        <f>'17-Depreciation'!F54</f>
        <v>6821130.5133935893</v>
      </c>
      <c r="H76" s="491">
        <f>'17-Depreciation'!G54</f>
        <v>4598079.5908574276</v>
      </c>
      <c r="I76" s="491">
        <f>'17-Depreciation'!H54</f>
        <v>1062396.2910712641</v>
      </c>
      <c r="J76" s="491">
        <f>'17-Depreciation'!I54</f>
        <v>3163876.1143896766</v>
      </c>
      <c r="K76" s="491">
        <f>'17-Depreciation'!J54</f>
        <v>259175.95904158964</v>
      </c>
      <c r="L76" s="491">
        <f>'17-Depreciation'!K54</f>
        <v>271514.49824552354</v>
      </c>
      <c r="M76" s="491">
        <f>'17-Depreciation'!L54</f>
        <v>218148.28765458963</v>
      </c>
      <c r="N76" s="233">
        <f t="shared" si="5"/>
        <v>17805599.016239714</v>
      </c>
    </row>
    <row r="77" spans="1:14">
      <c r="A77" s="571">
        <f t="shared" si="6"/>
        <v>34</v>
      </c>
      <c r="C77" s="723" t="s">
        <v>2624</v>
      </c>
      <c r="D77" s="491">
        <f>'17-Depreciation'!C55</f>
        <v>0</v>
      </c>
      <c r="E77" s="491">
        <f>'17-Depreciation'!D55</f>
        <v>228526.21654485224</v>
      </c>
      <c r="F77" s="491">
        <f>'17-Depreciation'!E55</f>
        <v>1186712.5960257836</v>
      </c>
      <c r="G77" s="491">
        <f>'17-Depreciation'!F55</f>
        <v>6836845.7020004503</v>
      </c>
      <c r="H77" s="491">
        <f>'17-Depreciation'!G55</f>
        <v>4602782.1815234842</v>
      </c>
      <c r="I77" s="491">
        <f>'17-Depreciation'!H55</f>
        <v>1070751.5070586291</v>
      </c>
      <c r="J77" s="491">
        <f>'17-Depreciation'!I55</f>
        <v>3161934.7860772423</v>
      </c>
      <c r="K77" s="491">
        <f>'17-Depreciation'!J55</f>
        <v>259358.98738024887</v>
      </c>
      <c r="L77" s="491">
        <f>'17-Depreciation'!K55</f>
        <v>271728.98517404043</v>
      </c>
      <c r="M77" s="491">
        <f>'17-Depreciation'!L55</f>
        <v>218191.93535412525</v>
      </c>
      <c r="N77" s="233">
        <f t="shared" si="5"/>
        <v>17836832.897138853</v>
      </c>
    </row>
    <row r="78" spans="1:14">
      <c r="A78" s="571">
        <f t="shared" si="6"/>
        <v>35</v>
      </c>
      <c r="C78" s="723" t="s">
        <v>2625</v>
      </c>
      <c r="D78" s="491">
        <f>'17-Depreciation'!C56</f>
        <v>0</v>
      </c>
      <c r="E78" s="491">
        <f>'17-Depreciation'!D56</f>
        <v>227873.92476073685</v>
      </c>
      <c r="F78" s="491">
        <f>'17-Depreciation'!E56</f>
        <v>1195679.3106650852</v>
      </c>
      <c r="G78" s="491">
        <f>'17-Depreciation'!F56</f>
        <v>6897061.5401857262</v>
      </c>
      <c r="H78" s="491">
        <f>'17-Depreciation'!G56</f>
        <v>4605668.7592364391</v>
      </c>
      <c r="I78" s="491">
        <f>'17-Depreciation'!H56</f>
        <v>1072796.5929769536</v>
      </c>
      <c r="J78" s="491">
        <f>'17-Depreciation'!I56</f>
        <v>3167178.6626897678</v>
      </c>
      <c r="K78" s="491">
        <f>'17-Depreciation'!J56</f>
        <v>259823.95450453818</v>
      </c>
      <c r="L78" s="491">
        <f>'17-Depreciation'!K56</f>
        <v>272137.29042281414</v>
      </c>
      <c r="M78" s="491">
        <f>'17-Depreciation'!L56</f>
        <v>218652.95238751193</v>
      </c>
      <c r="N78" s="233">
        <f t="shared" si="5"/>
        <v>17916872.987829573</v>
      </c>
    </row>
    <row r="79" spans="1:14">
      <c r="A79" s="571">
        <f t="shared" si="6"/>
        <v>36</v>
      </c>
      <c r="C79" s="724" t="s">
        <v>2626</v>
      </c>
      <c r="D79" s="491">
        <f>'17-Depreciation'!C57</f>
        <v>0</v>
      </c>
      <c r="E79" s="491">
        <f>'17-Depreciation'!D57</f>
        <v>227848.16928800082</v>
      </c>
      <c r="F79" s="491">
        <f>'17-Depreciation'!E57</f>
        <v>1199517.3886654619</v>
      </c>
      <c r="G79" s="491">
        <f>'17-Depreciation'!F57</f>
        <v>6903917.148293213</v>
      </c>
      <c r="H79" s="491">
        <f>'17-Depreciation'!G57</f>
        <v>4601469.6159662101</v>
      </c>
      <c r="I79" s="491">
        <f>'17-Depreciation'!H57</f>
        <v>1083182.3536128581</v>
      </c>
      <c r="J79" s="491">
        <f>'17-Depreciation'!I57</f>
        <v>3171523.0222935327</v>
      </c>
      <c r="K79" s="491">
        <f>'17-Depreciation'!J57</f>
        <v>260273.93688570635</v>
      </c>
      <c r="L79" s="491">
        <f>'17-Depreciation'!K57</f>
        <v>272467.33086480148</v>
      </c>
      <c r="M79" s="491">
        <f>'17-Depreciation'!L57</f>
        <v>219450.74089009117</v>
      </c>
      <c r="N79" s="233">
        <f t="shared" si="5"/>
        <v>17939649.706759878</v>
      </c>
    </row>
    <row r="80" spans="1:14">
      <c r="A80" s="571">
        <f t="shared" si="6"/>
        <v>37</v>
      </c>
      <c r="C80" s="724" t="s">
        <v>2627</v>
      </c>
      <c r="D80" s="491">
        <f>'17-Depreciation'!C58</f>
        <v>0</v>
      </c>
      <c r="E80" s="491">
        <f>'17-Depreciation'!D58</f>
        <v>227847.17112579473</v>
      </c>
      <c r="F80" s="491">
        <f>'17-Depreciation'!E58</f>
        <v>1194386.8643135231</v>
      </c>
      <c r="G80" s="491">
        <f>'17-Depreciation'!F58</f>
        <v>6870312.965239238</v>
      </c>
      <c r="H80" s="491">
        <f>'17-Depreciation'!G58</f>
        <v>4609567.6135527389</v>
      </c>
      <c r="I80" s="491">
        <f>'17-Depreciation'!H58</f>
        <v>1092920.5901654663</v>
      </c>
      <c r="J80" s="491">
        <f>'17-Depreciation'!I58</f>
        <v>3170310.7097620345</v>
      </c>
      <c r="K80" s="491">
        <f>'17-Depreciation'!J58</f>
        <v>261164.56309243815</v>
      </c>
      <c r="L80" s="491">
        <f>'17-Depreciation'!K58</f>
        <v>273506.87246242358</v>
      </c>
      <c r="M80" s="491">
        <f>'17-Depreciation'!L58</f>
        <v>219712.55786691164</v>
      </c>
      <c r="N80" s="233">
        <f t="shared" si="5"/>
        <v>17919729.907580569</v>
      </c>
    </row>
    <row r="81" spans="1:14">
      <c r="A81" s="571">
        <f t="shared" si="6"/>
        <v>38</v>
      </c>
      <c r="C81" s="723" t="s">
        <v>2628</v>
      </c>
      <c r="D81" s="112">
        <f>'17-Depreciation'!C59</f>
        <v>0</v>
      </c>
      <c r="E81" s="112">
        <f>'17-Depreciation'!D59</f>
        <v>228122.6734354333</v>
      </c>
      <c r="F81" s="112">
        <f>'17-Depreciation'!E59</f>
        <v>1197812.4258803169</v>
      </c>
      <c r="G81" s="112">
        <f>'17-Depreciation'!F59</f>
        <v>6874844.1372303963</v>
      </c>
      <c r="H81" s="112">
        <f>'17-Depreciation'!G59</f>
        <v>4613125.2199372388</v>
      </c>
      <c r="I81" s="112">
        <f>'17-Depreciation'!H59</f>
        <v>1108479.3403692141</v>
      </c>
      <c r="J81" s="112">
        <f>'17-Depreciation'!I59</f>
        <v>3163795.8454845487</v>
      </c>
      <c r="K81" s="112">
        <f>'17-Depreciation'!J59</f>
        <v>261398.21941685968</v>
      </c>
      <c r="L81" s="112">
        <f>'17-Depreciation'!K59</f>
        <v>273640.89580641326</v>
      </c>
      <c r="M81" s="112">
        <f>'17-Depreciation'!L59</f>
        <v>222501.06199088154</v>
      </c>
      <c r="N81" s="368">
        <f t="shared" si="5"/>
        <v>17943719.819551304</v>
      </c>
    </row>
    <row r="82" spans="1:14">
      <c r="A82" s="571">
        <f t="shared" si="6"/>
        <v>39</v>
      </c>
      <c r="C82" s="1103" t="s">
        <v>4</v>
      </c>
      <c r="D82" s="233">
        <f t="shared" ref="D82:M82" si="7">SUM(D70:D81)</f>
        <v>0</v>
      </c>
      <c r="E82" s="233">
        <f t="shared" si="7"/>
        <v>2743706.929403407</v>
      </c>
      <c r="F82" s="233">
        <f t="shared" si="7"/>
        <v>14046639.890038989</v>
      </c>
      <c r="G82" s="233">
        <f t="shared" si="7"/>
        <v>81567285.862111896</v>
      </c>
      <c r="H82" s="233">
        <f t="shared" si="7"/>
        <v>54906038.442626387</v>
      </c>
      <c r="I82" s="233">
        <f t="shared" si="7"/>
        <v>12706990.319137907</v>
      </c>
      <c r="J82" s="233">
        <f t="shared" si="7"/>
        <v>37886809.103356615</v>
      </c>
      <c r="K82" s="233">
        <f t="shared" si="7"/>
        <v>3097585.725585897</v>
      </c>
      <c r="L82" s="233">
        <f t="shared" si="7"/>
        <v>3239235.6812215601</v>
      </c>
      <c r="M82" s="233">
        <f t="shared" si="7"/>
        <v>2610503.1884999899</v>
      </c>
      <c r="N82" s="233">
        <f t="shared" si="5"/>
        <v>212804795.14198267</v>
      </c>
    </row>
    <row r="83" spans="1:14">
      <c r="D83" s="14"/>
      <c r="E83" s="14"/>
      <c r="F83" s="14"/>
      <c r="G83" s="14"/>
      <c r="H83" s="14"/>
      <c r="I83" s="14"/>
      <c r="J83" s="14"/>
      <c r="K83" s="14"/>
      <c r="L83" s="14"/>
      <c r="M83" s="14"/>
    </row>
    <row r="84" spans="1:14">
      <c r="C84" s="1" t="s">
        <v>2430</v>
      </c>
      <c r="D84" s="477"/>
      <c r="E84" s="477"/>
      <c r="F84" s="477"/>
      <c r="G84" s="477"/>
      <c r="H84" s="477"/>
      <c r="I84" s="477"/>
      <c r="J84" s="477"/>
      <c r="K84" s="477"/>
      <c r="L84" s="477"/>
    </row>
    <row r="85" spans="1:14">
      <c r="C85" s="477"/>
      <c r="D85" s="477"/>
      <c r="E85" s="477"/>
      <c r="F85" s="477"/>
      <c r="G85" s="477"/>
      <c r="H85" s="477"/>
      <c r="I85" s="477"/>
      <c r="J85" s="477"/>
      <c r="K85" s="477"/>
      <c r="L85" s="477"/>
    </row>
    <row r="86" spans="1:14">
      <c r="C86" s="84" t="s">
        <v>360</v>
      </c>
      <c r="D86" s="84" t="s">
        <v>344</v>
      </c>
      <c r="E86" s="84" t="s">
        <v>345</v>
      </c>
      <c r="F86" s="84" t="s">
        <v>346</v>
      </c>
      <c r="G86" s="84" t="s">
        <v>347</v>
      </c>
      <c r="H86" s="84" t="s">
        <v>348</v>
      </c>
      <c r="I86" s="84" t="s">
        <v>349</v>
      </c>
      <c r="J86" s="84" t="s">
        <v>541</v>
      </c>
      <c r="K86" s="84" t="s">
        <v>958</v>
      </c>
      <c r="L86" s="84" t="s">
        <v>971</v>
      </c>
      <c r="M86" s="84" t="s">
        <v>974</v>
      </c>
      <c r="N86" s="84"/>
    </row>
    <row r="87" spans="1:14">
      <c r="C87" s="248"/>
      <c r="D87" s="231"/>
      <c r="E87" s="231"/>
      <c r="F87" s="231"/>
      <c r="G87" s="231"/>
      <c r="H87" s="231"/>
      <c r="I87" s="231"/>
      <c r="J87" s="231"/>
      <c r="K87" s="231"/>
      <c r="L87" s="231"/>
      <c r="N87" s="248"/>
    </row>
    <row r="88" spans="1:14">
      <c r="C88" s="125" t="s">
        <v>1771</v>
      </c>
      <c r="D88" s="84">
        <v>350.1</v>
      </c>
      <c r="E88" s="84">
        <v>350.2</v>
      </c>
      <c r="F88" s="84">
        <v>352</v>
      </c>
      <c r="G88" s="84">
        <v>353</v>
      </c>
      <c r="H88" s="84">
        <v>354</v>
      </c>
      <c r="I88" s="84">
        <v>355</v>
      </c>
      <c r="J88" s="84">
        <v>356</v>
      </c>
      <c r="K88" s="84">
        <v>357</v>
      </c>
      <c r="L88" s="84">
        <v>358</v>
      </c>
      <c r="M88" s="84">
        <v>359</v>
      </c>
      <c r="N88" s="3"/>
    </row>
    <row r="89" spans="1:14">
      <c r="A89" s="571">
        <f>A82+1</f>
        <v>40</v>
      </c>
      <c r="C89" s="724" t="s">
        <v>2617</v>
      </c>
      <c r="D89" s="1129">
        <f>'6-PlantInService'!C166</f>
        <v>4.1821922564202607</v>
      </c>
      <c r="E89" s="1129">
        <f>'6-PlantInService'!D166</f>
        <v>-1.0495126699233022E-14</v>
      </c>
      <c r="F89" s="1129">
        <f>'6-PlantInService'!E166</f>
        <v>-9.3347164163357296E-2</v>
      </c>
      <c r="G89" s="1129">
        <f>'6-PlantInService'!F166</f>
        <v>4.6971664697088612E-3</v>
      </c>
      <c r="H89" s="1129">
        <f>'6-PlantInService'!G166</f>
        <v>-6.6483432125814271E-2</v>
      </c>
      <c r="I89" s="1129">
        <f>'6-PlantInService'!H166</f>
        <v>0.30441532634191137</v>
      </c>
      <c r="J89" s="1129">
        <f>'6-PlantInService'!I166</f>
        <v>-0.49114990057677604</v>
      </c>
      <c r="K89" s="1129">
        <f>'6-PlantInService'!J166</f>
        <v>-3.0257824970177628E-2</v>
      </c>
      <c r="L89" s="1129">
        <f>'6-PlantInService'!K166</f>
        <v>-0.2284420644441186</v>
      </c>
      <c r="M89" s="1129">
        <f>'6-PlantInService'!L166</f>
        <v>1.2331958823950111</v>
      </c>
      <c r="N89" s="233"/>
    </row>
    <row r="90" spans="1:14">
      <c r="A90" s="571">
        <f t="shared" ref="A90:A100" si="8">A89+1</f>
        <v>41</v>
      </c>
      <c r="C90" s="723" t="s">
        <v>2618</v>
      </c>
      <c r="D90" s="1129">
        <f>'6-PlantInService'!C167</f>
        <v>-1.212332018800845E-4</v>
      </c>
      <c r="E90" s="1129">
        <f>'6-PlantInService'!D167</f>
        <v>2.0990253398466043E-14</v>
      </c>
      <c r="F90" s="1129">
        <f>'6-PlantInService'!E167</f>
        <v>0.19263407146628064</v>
      </c>
      <c r="G90" s="1129">
        <f>'6-PlantInService'!F167</f>
        <v>4.7582260707201798E-2</v>
      </c>
      <c r="H90" s="1129">
        <f>'6-PlantInService'!G167</f>
        <v>-0.44527516676734946</v>
      </c>
      <c r="I90" s="1129">
        <f>'6-PlantInService'!H167</f>
        <v>0.11045672896567964</v>
      </c>
      <c r="J90" s="1129">
        <f>'6-PlantInService'!I167</f>
        <v>0.31519545832367346</v>
      </c>
      <c r="K90" s="1129">
        <f>'6-PlantInService'!J167</f>
        <v>1.3800746321269356E-2</v>
      </c>
      <c r="L90" s="1129">
        <f>'6-PlantInService'!K167</f>
        <v>0.49114413407992535</v>
      </c>
      <c r="M90" s="1129">
        <f>'6-PlantInService'!L167</f>
        <v>-3.7028649316199475E-4</v>
      </c>
      <c r="N90" s="233"/>
    </row>
    <row r="91" spans="1:14">
      <c r="A91" s="571">
        <f t="shared" si="8"/>
        <v>42</v>
      </c>
      <c r="C91" s="723" t="s">
        <v>2619</v>
      </c>
      <c r="D91" s="1129">
        <f>'6-PlantInService'!C168</f>
        <v>-0.34718756742065049</v>
      </c>
      <c r="E91" s="1129">
        <f>'6-PlantInService'!D168</f>
        <v>5.7098618851745109E-2</v>
      </c>
      <c r="F91" s="1129">
        <f>'6-PlantInService'!E168</f>
        <v>-8.4236662650256505E-2</v>
      </c>
      <c r="G91" s="1129">
        <f>'6-PlantInService'!F168</f>
        <v>3.3941677488378084E-2</v>
      </c>
      <c r="H91" s="1129">
        <f>'6-PlantInService'!G168</f>
        <v>0.28413739785901254</v>
      </c>
      <c r="I91" s="1129">
        <f>'6-PlantInService'!H168</f>
        <v>5.8469870949049624E-2</v>
      </c>
      <c r="J91" s="1129">
        <f>'6-PlantInService'!I168</f>
        <v>0.28803530636929453</v>
      </c>
      <c r="K91" s="1129">
        <f>'6-PlantInService'!J168</f>
        <v>0.15363326453780973</v>
      </c>
      <c r="L91" s="1129">
        <f>'6-PlantInService'!K168</f>
        <v>-0.19015998649300003</v>
      </c>
      <c r="M91" s="1129">
        <f>'6-PlantInService'!L168</f>
        <v>-1.1237099840470558E-2</v>
      </c>
      <c r="N91" s="233"/>
    </row>
    <row r="92" spans="1:14">
      <c r="A92" s="571">
        <f t="shared" si="8"/>
        <v>43</v>
      </c>
      <c r="C92" s="724" t="s">
        <v>2620</v>
      </c>
      <c r="D92" s="1129">
        <f>'6-PlantInService'!C169</f>
        <v>0</v>
      </c>
      <c r="E92" s="1129">
        <f>'6-PlantInService'!D169</f>
        <v>-9.2194968394285458E-6</v>
      </c>
      <c r="F92" s="1129">
        <f>'6-PlantInService'!E169</f>
        <v>0.24702696355981207</v>
      </c>
      <c r="G92" s="1129">
        <f>'6-PlantInService'!F169</f>
        <v>-1.7004469480250015E-2</v>
      </c>
      <c r="H92" s="1129">
        <f>'6-PlantInService'!G169</f>
        <v>0.57986457051648799</v>
      </c>
      <c r="I92" s="1129">
        <f>'6-PlantInService'!H169</f>
        <v>5.7850020458056463E-2</v>
      </c>
      <c r="J92" s="1129">
        <f>'6-PlantInService'!I169</f>
        <v>0.31264779592195818</v>
      </c>
      <c r="K92" s="1129">
        <f>'6-PlantInService'!J169</f>
        <v>0.42647526860513058</v>
      </c>
      <c r="L92" s="1129">
        <f>'6-PlantInService'!K169</f>
        <v>0.28807931678368648</v>
      </c>
      <c r="M92" s="1129">
        <f>'6-PlantInService'!L169</f>
        <v>-9.6121232148291269E-4</v>
      </c>
      <c r="N92" s="233"/>
    </row>
    <row r="93" spans="1:14">
      <c r="A93" s="571">
        <f t="shared" si="8"/>
        <v>44</v>
      </c>
      <c r="C93" s="723" t="s">
        <v>2621</v>
      </c>
      <c r="D93" s="1129">
        <f>'6-PlantInService'!C170</f>
        <v>-2.2097322601488751E-4</v>
      </c>
      <c r="E93" s="1129">
        <f>'6-PlantInService'!D170</f>
        <v>4.843109448782152E-2</v>
      </c>
      <c r="F93" s="1129">
        <f>'6-PlantInService'!E170</f>
        <v>3.078236644221418E-2</v>
      </c>
      <c r="G93" s="1129">
        <f>'6-PlantInService'!F170</f>
        <v>3.8537743072545719E-2</v>
      </c>
      <c r="H93" s="1129">
        <f>'6-PlantInService'!G170</f>
        <v>9.7421470439792129E-2</v>
      </c>
      <c r="I93" s="1129">
        <f>'6-PlantInService'!H170</f>
        <v>2.5595074069197237E-2</v>
      </c>
      <c r="J93" s="1129">
        <f>'6-PlantInService'!I170</f>
        <v>5.9932639918641187E-2</v>
      </c>
      <c r="K93" s="1129">
        <f>'6-PlantInService'!J170</f>
        <v>2.0232945407277095E-4</v>
      </c>
      <c r="L93" s="1129">
        <f>'6-PlantInService'!K170</f>
        <v>-5.9692863049401537E-3</v>
      </c>
      <c r="M93" s="1129">
        <f>'6-PlantInService'!L170</f>
        <v>-1.7738670668406852E-2</v>
      </c>
      <c r="N93" s="233"/>
    </row>
    <row r="94" spans="1:14">
      <c r="A94" s="571">
        <f t="shared" si="8"/>
        <v>45</v>
      </c>
      <c r="C94" s="723" t="s">
        <v>2622</v>
      </c>
      <c r="D94" s="1129">
        <f>'6-PlantInService'!C171</f>
        <v>0.88737664057081878</v>
      </c>
      <c r="E94" s="1129">
        <f>'6-PlantInService'!D171</f>
        <v>0.2751302600803886</v>
      </c>
      <c r="F94" s="1129">
        <f>'6-PlantInService'!E171</f>
        <v>0.10490890815863162</v>
      </c>
      <c r="G94" s="1129">
        <f>'6-PlantInService'!F171</f>
        <v>9.2562263877555354E-2</v>
      </c>
      <c r="H94" s="1129">
        <f>'6-PlantInService'!G171</f>
        <v>7.5771659225614379E-2</v>
      </c>
      <c r="I94" s="1129">
        <f>'6-PlantInService'!H171</f>
        <v>5.1924213791897107E-2</v>
      </c>
      <c r="J94" s="1129">
        <f>'6-PlantInService'!I171</f>
        <v>0.13836201688222152</v>
      </c>
      <c r="K94" s="1129">
        <f>'6-PlantInService'!J171</f>
        <v>0.12292652683569845</v>
      </c>
      <c r="L94" s="1129">
        <f>'6-PlantInService'!K171</f>
        <v>-0.19139630473003708</v>
      </c>
      <c r="M94" s="1129">
        <f>'6-PlantInService'!L171</f>
        <v>1.2805413692055711E-2</v>
      </c>
      <c r="N94" s="233"/>
    </row>
    <row r="95" spans="1:14">
      <c r="A95" s="571">
        <f t="shared" si="8"/>
        <v>46</v>
      </c>
      <c r="C95" s="724" t="s">
        <v>2623</v>
      </c>
      <c r="D95" s="1129">
        <f>'6-PlantInService'!C172</f>
        <v>4.0875218491078987E-6</v>
      </c>
      <c r="E95" s="1129">
        <f>'6-PlantInService'!D172</f>
        <v>0.54111434966577332</v>
      </c>
      <c r="F95" s="1129">
        <f>'6-PlantInService'!E172</f>
        <v>7.1137762260067225E-2</v>
      </c>
      <c r="G95" s="1129">
        <f>'6-PlantInService'!F172</f>
        <v>6.3840934403289348E-2</v>
      </c>
      <c r="H95" s="1129">
        <f>'6-PlantInService'!G172</f>
        <v>4.372044572487143E-2</v>
      </c>
      <c r="I95" s="1129">
        <f>'6-PlantInService'!H172</f>
        <v>7.1021779656096837E-2</v>
      </c>
      <c r="J95" s="1129">
        <f>'6-PlantInService'!I172</f>
        <v>-0.13628406057366915</v>
      </c>
      <c r="K95" s="1129">
        <f>'6-PlantInService'!J172</f>
        <v>-1.4905375332953663</v>
      </c>
      <c r="L95" s="1129">
        <f>'6-PlantInService'!K172</f>
        <v>-0.37252687958296171</v>
      </c>
      <c r="M95" s="1129">
        <f>'6-PlantInService'!L172</f>
        <v>8.8203466541761557E-3</v>
      </c>
      <c r="N95" s="233"/>
    </row>
    <row r="96" spans="1:14">
      <c r="A96" s="571">
        <f t="shared" si="8"/>
        <v>47</v>
      </c>
      <c r="C96" s="723" t="s">
        <v>2624</v>
      </c>
      <c r="D96" s="1129">
        <f>'6-PlantInService'!C173</f>
        <v>-2.5099789058352721E-14</v>
      </c>
      <c r="E96" s="1129">
        <f>'6-PlantInService'!D173</f>
        <v>3.0508512370589571E-2</v>
      </c>
      <c r="F96" s="1129">
        <f>'6-PlantInService'!E173</f>
        <v>0.15246590619226616</v>
      </c>
      <c r="G96" s="1129">
        <f>'6-PlantInService'!F173</f>
        <v>0.24475644451843159</v>
      </c>
      <c r="H96" s="1129">
        <f>'6-PlantInService'!G173</f>
        <v>2.1081528311478751E-2</v>
      </c>
      <c r="I96" s="1129">
        <f>'6-PlantInService'!H173</f>
        <v>1.564963650820796E-2</v>
      </c>
      <c r="J96" s="1129">
        <f>'6-PlantInService'!I173</f>
        <v>0.23793280263879268</v>
      </c>
      <c r="K96" s="1129">
        <f>'6-PlantInService'!J173</f>
        <v>0.14513353021831535</v>
      </c>
      <c r="L96" s="1129">
        <f>'6-PlantInService'!K173</f>
        <v>0.66787987687599548</v>
      </c>
      <c r="M96" s="1129">
        <f>'6-PlantInService'!L173</f>
        <v>-1.3275091491290957E-2</v>
      </c>
      <c r="N96" s="233"/>
    </row>
    <row r="97" spans="1:14">
      <c r="A97" s="571">
        <f t="shared" si="8"/>
        <v>48</v>
      </c>
      <c r="C97" s="723" t="s">
        <v>2625</v>
      </c>
      <c r="D97" s="1129">
        <f>'6-PlantInService'!C174</f>
        <v>-1.6733192705568482E-14</v>
      </c>
      <c r="E97" s="1129">
        <f>'6-PlantInService'!D174</f>
        <v>2.811976116531912E-2</v>
      </c>
      <c r="F97" s="1129">
        <f>'6-PlantInService'!E174</f>
        <v>6.0233599261854308E-2</v>
      </c>
      <c r="G97" s="1129">
        <f>'6-PlantInService'!F174</f>
        <v>2.8010058682149112E-2</v>
      </c>
      <c r="H97" s="1129">
        <f>'6-PlantInService'!G174</f>
        <v>-1.0303995699458812E-2</v>
      </c>
      <c r="I97" s="1129">
        <f>'6-PlantInService'!H174</f>
        <v>4.3107931099019871E-2</v>
      </c>
      <c r="J97" s="1129">
        <f>'6-PlantInService'!I174</f>
        <v>0.15441209864705896</v>
      </c>
      <c r="K97" s="1129">
        <f>'6-PlantInService'!J174</f>
        <v>-4.6868941851052016E-3</v>
      </c>
      <c r="L97" s="1129">
        <f>'6-PlantInService'!K174</f>
        <v>-0.27591794359436478</v>
      </c>
      <c r="M97" s="1129">
        <f>'6-PlantInService'!L174</f>
        <v>-2.571507020526987E-2</v>
      </c>
      <c r="N97" s="233"/>
    </row>
    <row r="98" spans="1:14">
      <c r="A98" s="571">
        <f t="shared" si="8"/>
        <v>49</v>
      </c>
      <c r="C98" s="724" t="s">
        <v>2626</v>
      </c>
      <c r="D98" s="1129">
        <f>'6-PlantInService'!C175</f>
        <v>5.0199578116705443E-14</v>
      </c>
      <c r="E98" s="1129">
        <f>'6-PlantInService'!D175</f>
        <v>2.0508274169309026E-4</v>
      </c>
      <c r="F98" s="1129">
        <f>'6-PlantInService'!E175</f>
        <v>-8.5524143078179612E-2</v>
      </c>
      <c r="G98" s="1129">
        <f>'6-PlantInService'!F175</f>
        <v>-0.14416718797542463</v>
      </c>
      <c r="H98" s="1129">
        <f>'6-PlantInService'!G175</f>
        <v>7.5314743951338955E-2</v>
      </c>
      <c r="I98" s="1129">
        <f>'6-PlantInService'!H175</f>
        <v>7.6770674203993056E-2</v>
      </c>
      <c r="J98" s="1129">
        <f>'6-PlantInService'!I175</f>
        <v>-6.6706712147393446E-2</v>
      </c>
      <c r="K98" s="1129">
        <f>'6-PlantInService'!J175</f>
        <v>0.30466364796197482</v>
      </c>
      <c r="L98" s="1129">
        <f>'6-PlantInService'!K175</f>
        <v>0.31469529492730752</v>
      </c>
      <c r="M98" s="1129">
        <f>'6-PlantInService'!L175</f>
        <v>-3.3265587077647193E-4</v>
      </c>
      <c r="N98" s="233"/>
    </row>
    <row r="99" spans="1:14">
      <c r="A99" s="571">
        <f t="shared" si="8"/>
        <v>50</v>
      </c>
      <c r="C99" s="724" t="s">
        <v>2627</v>
      </c>
      <c r="D99" s="1129">
        <f>'6-PlantInService'!C176</f>
        <v>-3.7220432106643919</v>
      </c>
      <c r="E99" s="1129">
        <f>'6-PlantInService'!D176</f>
        <v>8.6788075067683827E-3</v>
      </c>
      <c r="F99" s="1129">
        <f>'6-PlantInService'!E176</f>
        <v>5.2886257067623413E-2</v>
      </c>
      <c r="G99" s="1129">
        <f>'6-PlantInService'!F176</f>
        <v>1.8555914319877333E-2</v>
      </c>
      <c r="H99" s="1129">
        <f>'6-PlantInService'!G176</f>
        <v>3.1447930550411757E-2</v>
      </c>
      <c r="I99" s="1129">
        <f>'6-PlantInService'!H176</f>
        <v>0.13420146388326246</v>
      </c>
      <c r="J99" s="1129">
        <f>'6-PlantInService'!I176</f>
        <v>7.3846969226569734E-2</v>
      </c>
      <c r="K99" s="1129">
        <f>'6-PlantInService'!J176</f>
        <v>1.366683895087486</v>
      </c>
      <c r="L99" s="1129">
        <f>'6-PlantInService'!K176</f>
        <v>-7.0505380893146454E-3</v>
      </c>
      <c r="M99" s="1129">
        <f>'6-PlantInService'!L176</f>
        <v>-0.11258651924199226</v>
      </c>
      <c r="N99" s="233"/>
    </row>
    <row r="100" spans="1:14">
      <c r="A100" s="571">
        <f t="shared" si="8"/>
        <v>51</v>
      </c>
      <c r="C100" s="723" t="s">
        <v>2628</v>
      </c>
      <c r="D100" s="1129">
        <f>'6-PlantInService'!C177</f>
        <v>0</v>
      </c>
      <c r="E100" s="1129">
        <f>'6-PlantInService'!D177</f>
        <v>1.0722732626730175E-2</v>
      </c>
      <c r="F100" s="1129">
        <f>'6-PlantInService'!E177</f>
        <v>0.35103213548304379</v>
      </c>
      <c r="G100" s="1129">
        <f>'6-PlantInService'!F177</f>
        <v>0.58868719391653745</v>
      </c>
      <c r="H100" s="1129">
        <f>'6-PlantInService'!G177</f>
        <v>0.31330284801361458</v>
      </c>
      <c r="I100" s="1129">
        <f>'6-PlantInService'!H177</f>
        <v>5.0537280073628392E-2</v>
      </c>
      <c r="J100" s="1129">
        <f>'6-PlantInService'!I177</f>
        <v>0.1137755853696284</v>
      </c>
      <c r="K100" s="1129">
        <f>'6-PlantInService'!J177</f>
        <v>-8.0369565711079834E-3</v>
      </c>
      <c r="L100" s="1129">
        <f>'6-PlantInService'!K177</f>
        <v>0.50966438057182217</v>
      </c>
      <c r="M100" s="1129">
        <f>'6-PlantInService'!L177</f>
        <v>-7.2605036608391141E-2</v>
      </c>
      <c r="N100" s="368"/>
    </row>
    <row r="102" spans="1:14">
      <c r="C102" s="1" t="s">
        <v>2431</v>
      </c>
    </row>
    <row r="104" spans="1:14">
      <c r="C104" s="481" t="s">
        <v>2432</v>
      </c>
    </row>
    <row r="105" spans="1:14">
      <c r="C105" s="16"/>
      <c r="D105" s="84">
        <v>350.1</v>
      </c>
      <c r="E105" s="84">
        <v>350.2</v>
      </c>
      <c r="F105" s="84">
        <v>352</v>
      </c>
      <c r="G105" s="84">
        <v>353</v>
      </c>
      <c r="H105" s="84">
        <v>354</v>
      </c>
      <c r="I105" s="84">
        <v>355</v>
      </c>
      <c r="J105" s="84">
        <v>356</v>
      </c>
      <c r="K105" s="84">
        <v>357</v>
      </c>
      <c r="L105" s="84">
        <v>358</v>
      </c>
      <c r="M105" s="84">
        <v>359</v>
      </c>
      <c r="N105" s="3" t="s">
        <v>196</v>
      </c>
    </row>
    <row r="106" spans="1:14">
      <c r="A106" s="571">
        <f>A100+1</f>
        <v>52</v>
      </c>
      <c r="C106" s="16"/>
      <c r="D106" s="7">
        <f t="shared" ref="D106:M106" si="9">D24-D12</f>
        <v>0</v>
      </c>
      <c r="E106" s="7">
        <f t="shared" si="9"/>
        <v>2490832.2652043663</v>
      </c>
      <c r="F106" s="7">
        <f t="shared" si="9"/>
        <v>18652577.110672906</v>
      </c>
      <c r="G106" s="7">
        <f t="shared" si="9"/>
        <v>81376703.40508163</v>
      </c>
      <c r="H106" s="7">
        <f t="shared" si="9"/>
        <v>43439421.437233865</v>
      </c>
      <c r="I106" s="7">
        <f t="shared" si="9"/>
        <v>363753.54797954857</v>
      </c>
      <c r="J106" s="7">
        <f t="shared" si="9"/>
        <v>9808498.2327207923</v>
      </c>
      <c r="K106" s="7">
        <f t="shared" si="9"/>
        <v>2990659.4307516664</v>
      </c>
      <c r="L106" s="7">
        <f t="shared" si="9"/>
        <v>4085864.7601311272</v>
      </c>
      <c r="M106" s="7">
        <f t="shared" si="9"/>
        <v>2678231.8073832151</v>
      </c>
      <c r="N106" s="7">
        <f>SUM(D106:M106)</f>
        <v>165886541.99715909</v>
      </c>
    </row>
    <row r="107" spans="1:14">
      <c r="C107" s="481" t="s">
        <v>2433</v>
      </c>
    </row>
    <row r="108" spans="1:14">
      <c r="C108" s="16"/>
      <c r="D108" s="84">
        <v>350.1</v>
      </c>
      <c r="E108" s="84">
        <v>350.2</v>
      </c>
      <c r="F108" s="84">
        <v>352</v>
      </c>
      <c r="G108" s="84">
        <v>353</v>
      </c>
      <c r="H108" s="84">
        <v>354</v>
      </c>
      <c r="I108" s="84">
        <v>355</v>
      </c>
      <c r="J108" s="84">
        <v>356</v>
      </c>
      <c r="K108" s="84">
        <v>357</v>
      </c>
      <c r="L108" s="84">
        <v>358</v>
      </c>
      <c r="M108" s="84">
        <v>359</v>
      </c>
      <c r="N108" s="3" t="s">
        <v>196</v>
      </c>
    </row>
    <row r="109" spans="1:14">
      <c r="A109" s="571">
        <f>A106+1</f>
        <v>53</v>
      </c>
      <c r="C109" s="16"/>
      <c r="D109" s="7">
        <f t="shared" ref="D109:M109" si="10">D82</f>
        <v>0</v>
      </c>
      <c r="E109" s="7">
        <f t="shared" si="10"/>
        <v>2743706.929403407</v>
      </c>
      <c r="F109" s="7">
        <f t="shared" si="10"/>
        <v>14046639.890038989</v>
      </c>
      <c r="G109" s="7">
        <f t="shared" si="10"/>
        <v>81567285.862111896</v>
      </c>
      <c r="H109" s="7">
        <f t="shared" si="10"/>
        <v>54906038.442626387</v>
      </c>
      <c r="I109" s="7">
        <f t="shared" si="10"/>
        <v>12706990.319137907</v>
      </c>
      <c r="J109" s="7">
        <f t="shared" si="10"/>
        <v>37886809.103356615</v>
      </c>
      <c r="K109" s="7">
        <f t="shared" si="10"/>
        <v>3097585.725585897</v>
      </c>
      <c r="L109" s="7">
        <f t="shared" si="10"/>
        <v>3239235.6812215601</v>
      </c>
      <c r="M109" s="7">
        <f t="shared" si="10"/>
        <v>2610503.1884999899</v>
      </c>
      <c r="N109" s="7">
        <f>SUM(D109:M109)</f>
        <v>212804795.14198267</v>
      </c>
    </row>
    <row r="110" spans="1:14">
      <c r="C110" s="481" t="s">
        <v>2434</v>
      </c>
    </row>
    <row r="111" spans="1:14">
      <c r="D111" s="84">
        <v>350.1</v>
      </c>
      <c r="E111" s="84">
        <v>350.2</v>
      </c>
      <c r="F111" s="84">
        <v>352</v>
      </c>
      <c r="G111" s="84">
        <v>353</v>
      </c>
      <c r="H111" s="84">
        <v>354</v>
      </c>
      <c r="I111" s="84">
        <v>355</v>
      </c>
      <c r="J111" s="84">
        <v>356</v>
      </c>
      <c r="K111" s="84">
        <v>357</v>
      </c>
      <c r="L111" s="84">
        <v>358</v>
      </c>
      <c r="M111" s="84">
        <v>359</v>
      </c>
      <c r="N111" s="3" t="s">
        <v>196</v>
      </c>
    </row>
    <row r="112" spans="1:14">
      <c r="A112" s="571">
        <f>A109+1</f>
        <v>54</v>
      </c>
      <c r="D112" s="7">
        <f t="shared" ref="D112:M112" si="11">D106-D109</f>
        <v>0</v>
      </c>
      <c r="E112" s="7">
        <f t="shared" si="11"/>
        <v>-252874.66419904074</v>
      </c>
      <c r="F112" s="7">
        <f t="shared" si="11"/>
        <v>4605937.2206339166</v>
      </c>
      <c r="G112" s="7">
        <f t="shared" si="11"/>
        <v>-190582.45703026652</v>
      </c>
      <c r="H112" s="7">
        <f t="shared" si="11"/>
        <v>-11466617.005392522</v>
      </c>
      <c r="I112" s="7">
        <f t="shared" si="11"/>
        <v>-12343236.771158358</v>
      </c>
      <c r="J112" s="7">
        <f t="shared" si="11"/>
        <v>-28078310.870635822</v>
      </c>
      <c r="K112" s="7">
        <f t="shared" si="11"/>
        <v>-106926.29483423056</v>
      </c>
      <c r="L112" s="7">
        <f t="shared" si="11"/>
        <v>846629.07890956709</v>
      </c>
      <c r="M112" s="7">
        <f t="shared" si="11"/>
        <v>67728.618883225136</v>
      </c>
      <c r="N112" s="7">
        <f>SUM(D112:M112)</f>
        <v>-46918253.144823536</v>
      </c>
    </row>
    <row r="114" spans="1:14">
      <c r="C114" s="1" t="s">
        <v>2435</v>
      </c>
      <c r="D114" s="477"/>
      <c r="E114" s="477"/>
      <c r="F114" s="477"/>
      <c r="G114" s="477"/>
      <c r="H114" s="477"/>
      <c r="I114" s="477"/>
      <c r="J114" s="477"/>
      <c r="K114" s="477"/>
      <c r="L114" s="477"/>
    </row>
    <row r="115" spans="1:14">
      <c r="C115" s="477"/>
      <c r="D115" s="477"/>
      <c r="E115" s="477"/>
      <c r="F115" s="477"/>
      <c r="G115" s="477"/>
      <c r="H115" s="477"/>
      <c r="I115" s="477"/>
      <c r="J115" s="477"/>
      <c r="K115" s="477"/>
      <c r="L115" s="477"/>
    </row>
    <row r="116" spans="1:14">
      <c r="C116" s="84" t="s">
        <v>360</v>
      </c>
      <c r="D116" s="84" t="s">
        <v>344</v>
      </c>
      <c r="E116" s="84" t="s">
        <v>345</v>
      </c>
      <c r="F116" s="84" t="s">
        <v>346</v>
      </c>
      <c r="G116" s="84" t="s">
        <v>347</v>
      </c>
      <c r="H116" s="84" t="s">
        <v>348</v>
      </c>
      <c r="I116" s="84" t="s">
        <v>349</v>
      </c>
      <c r="J116" s="84" t="s">
        <v>541</v>
      </c>
      <c r="K116" s="84" t="s">
        <v>958</v>
      </c>
      <c r="L116" s="84" t="s">
        <v>971</v>
      </c>
      <c r="M116" s="84" t="s">
        <v>974</v>
      </c>
      <c r="N116" s="84" t="s">
        <v>992</v>
      </c>
    </row>
    <row r="117" spans="1:14">
      <c r="C117" s="248"/>
      <c r="D117" s="231"/>
      <c r="E117" s="231"/>
      <c r="F117" s="231"/>
      <c r="G117" s="231"/>
      <c r="H117" s="231"/>
      <c r="I117" s="231"/>
      <c r="J117" s="231"/>
      <c r="K117" s="231"/>
      <c r="L117" s="231"/>
      <c r="N117" s="248" t="s">
        <v>1233</v>
      </c>
    </row>
    <row r="118" spans="1:14">
      <c r="C118" s="125" t="s">
        <v>1771</v>
      </c>
      <c r="D118" s="84">
        <v>350.1</v>
      </c>
      <c r="E118" s="84">
        <v>350.2</v>
      </c>
      <c r="F118" s="84">
        <v>352</v>
      </c>
      <c r="G118" s="84">
        <v>353</v>
      </c>
      <c r="H118" s="84">
        <v>354</v>
      </c>
      <c r="I118" s="84">
        <v>355</v>
      </c>
      <c r="J118" s="84">
        <v>356</v>
      </c>
      <c r="K118" s="84">
        <v>357</v>
      </c>
      <c r="L118" s="84">
        <v>358</v>
      </c>
      <c r="M118" s="84">
        <v>359</v>
      </c>
      <c r="N118" s="3" t="s">
        <v>196</v>
      </c>
    </row>
    <row r="119" spans="1:14">
      <c r="A119" s="571">
        <f>A112+1</f>
        <v>55</v>
      </c>
      <c r="C119" s="724" t="s">
        <v>2617</v>
      </c>
      <c r="D119" s="235">
        <f>D$112*D89</f>
        <v>0</v>
      </c>
      <c r="E119" s="235">
        <f t="shared" ref="E119:M119" si="12">E$112*E89</f>
        <v>2.6539516397949372E-9</v>
      </c>
      <c r="F119" s="235">
        <f t="shared" si="12"/>
        <v>-429951.17786063184</v>
      </c>
      <c r="G119" s="235">
        <f t="shared" si="12"/>
        <v>-895.19752687729772</v>
      </c>
      <c r="H119" s="235">
        <f t="shared" si="12"/>
        <v>762340.05339072144</v>
      </c>
      <c r="I119" s="235">
        <f t="shared" si="12"/>
        <v>-3757470.4498076518</v>
      </c>
      <c r="J119" s="235">
        <f t="shared" si="12"/>
        <v>13790659.592476593</v>
      </c>
      <c r="K119" s="235">
        <f t="shared" si="12"/>
        <v>3235.3571138037564</v>
      </c>
      <c r="L119" s="235">
        <f t="shared" si="12"/>
        <v>-193405.69460452409</v>
      </c>
      <c r="M119" s="235">
        <f t="shared" si="12"/>
        <v>83522.65392709423</v>
      </c>
      <c r="N119" s="233">
        <f>SUM(D119:M119)</f>
        <v>10258035.137108531</v>
      </c>
    </row>
    <row r="120" spans="1:14">
      <c r="A120" s="571">
        <f t="shared" ref="A120:A131" si="13">A119+1</f>
        <v>56</v>
      </c>
      <c r="C120" s="723" t="s">
        <v>2618</v>
      </c>
      <c r="D120" s="235">
        <f t="shared" ref="D120:M130" si="14">D$112*D90</f>
        <v>0</v>
      </c>
      <c r="E120" s="235">
        <f t="shared" si="14"/>
        <v>-5.3079032795898743E-9</v>
      </c>
      <c r="F120" s="235">
        <f t="shared" si="14"/>
        <v>887260.4397287959</v>
      </c>
      <c r="G120" s="235">
        <f t="shared" si="14"/>
        <v>-9068.3441566332258</v>
      </c>
      <c r="H120" s="235">
        <f t="shared" si="14"/>
        <v>5105799.7993334802</v>
      </c>
      <c r="I120" s="235">
        <f t="shared" si="14"/>
        <v>-1363393.5585910494</v>
      </c>
      <c r="J120" s="235">
        <f t="shared" si="14"/>
        <v>-8850156.0638246406</v>
      </c>
      <c r="K120" s="235">
        <f t="shared" si="14"/>
        <v>-1475.66267008047</v>
      </c>
      <c r="L120" s="235">
        <f t="shared" si="14"/>
        <v>415816.90584792412</v>
      </c>
      <c r="M120" s="235">
        <f t="shared" si="14"/>
        <v>-25.078992772974694</v>
      </c>
      <c r="N120" s="233">
        <f t="shared" ref="N120:N130" si="15">SUM(D120:M120)</f>
        <v>-3815241.5633249809</v>
      </c>
    </row>
    <row r="121" spans="1:14">
      <c r="A121" s="571">
        <f t="shared" si="13"/>
        <v>57</v>
      </c>
      <c r="C121" s="723" t="s">
        <v>2619</v>
      </c>
      <c r="D121" s="235">
        <f t="shared" si="14"/>
        <v>0</v>
      </c>
      <c r="E121" s="235">
        <f t="shared" si="14"/>
        <v>-14438.794068364061</v>
      </c>
      <c r="F121" s="235">
        <f t="shared" si="14"/>
        <v>-387988.7798427993</v>
      </c>
      <c r="G121" s="235">
        <f t="shared" si="14"/>
        <v>-6468.6882914639809</v>
      </c>
      <c r="H121" s="235">
        <f t="shared" si="14"/>
        <v>-3258094.7181581338</v>
      </c>
      <c r="I121" s="235">
        <f t="shared" si="14"/>
        <v>-721707.46110319311</v>
      </c>
      <c r="J121" s="235">
        <f t="shared" si="14"/>
        <v>-8087544.8739558822</v>
      </c>
      <c r="K121" s="235">
        <f t="shared" si="14"/>
        <v>-16427.435740315181</v>
      </c>
      <c r="L121" s="235">
        <f t="shared" si="14"/>
        <v>-160994.97421002435</v>
      </c>
      <c r="M121" s="235">
        <f t="shared" si="14"/>
        <v>-761.07325244798039</v>
      </c>
      <c r="N121" s="233">
        <f t="shared" si="15"/>
        <v>-12654426.798622625</v>
      </c>
    </row>
    <row r="122" spans="1:14">
      <c r="A122" s="571">
        <f t="shared" si="13"/>
        <v>58</v>
      </c>
      <c r="C122" s="724" t="s">
        <v>2620</v>
      </c>
      <c r="D122" s="235">
        <f t="shared" si="14"/>
        <v>0</v>
      </c>
      <c r="E122" s="235">
        <f t="shared" si="14"/>
        <v>2.3313771673546109</v>
      </c>
      <c r="F122" s="235">
        <f t="shared" si="14"/>
        <v>1137790.6859603166</v>
      </c>
      <c r="G122" s="235">
        <f t="shared" si="14"/>
        <v>3240.7535740422268</v>
      </c>
      <c r="H122" s="235">
        <f t="shared" si="14"/>
        <v>-6649084.945108992</v>
      </c>
      <c r="I122" s="235">
        <f t="shared" si="14"/>
        <v>-714056.49973014579</v>
      </c>
      <c r="J122" s="235">
        <f t="shared" si="14"/>
        <v>-8778622.0069158487</v>
      </c>
      <c r="K122" s="235">
        <f t="shared" si="14"/>
        <v>-45601.420310379865</v>
      </c>
      <c r="L122" s="235">
        <f t="shared" si="14"/>
        <v>243896.32662146987</v>
      </c>
      <c r="M122" s="235">
        <f t="shared" si="14"/>
        <v>-65.101582987576265</v>
      </c>
      <c r="N122" s="233">
        <f t="shared" si="15"/>
        <v>-14802499.876115359</v>
      </c>
    </row>
    <row r="123" spans="1:14">
      <c r="A123" s="571">
        <f t="shared" si="13"/>
        <v>59</v>
      </c>
      <c r="C123" s="723" t="s">
        <v>2621</v>
      </c>
      <c r="D123" s="235">
        <f t="shared" si="14"/>
        <v>0</v>
      </c>
      <c r="E123" s="235">
        <f t="shared" si="14"/>
        <v>-12246.996755399879</v>
      </c>
      <c r="F123" s="235">
        <f t="shared" si="14"/>
        <v>141781.64733538672</v>
      </c>
      <c r="G123" s="235">
        <f t="shared" si="14"/>
        <v>-7344.6177631668961</v>
      </c>
      <c r="H123" s="235">
        <f t="shared" si="14"/>
        <v>-1117094.6896352654</v>
      </c>
      <c r="I123" s="235">
        <f t="shared" si="14"/>
        <v>-315926.05941143713</v>
      </c>
      <c r="J123" s="235">
        <f t="shared" si="14"/>
        <v>-1682807.2949334853</v>
      </c>
      <c r="K123" s="235">
        <f t="shared" si="14"/>
        <v>-21.634338859834017</v>
      </c>
      <c r="L123" s="235">
        <f t="shared" si="14"/>
        <v>-5053.7713660989757</v>
      </c>
      <c r="M123" s="235">
        <f t="shared" si="14"/>
        <v>-1201.4156651955723</v>
      </c>
      <c r="N123" s="233">
        <f t="shared" si="15"/>
        <v>-2999914.8325335225</v>
      </c>
    </row>
    <row r="124" spans="1:14">
      <c r="A124" s="571">
        <f t="shared" si="13"/>
        <v>60</v>
      </c>
      <c r="C124" s="723" t="s">
        <v>2622</v>
      </c>
      <c r="D124" s="235">
        <f t="shared" si="14"/>
        <v>0</v>
      </c>
      <c r="E124" s="235">
        <f t="shared" si="14"/>
        <v>-69573.472128823007</v>
      </c>
      <c r="F124" s="235">
        <f t="shared" si="14"/>
        <v>483203.8448639065</v>
      </c>
      <c r="G124" s="235">
        <f t="shared" si="14"/>
        <v>-17640.743678068386</v>
      </c>
      <c r="H124" s="235">
        <f t="shared" si="14"/>
        <v>-868844.59620323696</v>
      </c>
      <c r="I124" s="235">
        <f t="shared" si="14"/>
        <v>-640912.86498963239</v>
      </c>
      <c r="J124" s="235">
        <f t="shared" si="14"/>
        <v>-3884971.722707178</v>
      </c>
      <c r="K124" s="235">
        <f t="shared" si="14"/>
        <v>-13144.078051381848</v>
      </c>
      <c r="L124" s="235">
        <f t="shared" si="14"/>
        <v>-162041.67718028612</v>
      </c>
      <c r="M124" s="235">
        <f t="shared" si="14"/>
        <v>867.29298359127415</v>
      </c>
      <c r="N124" s="233">
        <f t="shared" si="15"/>
        <v>-5173058.0170911094</v>
      </c>
    </row>
    <row r="125" spans="1:14">
      <c r="A125" s="571">
        <f t="shared" si="13"/>
        <v>61</v>
      </c>
      <c r="C125" s="724" t="s">
        <v>2623</v>
      </c>
      <c r="D125" s="235">
        <f t="shared" si="14"/>
        <v>0</v>
      </c>
      <c r="E125" s="235">
        <f t="shared" si="14"/>
        <v>-136834.10946501474</v>
      </c>
      <c r="F125" s="235">
        <f t="shared" si="14"/>
        <v>327656.06698625034</v>
      </c>
      <c r="G125" s="235">
        <f t="shared" si="14"/>
        <v>-12166.962137686956</v>
      </c>
      <c r="H125" s="235">
        <f t="shared" si="14"/>
        <v>-501325.60643215152</v>
      </c>
      <c r="I125" s="235">
        <f t="shared" si="14"/>
        <v>-876638.64220424113</v>
      </c>
      <c r="J125" s="235">
        <f t="shared" si="14"/>
        <v>3826626.2195000453</v>
      </c>
      <c r="K125" s="235">
        <f t="shared" si="14"/>
        <v>159377.65574662708</v>
      </c>
      <c r="L125" s="235">
        <f t="shared" si="14"/>
        <v>-315392.08893037809</v>
      </c>
      <c r="M125" s="235">
        <f t="shared" si="14"/>
        <v>597.38989695862688</v>
      </c>
      <c r="N125" s="233">
        <f t="shared" si="15"/>
        <v>2471899.922960409</v>
      </c>
    </row>
    <row r="126" spans="1:14">
      <c r="A126" s="571">
        <f t="shared" si="13"/>
        <v>62</v>
      </c>
      <c r="C126" s="723" t="s">
        <v>2624</v>
      </c>
      <c r="D126" s="235">
        <f t="shared" si="14"/>
        <v>0</v>
      </c>
      <c r="E126" s="235">
        <f t="shared" si="14"/>
        <v>-7714.8298209251179</v>
      </c>
      <c r="F126" s="235">
        <f t="shared" si="14"/>
        <v>702248.39220863779</v>
      </c>
      <c r="G126" s="235">
        <f t="shared" si="14"/>
        <v>-46646.284570314805</v>
      </c>
      <c r="H126" s="235">
        <f t="shared" si="14"/>
        <v>-241733.81103606615</v>
      </c>
      <c r="I126" s="235">
        <f t="shared" si="14"/>
        <v>-193167.16880337478</v>
      </c>
      <c r="J126" s="235">
        <f t="shared" si="14"/>
        <v>-6680751.1988136601</v>
      </c>
      <c r="K126" s="235">
        <f t="shared" si="14"/>
        <v>-15518.590642456298</v>
      </c>
      <c r="L126" s="235">
        <f t="shared" si="14"/>
        <v>565446.52498175914</v>
      </c>
      <c r="M126" s="235">
        <f t="shared" si="14"/>
        <v>-899.10361225358997</v>
      </c>
      <c r="N126" s="233">
        <f t="shared" si="15"/>
        <v>-5918736.070108653</v>
      </c>
    </row>
    <row r="127" spans="1:14">
      <c r="A127" s="571">
        <f t="shared" si="13"/>
        <v>63</v>
      </c>
      <c r="C127" s="723" t="s">
        <v>2625</v>
      </c>
      <c r="D127" s="235">
        <f t="shared" si="14"/>
        <v>0</v>
      </c>
      <c r="E127" s="235">
        <f t="shared" si="14"/>
        <v>-7110.7751620372992</v>
      </c>
      <c r="F127" s="235">
        <f t="shared" si="14"/>
        <v>277432.17677292234</v>
      </c>
      <c r="G127" s="235">
        <f t="shared" si="14"/>
        <v>-5338.2258052059269</v>
      </c>
      <c r="H127" s="235">
        <f t="shared" si="14"/>
        <v>118151.97231090582</v>
      </c>
      <c r="I127" s="235">
        <f t="shared" si="14"/>
        <v>-532091.40026998299</v>
      </c>
      <c r="J127" s="235">
        <f t="shared" si="14"/>
        <v>-4335630.9079994066</v>
      </c>
      <c r="K127" s="235">
        <f t="shared" si="14"/>
        <v>501.15222949339955</v>
      </c>
      <c r="L127" s="235">
        <f t="shared" si="14"/>
        <v>-233600.15443991893</v>
      </c>
      <c r="M127" s="235">
        <f t="shared" si="14"/>
        <v>-1741.6461894881011</v>
      </c>
      <c r="N127" s="233">
        <f t="shared" si="15"/>
        <v>-4719427.8085527187</v>
      </c>
    </row>
    <row r="128" spans="1:14">
      <c r="A128" s="571">
        <f t="shared" si="13"/>
        <v>64</v>
      </c>
      <c r="C128" s="724" t="s">
        <v>2626</v>
      </c>
      <c r="D128" s="235">
        <f t="shared" si="14"/>
        <v>0</v>
      </c>
      <c r="E128" s="235">
        <f t="shared" si="14"/>
        <v>-51.860229438658813</v>
      </c>
      <c r="F128" s="235">
        <f t="shared" si="14"/>
        <v>-393918.83386660804</v>
      </c>
      <c r="G128" s="235">
        <f t="shared" si="14"/>
        <v>27475.736907500723</v>
      </c>
      <c r="H128" s="235">
        <f t="shared" si="14"/>
        <v>-863605.32374920684</v>
      </c>
      <c r="I128" s="235">
        <f t="shared" si="14"/>
        <v>-947598.60878134554</v>
      </c>
      <c r="J128" s="235">
        <f t="shared" si="14"/>
        <v>1873011.8008325321</v>
      </c>
      <c r="K128" s="235">
        <f t="shared" si="14"/>
        <v>-32576.555047254347</v>
      </c>
      <c r="L128" s="235">
        <f t="shared" si="14"/>
        <v>266430.18768148095</v>
      </c>
      <c r="M128" s="235">
        <f t="shared" si="14"/>
        <v>-22.530322691087058</v>
      </c>
      <c r="N128" s="233">
        <f t="shared" si="15"/>
        <v>-70855.986575030736</v>
      </c>
    </row>
    <row r="129" spans="1:14">
      <c r="A129" s="571">
        <f t="shared" si="13"/>
        <v>65</v>
      </c>
      <c r="C129" s="724" t="s">
        <v>2627</v>
      </c>
      <c r="D129" s="235">
        <f t="shared" si="14"/>
        <v>0</v>
      </c>
      <c r="E129" s="235">
        <f t="shared" si="14"/>
        <v>-2194.6505339221685</v>
      </c>
      <c r="F129" s="235">
        <f t="shared" si="14"/>
        <v>243590.7798877802</v>
      </c>
      <c r="G129" s="235">
        <f t="shared" si="14"/>
        <v>-3536.4317435253292</v>
      </c>
      <c r="H129" s="235">
        <f t="shared" si="14"/>
        <v>-360601.37523375446</v>
      </c>
      <c r="I129" s="235">
        <f t="shared" si="14"/>
        <v>-1656480.4437471654</v>
      </c>
      <c r="J129" s="235">
        <f t="shared" si="14"/>
        <v>-2073498.1587979021</v>
      </c>
      <c r="K129" s="235">
        <f t="shared" si="14"/>
        <v>-146134.44511131916</v>
      </c>
      <c r="L129" s="235">
        <f t="shared" si="14"/>
        <v>-5969.1905683732775</v>
      </c>
      <c r="M129" s="235">
        <f t="shared" si="14"/>
        <v>-7625.329453129787</v>
      </c>
      <c r="N129" s="233">
        <f t="shared" si="15"/>
        <v>-4012449.2453013109</v>
      </c>
    </row>
    <row r="130" spans="1:14">
      <c r="A130" s="571">
        <f t="shared" si="13"/>
        <v>66</v>
      </c>
      <c r="C130" s="723" t="s">
        <v>2628</v>
      </c>
      <c r="D130" s="459">
        <f t="shared" si="14"/>
        <v>0</v>
      </c>
      <c r="E130" s="459">
        <f t="shared" si="14"/>
        <v>-2711.5074122804913</v>
      </c>
      <c r="F130" s="459">
        <f t="shared" si="14"/>
        <v>1616831.9784599592</v>
      </c>
      <c r="G130" s="459">
        <f t="shared" si="14"/>
        <v>-112193.45183886668</v>
      </c>
      <c r="H130" s="459">
        <f t="shared" si="14"/>
        <v>-3592523.7648708215</v>
      </c>
      <c r="I130" s="459">
        <f t="shared" si="14"/>
        <v>-623793.61371913855</v>
      </c>
      <c r="J130" s="459">
        <f t="shared" si="14"/>
        <v>-3194626.2554969909</v>
      </c>
      <c r="K130" s="459">
        <f t="shared" si="14"/>
        <v>859.36198789219895</v>
      </c>
      <c r="L130" s="459">
        <f t="shared" si="14"/>
        <v>431496.68507653684</v>
      </c>
      <c r="M130" s="459">
        <f t="shared" si="14"/>
        <v>-4917.4388534523323</v>
      </c>
      <c r="N130" s="368">
        <f t="shared" si="15"/>
        <v>-5481578.0066671614</v>
      </c>
    </row>
    <row r="131" spans="1:14">
      <c r="A131" s="571">
        <f t="shared" si="13"/>
        <v>67</v>
      </c>
      <c r="C131" s="1103" t="s">
        <v>4</v>
      </c>
      <c r="D131" s="233">
        <f>SUM(D119:D130)</f>
        <v>0</v>
      </c>
      <c r="E131" s="233">
        <f t="shared" ref="E131:M131" si="16">SUM(E119:E130)</f>
        <v>-252874.66419904071</v>
      </c>
      <c r="F131" s="233">
        <f t="shared" si="16"/>
        <v>4605937.2206339166</v>
      </c>
      <c r="G131" s="233">
        <f t="shared" si="16"/>
        <v>-190582.45703026655</v>
      </c>
      <c r="H131" s="233">
        <f t="shared" si="16"/>
        <v>-11466617.00539252</v>
      </c>
      <c r="I131" s="233">
        <f t="shared" si="16"/>
        <v>-12343236.77115836</v>
      </c>
      <c r="J131" s="233">
        <f t="shared" si="16"/>
        <v>-28078310.870635819</v>
      </c>
      <c r="K131" s="233">
        <f t="shared" si="16"/>
        <v>-106926.29483423058</v>
      </c>
      <c r="L131" s="233">
        <f t="shared" si="16"/>
        <v>846629.07890956709</v>
      </c>
      <c r="M131" s="233">
        <f t="shared" si="16"/>
        <v>67728.618883225121</v>
      </c>
      <c r="N131" s="233">
        <f>SUM(N119:N130)</f>
        <v>-46918253.144823536</v>
      </c>
    </row>
    <row r="132" spans="1:14">
      <c r="D132" s="14"/>
      <c r="E132" s="14"/>
      <c r="F132" s="14"/>
      <c r="G132" s="14"/>
      <c r="H132" s="14"/>
      <c r="I132" s="14"/>
      <c r="J132" s="14"/>
      <c r="K132" s="14"/>
      <c r="L132" s="14"/>
      <c r="M132" s="14"/>
      <c r="N132" s="14"/>
    </row>
    <row r="133" spans="1:14">
      <c r="B133" s="399" t="s">
        <v>232</v>
      </c>
      <c r="D133" s="14"/>
      <c r="E133" s="14"/>
      <c r="F133" s="14"/>
      <c r="G133" s="14"/>
      <c r="H133" s="14"/>
      <c r="I133" s="14"/>
      <c r="J133" s="14"/>
      <c r="K133" s="14"/>
      <c r="L133" s="14"/>
      <c r="M133" s="14"/>
      <c r="N133" s="14"/>
    </row>
    <row r="134" spans="1:14">
      <c r="B134" s="892" t="s">
        <v>2335</v>
      </c>
      <c r="C134" s="14"/>
      <c r="D134" s="14"/>
      <c r="E134" s="14"/>
      <c r="F134" s="14"/>
      <c r="G134" s="14"/>
      <c r="H134" s="14"/>
      <c r="I134" s="14"/>
      <c r="J134" s="14"/>
    </row>
    <row r="135" spans="1:14">
      <c r="B135" s="1128" t="s">
        <v>1891</v>
      </c>
      <c r="C135" s="14"/>
      <c r="D135" s="14"/>
      <c r="E135" s="14"/>
      <c r="F135" s="14"/>
      <c r="G135" s="14"/>
      <c r="H135" s="14"/>
      <c r="I135" s="14"/>
      <c r="J135" s="14"/>
    </row>
    <row r="136" spans="1:14">
      <c r="B136" s="614" t="s">
        <v>1871</v>
      </c>
      <c r="C136" s="598"/>
      <c r="D136" s="598"/>
      <c r="E136" s="598"/>
      <c r="F136" s="598"/>
      <c r="G136" s="598"/>
      <c r="H136" s="598"/>
      <c r="I136" s="598"/>
      <c r="J136" s="14"/>
      <c r="K136" s="14"/>
      <c r="L136" s="598"/>
      <c r="M136" s="598"/>
      <c r="N136" s="14"/>
    </row>
    <row r="137" spans="1:14">
      <c r="B137" s="897" t="s">
        <v>2588</v>
      </c>
      <c r="C137" s="598"/>
      <c r="D137" s="598"/>
      <c r="E137" s="598"/>
      <c r="F137" s="598"/>
      <c r="G137" s="598"/>
      <c r="H137" s="598"/>
      <c r="I137" s="598"/>
      <c r="J137" s="598"/>
      <c r="K137" s="598"/>
      <c r="L137" s="598"/>
      <c r="M137" s="598"/>
      <c r="N137" s="14"/>
    </row>
    <row r="138" spans="1:14">
      <c r="B138" s="897" t="s">
        <v>2436</v>
      </c>
      <c r="C138" s="598"/>
      <c r="D138" s="598"/>
      <c r="E138" s="598"/>
      <c r="F138" s="598"/>
      <c r="G138" s="598"/>
      <c r="H138" s="598"/>
      <c r="I138" s="598"/>
      <c r="J138" s="598"/>
      <c r="K138" s="598"/>
      <c r="L138" s="598"/>
      <c r="M138" s="598"/>
      <c r="N138" s="14"/>
    </row>
    <row r="139" spans="1:14">
      <c r="B139" s="897" t="s">
        <v>1872</v>
      </c>
      <c r="C139" s="598"/>
      <c r="D139" s="598"/>
      <c r="E139" s="598"/>
      <c r="F139" s="598"/>
      <c r="G139" s="598"/>
      <c r="H139" s="598"/>
      <c r="I139" s="598"/>
      <c r="J139" s="598"/>
      <c r="K139" s="598"/>
      <c r="L139" s="598"/>
      <c r="M139" s="598"/>
      <c r="N139" s="14"/>
    </row>
    <row r="140" spans="1:14">
      <c r="B140" s="614" t="s">
        <v>1873</v>
      </c>
      <c r="C140" s="598"/>
      <c r="D140" s="598"/>
      <c r="E140" s="598"/>
      <c r="F140" s="598"/>
      <c r="G140" s="598"/>
      <c r="H140" s="598"/>
      <c r="I140" s="598"/>
      <c r="J140" s="598"/>
      <c r="K140" s="598"/>
      <c r="L140" s="598"/>
      <c r="M140" s="598"/>
      <c r="N140" s="14"/>
    </row>
    <row r="141" spans="1:14">
      <c r="B141" s="897" t="s">
        <v>2321</v>
      </c>
      <c r="C141" s="598"/>
      <c r="D141" s="598"/>
      <c r="E141" s="598"/>
      <c r="F141" s="598"/>
      <c r="G141" s="598"/>
      <c r="H141" s="598"/>
      <c r="I141" s="598"/>
      <c r="J141" s="598"/>
      <c r="K141" s="598"/>
      <c r="L141" s="598"/>
      <c r="M141" s="598"/>
      <c r="N141" s="14"/>
    </row>
    <row r="142" spans="1:14">
      <c r="B142" s="897" t="s">
        <v>2437</v>
      </c>
      <c r="C142" s="598"/>
      <c r="D142" s="598"/>
      <c r="E142" s="598"/>
      <c r="F142" s="598"/>
      <c r="G142" s="598"/>
      <c r="H142" s="598"/>
      <c r="I142" s="598"/>
      <c r="J142" s="598"/>
      <c r="K142" s="598"/>
      <c r="L142" s="598"/>
      <c r="M142" s="598"/>
      <c r="N142" s="14"/>
    </row>
    <row r="143" spans="1:14">
      <c r="B143" s="897" t="s">
        <v>2322</v>
      </c>
      <c r="C143" s="598"/>
      <c r="D143" s="598"/>
      <c r="E143" s="598"/>
      <c r="F143" s="598"/>
      <c r="G143" s="598"/>
      <c r="H143" s="598"/>
      <c r="I143" s="598"/>
      <c r="J143" s="598"/>
      <c r="K143" s="598"/>
      <c r="L143" s="598"/>
      <c r="M143" s="598"/>
      <c r="N143" s="14"/>
    </row>
    <row r="144" spans="1:14">
      <c r="B144" s="479" t="str">
        <f>"2) Amounts on Line "&amp;A33&amp;" derived from Plant Study for previous year Prior Year."</f>
        <v>2) Amounts on Line 15 derived from Plant Study for previous year Prior Year.</v>
      </c>
      <c r="C144" s="14"/>
      <c r="D144" s="14"/>
      <c r="E144" s="14"/>
      <c r="F144" s="14"/>
      <c r="G144" s="14"/>
      <c r="H144" s="14"/>
      <c r="I144" s="14"/>
      <c r="J144" s="14"/>
    </row>
    <row r="145" spans="2:10">
      <c r="B145" s="476" t="str">
        <f>"Amounts on Line "&amp;A34&amp;" derived from Plant Study for Prior Year."</f>
        <v>Amounts on Line 16 derived from Plant Study for Prior Year.</v>
      </c>
      <c r="C145" s="14"/>
      <c r="D145" s="14"/>
      <c r="E145" s="14"/>
      <c r="F145" s="14"/>
      <c r="G145" s="14"/>
      <c r="H145" s="14"/>
      <c r="I145" s="14"/>
      <c r="J145" s="14"/>
    </row>
    <row r="146" spans="2:10">
      <c r="B146" s="14" t="str">
        <f>"3) From 17-Depreciation, Lines "&amp;'17-Depreciation'!A48&amp;" to "&amp;'17-Depreciation'!A59&amp;"."</f>
        <v>3) From 17-Depreciation, Lines 24 to 35.</v>
      </c>
      <c r="C146" s="14"/>
      <c r="D146" s="14"/>
      <c r="E146" s="14"/>
      <c r="F146" s="14"/>
      <c r="G146" s="14"/>
      <c r="H146" s="14"/>
      <c r="I146" s="14"/>
      <c r="J146" s="14"/>
    </row>
    <row r="147" spans="2:10">
      <c r="B147" s="479" t="s">
        <v>2438</v>
      </c>
      <c r="C147" s="14"/>
      <c r="D147" s="14"/>
      <c r="E147" s="14"/>
      <c r="F147" s="14"/>
      <c r="G147" s="14"/>
      <c r="H147" s="14"/>
      <c r="I147" s="14"/>
      <c r="J147" s="14"/>
    </row>
    <row r="148" spans="2:10">
      <c r="B148" s="479" t="str">
        <f>"5) Line "&amp;A24&amp;" - Line "&amp;A12&amp;"."</f>
        <v>5) Line 13 - Line 1.</v>
      </c>
      <c r="C148" s="14"/>
      <c r="D148" s="14"/>
      <c r="E148" s="14"/>
      <c r="F148" s="14"/>
      <c r="G148" s="14"/>
      <c r="H148" s="14"/>
      <c r="I148" s="14"/>
      <c r="J148" s="14"/>
    </row>
    <row r="149" spans="2:10">
      <c r="B149" s="14" t="str">
        <f>"6) Line "&amp;A82&amp;"."</f>
        <v>6) Line 39.</v>
      </c>
      <c r="C149" s="14"/>
      <c r="D149" s="14"/>
      <c r="E149" s="14"/>
      <c r="F149" s="14"/>
      <c r="G149" s="14"/>
      <c r="H149" s="14"/>
      <c r="I149" s="14"/>
      <c r="J149" s="14"/>
    </row>
    <row r="150" spans="2:10">
      <c r="B150" s="479" t="str">
        <f>"7) Line "&amp;A106&amp;" - Line "&amp;A109&amp;"."</f>
        <v>7) Line 52 - Line 53.</v>
      </c>
      <c r="C150" s="14"/>
      <c r="D150" s="14"/>
      <c r="E150" s="14"/>
      <c r="F150" s="14"/>
      <c r="G150" s="14"/>
      <c r="H150" s="14"/>
      <c r="I150" s="14"/>
      <c r="J150" s="14"/>
    </row>
    <row r="151" spans="2:10">
      <c r="B151" s="479" t="s">
        <v>2439</v>
      </c>
      <c r="C151" s="14"/>
      <c r="D151" s="14"/>
      <c r="E151" s="14"/>
      <c r="F151" s="14"/>
      <c r="G151" s="14"/>
      <c r="H151" s="14"/>
      <c r="I151" s="14"/>
      <c r="J151" s="14"/>
    </row>
    <row r="152" spans="2:10">
      <c r="B152" s="476" t="s">
        <v>2440</v>
      </c>
      <c r="C152" s="14"/>
      <c r="D152" s="14"/>
      <c r="E152" s="14"/>
      <c r="F152" s="14"/>
      <c r="G152" s="14"/>
      <c r="H152" s="14"/>
      <c r="I152" s="14"/>
      <c r="J152" s="14"/>
    </row>
    <row r="153" spans="2:10">
      <c r="B153" s="479"/>
      <c r="C153" s="14"/>
      <c r="D153" s="14"/>
      <c r="E153" s="14"/>
      <c r="F153" s="14"/>
      <c r="G153" s="14"/>
      <c r="H153" s="14"/>
      <c r="I153" s="14"/>
      <c r="J153" s="14"/>
    </row>
    <row r="154" spans="2:10">
      <c r="B154" s="479"/>
      <c r="C154" s="14"/>
      <c r="D154" s="14"/>
      <c r="E154" s="14"/>
      <c r="F154" s="14"/>
      <c r="G154" s="14"/>
      <c r="H154" s="14"/>
      <c r="I154" s="14"/>
      <c r="J154" s="14"/>
    </row>
  </sheetData>
  <phoneticPr fontId="22" type="noConversion"/>
  <pageMargins left="0.75" right="0.75" top="1" bottom="1" header="0.5" footer="0.5"/>
  <pageSetup scale="65" orientation="landscape" cellComments="asDisplayed" r:id="rId1"/>
  <headerFooter alignWithMargins="0">
    <oddHeader>&amp;CSchedule 8
Accumulated Depreciation
&amp;RExhibit SCE-4
TO2019A Formula Rate Spreadsheet</oddHeader>
    <oddFooter>&amp;R&amp;A</oddFooter>
  </headerFooter>
  <rowBreaks count="3" manualBreakCount="3">
    <brk id="36" max="16383" man="1"/>
    <brk id="83" max="16383" man="1"/>
    <brk id="11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zoomScaleNormal="100" zoomScaleSheetLayoutView="80" workbookViewId="0"/>
  </sheetViews>
  <sheetFormatPr defaultRowHeight="13.8"/>
  <cols>
    <col min="1" max="1" width="4.6640625" customWidth="1"/>
    <col min="2" max="2" width="9.6640625" style="535" customWidth="1"/>
    <col min="3" max="3" width="50.6640625" style="535" customWidth="1"/>
    <col min="4" max="4" width="15.6640625" style="535" customWidth="1"/>
    <col min="5" max="5" width="16.6640625" style="535" customWidth="1"/>
    <col min="6" max="6" width="15.6640625" style="535" customWidth="1"/>
    <col min="7" max="7" width="16.6640625" style="535" customWidth="1"/>
    <col min="8" max="8" width="15.6640625" style="535" customWidth="1"/>
    <col min="9" max="9" width="16.109375" style="535" bestFit="1" customWidth="1"/>
    <col min="10" max="10" width="33.6640625" style="535" customWidth="1"/>
    <col min="11" max="11" width="9.109375" style="14"/>
  </cols>
  <sheetData>
    <row r="1" spans="1:12" ht="13.2">
      <c r="A1" s="44" t="s">
        <v>2785</v>
      </c>
      <c r="B1" s="479"/>
      <c r="C1" s="240"/>
      <c r="D1" s="240"/>
      <c r="E1" s="240"/>
      <c r="F1" s="397" t="s">
        <v>303</v>
      </c>
      <c r="G1" s="397"/>
      <c r="H1" s="240"/>
      <c r="I1" s="231"/>
      <c r="J1" s="231"/>
      <c r="K1" s="534"/>
      <c r="L1" s="534"/>
    </row>
    <row r="2" spans="1:12" ht="13.2">
      <c r="A2" s="477"/>
      <c r="B2" s="603"/>
      <c r="C2" s="604"/>
      <c r="D2" s="604"/>
      <c r="E2" s="231"/>
      <c r="F2" s="231"/>
      <c r="G2" s="231"/>
      <c r="H2" s="231"/>
      <c r="I2" s="231"/>
      <c r="J2" s="231"/>
      <c r="K2" s="534"/>
      <c r="L2" s="534"/>
    </row>
    <row r="3" spans="1:12" ht="13.2">
      <c r="A3" s="477"/>
      <c r="B3" s="603" t="s">
        <v>2786</v>
      </c>
      <c r="C3" s="604"/>
      <c r="D3" s="604"/>
      <c r="E3" s="231"/>
      <c r="F3" s="231"/>
      <c r="G3" s="231"/>
      <c r="H3" s="231"/>
      <c r="I3" s="231"/>
      <c r="J3" s="231"/>
      <c r="K3" s="534"/>
      <c r="L3" s="534"/>
    </row>
    <row r="4" spans="1:12" ht="13.2">
      <c r="A4" s="477"/>
      <c r="B4" s="603"/>
      <c r="C4" s="604"/>
      <c r="D4" s="604"/>
      <c r="E4" s="231"/>
      <c r="F4" s="231"/>
      <c r="G4" s="231"/>
      <c r="H4" s="231"/>
      <c r="I4" s="231"/>
      <c r="J4" s="231"/>
      <c r="K4" s="534"/>
      <c r="L4" s="534"/>
    </row>
    <row r="5" spans="1:12" ht="13.2">
      <c r="A5" s="477"/>
      <c r="B5" s="605" t="s">
        <v>2787</v>
      </c>
      <c r="C5" s="604"/>
      <c r="D5" s="604"/>
      <c r="E5" s="231"/>
      <c r="F5" s="231"/>
      <c r="G5" s="231"/>
      <c r="H5" s="231"/>
      <c r="I5" s="231"/>
      <c r="J5" s="231"/>
      <c r="K5" s="534"/>
      <c r="L5" s="534"/>
    </row>
    <row r="6" spans="1:12">
      <c r="A6" s="231"/>
      <c r="B6" s="603"/>
      <c r="C6" s="84" t="s">
        <v>360</v>
      </c>
      <c r="D6" s="84" t="s">
        <v>344</v>
      </c>
      <c r="E6" s="231"/>
      <c r="I6" s="231"/>
      <c r="J6" s="231"/>
      <c r="K6" s="534"/>
      <c r="L6" s="534"/>
    </row>
    <row r="7" spans="1:12">
      <c r="A7" s="231"/>
      <c r="C7" s="604"/>
      <c r="D7" s="231"/>
      <c r="E7" s="231"/>
      <c r="I7" s="231"/>
      <c r="J7" s="231"/>
      <c r="K7" s="534"/>
      <c r="L7" s="534"/>
    </row>
    <row r="8" spans="1:12">
      <c r="A8" s="231"/>
      <c r="B8" s="603"/>
      <c r="C8" s="240"/>
      <c r="D8" s="111" t="s">
        <v>196</v>
      </c>
      <c r="J8" s="231"/>
      <c r="K8" s="534"/>
      <c r="L8" s="534"/>
    </row>
    <row r="9" spans="1:12">
      <c r="A9" s="53" t="s">
        <v>331</v>
      </c>
      <c r="B9" s="603"/>
      <c r="C9" s="521" t="s">
        <v>99</v>
      </c>
      <c r="D9" s="125" t="s">
        <v>966</v>
      </c>
      <c r="E9" s="369" t="s">
        <v>179</v>
      </c>
      <c r="J9" s="231"/>
      <c r="K9" s="534"/>
      <c r="L9" s="534"/>
    </row>
    <row r="10" spans="1:12" ht="14.4">
      <c r="A10" s="381">
        <v>1</v>
      </c>
      <c r="B10" s="603"/>
      <c r="C10" s="479" t="s">
        <v>1231</v>
      </c>
      <c r="D10" s="491">
        <f>+D72</f>
        <v>39126301.663732477</v>
      </c>
      <c r="E10" s="476" t="str">
        <f>"Line "&amp;A72&amp;", Col. 2"</f>
        <v>Line 353, Col. 2</v>
      </c>
      <c r="F10" s="1291"/>
      <c r="J10" s="231"/>
      <c r="K10" s="534"/>
      <c r="L10" s="534"/>
    </row>
    <row r="11" spans="1:12">
      <c r="A11" s="571">
        <f>A10+1</f>
        <v>2</v>
      </c>
      <c r="B11" s="603"/>
      <c r="C11" s="479" t="s">
        <v>1229</v>
      </c>
      <c r="D11" s="491">
        <f>+D92</f>
        <v>-1090207015</v>
      </c>
      <c r="E11" s="476" t="str">
        <f>"Line "&amp;A92&amp;", Col. 2"</f>
        <v>Line 452, Col. 2</v>
      </c>
      <c r="F11" s="1291"/>
      <c r="J11" s="231"/>
      <c r="K11" s="534"/>
      <c r="L11" s="534"/>
    </row>
    <row r="12" spans="1:12">
      <c r="A12" s="571">
        <f t="shared" ref="A12:A24" si="0">A11+1</f>
        <v>3</v>
      </c>
      <c r="B12" s="603"/>
      <c r="C12" s="479" t="s">
        <v>1230</v>
      </c>
      <c r="D12" s="491">
        <f>+D133</f>
        <v>-15708509.676734183</v>
      </c>
      <c r="E12" s="476" t="str">
        <f>"Line "&amp;A133&amp;", Col. 2"</f>
        <v>Line 803, Col. 2</v>
      </c>
      <c r="F12" s="1291"/>
      <c r="I12" s="536"/>
      <c r="J12" s="231"/>
      <c r="K12" s="534"/>
      <c r="L12" s="534"/>
    </row>
    <row r="13" spans="1:12" s="999" customFormat="1">
      <c r="A13" s="571">
        <f t="shared" si="0"/>
        <v>4</v>
      </c>
      <c r="B13" s="603"/>
      <c r="C13" s="1262" t="s">
        <v>2792</v>
      </c>
      <c r="D13" s="511">
        <v>-582299547</v>
      </c>
      <c r="E13" s="476" t="s">
        <v>2793</v>
      </c>
      <c r="F13" s="1291"/>
      <c r="G13" s="535"/>
      <c r="H13" s="535"/>
      <c r="I13" s="536"/>
      <c r="J13" s="231"/>
      <c r="K13" s="534"/>
      <c r="L13" s="534"/>
    </row>
    <row r="14" spans="1:12">
      <c r="A14" s="571">
        <f t="shared" si="0"/>
        <v>5</v>
      </c>
      <c r="B14" s="603"/>
      <c r="C14" s="479" t="s">
        <v>1569</v>
      </c>
      <c r="D14" s="492">
        <f>SUM(D10:D13)</f>
        <v>-1649088770.0130017</v>
      </c>
      <c r="E14" s="554" t="str">
        <f>"Sum of Lines "&amp;A10&amp;" to "&amp;A13&amp;""</f>
        <v>Sum of Lines 1 to 4</v>
      </c>
      <c r="F14" s="1291"/>
      <c r="J14" s="231"/>
      <c r="K14" s="534"/>
      <c r="L14" s="534"/>
    </row>
    <row r="15" spans="1:12">
      <c r="A15" s="571">
        <f t="shared" si="0"/>
        <v>6</v>
      </c>
      <c r="B15" s="603"/>
      <c r="C15" s="246" t="s">
        <v>2788</v>
      </c>
      <c r="D15" s="240"/>
      <c r="E15" s="240"/>
      <c r="G15" s="537"/>
      <c r="H15" s="246"/>
      <c r="I15" s="240"/>
      <c r="J15" s="231"/>
      <c r="K15" s="534"/>
      <c r="L15" s="534"/>
    </row>
    <row r="16" spans="1:12">
      <c r="A16" s="571">
        <f t="shared" si="0"/>
        <v>7</v>
      </c>
      <c r="B16" s="605" t="s">
        <v>2848</v>
      </c>
      <c r="E16" s="240"/>
      <c r="G16" s="536"/>
      <c r="H16" s="538"/>
      <c r="I16" s="536"/>
      <c r="J16" s="231"/>
      <c r="K16" s="534"/>
      <c r="L16" s="534"/>
    </row>
    <row r="17" spans="1:12">
      <c r="A17" s="571">
        <f t="shared" si="0"/>
        <v>8</v>
      </c>
      <c r="B17" s="605"/>
      <c r="D17" s="111" t="s">
        <v>382</v>
      </c>
      <c r="E17" s="240"/>
      <c r="G17" s="536"/>
      <c r="H17" s="538"/>
      <c r="I17" s="536"/>
      <c r="J17" s="231"/>
      <c r="K17" s="534"/>
      <c r="L17" s="534"/>
    </row>
    <row r="18" spans="1:12">
      <c r="A18" s="571">
        <f t="shared" si="0"/>
        <v>9</v>
      </c>
      <c r="B18" s="603"/>
      <c r="D18" s="125" t="s">
        <v>966</v>
      </c>
      <c r="E18" s="369" t="s">
        <v>179</v>
      </c>
      <c r="G18" s="539"/>
      <c r="H18" s="536"/>
      <c r="I18" s="536"/>
      <c r="J18" s="231"/>
      <c r="K18" s="534"/>
      <c r="L18" s="534"/>
    </row>
    <row r="19" spans="1:12">
      <c r="A19" s="571">
        <f t="shared" si="0"/>
        <v>10</v>
      </c>
      <c r="B19" s="603"/>
      <c r="C19" s="479" t="s">
        <v>1569</v>
      </c>
      <c r="D19" s="511">
        <v>-1550608605.1540396</v>
      </c>
      <c r="E19" s="476" t="str">
        <f>"Previous Year Informational Filing, Line "&amp;A14&amp;", Col. 2"</f>
        <v>Previous Year Informational Filing, Line 5, Col. 2</v>
      </c>
      <c r="G19" s="1248"/>
      <c r="H19" s="536"/>
      <c r="I19" s="536"/>
      <c r="K19" s="534"/>
      <c r="L19" s="534"/>
    </row>
    <row r="20" spans="1:12">
      <c r="A20" s="571">
        <f t="shared" si="0"/>
        <v>11</v>
      </c>
      <c r="B20" s="603"/>
      <c r="D20" s="240"/>
      <c r="E20" s="240"/>
      <c r="F20" s="536"/>
      <c r="G20" s="536"/>
      <c r="H20" s="536"/>
      <c r="I20" s="536"/>
      <c r="J20" s="231"/>
      <c r="K20" s="534"/>
      <c r="L20" s="534"/>
    </row>
    <row r="21" spans="1:12">
      <c r="A21" s="571">
        <f t="shared" si="0"/>
        <v>12</v>
      </c>
      <c r="B21" s="605" t="s">
        <v>2847</v>
      </c>
      <c r="D21" s="240"/>
      <c r="E21" s="240"/>
      <c r="F21" s="536"/>
      <c r="G21" s="536"/>
      <c r="H21" s="536"/>
      <c r="I21" s="536"/>
      <c r="J21" s="231"/>
      <c r="K21" s="534"/>
      <c r="L21" s="534"/>
    </row>
    <row r="22" spans="1:12" ht="13.2">
      <c r="A22" s="571">
        <f t="shared" si="0"/>
        <v>13</v>
      </c>
      <c r="B22" s="604"/>
      <c r="C22" s="606"/>
      <c r="D22" s="607" t="s">
        <v>231</v>
      </c>
      <c r="E22" s="231"/>
      <c r="F22" s="231"/>
      <c r="G22" s="231"/>
      <c r="H22" s="231"/>
      <c r="I22" s="231"/>
      <c r="J22" s="231"/>
      <c r="K22" s="534"/>
      <c r="L22" s="534"/>
    </row>
    <row r="23" spans="1:12">
      <c r="A23" s="571">
        <f t="shared" si="0"/>
        <v>14</v>
      </c>
      <c r="B23" s="604"/>
      <c r="D23" s="125" t="s">
        <v>201</v>
      </c>
      <c r="E23" s="369" t="s">
        <v>179</v>
      </c>
      <c r="F23" s="231"/>
      <c r="G23" s="539"/>
      <c r="H23" s="231"/>
      <c r="I23" s="231"/>
      <c r="J23" s="231"/>
      <c r="K23" s="534"/>
      <c r="L23" s="534"/>
    </row>
    <row r="24" spans="1:12" ht="13.2">
      <c r="A24" s="571">
        <f t="shared" si="0"/>
        <v>15</v>
      </c>
      <c r="B24" s="604"/>
      <c r="C24" s="608" t="s">
        <v>2849</v>
      </c>
      <c r="D24" s="1025">
        <f>J157</f>
        <v>-1595958945.9121506</v>
      </c>
      <c r="E24" s="246" t="s">
        <v>2789</v>
      </c>
      <c r="F24" s="240"/>
      <c r="G24" s="536"/>
      <c r="H24" s="231"/>
      <c r="I24" s="231"/>
      <c r="J24" s="231"/>
      <c r="K24" s="534"/>
      <c r="L24" s="534"/>
    </row>
    <row r="25" spans="1:12" ht="13.2">
      <c r="A25" s="571"/>
      <c r="B25" s="604"/>
      <c r="C25" s="606"/>
      <c r="D25" s="609"/>
      <c r="E25" s="231"/>
      <c r="F25" s="231"/>
      <c r="G25" s="231"/>
      <c r="H25" s="231"/>
      <c r="I25" s="231"/>
      <c r="J25" s="231"/>
      <c r="K25" s="534"/>
      <c r="L25" s="534"/>
    </row>
    <row r="26" spans="1:12" ht="13.2">
      <c r="A26" s="571"/>
      <c r="B26" s="603" t="s">
        <v>1570</v>
      </c>
      <c r="C26" s="606"/>
      <c r="D26" s="609"/>
      <c r="E26" s="231"/>
      <c r="F26" s="231"/>
      <c r="G26" s="231"/>
      <c r="H26" s="231"/>
      <c r="I26" s="231"/>
      <c r="J26" s="231"/>
    </row>
    <row r="27" spans="1:12" ht="13.2">
      <c r="A27" s="571"/>
      <c r="B27" s="603"/>
      <c r="C27" s="84" t="s">
        <v>360</v>
      </c>
      <c r="D27" s="84" t="s">
        <v>344</v>
      </c>
      <c r="E27" s="84" t="s">
        <v>345</v>
      </c>
      <c r="F27" s="84" t="s">
        <v>346</v>
      </c>
      <c r="G27" s="84" t="s">
        <v>347</v>
      </c>
      <c r="H27" s="84" t="s">
        <v>348</v>
      </c>
      <c r="I27" s="84" t="s">
        <v>349</v>
      </c>
      <c r="J27" s="231"/>
    </row>
    <row r="28" spans="1:12" ht="13.2">
      <c r="A28" s="477"/>
      <c r="B28" s="607"/>
      <c r="C28" s="607"/>
      <c r="D28" s="607" t="s">
        <v>1571</v>
      </c>
      <c r="E28" s="607" t="s">
        <v>1572</v>
      </c>
      <c r="F28" s="607"/>
      <c r="G28" s="607"/>
      <c r="H28" s="607" t="s">
        <v>1284</v>
      </c>
      <c r="I28" s="899" t="s">
        <v>1894</v>
      </c>
      <c r="J28" s="231"/>
    </row>
    <row r="29" spans="1:12" ht="13.2">
      <c r="A29" s="477"/>
      <c r="B29" s="610" t="s">
        <v>1573</v>
      </c>
      <c r="C29" s="610" t="s">
        <v>1574</v>
      </c>
      <c r="D29" s="610" t="s">
        <v>1575</v>
      </c>
      <c r="E29" s="610" t="s">
        <v>1576</v>
      </c>
      <c r="F29" s="610" t="s">
        <v>1577</v>
      </c>
      <c r="G29" s="610" t="s">
        <v>1578</v>
      </c>
      <c r="H29" s="610" t="s">
        <v>1568</v>
      </c>
      <c r="I29" s="610" t="s">
        <v>100</v>
      </c>
      <c r="J29" s="231"/>
    </row>
    <row r="30" spans="1:12" ht="13.2">
      <c r="A30" s="571"/>
      <c r="B30" s="604" t="s">
        <v>1580</v>
      </c>
      <c r="C30" s="604"/>
      <c r="D30" s="604"/>
      <c r="E30" s="231"/>
      <c r="F30" s="231"/>
      <c r="G30" s="231"/>
      <c r="H30" s="231"/>
      <c r="I30" s="231"/>
      <c r="J30" s="231"/>
    </row>
    <row r="31" spans="1:12" ht="13.2">
      <c r="A31" s="189">
        <f>100</f>
        <v>100</v>
      </c>
      <c r="B31" s="1008">
        <v>190</v>
      </c>
      <c r="C31" s="997" t="s">
        <v>2697</v>
      </c>
      <c r="D31" s="998">
        <v>649241</v>
      </c>
      <c r="E31" s="1010">
        <f>D31*$G$180</f>
        <v>506.34792152825798</v>
      </c>
      <c r="F31" s="1007"/>
      <c r="G31" s="1010">
        <f>D31-E31</f>
        <v>648734.65207847173</v>
      </c>
      <c r="H31" s="1010"/>
      <c r="I31" s="1011" t="s">
        <v>2698</v>
      </c>
      <c r="J31" s="1002"/>
    </row>
    <row r="32" spans="1:12" ht="13.2">
      <c r="A32" s="189">
        <f t="shared" ref="A32:A47" si="1">A31+1</f>
        <v>101</v>
      </c>
      <c r="B32" s="1008">
        <v>190</v>
      </c>
      <c r="C32" s="997" t="s">
        <v>2699</v>
      </c>
      <c r="D32" s="998">
        <v>3146087</v>
      </c>
      <c r="E32" s="1010">
        <f>D32*$G$172</f>
        <v>9014.2512600701466</v>
      </c>
      <c r="F32" s="1007"/>
      <c r="G32" s="1010"/>
      <c r="H32" s="1010">
        <f>D32-E32</f>
        <v>3137072.7487399299</v>
      </c>
      <c r="I32" s="1011" t="s">
        <v>2700</v>
      </c>
      <c r="J32" s="1002"/>
    </row>
    <row r="33" spans="1:12" ht="13.2">
      <c r="A33" s="1006">
        <f t="shared" si="1"/>
        <v>102</v>
      </c>
      <c r="B33" s="1008">
        <v>190</v>
      </c>
      <c r="C33" s="997" t="s">
        <v>2701</v>
      </c>
      <c r="D33" s="998">
        <v>771695</v>
      </c>
      <c r="E33" s="1010">
        <f>D33*$G$180</f>
        <v>601.85071383931245</v>
      </c>
      <c r="F33" s="1007"/>
      <c r="G33" s="1010">
        <f>D33-E33</f>
        <v>771093.14928616071</v>
      </c>
      <c r="H33" s="1010"/>
      <c r="I33" s="1011" t="s">
        <v>2698</v>
      </c>
      <c r="J33" s="1002"/>
    </row>
    <row r="34" spans="1:12" ht="13.2">
      <c r="A34" s="1006">
        <f t="shared" si="1"/>
        <v>103</v>
      </c>
      <c r="B34" s="1008">
        <v>190</v>
      </c>
      <c r="C34" s="997" t="s">
        <v>2702</v>
      </c>
      <c r="D34" s="998">
        <v>1536403</v>
      </c>
      <c r="E34" s="1010">
        <f>D34*$G$172</f>
        <v>4402.142305259058</v>
      </c>
      <c r="F34" s="1010"/>
      <c r="G34" s="1010"/>
      <c r="H34" s="1010">
        <f>D34-E34</f>
        <v>1532000.8576947409</v>
      </c>
      <c r="I34" s="1011" t="s">
        <v>2700</v>
      </c>
      <c r="J34" s="1002"/>
    </row>
    <row r="35" spans="1:12" ht="13.2">
      <c r="A35" s="1006">
        <f t="shared" si="1"/>
        <v>104</v>
      </c>
      <c r="B35" s="1008">
        <v>190</v>
      </c>
      <c r="C35" s="997" t="s">
        <v>2703</v>
      </c>
      <c r="D35" s="998">
        <v>29451918</v>
      </c>
      <c r="E35" s="1010">
        <f>D35*$G$172</f>
        <v>84386.410465757188</v>
      </c>
      <c r="F35" s="1007"/>
      <c r="G35" s="1010"/>
      <c r="H35" s="1010">
        <f>D35-E35</f>
        <v>29367531.589534242</v>
      </c>
      <c r="I35" s="1011" t="s">
        <v>2700</v>
      </c>
      <c r="J35" s="1002"/>
    </row>
    <row r="36" spans="1:12" ht="12.75" customHeight="1">
      <c r="A36" s="1006">
        <f t="shared" si="1"/>
        <v>105</v>
      </c>
      <c r="B36" s="1008">
        <v>190</v>
      </c>
      <c r="C36" s="997" t="s">
        <v>2704</v>
      </c>
      <c r="D36" s="998">
        <v>11617959</v>
      </c>
      <c r="E36" s="1010">
        <f>D36*$G$172</f>
        <v>33288.081847448368</v>
      </c>
      <c r="F36" s="1007"/>
      <c r="G36" s="1010"/>
      <c r="H36" s="1010">
        <f>D36-E36</f>
        <v>11584670.918152552</v>
      </c>
      <c r="I36" s="1011" t="s">
        <v>2700</v>
      </c>
      <c r="J36" s="1002"/>
    </row>
    <row r="37" spans="1:12" ht="13.2">
      <c r="A37" s="1006">
        <f t="shared" si="1"/>
        <v>106</v>
      </c>
      <c r="B37" s="1008">
        <v>190</v>
      </c>
      <c r="C37" s="997" t="s">
        <v>2705</v>
      </c>
      <c r="D37" s="998">
        <v>34717749</v>
      </c>
      <c r="E37" s="1010">
        <f>D37*$G$172</f>
        <v>99474.208014606425</v>
      </c>
      <c r="F37" s="1007"/>
      <c r="G37" s="1010"/>
      <c r="H37" s="1010">
        <f>D37-E37</f>
        <v>34618274.791985393</v>
      </c>
      <c r="I37" s="1011" t="s">
        <v>2700</v>
      </c>
      <c r="J37" s="1002"/>
    </row>
    <row r="38" spans="1:12" ht="13.2">
      <c r="A38" s="1006">
        <f t="shared" si="1"/>
        <v>107</v>
      </c>
      <c r="B38" s="1008">
        <v>190</v>
      </c>
      <c r="C38" s="997" t="s">
        <v>2706</v>
      </c>
      <c r="D38" s="998">
        <v>1247125</v>
      </c>
      <c r="E38" s="1010">
        <f>D38*$G$180</f>
        <v>972.64213387005555</v>
      </c>
      <c r="F38" s="1007"/>
      <c r="G38" s="1010">
        <f>D38-E38</f>
        <v>1246152.3578661298</v>
      </c>
      <c r="H38" s="1010"/>
      <c r="I38" s="1011" t="s">
        <v>2698</v>
      </c>
      <c r="J38" s="1002"/>
    </row>
    <row r="39" spans="1:12" ht="13.2">
      <c r="A39" s="1006">
        <f t="shared" si="1"/>
        <v>108</v>
      </c>
      <c r="B39" s="1008">
        <v>190</v>
      </c>
      <c r="C39" s="997" t="s">
        <v>2707</v>
      </c>
      <c r="D39" s="998">
        <v>955103</v>
      </c>
      <c r="E39" s="1010">
        <f>D39*$G$180</f>
        <v>744.89198755994119</v>
      </c>
      <c r="F39" s="1007"/>
      <c r="G39" s="1010">
        <f>D39-E39</f>
        <v>954358.10801244003</v>
      </c>
      <c r="H39" s="1010"/>
      <c r="I39" s="1011" t="s">
        <v>2698</v>
      </c>
      <c r="J39" s="1002"/>
    </row>
    <row r="40" spans="1:12" ht="13.2">
      <c r="A40" s="1006">
        <f t="shared" si="1"/>
        <v>109</v>
      </c>
      <c r="B40" s="1008">
        <v>190</v>
      </c>
      <c r="C40" s="997" t="s">
        <v>2708</v>
      </c>
      <c r="D40" s="998">
        <v>421953973</v>
      </c>
      <c r="E40" s="1010">
        <v>421953973</v>
      </c>
      <c r="F40" s="1007"/>
      <c r="G40" s="1010"/>
      <c r="H40" s="1010"/>
      <c r="I40" s="1011" t="s">
        <v>2709</v>
      </c>
      <c r="J40" s="1002"/>
    </row>
    <row r="41" spans="1:12" ht="13.2">
      <c r="A41" s="1006">
        <f t="shared" si="1"/>
        <v>110</v>
      </c>
      <c r="B41" s="1008">
        <v>190</v>
      </c>
      <c r="C41" s="997" t="s">
        <v>2710</v>
      </c>
      <c r="D41" s="998">
        <v>-9045539</v>
      </c>
      <c r="E41" s="1010">
        <v>-9045539</v>
      </c>
      <c r="F41" s="511"/>
      <c r="G41" s="1010"/>
      <c r="H41" s="1010"/>
      <c r="I41" s="1011" t="s">
        <v>2711</v>
      </c>
      <c r="J41" s="732"/>
    </row>
    <row r="42" spans="1:12" ht="13.2">
      <c r="A42" s="1006">
        <f t="shared" si="1"/>
        <v>111</v>
      </c>
      <c r="B42" s="1008">
        <v>190</v>
      </c>
      <c r="C42" s="997" t="s">
        <v>2712</v>
      </c>
      <c r="D42" s="998">
        <v>0</v>
      </c>
      <c r="E42" s="1010">
        <v>0</v>
      </c>
      <c r="F42" s="1007"/>
      <c r="G42" s="1010"/>
      <c r="H42" s="1010"/>
      <c r="I42" s="1013" t="s">
        <v>2713</v>
      </c>
      <c r="J42" s="1002"/>
    </row>
    <row r="43" spans="1:12" ht="13.2">
      <c r="A43" s="1006">
        <f t="shared" si="1"/>
        <v>112</v>
      </c>
      <c r="B43" s="1008">
        <v>190</v>
      </c>
      <c r="C43" s="997" t="s">
        <v>2714</v>
      </c>
      <c r="D43" s="998">
        <v>9082254</v>
      </c>
      <c r="E43" s="1010">
        <f>D43*$G$172</f>
        <v>26022.713155668334</v>
      </c>
      <c r="F43" s="1007"/>
      <c r="G43" s="1010"/>
      <c r="H43" s="1010">
        <f>D43-E43</f>
        <v>9056231.2868443318</v>
      </c>
      <c r="I43" s="1011" t="s">
        <v>2700</v>
      </c>
      <c r="J43" s="1002"/>
    </row>
    <row r="44" spans="1:12" ht="13.2">
      <c r="A44" s="1006">
        <f t="shared" si="1"/>
        <v>113</v>
      </c>
      <c r="B44" s="1008">
        <v>190</v>
      </c>
      <c r="C44" s="997" t="s">
        <v>2715</v>
      </c>
      <c r="D44" s="998">
        <v>6708625</v>
      </c>
      <c r="E44" s="1010">
        <v>6708625</v>
      </c>
      <c r="F44" s="1007"/>
      <c r="G44" s="1010"/>
      <c r="H44" s="1010"/>
      <c r="I44" s="1011" t="s">
        <v>2716</v>
      </c>
      <c r="J44" s="1002"/>
    </row>
    <row r="45" spans="1:12" ht="13.2">
      <c r="A45" s="1006">
        <f t="shared" si="1"/>
        <v>114</v>
      </c>
      <c r="B45" s="1008">
        <v>190</v>
      </c>
      <c r="C45" s="997" t="s">
        <v>2717</v>
      </c>
      <c r="D45" s="998">
        <v>9519058</v>
      </c>
      <c r="E45" s="1010">
        <v>9519058</v>
      </c>
      <c r="F45" s="1007"/>
      <c r="G45" s="1010"/>
      <c r="H45" s="1007"/>
      <c r="I45" s="1011" t="s">
        <v>2718</v>
      </c>
      <c r="J45" s="1002"/>
    </row>
    <row r="46" spans="1:12" ht="13.2">
      <c r="A46" s="1006">
        <f t="shared" si="1"/>
        <v>115</v>
      </c>
      <c r="B46" s="1008">
        <v>190</v>
      </c>
      <c r="C46" s="997" t="s">
        <v>2719</v>
      </c>
      <c r="D46" s="998">
        <v>1027410561</v>
      </c>
      <c r="E46" s="1010">
        <v>1027410561</v>
      </c>
      <c r="F46" s="1007"/>
      <c r="G46" s="1010"/>
      <c r="H46" s="1007"/>
      <c r="I46" s="1011" t="s">
        <v>2720</v>
      </c>
      <c r="J46" s="1002"/>
    </row>
    <row r="47" spans="1:12" s="999" customFormat="1" ht="13.2">
      <c r="A47" s="1006">
        <f t="shared" si="1"/>
        <v>116</v>
      </c>
      <c r="B47" s="1008">
        <v>190</v>
      </c>
      <c r="C47" s="997" t="s">
        <v>2721</v>
      </c>
      <c r="D47" s="998">
        <v>172664412</v>
      </c>
      <c r="E47" s="1010">
        <v>0</v>
      </c>
      <c r="F47" s="1007"/>
      <c r="G47" s="1007">
        <v>172664412</v>
      </c>
      <c r="H47" s="1007"/>
      <c r="I47" s="1005" t="s">
        <v>2722</v>
      </c>
      <c r="J47" s="1002"/>
      <c r="K47" s="14"/>
    </row>
    <row r="48" spans="1:12" ht="13.2">
      <c r="A48" s="111"/>
      <c r="B48" s="613"/>
      <c r="C48" s="614"/>
      <c r="D48" s="615"/>
      <c r="E48" s="235"/>
      <c r="F48" s="235"/>
      <c r="G48" s="235"/>
      <c r="H48" s="235"/>
      <c r="I48" s="240"/>
      <c r="J48" s="240"/>
      <c r="K48" s="534"/>
      <c r="L48" s="534"/>
    </row>
    <row r="49" spans="1:12" ht="13.2">
      <c r="A49" s="111"/>
      <c r="B49" s="603" t="s">
        <v>1581</v>
      </c>
      <c r="C49" s="606"/>
      <c r="D49" s="609"/>
      <c r="E49" s="231"/>
      <c r="F49" s="231"/>
      <c r="G49" s="231"/>
      <c r="H49" s="231"/>
      <c r="I49" s="231"/>
      <c r="J49" s="240"/>
      <c r="K49" s="534"/>
      <c r="L49" s="534"/>
    </row>
    <row r="50" spans="1:12" ht="13.2">
      <c r="A50" s="111"/>
      <c r="B50" s="603"/>
      <c r="C50" s="84" t="s">
        <v>360</v>
      </c>
      <c r="D50" s="84" t="s">
        <v>344</v>
      </c>
      <c r="E50" s="84" t="s">
        <v>345</v>
      </c>
      <c r="F50" s="84" t="s">
        <v>346</v>
      </c>
      <c r="G50" s="84" t="s">
        <v>347</v>
      </c>
      <c r="H50" s="84" t="s">
        <v>348</v>
      </c>
      <c r="I50" s="84" t="s">
        <v>349</v>
      </c>
      <c r="J50" s="240"/>
      <c r="K50" s="534"/>
      <c r="L50" s="534"/>
    </row>
    <row r="51" spans="1:12" ht="13.2">
      <c r="A51" s="111"/>
      <c r="B51" s="607"/>
      <c r="C51" s="607"/>
      <c r="D51" s="607" t="s">
        <v>1571</v>
      </c>
      <c r="E51" s="607" t="s">
        <v>1572</v>
      </c>
      <c r="F51" s="607"/>
      <c r="G51" s="607"/>
      <c r="H51" s="607"/>
      <c r="I51" s="899" t="s">
        <v>1894</v>
      </c>
      <c r="J51" s="240"/>
      <c r="K51" s="534"/>
      <c r="L51" s="534"/>
    </row>
    <row r="52" spans="1:12" ht="13.2">
      <c r="A52" s="111"/>
      <c r="B52" s="610" t="s">
        <v>1573</v>
      </c>
      <c r="C52" s="610" t="s">
        <v>1574</v>
      </c>
      <c r="D52" s="610" t="s">
        <v>1575</v>
      </c>
      <c r="E52" s="610" t="s">
        <v>1576</v>
      </c>
      <c r="F52" s="610" t="s">
        <v>1577</v>
      </c>
      <c r="G52" s="610" t="s">
        <v>1578</v>
      </c>
      <c r="H52" s="610" t="s">
        <v>1579</v>
      </c>
      <c r="I52" s="610" t="s">
        <v>100</v>
      </c>
      <c r="J52" s="235"/>
      <c r="K52" s="534"/>
      <c r="L52" s="534"/>
    </row>
    <row r="53" spans="1:12" ht="13.2">
      <c r="A53" s="111"/>
      <c r="B53" s="604" t="s">
        <v>1580</v>
      </c>
      <c r="C53" s="604"/>
      <c r="D53" s="604"/>
      <c r="E53" s="231"/>
      <c r="F53" s="231"/>
      <c r="G53" s="231"/>
      <c r="H53" s="231"/>
      <c r="I53" s="231"/>
      <c r="J53" s="240"/>
      <c r="K53" s="534"/>
      <c r="L53" s="534"/>
    </row>
    <row r="54" spans="1:12" ht="13.2">
      <c r="A54" s="189">
        <f>A47+1</f>
        <v>117</v>
      </c>
      <c r="B54" s="996" t="s">
        <v>510</v>
      </c>
      <c r="C54" s="611"/>
      <c r="D54" s="612"/>
      <c r="E54" s="236"/>
      <c r="F54" s="236"/>
      <c r="G54" s="236"/>
      <c r="H54" s="236"/>
      <c r="I54" s="397"/>
      <c r="J54" s="397"/>
      <c r="K54" s="534"/>
      <c r="L54" s="534"/>
    </row>
    <row r="55" spans="1:12" ht="13.2">
      <c r="A55" s="571"/>
      <c r="B55" s="616"/>
      <c r="C55" s="604"/>
      <c r="D55" s="617"/>
      <c r="E55" s="233"/>
      <c r="F55" s="233"/>
      <c r="G55" s="233"/>
      <c r="H55" s="233"/>
      <c r="I55" s="369" t="s">
        <v>179</v>
      </c>
      <c r="J55" s="231"/>
      <c r="K55" s="534"/>
      <c r="L55" s="534"/>
    </row>
    <row r="56" spans="1:12" ht="13.2">
      <c r="A56" s="111">
        <v>250</v>
      </c>
      <c r="B56" s="604"/>
      <c r="C56" s="604" t="s">
        <v>1582</v>
      </c>
      <c r="D56" s="626">
        <f>SUM(D31:D47)+SUM(D54:D54)</f>
        <v>1722386624</v>
      </c>
      <c r="E56" s="626">
        <f>SUM(E31:E47)+SUM(E54:E54)</f>
        <v>1456806091.5398057</v>
      </c>
      <c r="F56" s="618">
        <f>SUM(F31:F47)+SUM(F54:F54)</f>
        <v>0</v>
      </c>
      <c r="G56" s="618">
        <f>SUM(G31:G47)+SUM(G54:G54)</f>
        <v>176284750.26724321</v>
      </c>
      <c r="H56" s="618">
        <f>SUM(H31:H47)+SUM(H54:H54)</f>
        <v>89295782.192951187</v>
      </c>
      <c r="I56" s="464" t="str">
        <f>"Sum of Above Lines beginning on Line "&amp;A31&amp;""</f>
        <v>Sum of Above Lines beginning on Line 100</v>
      </c>
      <c r="J56" s="240"/>
      <c r="K56" s="534"/>
      <c r="L56" s="534"/>
    </row>
    <row r="57" spans="1:12" ht="13.2">
      <c r="A57" s="571"/>
      <c r="B57" s="604"/>
      <c r="C57" s="604"/>
      <c r="D57" s="619"/>
      <c r="E57" s="233"/>
      <c r="F57" s="233"/>
      <c r="G57" s="233"/>
      <c r="H57" s="233"/>
      <c r="I57" s="231"/>
      <c r="J57" s="231"/>
    </row>
    <row r="58" spans="1:12" ht="13.2">
      <c r="A58" s="571"/>
      <c r="B58" s="604" t="s">
        <v>1583</v>
      </c>
      <c r="C58" s="604"/>
      <c r="D58" s="619"/>
      <c r="E58" s="233"/>
      <c r="F58" s="233"/>
      <c r="G58" s="233"/>
      <c r="H58" s="233"/>
      <c r="I58" s="899" t="s">
        <v>1894</v>
      </c>
      <c r="J58" s="231"/>
    </row>
    <row r="59" spans="1:12">
      <c r="A59" s="571"/>
      <c r="C59" s="84" t="s">
        <v>360</v>
      </c>
      <c r="D59" s="84" t="s">
        <v>344</v>
      </c>
      <c r="E59" s="84" t="s">
        <v>345</v>
      </c>
      <c r="F59" s="84" t="s">
        <v>346</v>
      </c>
      <c r="G59" s="84" t="s">
        <v>347</v>
      </c>
      <c r="H59" s="84" t="s">
        <v>348</v>
      </c>
      <c r="I59" s="84" t="s">
        <v>349</v>
      </c>
      <c r="J59" s="231"/>
    </row>
    <row r="60" spans="1:12" ht="13.2">
      <c r="A60" s="189">
        <v>300</v>
      </c>
      <c r="B60" s="1008">
        <v>190</v>
      </c>
      <c r="C60" s="997" t="s">
        <v>2723</v>
      </c>
      <c r="D60" s="998">
        <v>-910</v>
      </c>
      <c r="E60" s="1010">
        <f t="shared" ref="E60:E63" si="2">D60</f>
        <v>-910</v>
      </c>
      <c r="F60" s="1010"/>
      <c r="G60" s="1010"/>
      <c r="H60" s="1010"/>
      <c r="I60" s="1011" t="s">
        <v>2727</v>
      </c>
      <c r="J60" s="1011"/>
    </row>
    <row r="61" spans="1:12" s="999" customFormat="1" ht="13.2">
      <c r="A61" s="1006">
        <f>A60+1</f>
        <v>301</v>
      </c>
      <c r="B61" s="1008">
        <v>190</v>
      </c>
      <c r="C61" s="997" t="s">
        <v>2724</v>
      </c>
      <c r="D61" s="998">
        <v>118747</v>
      </c>
      <c r="E61" s="1010">
        <f>D61</f>
        <v>118747</v>
      </c>
      <c r="F61" s="1010"/>
      <c r="G61" s="1010"/>
      <c r="H61" s="1010"/>
      <c r="I61" s="1011" t="s">
        <v>2727</v>
      </c>
      <c r="J61" s="1011"/>
      <c r="K61" s="14"/>
    </row>
    <row r="62" spans="1:12" s="999" customFormat="1" ht="13.2">
      <c r="A62" s="1006">
        <f t="shared" ref="A62:A64" si="3">A61+1</f>
        <v>302</v>
      </c>
      <c r="B62" s="1008">
        <v>190</v>
      </c>
      <c r="C62" s="997" t="s">
        <v>2710</v>
      </c>
      <c r="D62" s="998">
        <v>2738775</v>
      </c>
      <c r="E62" s="1010">
        <f t="shared" si="2"/>
        <v>2738775</v>
      </c>
      <c r="F62" s="1010"/>
      <c r="G62" s="1010"/>
      <c r="H62" s="1010"/>
      <c r="I62" s="1011" t="s">
        <v>2728</v>
      </c>
      <c r="J62" s="1011"/>
      <c r="K62" s="14"/>
    </row>
    <row r="63" spans="1:12" s="999" customFormat="1" ht="13.2">
      <c r="A63" s="1006">
        <f t="shared" si="3"/>
        <v>303</v>
      </c>
      <c r="B63" s="1008">
        <v>190</v>
      </c>
      <c r="C63" s="997" t="s">
        <v>2725</v>
      </c>
      <c r="D63" s="998">
        <v>1561144</v>
      </c>
      <c r="E63" s="1010">
        <f t="shared" si="2"/>
        <v>1561144</v>
      </c>
      <c r="F63" s="1010"/>
      <c r="G63" s="1010"/>
      <c r="H63" s="1010"/>
      <c r="I63" s="1011" t="s">
        <v>2720</v>
      </c>
      <c r="J63" s="1011"/>
      <c r="K63" s="14"/>
    </row>
    <row r="64" spans="1:12" s="999" customFormat="1" ht="13.2">
      <c r="A64" s="1006">
        <f t="shared" si="3"/>
        <v>304</v>
      </c>
      <c r="B64" s="1008">
        <v>190</v>
      </c>
      <c r="C64" s="997" t="s">
        <v>2726</v>
      </c>
      <c r="D64" s="998">
        <v>-15234903</v>
      </c>
      <c r="E64" s="1010">
        <f>D64</f>
        <v>-15234903</v>
      </c>
      <c r="F64" s="1010"/>
      <c r="G64" s="1010"/>
      <c r="H64" s="1010"/>
      <c r="I64" s="1011" t="s">
        <v>2720</v>
      </c>
      <c r="J64" s="1011"/>
      <c r="K64" s="14"/>
    </row>
    <row r="65" spans="1:11" s="999" customFormat="1" ht="13.2">
      <c r="A65" s="1006">
        <f>A64+1</f>
        <v>305</v>
      </c>
      <c r="B65" s="1008" t="s">
        <v>510</v>
      </c>
      <c r="C65" s="997"/>
      <c r="D65" s="998"/>
      <c r="E65" s="1010"/>
      <c r="F65" s="1010"/>
      <c r="G65" s="1010"/>
      <c r="H65" s="1010"/>
      <c r="I65" s="1011"/>
      <c r="J65" s="1011"/>
      <c r="K65" s="14"/>
    </row>
    <row r="66" spans="1:11" ht="13.2">
      <c r="A66" s="571"/>
      <c r="B66" s="616"/>
      <c r="C66" s="614"/>
      <c r="D66" s="615"/>
      <c r="E66" s="235"/>
      <c r="F66" s="235"/>
      <c r="G66" s="235"/>
      <c r="H66" s="235"/>
      <c r="I66" s="240"/>
      <c r="J66" s="240"/>
    </row>
    <row r="67" spans="1:11" ht="13.2">
      <c r="A67" s="571"/>
      <c r="B67" s="616"/>
      <c r="C67" s="84" t="s">
        <v>360</v>
      </c>
      <c r="D67" s="84" t="s">
        <v>344</v>
      </c>
      <c r="E67" s="84" t="s">
        <v>345</v>
      </c>
      <c r="F67" s="84" t="s">
        <v>346</v>
      </c>
      <c r="G67" s="84" t="s">
        <v>347</v>
      </c>
      <c r="H67" s="84" t="s">
        <v>348</v>
      </c>
      <c r="I67" s="369" t="s">
        <v>179</v>
      </c>
      <c r="J67" s="231"/>
    </row>
    <row r="68" spans="1:11" ht="13.2">
      <c r="A68" s="553">
        <v>350</v>
      </c>
      <c r="B68" s="604"/>
      <c r="C68" s="604" t="s">
        <v>1584</v>
      </c>
      <c r="D68" s="626">
        <f>SUM(D60:D65)</f>
        <v>-10817147</v>
      </c>
      <c r="E68" s="626">
        <f>SUM(E60:E65)</f>
        <v>-10817147</v>
      </c>
      <c r="F68" s="618">
        <f>SUM(F60:F65)</f>
        <v>0</v>
      </c>
      <c r="G68" s="618">
        <f>SUM(G60:G65)</f>
        <v>0</v>
      </c>
      <c r="H68" s="618">
        <f>SUM(H60:H65)</f>
        <v>0</v>
      </c>
      <c r="I68" s="464" t="str">
        <f>"Sum of Above Lines beginning on Line "&amp;A60&amp;""</f>
        <v>Sum of Above Lines beginning on Line 300</v>
      </c>
      <c r="J68" s="240"/>
    </row>
    <row r="69" spans="1:11" ht="13.2">
      <c r="A69" s="553"/>
      <c r="B69" s="604"/>
      <c r="C69" s="604"/>
      <c r="D69" s="618"/>
      <c r="E69" s="618"/>
      <c r="F69" s="618"/>
      <c r="G69" s="618"/>
      <c r="H69" s="618"/>
      <c r="I69" s="464"/>
      <c r="J69" s="240"/>
    </row>
    <row r="70" spans="1:11" ht="13.2">
      <c r="A70" s="553">
        <f t="shared" ref="A70" si="4">A68+1</f>
        <v>351</v>
      </c>
      <c r="B70" s="604"/>
      <c r="C70" s="604" t="s">
        <v>1585</v>
      </c>
      <c r="D70" s="618">
        <f>+D68+D56</f>
        <v>1711569477</v>
      </c>
      <c r="E70" s="618">
        <f>+E68+E56</f>
        <v>1445988944.5398057</v>
      </c>
      <c r="F70" s="618">
        <f>+F68+F56</f>
        <v>0</v>
      </c>
      <c r="G70" s="618">
        <f>+G68+G56</f>
        <v>176284750.26724321</v>
      </c>
      <c r="H70" s="618">
        <f>+H68+H56</f>
        <v>89295782.192951187</v>
      </c>
      <c r="I70" s="1292" t="str">
        <f>"Line "&amp;A56&amp;" + Line "&amp;A68&amp;""</f>
        <v>Line 250 + Line 350</v>
      </c>
      <c r="J70" s="240"/>
    </row>
    <row r="71" spans="1:11" ht="13.2">
      <c r="A71" s="553">
        <f>+A70+1</f>
        <v>352</v>
      </c>
      <c r="B71" s="604"/>
      <c r="C71" s="604" t="s">
        <v>1629</v>
      </c>
      <c r="D71" s="618"/>
      <c r="E71" s="618"/>
      <c r="F71" s="618"/>
      <c r="G71" s="620">
        <f>'27-Allocators'!$G$27</f>
        <v>0.19148424914638884</v>
      </c>
      <c r="H71" s="620">
        <f>'27-Allocators'!$G$14</f>
        <v>6.0143362776597958E-2</v>
      </c>
      <c r="I71" s="735" t="str">
        <f>"27-Allocators Lines "&amp;'27-Allocators'!A27&amp;" and "&amp;'27-Allocators'!A14&amp;" respectively."</f>
        <v>27-Allocators Lines 22 and 9 respectively.</v>
      </c>
      <c r="J71" s="240"/>
    </row>
    <row r="72" spans="1:11" ht="13.2">
      <c r="A72" s="553">
        <f>+A71+1</f>
        <v>353</v>
      </c>
      <c r="B72" s="604"/>
      <c r="C72" s="604" t="s">
        <v>1630</v>
      </c>
      <c r="D72" s="618">
        <f>SUM(F72:H72)</f>
        <v>39126301.663732477</v>
      </c>
      <c r="E72" s="618"/>
      <c r="F72" s="621">
        <f>+F70</f>
        <v>0</v>
      </c>
      <c r="G72" s="621">
        <f>+G70*G71</f>
        <v>33755753.040881738</v>
      </c>
      <c r="H72" s="621">
        <f>+H70*H71</f>
        <v>5370548.6228507394</v>
      </c>
      <c r="I72" s="1292" t="str">
        <f>"Line "&amp;A70&amp;" * Line "&amp;A71&amp;" for Cols 5 and 6.  Col. 4 100% ISO."</f>
        <v>Line 351 * Line 352 for Cols 5 and 6.  Col. 4 100% ISO.</v>
      </c>
      <c r="J72" s="240"/>
    </row>
    <row r="73" spans="1:11" ht="13.2">
      <c r="A73" s="553"/>
      <c r="B73" s="604"/>
      <c r="C73" s="1293" t="s">
        <v>1632</v>
      </c>
      <c r="D73" s="618"/>
      <c r="E73" s="618"/>
      <c r="F73" s="618"/>
      <c r="G73" s="618"/>
      <c r="H73" s="618"/>
      <c r="I73" s="540"/>
      <c r="J73" s="231"/>
    </row>
    <row r="74" spans="1:11" ht="13.2">
      <c r="A74" s="553"/>
      <c r="B74" s="604"/>
      <c r="C74" s="604"/>
      <c r="D74" s="618"/>
      <c r="E74" s="618"/>
      <c r="F74" s="618"/>
      <c r="G74" s="618"/>
      <c r="H74" s="618"/>
      <c r="I74" s="540"/>
      <c r="J74" s="231"/>
    </row>
    <row r="75" spans="1:11">
      <c r="A75" s="553">
        <f>+A72+1</f>
        <v>354</v>
      </c>
      <c r="B75" s="604"/>
      <c r="C75" s="604" t="s">
        <v>1586</v>
      </c>
      <c r="D75" s="1009">
        <v>1711569477</v>
      </c>
      <c r="E75" s="1294" t="str">
        <f>"Must match amount on Line "&amp;A70&amp;", Col. 2"</f>
        <v>Must match amount on Line 351, Col. 2</v>
      </c>
      <c r="G75" s="618"/>
      <c r="H75" s="618"/>
      <c r="I75" s="540" t="s">
        <v>1232</v>
      </c>
      <c r="J75" s="231"/>
    </row>
    <row r="76" spans="1:11" ht="13.2">
      <c r="A76" s="571"/>
      <c r="B76" s="604"/>
      <c r="C76" s="604"/>
      <c r="D76" s="624"/>
      <c r="E76" s="624"/>
      <c r="F76" s="624"/>
      <c r="G76" s="624"/>
      <c r="H76" s="624"/>
      <c r="I76" s="541"/>
      <c r="J76" s="231"/>
    </row>
    <row r="77" spans="1:11" ht="13.2">
      <c r="A77" s="477"/>
      <c r="B77" s="603" t="s">
        <v>1587</v>
      </c>
      <c r="C77" s="625"/>
      <c r="D77" s="624"/>
      <c r="E77" s="231"/>
      <c r="F77" s="231"/>
      <c r="G77" s="231"/>
      <c r="H77" s="231"/>
      <c r="I77" s="231"/>
      <c r="J77" s="231"/>
    </row>
    <row r="78" spans="1:11">
      <c r="A78" s="477"/>
      <c r="C78" s="84" t="s">
        <v>360</v>
      </c>
      <c r="D78" s="84" t="s">
        <v>344</v>
      </c>
      <c r="E78" s="84" t="s">
        <v>345</v>
      </c>
      <c r="F78" s="84" t="s">
        <v>346</v>
      </c>
      <c r="G78" s="84" t="s">
        <v>347</v>
      </c>
      <c r="H78" s="84" t="s">
        <v>348</v>
      </c>
      <c r="I78" s="84" t="s">
        <v>349</v>
      </c>
      <c r="J78" s="231"/>
    </row>
    <row r="79" spans="1:11" ht="13.2">
      <c r="A79" s="477"/>
      <c r="B79" s="607"/>
      <c r="C79" s="607"/>
      <c r="D79" s="607" t="s">
        <v>1571</v>
      </c>
      <c r="E79" s="607" t="s">
        <v>1572</v>
      </c>
      <c r="F79" s="607"/>
      <c r="G79" s="607"/>
      <c r="H79" s="607" t="s">
        <v>1284</v>
      </c>
      <c r="I79" s="899" t="s">
        <v>1894</v>
      </c>
      <c r="J79" s="231"/>
    </row>
    <row r="80" spans="1:11" ht="13.2">
      <c r="A80" s="477"/>
      <c r="B80" s="610" t="s">
        <v>1588</v>
      </c>
      <c r="C80" s="610" t="s">
        <v>1574</v>
      </c>
      <c r="D80" s="610" t="s">
        <v>1575</v>
      </c>
      <c r="E80" s="610" t="s">
        <v>1576</v>
      </c>
      <c r="F80" s="610" t="s">
        <v>1577</v>
      </c>
      <c r="G80" s="610" t="s">
        <v>1578</v>
      </c>
      <c r="H80" s="610" t="s">
        <v>1568</v>
      </c>
      <c r="I80" s="610" t="s">
        <v>100</v>
      </c>
      <c r="J80" s="231"/>
    </row>
    <row r="81" spans="1:11" ht="13.2">
      <c r="A81" s="189">
        <v>400</v>
      </c>
      <c r="B81" s="1012">
        <v>282</v>
      </c>
      <c r="C81" s="1013" t="s">
        <v>2729</v>
      </c>
      <c r="D81" s="1014">
        <v>-1090207015</v>
      </c>
      <c r="E81" s="1010"/>
      <c r="F81" s="1010">
        <f>D81</f>
        <v>-1090207015</v>
      </c>
      <c r="G81" s="1010"/>
      <c r="H81" s="1010"/>
      <c r="I81" s="1011" t="s">
        <v>2730</v>
      </c>
      <c r="J81" s="1011"/>
    </row>
    <row r="82" spans="1:11" ht="13.2">
      <c r="A82" s="189">
        <f>A81+1</f>
        <v>401</v>
      </c>
      <c r="B82" s="1012">
        <v>282</v>
      </c>
      <c r="C82" s="1015" t="s">
        <v>2715</v>
      </c>
      <c r="D82" s="1014">
        <v>-5756860298</v>
      </c>
      <c r="E82" s="1010">
        <f>D82</f>
        <v>-5756860298</v>
      </c>
      <c r="F82" s="1010"/>
      <c r="G82" s="1010"/>
      <c r="H82" s="1010"/>
      <c r="I82" s="1011" t="s">
        <v>2731</v>
      </c>
      <c r="J82" s="1011"/>
    </row>
    <row r="83" spans="1:11" ht="13.2">
      <c r="A83" s="189">
        <f t="shared" ref="A83:A86" si="5">A82+1</f>
        <v>402</v>
      </c>
      <c r="B83" s="1012">
        <v>282</v>
      </c>
      <c r="C83" s="1013" t="s">
        <v>2732</v>
      </c>
      <c r="D83" s="1014">
        <v>-25491012</v>
      </c>
      <c r="E83" s="1010">
        <f t="shared" ref="E83:E86" si="6">D83</f>
        <v>-25491012</v>
      </c>
      <c r="F83" s="1010"/>
      <c r="G83" s="1010"/>
      <c r="H83" s="1010"/>
      <c r="I83" s="1011" t="s">
        <v>2733</v>
      </c>
      <c r="J83" s="1011"/>
    </row>
    <row r="84" spans="1:11" ht="13.2">
      <c r="A84" s="189">
        <f t="shared" si="5"/>
        <v>403</v>
      </c>
      <c r="B84" s="1012">
        <v>282</v>
      </c>
      <c r="C84" s="1013" t="s">
        <v>2734</v>
      </c>
      <c r="D84" s="1014">
        <v>-865727</v>
      </c>
      <c r="E84" s="1010">
        <f t="shared" si="6"/>
        <v>-865727</v>
      </c>
      <c r="F84" s="1010"/>
      <c r="G84" s="1010"/>
      <c r="H84" s="1010"/>
      <c r="I84" s="1011" t="s">
        <v>2735</v>
      </c>
      <c r="J84" s="1011"/>
    </row>
    <row r="85" spans="1:11" ht="13.2">
      <c r="A85" s="189">
        <f t="shared" si="5"/>
        <v>404</v>
      </c>
      <c r="B85" s="1012">
        <v>282</v>
      </c>
      <c r="C85" s="1015" t="s">
        <v>2736</v>
      </c>
      <c r="D85" s="1014">
        <v>-936176</v>
      </c>
      <c r="E85" s="1010">
        <f t="shared" si="6"/>
        <v>-936176</v>
      </c>
      <c r="F85" s="1010"/>
      <c r="G85" s="1010"/>
      <c r="H85" s="1010"/>
      <c r="I85" s="1011" t="s">
        <v>2727</v>
      </c>
      <c r="J85" s="1011"/>
    </row>
    <row r="86" spans="1:11" ht="13.2">
      <c r="A86" s="189">
        <f t="shared" si="5"/>
        <v>405</v>
      </c>
      <c r="B86" s="1012">
        <v>282</v>
      </c>
      <c r="C86" s="1015" t="s">
        <v>2737</v>
      </c>
      <c r="D86" s="1014">
        <v>-6492275</v>
      </c>
      <c r="E86" s="1010">
        <f t="shared" si="6"/>
        <v>-6492275</v>
      </c>
      <c r="F86" s="1010"/>
      <c r="G86" s="1010"/>
      <c r="H86" s="1010"/>
      <c r="I86" s="1011" t="s">
        <v>2728</v>
      </c>
      <c r="J86" s="1011"/>
    </row>
    <row r="87" spans="1:11" s="999" customFormat="1" ht="13.2">
      <c r="A87" s="1006">
        <f>A86+1</f>
        <v>406</v>
      </c>
      <c r="B87" s="1003" t="s">
        <v>510</v>
      </c>
      <c r="C87" s="1000"/>
      <c r="D87" s="1004"/>
      <c r="E87" s="1001"/>
      <c r="F87" s="1001"/>
      <c r="G87" s="1001"/>
      <c r="H87" s="1001"/>
      <c r="I87" s="1002"/>
      <c r="J87" s="1002"/>
      <c r="K87" s="14"/>
    </row>
    <row r="88" spans="1:11" ht="13.2">
      <c r="A88" s="571"/>
      <c r="B88" s="543"/>
      <c r="C88" s="479"/>
      <c r="D88" s="626"/>
      <c r="E88" s="235"/>
      <c r="F88" s="235"/>
      <c r="G88" s="235"/>
      <c r="H88" s="235"/>
      <c r="I88" s="240"/>
      <c r="J88" s="240"/>
    </row>
    <row r="89" spans="1:11" ht="13.2">
      <c r="A89" s="571"/>
      <c r="B89" s="543"/>
      <c r="C89" s="84" t="s">
        <v>360</v>
      </c>
      <c r="D89" s="84" t="s">
        <v>344</v>
      </c>
      <c r="E89" s="84" t="s">
        <v>345</v>
      </c>
      <c r="F89" s="84" t="s">
        <v>346</v>
      </c>
      <c r="G89" s="84" t="s">
        <v>347</v>
      </c>
      <c r="H89" s="84" t="s">
        <v>348</v>
      </c>
      <c r="I89" s="369" t="s">
        <v>179</v>
      </c>
      <c r="J89" s="240"/>
    </row>
    <row r="90" spans="1:11" ht="13.2">
      <c r="A90" s="111">
        <v>450</v>
      </c>
      <c r="B90" s="478"/>
      <c r="C90" s="477" t="s">
        <v>1628</v>
      </c>
      <c r="D90" s="618">
        <f>SUM(D81:D87)</f>
        <v>-6880852503</v>
      </c>
      <c r="E90" s="618">
        <f>SUM(E81:E87)</f>
        <v>-5790645488</v>
      </c>
      <c r="F90" s="618">
        <f>SUM(F81:F87)</f>
        <v>-1090207015</v>
      </c>
      <c r="G90" s="618">
        <f>SUM(G81:G87)</f>
        <v>0</v>
      </c>
      <c r="H90" s="618">
        <f>SUM(H81:H87)</f>
        <v>0</v>
      </c>
      <c r="I90" s="464" t="str">
        <f>"Sum of Above Lines beginning on Line "&amp;A81&amp;""</f>
        <v>Sum of Above Lines beginning on Line 400</v>
      </c>
      <c r="J90" s="231"/>
    </row>
    <row r="91" spans="1:11" ht="13.2">
      <c r="A91" s="553">
        <f>+A90+1</f>
        <v>451</v>
      </c>
      <c r="B91" s="604"/>
      <c r="C91" s="604" t="s">
        <v>1629</v>
      </c>
      <c r="D91" s="618"/>
      <c r="E91" s="618"/>
      <c r="F91" s="618"/>
      <c r="G91" s="620">
        <f>'27-Allocators'!$G$27</f>
        <v>0.19148424914638884</v>
      </c>
      <c r="H91" s="620">
        <f>'27-Allocators'!$G$14</f>
        <v>6.0143362776597958E-2</v>
      </c>
      <c r="I91" s="735" t="str">
        <f>"27-Allocators Lines "&amp;'27-Allocators'!A27&amp;" and "&amp;'27-Allocators'!A14&amp;" respectively."</f>
        <v>27-Allocators Lines 22 and 9 respectively.</v>
      </c>
      <c r="J91" s="231"/>
    </row>
    <row r="92" spans="1:11" ht="13.2">
      <c r="A92" s="553">
        <f>+A91+1</f>
        <v>452</v>
      </c>
      <c r="B92" s="604"/>
      <c r="C92" s="604" t="s">
        <v>1631</v>
      </c>
      <c r="D92" s="618">
        <f>SUM(F92:H92)</f>
        <v>-1090207015</v>
      </c>
      <c r="E92" s="618"/>
      <c r="F92" s="621">
        <f>+F90</f>
        <v>-1090207015</v>
      </c>
      <c r="G92" s="621">
        <f>+G90*G91</f>
        <v>0</v>
      </c>
      <c r="H92" s="621">
        <f>+H90*H91</f>
        <v>0</v>
      </c>
      <c r="I92" s="1292" t="str">
        <f>"Line "&amp;A90&amp;" * Line "&amp;A91&amp;" for Cols 5 and 6.  Col. 4 100% ISO."</f>
        <v>Line 450 * Line 451 for Cols 5 and 6.  Col. 4 100% ISO.</v>
      </c>
      <c r="J92" s="231"/>
    </row>
    <row r="93" spans="1:11" ht="13.2">
      <c r="A93" s="553"/>
      <c r="B93" s="604"/>
      <c r="C93" s="622" t="s">
        <v>1632</v>
      </c>
      <c r="D93" s="618"/>
      <c r="E93" s="618"/>
      <c r="F93" s="618"/>
      <c r="G93" s="618"/>
      <c r="H93" s="618"/>
      <c r="I93" s="540"/>
      <c r="J93" s="231"/>
    </row>
    <row r="94" spans="1:11" ht="13.2">
      <c r="A94" s="111"/>
      <c r="B94" s="478"/>
      <c r="C94" s="477"/>
      <c r="D94" s="618"/>
      <c r="E94" s="618"/>
      <c r="F94" s="618"/>
      <c r="G94" s="618"/>
      <c r="H94" s="618"/>
      <c r="I94" s="246"/>
      <c r="J94" s="231"/>
    </row>
    <row r="95" spans="1:11" ht="13.2">
      <c r="A95" s="111">
        <f>+A92+1</f>
        <v>453</v>
      </c>
      <c r="B95" s="478"/>
      <c r="C95" s="604" t="s">
        <v>1589</v>
      </c>
      <c r="D95" s="1009">
        <v>6880852503</v>
      </c>
      <c r="E95" s="1294" t="str">
        <f>"Must match amount on Line "&amp;A90&amp;", Col. 2"</f>
        <v>Must match amount on Line 450, Col. 2</v>
      </c>
      <c r="F95" s="618"/>
      <c r="G95" s="618"/>
      <c r="H95" s="618"/>
      <c r="I95" s="246" t="s">
        <v>1590</v>
      </c>
      <c r="J95" s="231"/>
    </row>
    <row r="96" spans="1:11" ht="13.2">
      <c r="A96" s="571"/>
      <c r="B96" s="478"/>
      <c r="C96" s="477"/>
      <c r="D96" s="618"/>
      <c r="E96" s="618"/>
      <c r="F96" s="618"/>
      <c r="G96" s="618"/>
      <c r="H96" s="618"/>
      <c r="I96" s="246"/>
      <c r="J96" s="231"/>
    </row>
    <row r="97" spans="1:10" ht="13.2">
      <c r="A97" s="571"/>
      <c r="B97" s="478"/>
      <c r="C97" s="477"/>
      <c r="D97" s="618"/>
      <c r="E97" s="618"/>
      <c r="F97" s="618"/>
      <c r="G97" s="618"/>
      <c r="H97" s="618"/>
      <c r="I97" s="541"/>
      <c r="J97" s="231"/>
    </row>
    <row r="98" spans="1:10" ht="13.2">
      <c r="A98" s="477"/>
      <c r="B98" s="603" t="s">
        <v>1591</v>
      </c>
      <c r="C98" s="627"/>
      <c r="D98" s="618"/>
      <c r="E98" s="233"/>
      <c r="F98" s="233"/>
      <c r="G98" s="233"/>
      <c r="H98" s="233"/>
      <c r="I98" s="231"/>
      <c r="J98" s="231"/>
    </row>
    <row r="99" spans="1:10" ht="13.2">
      <c r="A99" s="477"/>
      <c r="B99" s="603"/>
      <c r="C99" s="84" t="s">
        <v>360</v>
      </c>
      <c r="D99" s="84" t="s">
        <v>344</v>
      </c>
      <c r="E99" s="84" t="s">
        <v>345</v>
      </c>
      <c r="F99" s="84" t="s">
        <v>346</v>
      </c>
      <c r="G99" s="84" t="s">
        <v>347</v>
      </c>
      <c r="H99" s="84" t="s">
        <v>348</v>
      </c>
      <c r="I99" s="84" t="s">
        <v>349</v>
      </c>
      <c r="J99" s="231"/>
    </row>
    <row r="100" spans="1:10" ht="13.2">
      <c r="A100" s="477"/>
      <c r="B100" s="607"/>
      <c r="C100" s="607"/>
      <c r="D100" s="628" t="s">
        <v>1571</v>
      </c>
      <c r="E100" s="628" t="s">
        <v>1572</v>
      </c>
      <c r="F100" s="628"/>
      <c r="G100" s="628"/>
      <c r="H100" s="628" t="s">
        <v>1284</v>
      </c>
      <c r="I100" s="899" t="s">
        <v>1894</v>
      </c>
      <c r="J100" s="231"/>
    </row>
    <row r="101" spans="1:10" ht="13.2">
      <c r="A101" s="477"/>
      <c r="B101" s="610" t="s">
        <v>1592</v>
      </c>
      <c r="C101" s="610" t="s">
        <v>1574</v>
      </c>
      <c r="D101" s="629" t="s">
        <v>1575</v>
      </c>
      <c r="E101" s="629" t="s">
        <v>1576</v>
      </c>
      <c r="F101" s="629" t="s">
        <v>1577</v>
      </c>
      <c r="G101" s="629" t="s">
        <v>1578</v>
      </c>
      <c r="H101" s="629" t="s">
        <v>1568</v>
      </c>
      <c r="I101" s="610" t="s">
        <v>100</v>
      </c>
      <c r="J101" s="231"/>
    </row>
    <row r="102" spans="1:10" ht="13.2">
      <c r="A102" s="571"/>
      <c r="B102" s="604" t="s">
        <v>1580</v>
      </c>
      <c r="C102" s="231"/>
      <c r="D102" s="233"/>
      <c r="E102" s="233"/>
      <c r="F102" s="233"/>
      <c r="G102" s="233"/>
      <c r="H102" s="233"/>
      <c r="I102" s="231"/>
      <c r="J102" s="231"/>
    </row>
    <row r="103" spans="1:10" ht="13.2">
      <c r="A103" s="189">
        <v>500</v>
      </c>
      <c r="B103" s="1012">
        <v>283</v>
      </c>
      <c r="C103" s="1015" t="s">
        <v>2738</v>
      </c>
      <c r="D103" s="733">
        <v>-42051267</v>
      </c>
      <c r="E103" s="1010"/>
      <c r="F103" s="1010"/>
      <c r="G103" s="1010">
        <f>D103</f>
        <v>-42051267</v>
      </c>
      <c r="H103" s="1010"/>
      <c r="I103" s="1011" t="s">
        <v>2739</v>
      </c>
      <c r="J103" s="1002"/>
    </row>
    <row r="104" spans="1:10" ht="13.2">
      <c r="A104" s="189">
        <f t="shared" ref="A104:A111" si="7">A103+1</f>
        <v>501</v>
      </c>
      <c r="B104" s="1012">
        <v>283</v>
      </c>
      <c r="C104" s="1015" t="s">
        <v>2740</v>
      </c>
      <c r="D104" s="733">
        <v>-39655122</v>
      </c>
      <c r="E104" s="1010">
        <f>D104*$G$180</f>
        <v>-30927.326836489832</v>
      </c>
      <c r="F104" s="1010"/>
      <c r="G104" s="1010">
        <f>D104-E104</f>
        <v>-39624194.673163511</v>
      </c>
      <c r="H104" s="1010"/>
      <c r="I104" s="1011" t="s">
        <v>2698</v>
      </c>
      <c r="J104" s="1002"/>
    </row>
    <row r="105" spans="1:10" ht="13.2">
      <c r="A105" s="189">
        <f t="shared" si="7"/>
        <v>502</v>
      </c>
      <c r="B105" s="1012">
        <v>283</v>
      </c>
      <c r="C105" s="1015" t="s">
        <v>2741</v>
      </c>
      <c r="D105" s="733">
        <v>-1149642</v>
      </c>
      <c r="E105" s="1247">
        <f>D105*$G$172</f>
        <v>-3293.9845106411753</v>
      </c>
      <c r="F105" s="1010"/>
      <c r="G105" s="1010"/>
      <c r="H105" s="1010">
        <f>D105-E105</f>
        <v>-1146348.0154893589</v>
      </c>
      <c r="I105" s="1011" t="s">
        <v>2700</v>
      </c>
      <c r="J105" s="1002"/>
    </row>
    <row r="106" spans="1:10" ht="13.2">
      <c r="A106" s="189">
        <f t="shared" si="7"/>
        <v>503</v>
      </c>
      <c r="B106" s="1012">
        <v>283</v>
      </c>
      <c r="C106" s="1015" t="s">
        <v>2710</v>
      </c>
      <c r="D106" s="733">
        <v>-158026051</v>
      </c>
      <c r="E106" s="1010">
        <f>D106</f>
        <v>-158026051</v>
      </c>
      <c r="F106" s="1010"/>
      <c r="G106" s="1010"/>
      <c r="H106" s="1010"/>
      <c r="I106" s="1011" t="s">
        <v>2711</v>
      </c>
      <c r="J106" s="1002"/>
    </row>
    <row r="107" spans="1:10" ht="13.2">
      <c r="A107" s="189">
        <f t="shared" si="7"/>
        <v>504</v>
      </c>
      <c r="B107" s="1012">
        <v>283</v>
      </c>
      <c r="C107" s="1015" t="s">
        <v>2742</v>
      </c>
      <c r="D107" s="733">
        <v>0</v>
      </c>
      <c r="E107" s="1010">
        <f>D107</f>
        <v>0</v>
      </c>
      <c r="F107" s="1010"/>
      <c r="G107" s="1010"/>
      <c r="H107" s="1010"/>
      <c r="I107" s="1011" t="s">
        <v>2733</v>
      </c>
      <c r="J107" s="1002"/>
    </row>
    <row r="108" spans="1:10" ht="13.2">
      <c r="A108" s="189">
        <f t="shared" si="7"/>
        <v>505</v>
      </c>
      <c r="B108" s="1012">
        <v>283</v>
      </c>
      <c r="C108" s="1015" t="s">
        <v>2708</v>
      </c>
      <c r="D108" s="733">
        <v>-422955253</v>
      </c>
      <c r="E108" s="1010">
        <f>D108</f>
        <v>-422955253</v>
      </c>
      <c r="F108" s="1010"/>
      <c r="G108" s="1010"/>
      <c r="H108" s="1010"/>
      <c r="I108" s="1011" t="s">
        <v>2709</v>
      </c>
      <c r="J108" s="1002"/>
    </row>
    <row r="109" spans="1:10" ht="13.2">
      <c r="A109" s="189">
        <f t="shared" si="7"/>
        <v>506</v>
      </c>
      <c r="B109" s="1012">
        <v>283</v>
      </c>
      <c r="C109" s="1015" t="s">
        <v>2715</v>
      </c>
      <c r="D109" s="733">
        <v>0</v>
      </c>
      <c r="E109" s="1010">
        <f>D109</f>
        <v>0</v>
      </c>
      <c r="F109" s="1010"/>
      <c r="G109" s="1010"/>
      <c r="H109" s="1010"/>
      <c r="I109" s="1011" t="s">
        <v>2731</v>
      </c>
      <c r="J109" s="1002"/>
    </row>
    <row r="110" spans="1:10" ht="13.2">
      <c r="A110" s="1006">
        <f t="shared" si="7"/>
        <v>507</v>
      </c>
      <c r="B110" s="1012">
        <v>283</v>
      </c>
      <c r="C110" s="1015" t="s">
        <v>2717</v>
      </c>
      <c r="D110" s="733">
        <v>0</v>
      </c>
      <c r="E110" s="1010">
        <f t="shared" ref="E110" si="8">D110</f>
        <v>0</v>
      </c>
      <c r="F110" s="1010"/>
      <c r="G110" s="1010"/>
      <c r="H110" s="1010"/>
      <c r="I110" s="1011" t="s">
        <v>2718</v>
      </c>
      <c r="J110" s="1002"/>
    </row>
    <row r="111" spans="1:10" ht="13.2">
      <c r="A111" s="189">
        <f t="shared" si="7"/>
        <v>508</v>
      </c>
      <c r="B111" s="1012">
        <v>283</v>
      </c>
      <c r="C111" s="1015" t="s">
        <v>2719</v>
      </c>
      <c r="D111" s="733">
        <v>-83907538</v>
      </c>
      <c r="E111" s="1039">
        <f>D111</f>
        <v>-83907538</v>
      </c>
      <c r="F111" s="1010"/>
      <c r="G111" s="1010"/>
      <c r="H111" s="1010"/>
      <c r="I111" s="1011" t="s">
        <v>2743</v>
      </c>
      <c r="J111" s="1002"/>
    </row>
    <row r="112" spans="1:10" ht="13.2">
      <c r="A112" s="111"/>
      <c r="B112" s="546"/>
      <c r="C112" s="547"/>
      <c r="D112" s="548"/>
      <c r="E112" s="235"/>
      <c r="F112" s="235"/>
      <c r="G112" s="235"/>
      <c r="H112" s="235"/>
      <c r="I112" s="240"/>
      <c r="J112" s="240"/>
    </row>
    <row r="113" spans="1:11" ht="13.2">
      <c r="A113" s="111"/>
      <c r="B113" s="603" t="s">
        <v>1593</v>
      </c>
      <c r="C113" s="627"/>
      <c r="D113" s="618"/>
      <c r="E113" s="233"/>
      <c r="F113" s="233"/>
      <c r="G113" s="233"/>
      <c r="H113" s="233"/>
      <c r="I113" s="231"/>
      <c r="J113" s="240"/>
    </row>
    <row r="114" spans="1:11" ht="13.2">
      <c r="A114" s="111"/>
      <c r="B114" s="603"/>
      <c r="C114" s="84" t="s">
        <v>360</v>
      </c>
      <c r="D114" s="84" t="s">
        <v>344</v>
      </c>
      <c r="E114" s="84" t="s">
        <v>345</v>
      </c>
      <c r="F114" s="84" t="s">
        <v>346</v>
      </c>
      <c r="G114" s="84" t="s">
        <v>347</v>
      </c>
      <c r="H114" s="84" t="s">
        <v>348</v>
      </c>
      <c r="I114" s="84" t="s">
        <v>349</v>
      </c>
      <c r="J114" s="240"/>
    </row>
    <row r="115" spans="1:11" ht="13.2">
      <c r="A115" s="111"/>
      <c r="B115" s="607"/>
      <c r="C115" s="607"/>
      <c r="D115" s="628" t="s">
        <v>1571</v>
      </c>
      <c r="E115" s="628" t="s">
        <v>1572</v>
      </c>
      <c r="F115" s="628"/>
      <c r="G115" s="628"/>
      <c r="H115" s="628" t="s">
        <v>1284</v>
      </c>
      <c r="I115" s="899" t="s">
        <v>1894</v>
      </c>
      <c r="J115" s="240"/>
    </row>
    <row r="116" spans="1:11" ht="13.2">
      <c r="A116" s="111"/>
      <c r="B116" s="610" t="s">
        <v>1592</v>
      </c>
      <c r="C116" s="610" t="s">
        <v>1574</v>
      </c>
      <c r="D116" s="629" t="s">
        <v>1575</v>
      </c>
      <c r="E116" s="629" t="s">
        <v>1576</v>
      </c>
      <c r="F116" s="629" t="s">
        <v>1577</v>
      </c>
      <c r="G116" s="629" t="s">
        <v>1578</v>
      </c>
      <c r="H116" s="629" t="s">
        <v>1568</v>
      </c>
      <c r="I116" s="610" t="s">
        <v>100</v>
      </c>
      <c r="J116" s="240"/>
    </row>
    <row r="117" spans="1:11" ht="13.2">
      <c r="A117" s="111"/>
      <c r="B117" s="604" t="s">
        <v>1594</v>
      </c>
      <c r="C117" s="607"/>
      <c r="D117" s="628"/>
      <c r="E117" s="628"/>
      <c r="F117" s="628"/>
      <c r="G117" s="628"/>
      <c r="H117" s="628"/>
      <c r="I117" s="607"/>
      <c r="J117" s="240"/>
    </row>
    <row r="118" spans="1:11" ht="13.2">
      <c r="A118" s="1006">
        <f>A111+1</f>
        <v>509</v>
      </c>
      <c r="B118" s="1008" t="s">
        <v>510</v>
      </c>
      <c r="C118" s="544"/>
      <c r="D118" s="545"/>
      <c r="E118" s="1040"/>
      <c r="F118" s="1007"/>
      <c r="G118" s="1007"/>
      <c r="H118" s="1007"/>
      <c r="I118" s="1002"/>
      <c r="J118" s="1002"/>
    </row>
    <row r="119" spans="1:11" ht="13.2">
      <c r="A119" s="111"/>
      <c r="B119" s="549"/>
      <c r="C119" s="550"/>
      <c r="D119" s="480"/>
      <c r="E119" s="235"/>
      <c r="F119" s="235"/>
      <c r="G119" s="235"/>
      <c r="H119" s="235"/>
      <c r="I119" s="240"/>
      <c r="J119" s="240"/>
    </row>
    <row r="120" spans="1:11" ht="13.2">
      <c r="A120" s="111">
        <v>650</v>
      </c>
      <c r="B120" s="550"/>
      <c r="C120" s="550" t="s">
        <v>1595</v>
      </c>
      <c r="D120" s="480">
        <f>SUM(D103:D111)+SUM(D118:D118)</f>
        <v>-747744873</v>
      </c>
      <c r="E120" s="480">
        <f>SUM(E103:E111)+SUM(E118:E118)</f>
        <v>-664923063.31134713</v>
      </c>
      <c r="F120" s="480">
        <f>SUM(F103:F111)+SUM(F118:F118)</f>
        <v>0</v>
      </c>
      <c r="G120" s="480">
        <f>SUM(G103:G111)+SUM(G118:G118)</f>
        <v>-81675461.673163503</v>
      </c>
      <c r="H120" s="480">
        <f>SUM(H103:H111)+SUM(H118:H118)</f>
        <v>-1146348.0154893589</v>
      </c>
      <c r="I120" s="464" t="str">
        <f>"Sum of Above Lines beginning on Line "&amp;A103&amp;""</f>
        <v>Sum of Above Lines beginning on Line 500</v>
      </c>
      <c r="J120" s="231"/>
    </row>
    <row r="121" spans="1:11" ht="13.2">
      <c r="A121" s="111"/>
      <c r="B121" s="550"/>
      <c r="C121" s="550"/>
      <c r="D121" s="480"/>
      <c r="E121" s="480"/>
      <c r="F121" s="480"/>
      <c r="G121" s="480"/>
      <c r="H121" s="480"/>
      <c r="I121" s="541"/>
      <c r="J121" s="231"/>
    </row>
    <row r="122" spans="1:11" ht="13.2">
      <c r="A122" s="571"/>
      <c r="B122" s="614" t="s">
        <v>1723</v>
      </c>
      <c r="C122" s="550"/>
      <c r="D122" s="480"/>
      <c r="E122" s="233"/>
      <c r="F122" s="233"/>
      <c r="G122" s="233"/>
      <c r="H122" s="233"/>
      <c r="I122" s="899" t="s">
        <v>1894</v>
      </c>
      <c r="J122" s="231"/>
    </row>
    <row r="123" spans="1:11">
      <c r="A123" s="571"/>
      <c r="C123" s="84" t="s">
        <v>360</v>
      </c>
      <c r="D123" s="84" t="s">
        <v>344</v>
      </c>
      <c r="E123" s="84" t="s">
        <v>345</v>
      </c>
      <c r="F123" s="84" t="s">
        <v>346</v>
      </c>
      <c r="G123" s="84" t="s">
        <v>347</v>
      </c>
      <c r="H123" s="84" t="s">
        <v>348</v>
      </c>
      <c r="I123" s="84" t="s">
        <v>349</v>
      </c>
      <c r="J123" s="231"/>
    </row>
    <row r="124" spans="1:11" s="999" customFormat="1" ht="13.2">
      <c r="A124" s="1006">
        <v>700</v>
      </c>
      <c r="B124" s="1012">
        <v>283</v>
      </c>
      <c r="C124" s="1015" t="s">
        <v>2723</v>
      </c>
      <c r="D124" s="734">
        <v>-61716</v>
      </c>
      <c r="E124" s="1010">
        <f>D124</f>
        <v>-61716</v>
      </c>
      <c r="F124" s="1010"/>
      <c r="G124" s="1010"/>
      <c r="H124" s="1010"/>
      <c r="I124" s="1011" t="s">
        <v>2727</v>
      </c>
      <c r="J124" s="1011"/>
      <c r="K124" s="14"/>
    </row>
    <row r="125" spans="1:11" s="999" customFormat="1" ht="13.2">
      <c r="A125" s="1041">
        <f>A124+1</f>
        <v>701</v>
      </c>
      <c r="B125" s="1012">
        <v>283</v>
      </c>
      <c r="C125" s="1015" t="s">
        <v>2725</v>
      </c>
      <c r="D125" s="734">
        <v>-4351620</v>
      </c>
      <c r="E125" s="1010">
        <f>D125</f>
        <v>-4351620</v>
      </c>
      <c r="F125" s="1010"/>
      <c r="G125" s="1010"/>
      <c r="H125" s="1010"/>
      <c r="I125" s="1011" t="s">
        <v>2728</v>
      </c>
      <c r="J125" s="1011"/>
      <c r="K125" s="14"/>
    </row>
    <row r="126" spans="1:11" ht="13.2">
      <c r="A126" s="1041">
        <f>A125+1</f>
        <v>702</v>
      </c>
      <c r="B126" s="1042" t="s">
        <v>510</v>
      </c>
      <c r="C126" s="1015"/>
      <c r="D126" s="734"/>
      <c r="E126" s="1039"/>
      <c r="F126" s="1039"/>
      <c r="G126" s="1039"/>
      <c r="H126" s="1039"/>
      <c r="I126" s="1043"/>
      <c r="J126" s="1043"/>
    </row>
    <row r="127" spans="1:11" ht="13.2">
      <c r="A127" s="111"/>
      <c r="B127" s="546"/>
      <c r="C127" s="547"/>
      <c r="D127" s="548"/>
      <c r="E127" s="235"/>
      <c r="F127" s="235"/>
      <c r="G127" s="235"/>
      <c r="H127" s="235"/>
      <c r="I127" s="240"/>
      <c r="J127" s="240"/>
    </row>
    <row r="128" spans="1:11" ht="13.2">
      <c r="A128" s="111"/>
      <c r="B128" s="550"/>
      <c r="C128" s="84" t="s">
        <v>360</v>
      </c>
      <c r="D128" s="84" t="s">
        <v>344</v>
      </c>
      <c r="E128" s="84" t="s">
        <v>345</v>
      </c>
      <c r="F128" s="84" t="s">
        <v>346</v>
      </c>
      <c r="G128" s="84" t="s">
        <v>347</v>
      </c>
      <c r="H128" s="84" t="s">
        <v>348</v>
      </c>
      <c r="I128" s="369" t="s">
        <v>179</v>
      </c>
      <c r="J128" s="231"/>
    </row>
    <row r="129" spans="1:11" ht="13.2">
      <c r="A129" s="111">
        <v>800</v>
      </c>
      <c r="B129" s="231"/>
      <c r="C129" s="479" t="s">
        <v>1596</v>
      </c>
      <c r="D129" s="480">
        <f>SUM(D124:D126)</f>
        <v>-4413336</v>
      </c>
      <c r="E129" s="480">
        <f>SUM(E124:E126)</f>
        <v>-4413336</v>
      </c>
      <c r="F129" s="480">
        <f>SUM(F124:F126)</f>
        <v>0</v>
      </c>
      <c r="G129" s="480">
        <f>SUM(G124:G126)</f>
        <v>0</v>
      </c>
      <c r="H129" s="480">
        <f>SUM(H124:H126)</f>
        <v>0</v>
      </c>
      <c r="I129" s="464" t="str">
        <f>"Sum of Above Lines beginning on Line "&amp;A124&amp;""</f>
        <v>Sum of Above Lines beginning on Line 700</v>
      </c>
      <c r="J129" s="240"/>
    </row>
    <row r="130" spans="1:11" ht="13.2">
      <c r="A130" s="111"/>
      <c r="B130" s="231"/>
      <c r="C130" s="479"/>
      <c r="D130" s="480"/>
      <c r="E130" s="480"/>
      <c r="F130" s="480"/>
      <c r="G130" s="480"/>
      <c r="H130" s="480"/>
      <c r="I130" s="464"/>
      <c r="J130" s="240"/>
    </row>
    <row r="131" spans="1:11" ht="13.2">
      <c r="A131" s="111">
        <f>A129+1</f>
        <v>801</v>
      </c>
      <c r="B131" s="231"/>
      <c r="C131" s="479" t="s">
        <v>1597</v>
      </c>
      <c r="D131" s="480">
        <f>D120+D129</f>
        <v>-752158209</v>
      </c>
      <c r="E131" s="480">
        <f>E120+E129</f>
        <v>-669336399.31134713</v>
      </c>
      <c r="F131" s="480">
        <f>F120+F129</f>
        <v>0</v>
      </c>
      <c r="G131" s="480">
        <f>G120+G129</f>
        <v>-81675461.673163503</v>
      </c>
      <c r="H131" s="480">
        <f>H120+H129</f>
        <v>-1146348.0154893589</v>
      </c>
      <c r="I131" s="1292" t="str">
        <f>"Line "&amp;A120&amp;" + Line "&amp;A129&amp;""</f>
        <v>Line 650 + Line 800</v>
      </c>
      <c r="J131" s="240"/>
    </row>
    <row r="132" spans="1:11" ht="13.2">
      <c r="A132" s="553">
        <f>+A131+1</f>
        <v>802</v>
      </c>
      <c r="B132" s="604"/>
      <c r="C132" s="604" t="s">
        <v>1629</v>
      </c>
      <c r="D132" s="965"/>
      <c r="E132" s="965"/>
      <c r="F132" s="618"/>
      <c r="G132" s="620">
        <f>'27-Allocators'!$G$27</f>
        <v>0.19148424914638884</v>
      </c>
      <c r="H132" s="620">
        <f>'27-Allocators'!$G$14</f>
        <v>6.0143362776597958E-2</v>
      </c>
      <c r="I132" s="735" t="str">
        <f>"27-Allocators Lines "&amp;'27-Allocators'!A27&amp;" and "&amp;'27-Allocators'!A14&amp;" respectively."</f>
        <v>27-Allocators Lines 22 and 9 respectively.</v>
      </c>
      <c r="J132" s="240"/>
    </row>
    <row r="133" spans="1:11" ht="13.2">
      <c r="A133" s="553">
        <f>+A132+1</f>
        <v>803</v>
      </c>
      <c r="B133" s="604"/>
      <c r="C133" s="604" t="s">
        <v>1633</v>
      </c>
      <c r="D133" s="626">
        <f>SUM(F133:H133)</f>
        <v>-15708509.676734183</v>
      </c>
      <c r="E133" s="618"/>
      <c r="F133" s="621">
        <f>+F131</f>
        <v>0</v>
      </c>
      <c r="G133" s="621">
        <f>+G131*G132</f>
        <v>-15639564.452170374</v>
      </c>
      <c r="H133" s="1026">
        <f>+H131*H132</f>
        <v>-68945.22456380965</v>
      </c>
      <c r="I133" s="1292" t="str">
        <f>"Line "&amp;A131&amp;" * Line "&amp;A132&amp;" for Cols 5 and 6.  Col. 4 100% ISO."</f>
        <v>Line 801 * Line 802 for Cols 5 and 6.  Col. 4 100% ISO.</v>
      </c>
      <c r="J133" s="240"/>
    </row>
    <row r="134" spans="1:11" ht="13.2">
      <c r="A134" s="111"/>
      <c r="B134" s="231"/>
      <c r="C134" s="1293" t="s">
        <v>1632</v>
      </c>
      <c r="D134" s="480"/>
      <c r="E134" s="480"/>
      <c r="F134" s="480"/>
      <c r="G134" s="480"/>
      <c r="H134" s="480"/>
      <c r="I134" s="540"/>
      <c r="J134" s="233"/>
    </row>
    <row r="135" spans="1:11" ht="13.2">
      <c r="A135" s="111"/>
      <c r="B135" s="231"/>
      <c r="C135" s="479"/>
      <c r="D135" s="480"/>
      <c r="E135" s="480"/>
      <c r="F135" s="480"/>
      <c r="G135" s="480"/>
      <c r="H135" s="480"/>
      <c r="I135" s="540"/>
      <c r="J135" s="231"/>
    </row>
    <row r="136" spans="1:11">
      <c r="A136" s="111">
        <f>A133+1</f>
        <v>804</v>
      </c>
      <c r="C136" s="604" t="s">
        <v>1623</v>
      </c>
      <c r="D136" s="1009">
        <v>752158209</v>
      </c>
      <c r="E136" s="1294" t="str">
        <f>"Must match amount on Line "&amp;A131&amp;", Col. 2"</f>
        <v>Must match amount on Line 801, Col. 2</v>
      </c>
      <c r="F136" s="618"/>
      <c r="G136" s="618"/>
      <c r="H136" s="618"/>
      <c r="I136" s="246" t="s">
        <v>1228</v>
      </c>
    </row>
    <row r="137" spans="1:11" s="999" customFormat="1">
      <c r="A137" s="111"/>
      <c r="B137" s="535"/>
      <c r="C137" s="604"/>
      <c r="D137" s="623"/>
      <c r="E137" s="623"/>
      <c r="F137" s="618"/>
      <c r="G137" s="618"/>
      <c r="H137" s="618"/>
      <c r="I137" s="246"/>
      <c r="J137" s="535"/>
      <c r="K137" s="14"/>
    </row>
    <row r="138" spans="1:11" s="999" customFormat="1">
      <c r="A138" s="111"/>
      <c r="B138" s="1" t="s">
        <v>2790</v>
      </c>
      <c r="C138" s="604"/>
      <c r="D138" s="623"/>
      <c r="E138" s="623"/>
      <c r="F138" s="618"/>
      <c r="G138" s="618"/>
      <c r="H138" s="618"/>
      <c r="I138" s="481"/>
      <c r="J138" s="555"/>
      <c r="K138" s="14"/>
    </row>
    <row r="139" spans="1:11" s="999" customFormat="1">
      <c r="A139" s="111"/>
      <c r="B139" s="555"/>
      <c r="C139" s="604"/>
      <c r="D139" s="623"/>
      <c r="E139" s="623"/>
      <c r="F139" s="618"/>
      <c r="G139" s="618"/>
      <c r="H139" s="618"/>
      <c r="I139" s="481"/>
      <c r="J139" s="555"/>
      <c r="K139" s="14"/>
    </row>
    <row r="140" spans="1:11" s="999" customFormat="1">
      <c r="A140" s="111"/>
      <c r="B140" s="555"/>
      <c r="C140" s="359" t="s">
        <v>360</v>
      </c>
      <c r="D140" s="359" t="s">
        <v>344</v>
      </c>
      <c r="E140" s="359" t="s">
        <v>345</v>
      </c>
      <c r="F140" s="359" t="s">
        <v>346</v>
      </c>
      <c r="G140" s="359" t="s">
        <v>347</v>
      </c>
      <c r="H140" s="359" t="s">
        <v>348</v>
      </c>
      <c r="I140" s="359" t="s">
        <v>349</v>
      </c>
      <c r="J140" s="359" t="s">
        <v>541</v>
      </c>
      <c r="K140" s="14"/>
    </row>
    <row r="141" spans="1:11" s="999" customFormat="1">
      <c r="A141" s="111"/>
      <c r="B141" s="555"/>
      <c r="C141" s="604"/>
      <c r="D141" s="1150" t="s">
        <v>212</v>
      </c>
      <c r="E141" s="1150" t="s">
        <v>211</v>
      </c>
      <c r="F141" s="618"/>
      <c r="G141" s="618"/>
      <c r="H141" s="1150" t="s">
        <v>2480</v>
      </c>
      <c r="I141" s="1151" t="s">
        <v>2481</v>
      </c>
      <c r="J141" s="1150" t="s">
        <v>283</v>
      </c>
      <c r="K141" s="14"/>
    </row>
    <row r="142" spans="1:11" s="999" customFormat="1">
      <c r="A142" s="111"/>
      <c r="B142" s="555"/>
      <c r="C142" s="604"/>
      <c r="D142" s="623"/>
      <c r="E142" s="623"/>
      <c r="F142" s="618"/>
      <c r="G142" s="618"/>
      <c r="H142" s="618"/>
      <c r="I142" s="481"/>
      <c r="J142" s="555"/>
      <c r="K142" s="14"/>
    </row>
    <row r="143" spans="1:11" s="999" customFormat="1">
      <c r="A143" s="111"/>
      <c r="B143" s="555"/>
      <c r="C143" s="643"/>
      <c r="D143" s="1150" t="s">
        <v>2482</v>
      </c>
      <c r="E143" s="1150" t="s">
        <v>2483</v>
      </c>
      <c r="F143" s="1150"/>
      <c r="G143" s="1150" t="s">
        <v>2484</v>
      </c>
      <c r="H143" s="1150" t="s">
        <v>2485</v>
      </c>
      <c r="I143" s="571" t="s">
        <v>2486</v>
      </c>
      <c r="J143" s="571" t="s">
        <v>2487</v>
      </c>
      <c r="K143" s="14"/>
    </row>
    <row r="144" spans="1:11" s="999" customFormat="1">
      <c r="A144" s="111"/>
      <c r="B144" s="555"/>
      <c r="C144" s="643" t="s">
        <v>2488</v>
      </c>
      <c r="D144" s="1152" t="s">
        <v>2489</v>
      </c>
      <c r="E144" s="1152" t="s">
        <v>2490</v>
      </c>
      <c r="F144" s="1152" t="s">
        <v>2491</v>
      </c>
      <c r="G144" s="1152" t="s">
        <v>2492</v>
      </c>
      <c r="H144" s="1152" t="s">
        <v>2493</v>
      </c>
      <c r="I144" s="3" t="s">
        <v>2494</v>
      </c>
      <c r="J144" s="3" t="s">
        <v>2495</v>
      </c>
      <c r="K144" s="14"/>
    </row>
    <row r="145" spans="1:11" s="999" customFormat="1">
      <c r="A145" s="111">
        <f>A136+1</f>
        <v>805</v>
      </c>
      <c r="B145" s="555"/>
      <c r="C145" s="1153" t="s">
        <v>2781</v>
      </c>
      <c r="D145" s="1157"/>
      <c r="E145" s="1082">
        <f>D19</f>
        <v>-1550608605.1540396</v>
      </c>
      <c r="F145" s="618"/>
      <c r="G145" s="1154">
        <f>SUM(F146:F157)</f>
        <v>365</v>
      </c>
      <c r="H145" s="1155">
        <f xml:space="preserve"> 1</f>
        <v>1</v>
      </c>
      <c r="I145" s="238"/>
      <c r="J145" s="484">
        <f>+E145</f>
        <v>-1550608605.1540396</v>
      </c>
      <c r="K145" s="14"/>
    </row>
    <row r="146" spans="1:11" s="999" customFormat="1">
      <c r="A146" s="111">
        <f>A145+1</f>
        <v>806</v>
      </c>
      <c r="B146" s="555"/>
      <c r="C146" s="1153" t="s">
        <v>181</v>
      </c>
      <c r="D146" s="1158">
        <f>($D$14-$D$19)/12</f>
        <v>-8206680.4049135046</v>
      </c>
      <c r="E146" s="1082">
        <f>E145+D146</f>
        <v>-1558815285.558953</v>
      </c>
      <c r="F146" s="1156">
        <v>31</v>
      </c>
      <c r="G146" s="1149">
        <f>+G145-F146</f>
        <v>334</v>
      </c>
      <c r="H146" s="1155">
        <f>G146/G145</f>
        <v>0.91506849315068495</v>
      </c>
      <c r="I146" s="238">
        <f t="shared" ref="I146:I157" si="9">D146*H146</f>
        <v>-7509674.6718934532</v>
      </c>
      <c r="J146" s="233">
        <f>J145+I146</f>
        <v>-1558118279.825933</v>
      </c>
      <c r="K146" s="14"/>
    </row>
    <row r="147" spans="1:11" s="999" customFormat="1">
      <c r="A147" s="111">
        <f t="shared" ref="A147:A158" si="10">A146+1</f>
        <v>807</v>
      </c>
      <c r="B147" s="555"/>
      <c r="C147" s="1153" t="s">
        <v>182</v>
      </c>
      <c r="D147" s="1158">
        <f t="shared" ref="D147:D157" si="11">($D$14-$D$19)/12</f>
        <v>-8206680.4049135046</v>
      </c>
      <c r="E147" s="1082">
        <f t="shared" ref="E147:E157" si="12">E146+D147</f>
        <v>-1567021965.9638665</v>
      </c>
      <c r="F147" s="1156">
        <v>28</v>
      </c>
      <c r="G147" s="1149">
        <f t="shared" ref="G147:G157" si="13">+G146-F147</f>
        <v>306</v>
      </c>
      <c r="H147" s="1155">
        <f>G147/G145</f>
        <v>0.83835616438356164</v>
      </c>
      <c r="I147" s="238">
        <f t="shared" si="9"/>
        <v>-6880121.1065850202</v>
      </c>
      <c r="J147" s="233">
        <f t="shared" ref="J147:J157" si="14">J146+I147</f>
        <v>-1564998400.932518</v>
      </c>
      <c r="K147" s="14"/>
    </row>
    <row r="148" spans="1:11" s="999" customFormat="1">
      <c r="A148" s="111">
        <f t="shared" si="10"/>
        <v>808</v>
      </c>
      <c r="B148" s="555"/>
      <c r="C148" s="1153" t="s">
        <v>195</v>
      </c>
      <c r="D148" s="1158">
        <f t="shared" si="11"/>
        <v>-8206680.4049135046</v>
      </c>
      <c r="E148" s="1082">
        <f t="shared" si="12"/>
        <v>-1575228646.3687799</v>
      </c>
      <c r="F148" s="1156">
        <v>31</v>
      </c>
      <c r="G148" s="1149">
        <f t="shared" si="13"/>
        <v>275</v>
      </c>
      <c r="H148" s="1155">
        <f>G148/G145</f>
        <v>0.75342465753424659</v>
      </c>
      <c r="I148" s="238">
        <f t="shared" si="9"/>
        <v>-6183115.3735649697</v>
      </c>
      <c r="J148" s="233">
        <f t="shared" si="14"/>
        <v>-1571181516.306083</v>
      </c>
      <c r="K148" s="14"/>
    </row>
    <row r="149" spans="1:11" s="999" customFormat="1">
      <c r="A149" s="111">
        <f t="shared" si="10"/>
        <v>809</v>
      </c>
      <c r="B149" s="555"/>
      <c r="C149" s="1153" t="s">
        <v>183</v>
      </c>
      <c r="D149" s="1158">
        <f t="shared" si="11"/>
        <v>-8206680.4049135046</v>
      </c>
      <c r="E149" s="1082">
        <f t="shared" si="12"/>
        <v>-1583435326.7736933</v>
      </c>
      <c r="F149" s="1156">
        <v>30</v>
      </c>
      <c r="G149" s="1149">
        <f t="shared" si="13"/>
        <v>245</v>
      </c>
      <c r="H149" s="1155">
        <f>G149/G145</f>
        <v>0.67123287671232879</v>
      </c>
      <c r="I149" s="238">
        <f t="shared" si="9"/>
        <v>-5508593.6964487908</v>
      </c>
      <c r="J149" s="233">
        <f t="shared" si="14"/>
        <v>-1576690110.0025318</v>
      </c>
      <c r="K149" s="14"/>
    </row>
    <row r="150" spans="1:11" s="999" customFormat="1">
      <c r="A150" s="111">
        <f t="shared" si="10"/>
        <v>810</v>
      </c>
      <c r="B150" s="555"/>
      <c r="C150" s="1153" t="s">
        <v>184</v>
      </c>
      <c r="D150" s="1158">
        <f t="shared" si="11"/>
        <v>-8206680.4049135046</v>
      </c>
      <c r="E150" s="1082">
        <f t="shared" si="12"/>
        <v>-1591642007.1786067</v>
      </c>
      <c r="F150" s="1156">
        <v>31</v>
      </c>
      <c r="G150" s="1149">
        <f t="shared" si="13"/>
        <v>214</v>
      </c>
      <c r="H150" s="1155">
        <f>G150/G145</f>
        <v>0.58630136986301373</v>
      </c>
      <c r="I150" s="238">
        <f t="shared" si="9"/>
        <v>-4811587.9634287404</v>
      </c>
      <c r="J150" s="233">
        <f t="shared" si="14"/>
        <v>-1581501697.9659605</v>
      </c>
      <c r="K150" s="14"/>
    </row>
    <row r="151" spans="1:11" s="999" customFormat="1">
      <c r="A151" s="111">
        <f t="shared" si="10"/>
        <v>811</v>
      </c>
      <c r="B151" s="555"/>
      <c r="C151" s="1153" t="s">
        <v>1477</v>
      </c>
      <c r="D151" s="1158">
        <f t="shared" si="11"/>
        <v>-8206680.4049135046</v>
      </c>
      <c r="E151" s="1082">
        <f t="shared" si="12"/>
        <v>-1599848687.5835202</v>
      </c>
      <c r="F151" s="1156">
        <v>30</v>
      </c>
      <c r="G151" s="1149">
        <f t="shared" si="13"/>
        <v>184</v>
      </c>
      <c r="H151" s="1155">
        <f>G151/G145</f>
        <v>0.50410958904109593</v>
      </c>
      <c r="I151" s="238">
        <f t="shared" si="9"/>
        <v>-4137066.2863125615</v>
      </c>
      <c r="J151" s="233">
        <f t="shared" si="14"/>
        <v>-1585638764.2522731</v>
      </c>
      <c r="K151" s="14"/>
    </row>
    <row r="152" spans="1:11" s="999" customFormat="1">
      <c r="A152" s="111">
        <f t="shared" si="10"/>
        <v>812</v>
      </c>
      <c r="B152" s="555"/>
      <c r="C152" s="1153" t="s">
        <v>186</v>
      </c>
      <c r="D152" s="1158">
        <f t="shared" si="11"/>
        <v>-8206680.4049135046</v>
      </c>
      <c r="E152" s="1082">
        <f t="shared" si="12"/>
        <v>-1608055367.9884336</v>
      </c>
      <c r="F152" s="1156">
        <v>31</v>
      </c>
      <c r="G152" s="1149">
        <f t="shared" si="13"/>
        <v>153</v>
      </c>
      <c r="H152" s="1155">
        <f>G152/G145</f>
        <v>0.41917808219178082</v>
      </c>
      <c r="I152" s="238">
        <f t="shared" si="9"/>
        <v>-3440060.5532925101</v>
      </c>
      <c r="J152" s="233">
        <f t="shared" si="14"/>
        <v>-1589078824.8055656</v>
      </c>
      <c r="K152" s="14"/>
    </row>
    <row r="153" spans="1:11" s="999" customFormat="1">
      <c r="A153" s="111">
        <f t="shared" si="10"/>
        <v>813</v>
      </c>
      <c r="B153" s="555"/>
      <c r="C153" s="1153" t="s">
        <v>187</v>
      </c>
      <c r="D153" s="1158">
        <f t="shared" si="11"/>
        <v>-8206680.4049135046</v>
      </c>
      <c r="E153" s="1082">
        <f t="shared" si="12"/>
        <v>-1616262048.393347</v>
      </c>
      <c r="F153" s="1156">
        <v>31</v>
      </c>
      <c r="G153" s="1149">
        <f t="shared" si="13"/>
        <v>122</v>
      </c>
      <c r="H153" s="1155">
        <f>G153/G145</f>
        <v>0.33424657534246577</v>
      </c>
      <c r="I153" s="238">
        <f t="shared" si="9"/>
        <v>-2743054.8202724592</v>
      </c>
      <c r="J153" s="233">
        <f t="shared" si="14"/>
        <v>-1591821879.625838</v>
      </c>
      <c r="K153" s="14"/>
    </row>
    <row r="154" spans="1:11" s="999" customFormat="1">
      <c r="A154" s="111">
        <f t="shared" si="10"/>
        <v>814</v>
      </c>
      <c r="B154" s="555"/>
      <c r="C154" s="1153" t="s">
        <v>188</v>
      </c>
      <c r="D154" s="1158">
        <f t="shared" si="11"/>
        <v>-8206680.4049135046</v>
      </c>
      <c r="E154" s="1082">
        <f t="shared" si="12"/>
        <v>-1624468728.7982605</v>
      </c>
      <c r="F154" s="1156">
        <v>30</v>
      </c>
      <c r="G154" s="1149">
        <f t="shared" si="13"/>
        <v>92</v>
      </c>
      <c r="H154" s="1155">
        <f>G154/G145</f>
        <v>0.25205479452054796</v>
      </c>
      <c r="I154" s="238">
        <f t="shared" si="9"/>
        <v>-2068533.1431562807</v>
      </c>
      <c r="J154" s="233">
        <f t="shared" si="14"/>
        <v>-1593890412.7689943</v>
      </c>
      <c r="K154" s="14"/>
    </row>
    <row r="155" spans="1:11" s="999" customFormat="1">
      <c r="A155" s="111">
        <f t="shared" si="10"/>
        <v>815</v>
      </c>
      <c r="B155" s="555"/>
      <c r="C155" s="1153" t="s">
        <v>191</v>
      </c>
      <c r="D155" s="1158">
        <f t="shared" si="11"/>
        <v>-8206680.4049135046</v>
      </c>
      <c r="E155" s="1082">
        <f t="shared" si="12"/>
        <v>-1632675409.2031739</v>
      </c>
      <c r="F155" s="1156">
        <v>31</v>
      </c>
      <c r="G155" s="1149">
        <f t="shared" si="13"/>
        <v>61</v>
      </c>
      <c r="H155" s="1155">
        <f>G155/G145</f>
        <v>0.16712328767123288</v>
      </c>
      <c r="I155" s="238">
        <f t="shared" si="9"/>
        <v>-1371527.4101362296</v>
      </c>
      <c r="J155" s="233">
        <f t="shared" si="14"/>
        <v>-1595261940.1791306</v>
      </c>
      <c r="K155" s="14"/>
    </row>
    <row r="156" spans="1:11" s="999" customFormat="1">
      <c r="A156" s="111">
        <f t="shared" si="10"/>
        <v>816</v>
      </c>
      <c r="B156" s="555"/>
      <c r="C156" s="1153" t="s">
        <v>190</v>
      </c>
      <c r="D156" s="1158">
        <f t="shared" si="11"/>
        <v>-8206680.4049135046</v>
      </c>
      <c r="E156" s="1082">
        <f t="shared" si="12"/>
        <v>-1640882089.6080873</v>
      </c>
      <c r="F156" s="1156">
        <v>30</v>
      </c>
      <c r="G156" s="1149">
        <f t="shared" si="13"/>
        <v>31</v>
      </c>
      <c r="H156" s="1155">
        <f>G156/G145</f>
        <v>8.4931506849315067E-2</v>
      </c>
      <c r="I156" s="238">
        <f t="shared" si="9"/>
        <v>-697005.73302005103</v>
      </c>
      <c r="J156" s="233">
        <f t="shared" si="14"/>
        <v>-1595958945.9121506</v>
      </c>
      <c r="K156" s="14"/>
    </row>
    <row r="157" spans="1:11" s="999" customFormat="1">
      <c r="A157" s="111">
        <f t="shared" si="10"/>
        <v>817</v>
      </c>
      <c r="B157" s="555"/>
      <c r="C157" s="1153" t="s">
        <v>180</v>
      </c>
      <c r="D157" s="1158">
        <f t="shared" si="11"/>
        <v>-8206680.4049135046</v>
      </c>
      <c r="E157" s="1122">
        <f t="shared" si="12"/>
        <v>-1649088770.0130007</v>
      </c>
      <c r="F157" s="1156">
        <v>31</v>
      </c>
      <c r="G157" s="1149">
        <f t="shared" si="13"/>
        <v>0</v>
      </c>
      <c r="H157" s="1155">
        <f>G157/G145</f>
        <v>0</v>
      </c>
      <c r="I157" s="238">
        <f t="shared" si="9"/>
        <v>0</v>
      </c>
      <c r="J157" s="233">
        <f t="shared" si="14"/>
        <v>-1595958945.9121506</v>
      </c>
      <c r="K157" s="14"/>
    </row>
    <row r="158" spans="1:11" s="999" customFormat="1">
      <c r="A158" s="111">
        <f t="shared" si="10"/>
        <v>818</v>
      </c>
      <c r="B158" s="555"/>
      <c r="C158" s="1153" t="s">
        <v>2783</v>
      </c>
      <c r="D158" s="1158"/>
      <c r="E158" s="1082">
        <f>D14</f>
        <v>-1649088770.0130017</v>
      </c>
      <c r="F158" s="618"/>
      <c r="G158" s="618"/>
      <c r="H158" s="618"/>
      <c r="I158" s="481"/>
      <c r="J158" s="1118"/>
      <c r="K158" s="14"/>
    </row>
    <row r="159" spans="1:11" s="999" customFormat="1">
      <c r="A159" s="111"/>
      <c r="B159" s="555"/>
      <c r="C159" s="604"/>
      <c r="D159" s="623"/>
      <c r="E159" s="623"/>
      <c r="F159" s="618"/>
      <c r="G159" s="618"/>
      <c r="H159" s="618"/>
      <c r="I159" s="502"/>
      <c r="J159" s="1145"/>
      <c r="K159" s="14"/>
    </row>
    <row r="160" spans="1:11">
      <c r="B160"/>
      <c r="C160" s="240" t="s">
        <v>1895</v>
      </c>
      <c r="D160" s="240"/>
      <c r="E160" s="240"/>
      <c r="F160" s="240"/>
      <c r="G160" s="240"/>
      <c r="J160"/>
    </row>
    <row r="161" spans="2:11">
      <c r="B161"/>
      <c r="C161" s="240" t="s">
        <v>1896</v>
      </c>
      <c r="D161" s="240"/>
      <c r="E161" s="240"/>
      <c r="F161" s="240"/>
      <c r="G161" s="240"/>
      <c r="J161"/>
    </row>
    <row r="162" spans="2:11">
      <c r="B162"/>
      <c r="C162" s="240"/>
      <c r="D162" s="240"/>
      <c r="E162" s="240"/>
      <c r="F162" s="240"/>
      <c r="G162" s="240"/>
      <c r="J162"/>
    </row>
    <row r="163" spans="2:11">
      <c r="B163"/>
      <c r="C163" s="240" t="s">
        <v>1897</v>
      </c>
      <c r="D163" s="240"/>
      <c r="E163" s="240"/>
      <c r="F163" s="240"/>
      <c r="G163" s="240"/>
      <c r="J163"/>
    </row>
    <row r="164" spans="2:11">
      <c r="B164"/>
      <c r="C164" s="240" t="s">
        <v>1898</v>
      </c>
      <c r="D164" s="240"/>
      <c r="E164" s="240"/>
      <c r="F164" s="240"/>
      <c r="G164" s="240"/>
      <c r="J164"/>
    </row>
    <row r="165" spans="2:11">
      <c r="B165"/>
      <c r="C165" s="240" t="s">
        <v>1899</v>
      </c>
      <c r="D165" s="240"/>
      <c r="E165" s="240"/>
      <c r="F165" s="240"/>
      <c r="G165" s="240"/>
      <c r="J165"/>
    </row>
    <row r="166" spans="2:11" s="477" customFormat="1" ht="13.2">
      <c r="C166" s="479"/>
      <c r="D166" s="479"/>
      <c r="E166" s="111" t="s">
        <v>169</v>
      </c>
      <c r="F166" s="479"/>
      <c r="G166" s="886" t="s">
        <v>63</v>
      </c>
      <c r="H166" s="231"/>
      <c r="I166" s="231"/>
      <c r="K166" s="479"/>
    </row>
    <row r="167" spans="2:11" s="477" customFormat="1" ht="13.2">
      <c r="C167" s="479"/>
      <c r="D167" s="479"/>
      <c r="E167" s="125" t="s">
        <v>170</v>
      </c>
      <c r="F167" s="479"/>
      <c r="G167" s="125" t="s">
        <v>171</v>
      </c>
      <c r="H167" s="231"/>
      <c r="I167" s="231"/>
      <c r="K167" s="479"/>
    </row>
    <row r="168" spans="2:11" s="477" customFormat="1" ht="13.2">
      <c r="C168" s="900" t="s">
        <v>1900</v>
      </c>
      <c r="D168" s="479"/>
      <c r="E168" s="479" t="s">
        <v>285</v>
      </c>
      <c r="F168" s="479"/>
      <c r="G168" s="1024">
        <v>749285680</v>
      </c>
      <c r="H168" s="231"/>
      <c r="I168" s="1224"/>
      <c r="K168" s="479"/>
    </row>
    <row r="169" spans="2:11" s="477" customFormat="1" ht="13.2">
      <c r="C169" s="476" t="s">
        <v>1901</v>
      </c>
      <c r="D169" s="479"/>
      <c r="E169" s="479" t="s">
        <v>1902</v>
      </c>
      <c r="F169" s="479"/>
      <c r="G169" s="511">
        <v>615045</v>
      </c>
      <c r="H169" s="231"/>
      <c r="I169" s="1224"/>
      <c r="K169" s="479"/>
    </row>
    <row r="170" spans="2:11" s="477" customFormat="1" ht="13.2">
      <c r="C170" s="476" t="s">
        <v>1903</v>
      </c>
      <c r="D170" s="479"/>
      <c r="E170" s="479" t="s">
        <v>1904</v>
      </c>
      <c r="F170" s="479"/>
      <c r="G170" s="117">
        <v>1537997</v>
      </c>
      <c r="H170" s="231"/>
      <c r="I170" s="1224"/>
      <c r="K170" s="479"/>
    </row>
    <row r="171" spans="2:11" s="477" customFormat="1" ht="13.2">
      <c r="C171" s="900" t="s">
        <v>1905</v>
      </c>
      <c r="D171" s="479"/>
      <c r="E171" s="479" t="s">
        <v>1906</v>
      </c>
      <c r="F171" s="479"/>
      <c r="G171" s="491">
        <f>SUM(G168:G170)</f>
        <v>751438722</v>
      </c>
      <c r="H171" s="240"/>
      <c r="I171" s="231"/>
      <c r="K171" s="479"/>
    </row>
    <row r="172" spans="2:11" s="477" customFormat="1" ht="13.2">
      <c r="C172" s="476" t="s">
        <v>1907</v>
      </c>
      <c r="D172" s="479"/>
      <c r="E172" s="592" t="s">
        <v>1908</v>
      </c>
      <c r="F172" s="479"/>
      <c r="G172" s="403">
        <f>(G169+G170)/G171</f>
        <v>2.8652263144884889E-3</v>
      </c>
      <c r="H172" s="240"/>
      <c r="I172" s="231"/>
      <c r="K172" s="479"/>
    </row>
    <row r="173" spans="2:11" s="477" customFormat="1" ht="13.2">
      <c r="C173" s="880" t="s">
        <v>1909</v>
      </c>
      <c r="D173" s="240"/>
      <c r="E173" s="240"/>
      <c r="F173" s="240"/>
      <c r="G173" s="240"/>
      <c r="H173" s="231"/>
      <c r="I173" s="231"/>
      <c r="K173" s="479"/>
    </row>
    <row r="174" spans="2:11" s="477" customFormat="1" ht="13.2">
      <c r="C174" s="479"/>
      <c r="D174" s="479"/>
      <c r="E174" s="111" t="s">
        <v>169</v>
      </c>
      <c r="F174" s="479"/>
      <c r="G174" s="886" t="s">
        <v>63</v>
      </c>
      <c r="H174" s="231"/>
      <c r="I174" s="231"/>
      <c r="K174" s="479"/>
    </row>
    <row r="175" spans="2:11" s="477" customFormat="1" ht="13.2">
      <c r="C175" s="479"/>
      <c r="D175" s="479"/>
      <c r="E175" s="125" t="s">
        <v>170</v>
      </c>
      <c r="F175" s="479"/>
      <c r="G175" s="125" t="s">
        <v>171</v>
      </c>
      <c r="H175" s="231"/>
      <c r="I175" s="231"/>
      <c r="K175" s="479"/>
    </row>
    <row r="176" spans="2:11" s="477" customFormat="1" ht="13.2">
      <c r="C176" s="476" t="s">
        <v>1910</v>
      </c>
      <c r="D176" s="479"/>
      <c r="E176" s="479" t="s">
        <v>34</v>
      </c>
      <c r="F176" s="479"/>
      <c r="G176" s="1024">
        <v>46164121713</v>
      </c>
      <c r="H176" s="231"/>
      <c r="I176" s="1224"/>
      <c r="K176" s="479"/>
    </row>
    <row r="177" spans="2:11" s="477" customFormat="1" ht="13.2">
      <c r="C177" s="476" t="s">
        <v>1911</v>
      </c>
      <c r="D177" s="479"/>
      <c r="E177" s="479" t="s">
        <v>1912</v>
      </c>
      <c r="F177" s="479"/>
      <c r="G177" s="511">
        <v>6268777</v>
      </c>
      <c r="H177" s="231"/>
      <c r="I177" s="231"/>
      <c r="K177" s="479"/>
    </row>
    <row r="178" spans="2:11" s="477" customFormat="1" ht="13.2">
      <c r="C178" s="476" t="s">
        <v>1913</v>
      </c>
      <c r="D178" s="479"/>
      <c r="E178" s="479" t="s">
        <v>1914</v>
      </c>
      <c r="F178" s="479"/>
      <c r="G178" s="511">
        <v>29763069</v>
      </c>
      <c r="H178" s="231"/>
      <c r="I178" s="1224"/>
      <c r="K178" s="479"/>
    </row>
    <row r="179" spans="2:11" s="477" customFormat="1" ht="13.2">
      <c r="C179" s="476" t="s">
        <v>1915</v>
      </c>
      <c r="D179" s="479"/>
      <c r="E179" s="479" t="s">
        <v>1916</v>
      </c>
      <c r="F179" s="479"/>
      <c r="G179" s="491">
        <f>SUM(G176:G178)</f>
        <v>46200153559</v>
      </c>
      <c r="H179" s="240"/>
      <c r="I179" s="240"/>
      <c r="J179" s="479"/>
      <c r="K179" s="479"/>
    </row>
    <row r="180" spans="2:11" s="477" customFormat="1" ht="13.2">
      <c r="C180" s="476" t="s">
        <v>1917</v>
      </c>
      <c r="D180" s="479"/>
      <c r="E180" s="592" t="s">
        <v>1918</v>
      </c>
      <c r="F180" s="479"/>
      <c r="G180" s="403">
        <f>(G177+G178)/G179</f>
        <v>7.7990749433301033E-4</v>
      </c>
      <c r="H180" s="240"/>
      <c r="I180" s="240"/>
      <c r="J180" s="479"/>
      <c r="K180" s="479"/>
    </row>
    <row r="181" spans="2:11" s="477" customFormat="1" ht="13.2">
      <c r="C181" s="240" t="s">
        <v>2587</v>
      </c>
      <c r="D181" s="240"/>
      <c r="E181" s="240"/>
      <c r="F181" s="240"/>
      <c r="G181" s="240"/>
      <c r="H181" s="240"/>
      <c r="I181" s="240"/>
      <c r="J181" s="479"/>
      <c r="K181" s="479"/>
    </row>
    <row r="182" spans="2:11" s="477" customFormat="1" ht="13.2">
      <c r="B182" s="231"/>
      <c r="C182" s="231"/>
      <c r="D182" s="231"/>
      <c r="E182" s="231"/>
      <c r="F182" s="231"/>
      <c r="G182" s="231"/>
      <c r="H182" s="231"/>
      <c r="I182" s="231"/>
      <c r="J182" s="231"/>
      <c r="K182" s="479"/>
    </row>
    <row r="183" spans="2:11" s="477" customFormat="1" ht="13.2">
      <c r="B183" s="231"/>
      <c r="C183" s="865" t="s">
        <v>232</v>
      </c>
      <c r="D183" s="231"/>
      <c r="E183" s="231"/>
      <c r="F183" s="231"/>
      <c r="G183" s="231"/>
      <c r="H183" s="231"/>
      <c r="I183" s="231"/>
      <c r="J183" s="231"/>
      <c r="K183" s="479"/>
    </row>
    <row r="184" spans="2:11" s="477" customFormat="1" ht="13.2">
      <c r="B184" s="231"/>
      <c r="C184" s="479" t="s">
        <v>2850</v>
      </c>
      <c r="D184" s="231"/>
      <c r="E184" s="231"/>
      <c r="F184" s="231"/>
      <c r="G184" s="231"/>
      <c r="H184" s="231"/>
      <c r="I184" s="231"/>
      <c r="J184" s="231"/>
      <c r="K184" s="479"/>
    </row>
    <row r="185" spans="2:11" s="477" customFormat="1" ht="13.2">
      <c r="B185" s="231"/>
      <c r="C185" s="479" t="s">
        <v>2851</v>
      </c>
      <c r="D185" s="231"/>
      <c r="E185" s="231"/>
      <c r="F185" s="231"/>
      <c r="G185" s="231"/>
      <c r="H185" s="231"/>
      <c r="I185" s="231"/>
      <c r="J185" s="231"/>
      <c r="K185" s="479"/>
    </row>
    <row r="186" spans="2:11" s="477" customFormat="1" ht="13.2">
      <c r="B186" s="231"/>
      <c r="C186" s="479" t="s">
        <v>2479</v>
      </c>
      <c r="D186" s="231"/>
      <c r="E186" s="231"/>
      <c r="F186" s="231"/>
      <c r="G186" s="231"/>
      <c r="H186" s="231"/>
      <c r="I186" s="231"/>
      <c r="J186" s="231"/>
      <c r="K186" s="479"/>
    </row>
    <row r="187" spans="2:11" s="477" customFormat="1" ht="13.2">
      <c r="B187" s="231"/>
      <c r="C187" s="479" t="s">
        <v>2852</v>
      </c>
      <c r="D187" s="231"/>
      <c r="E187" s="231"/>
      <c r="F187" s="231"/>
      <c r="G187" s="231"/>
      <c r="H187" s="231"/>
      <c r="I187" s="231"/>
      <c r="J187" s="231"/>
      <c r="K187" s="479"/>
    </row>
    <row r="188" spans="2:11">
      <c r="C188" s="481" t="s">
        <v>2791</v>
      </c>
    </row>
    <row r="189" spans="2:11">
      <c r="C189" s="1263" t="s">
        <v>2796</v>
      </c>
    </row>
    <row r="190" spans="2:11">
      <c r="C190" s="873" t="s">
        <v>2794</v>
      </c>
    </row>
    <row r="191" spans="2:11">
      <c r="C191" s="476" t="s">
        <v>2795</v>
      </c>
    </row>
    <row r="192" spans="2:11">
      <c r="C192" s="481"/>
    </row>
  </sheetData>
  <protectedRanges>
    <protectedRange password="F1C4" sqref="D20:E23 E15:E19 D14:D15 D17:D18 I54 B7:C12 F20 I118 D25:F30 D24 B14:C30 B13" name="AAReport1_23_1_1_2"/>
    <protectedRange password="F1C4" sqref="D19" name="AAReport1_23_1_1_1_1_1"/>
    <protectedRange password="F1C4" sqref="F32:F33 F45 J32:J35" name="AAReport1_23_1_1_2_1"/>
    <protectedRange password="F1C4" sqref="I47" name="AAReport1_23_1_1_2_2"/>
    <protectedRange password="F1C4" sqref="E24" name="AAReport1_23_1_1_2_3"/>
  </protectedRanges>
  <phoneticPr fontId="22" type="noConversion"/>
  <conditionalFormatting sqref="B112 B126:B127 D126:D127 D112">
    <cfRule type="expression" dxfId="18" priority="16" stopIfTrue="1">
      <formula>Formulas</formula>
    </cfRule>
  </conditionalFormatting>
  <conditionalFormatting sqref="D118">
    <cfRule type="expression" dxfId="17" priority="17" stopIfTrue="1">
      <formula>Formulas</formula>
    </cfRule>
  </conditionalFormatting>
  <conditionalFormatting sqref="C118 C112 C126:C127">
    <cfRule type="expression" dxfId="16" priority="15" stopIfTrue="1">
      <formula>#REF!&lt;&gt;""</formula>
    </cfRule>
  </conditionalFormatting>
  <conditionalFormatting sqref="D103:D111">
    <cfRule type="expression" dxfId="15" priority="6" stopIfTrue="1">
      <formula>Formulas</formula>
    </cfRule>
  </conditionalFormatting>
  <conditionalFormatting sqref="C103:C111">
    <cfRule type="expression" dxfId="14" priority="5" stopIfTrue="1">
      <formula>#REF!&lt;&gt;""</formula>
    </cfRule>
  </conditionalFormatting>
  <conditionalFormatting sqref="D124">
    <cfRule type="expression" dxfId="13" priority="4" stopIfTrue="1">
      <formula>Formulas</formula>
    </cfRule>
  </conditionalFormatting>
  <conditionalFormatting sqref="C124">
    <cfRule type="expression" dxfId="12" priority="3" stopIfTrue="1">
      <formula>#REF!&lt;&gt;""</formula>
    </cfRule>
  </conditionalFormatting>
  <conditionalFormatting sqref="D125">
    <cfRule type="expression" dxfId="11" priority="2" stopIfTrue="1">
      <formula>Formulas</formula>
    </cfRule>
  </conditionalFormatting>
  <conditionalFormatting sqref="C125">
    <cfRule type="expression" dxfId="10" priority="1" stopIfTrue="1">
      <formula>#REF!&lt;&gt;""</formula>
    </cfRule>
  </conditionalFormatting>
  <pageMargins left="0.75" right="0.75" top="1" bottom="1" header="0.5" footer="0.5"/>
  <pageSetup scale="60" orientation="landscape" cellComments="asDisplayed" r:id="rId1"/>
  <headerFooter alignWithMargins="0">
    <oddHeader>&amp;CSchedule 9
ADIT
&amp;RExhibit SCE-4
TO2019A Formula Rate Spreadsheet</oddHeader>
    <oddFooter>&amp;R&amp;A</oddFooter>
  </headerFooter>
  <rowBreaks count="5" manualBreakCount="5">
    <brk id="24" max="16383" man="1"/>
    <brk id="57" max="16383" man="1"/>
    <brk id="95" max="9" man="1"/>
    <brk id="127" max="16383" man="1"/>
    <brk id="1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2"/>
  <sheetViews>
    <sheetView zoomScale="110" zoomScaleNormal="110" workbookViewId="0"/>
  </sheetViews>
  <sheetFormatPr defaultRowHeight="13.2"/>
  <cols>
    <col min="1" max="1" width="4.6640625" style="14" customWidth="1"/>
    <col min="2" max="2" width="12.6640625" customWidth="1"/>
    <col min="3" max="3" width="8.6640625" customWidth="1"/>
    <col min="4" max="4" width="15.109375" bestFit="1" customWidth="1"/>
    <col min="5" max="5" width="18.6640625" customWidth="1"/>
    <col min="6" max="6" width="16.109375" customWidth="1"/>
    <col min="7" max="7" width="13.44140625" customWidth="1"/>
    <col min="8" max="8" width="13.88671875" bestFit="1" customWidth="1"/>
    <col min="9" max="9" width="17.109375" customWidth="1"/>
    <col min="10" max="10" width="15.44140625" customWidth="1"/>
    <col min="11" max="11" width="17.33203125" customWidth="1"/>
    <col min="12" max="12" width="14.6640625" style="14" bestFit="1" customWidth="1"/>
    <col min="13" max="13" width="13.109375" bestFit="1" customWidth="1"/>
  </cols>
  <sheetData>
    <row r="1" spans="1:12">
      <c r="A1" s="44" t="s">
        <v>540</v>
      </c>
      <c r="K1" s="1"/>
    </row>
    <row r="2" spans="1:12">
      <c r="A2" s="44"/>
      <c r="K2" s="1"/>
    </row>
    <row r="3" spans="1:12">
      <c r="A3" s="44"/>
      <c r="B3" s="477" t="s">
        <v>957</v>
      </c>
      <c r="K3" s="1"/>
    </row>
    <row r="4" spans="1:12">
      <c r="B4" s="477" t="s">
        <v>544</v>
      </c>
      <c r="K4" s="1"/>
      <c r="L4" s="479"/>
    </row>
    <row r="5" spans="1:12">
      <c r="B5" s="477"/>
      <c r="K5" s="1"/>
    </row>
    <row r="6" spans="1:12">
      <c r="A6" s="479"/>
      <c r="B6" s="1" t="s">
        <v>1238</v>
      </c>
      <c r="K6" s="1"/>
    </row>
    <row r="7" spans="1:12">
      <c r="A7" s="479"/>
      <c r="B7" s="1"/>
      <c r="D7" s="84" t="s">
        <v>360</v>
      </c>
      <c r="E7" s="84" t="s">
        <v>344</v>
      </c>
      <c r="F7" s="84" t="s">
        <v>345</v>
      </c>
      <c r="G7" s="84" t="s">
        <v>346</v>
      </c>
      <c r="H7" s="84" t="s">
        <v>347</v>
      </c>
      <c r="I7" s="84" t="s">
        <v>348</v>
      </c>
      <c r="J7" s="359"/>
      <c r="K7" s="1"/>
      <c r="L7" s="359"/>
    </row>
    <row r="8" spans="1:12">
      <c r="D8" s="1289" t="s">
        <v>989</v>
      </c>
      <c r="J8" s="14"/>
      <c r="K8" s="14"/>
    </row>
    <row r="9" spans="1:12">
      <c r="D9" s="870" t="s">
        <v>547</v>
      </c>
      <c r="J9" s="14"/>
      <c r="K9" s="14"/>
    </row>
    <row r="10" spans="1:12">
      <c r="B10" s="571"/>
      <c r="J10" s="14"/>
      <c r="K10" s="14"/>
    </row>
    <row r="11" spans="1:12">
      <c r="B11" s="571"/>
      <c r="D11" s="571" t="s">
        <v>19</v>
      </c>
      <c r="F11" s="571" t="s">
        <v>342</v>
      </c>
      <c r="G11" s="360" t="s">
        <v>996</v>
      </c>
      <c r="H11" s="360" t="s">
        <v>997</v>
      </c>
      <c r="I11" s="571"/>
      <c r="J11" s="111"/>
      <c r="K11" s="477"/>
    </row>
    <row r="12" spans="1:12">
      <c r="A12" s="865" t="s">
        <v>331</v>
      </c>
      <c r="B12" s="630" t="s">
        <v>192</v>
      </c>
      <c r="C12" s="630" t="s">
        <v>193</v>
      </c>
      <c r="D12" s="3" t="s">
        <v>542</v>
      </c>
      <c r="E12" s="3" t="s">
        <v>225</v>
      </c>
      <c r="F12" s="3" t="s">
        <v>343</v>
      </c>
      <c r="G12" s="361" t="s">
        <v>995</v>
      </c>
      <c r="H12" s="361" t="s">
        <v>998</v>
      </c>
      <c r="I12" s="3" t="s">
        <v>545</v>
      </c>
      <c r="J12" s="125"/>
      <c r="K12" s="477"/>
    </row>
    <row r="13" spans="1:12">
      <c r="A13" s="111">
        <v>1</v>
      </c>
      <c r="B13" s="631" t="s">
        <v>180</v>
      </c>
      <c r="C13" s="632">
        <v>2016</v>
      </c>
      <c r="D13" s="7">
        <f t="shared" ref="D13:D25" si="0">SUM(E13:I13)+SUM(D33:H33)</f>
        <v>115749706.3</v>
      </c>
      <c r="E13" s="528">
        <v>14915547.51</v>
      </c>
      <c r="F13" s="1023">
        <v>0</v>
      </c>
      <c r="G13" s="1023">
        <v>4204927.07</v>
      </c>
      <c r="H13" s="1023">
        <v>69685244.670000002</v>
      </c>
      <c r="I13" s="1023">
        <v>0</v>
      </c>
      <c r="J13" s="633"/>
    </row>
    <row r="14" spans="1:12">
      <c r="A14" s="111">
        <f>A13+1</f>
        <v>2</v>
      </c>
      <c r="B14" s="631" t="s">
        <v>181</v>
      </c>
      <c r="C14" s="632">
        <v>2017</v>
      </c>
      <c r="D14" s="7">
        <f t="shared" si="0"/>
        <v>117194141.84999999</v>
      </c>
      <c r="E14" s="528">
        <v>15082524.26</v>
      </c>
      <c r="F14" s="1023">
        <v>0</v>
      </c>
      <c r="G14" s="1023">
        <v>4239930.7699999996</v>
      </c>
      <c r="H14" s="1023">
        <v>70177660.219999999</v>
      </c>
      <c r="I14" s="1023">
        <v>0</v>
      </c>
      <c r="J14" s="633"/>
    </row>
    <row r="15" spans="1:12">
      <c r="A15" s="111">
        <f t="shared" ref="A15:A26" si="1">A14+1</f>
        <v>3</v>
      </c>
      <c r="B15" s="634" t="s">
        <v>182</v>
      </c>
      <c r="C15" s="632">
        <v>2017</v>
      </c>
      <c r="D15" s="7">
        <f t="shared" si="0"/>
        <v>119164540.84</v>
      </c>
      <c r="E15" s="528">
        <v>15117127.390000001</v>
      </c>
      <c r="F15" s="1023">
        <v>0</v>
      </c>
      <c r="G15" s="1023">
        <v>4296863.42</v>
      </c>
      <c r="H15" s="1023">
        <v>71031101.459999993</v>
      </c>
      <c r="I15" s="1023">
        <v>0</v>
      </c>
      <c r="J15" s="633"/>
    </row>
    <row r="16" spans="1:12">
      <c r="A16" s="111">
        <f t="shared" si="1"/>
        <v>4</v>
      </c>
      <c r="B16" s="634" t="s">
        <v>195</v>
      </c>
      <c r="C16" s="632">
        <v>2017</v>
      </c>
      <c r="D16" s="7">
        <f t="shared" si="0"/>
        <v>125730090.70000002</v>
      </c>
      <c r="E16" s="528">
        <v>15123624.76</v>
      </c>
      <c r="F16" s="1023">
        <v>0</v>
      </c>
      <c r="G16" s="1023">
        <v>4400060.7300000004</v>
      </c>
      <c r="H16" s="1023">
        <v>73723203.530000001</v>
      </c>
      <c r="I16" s="1023">
        <v>0</v>
      </c>
      <c r="J16" s="633"/>
    </row>
    <row r="17" spans="1:11">
      <c r="A17" s="111">
        <f t="shared" si="1"/>
        <v>5</v>
      </c>
      <c r="B17" s="631" t="s">
        <v>183</v>
      </c>
      <c r="C17" s="632">
        <v>2017</v>
      </c>
      <c r="D17" s="7">
        <f t="shared" si="0"/>
        <v>95419243.700000003</v>
      </c>
      <c r="E17" s="528">
        <v>15192634.41</v>
      </c>
      <c r="F17" s="1023">
        <v>0</v>
      </c>
      <c r="G17" s="1023">
        <v>4461540.67</v>
      </c>
      <c r="H17" s="1023">
        <v>75120415.75</v>
      </c>
      <c r="I17" s="1023">
        <v>0</v>
      </c>
      <c r="J17" s="633"/>
    </row>
    <row r="18" spans="1:11">
      <c r="A18" s="111">
        <f t="shared" si="1"/>
        <v>6</v>
      </c>
      <c r="B18" s="634" t="s">
        <v>184</v>
      </c>
      <c r="C18" s="632">
        <v>2017</v>
      </c>
      <c r="D18" s="7">
        <f t="shared" si="0"/>
        <v>82582163</v>
      </c>
      <c r="E18" s="528">
        <v>149717.78</v>
      </c>
      <c r="F18" s="1023">
        <v>0</v>
      </c>
      <c r="G18" s="1023">
        <v>4476503.9800000004</v>
      </c>
      <c r="H18" s="1023">
        <v>77300754.379999995</v>
      </c>
      <c r="I18" s="1023">
        <v>0</v>
      </c>
      <c r="J18" s="633"/>
    </row>
    <row r="19" spans="1:11">
      <c r="A19" s="111">
        <f t="shared" si="1"/>
        <v>7</v>
      </c>
      <c r="B19" s="634" t="s">
        <v>185</v>
      </c>
      <c r="C19" s="632">
        <v>2017</v>
      </c>
      <c r="D19" s="7">
        <f t="shared" si="0"/>
        <v>84504679.470000014</v>
      </c>
      <c r="E19" s="528">
        <v>149717.78</v>
      </c>
      <c r="F19" s="1023">
        <v>0</v>
      </c>
      <c r="G19" s="1023">
        <v>4697237.76</v>
      </c>
      <c r="H19" s="1023">
        <v>78966263.950000003</v>
      </c>
      <c r="I19" s="1023">
        <v>0</v>
      </c>
      <c r="J19" s="633"/>
    </row>
    <row r="20" spans="1:11">
      <c r="A20" s="111">
        <f t="shared" si="1"/>
        <v>8</v>
      </c>
      <c r="B20" s="631" t="s">
        <v>186</v>
      </c>
      <c r="C20" s="632">
        <v>2017</v>
      </c>
      <c r="D20" s="7">
        <f t="shared" si="0"/>
        <v>85941139.910000011</v>
      </c>
      <c r="E20" s="528">
        <v>149717.78</v>
      </c>
      <c r="F20" s="1023">
        <v>0</v>
      </c>
      <c r="G20" s="1023">
        <v>4761048.12</v>
      </c>
      <c r="H20" s="1023">
        <v>80276384.420000002</v>
      </c>
      <c r="I20" s="1023">
        <v>0</v>
      </c>
      <c r="J20" s="633"/>
    </row>
    <row r="21" spans="1:11">
      <c r="A21" s="111">
        <f t="shared" si="1"/>
        <v>9</v>
      </c>
      <c r="B21" s="634" t="s">
        <v>187</v>
      </c>
      <c r="C21" s="632">
        <v>2017</v>
      </c>
      <c r="D21" s="7">
        <f t="shared" si="0"/>
        <v>89338929.129999995</v>
      </c>
      <c r="E21" s="528">
        <v>150128.82999999999</v>
      </c>
      <c r="F21" s="1023">
        <v>0</v>
      </c>
      <c r="G21" s="1023">
        <v>4777853.08</v>
      </c>
      <c r="H21" s="1023">
        <v>83585450.480000004</v>
      </c>
      <c r="I21" s="1023">
        <v>0</v>
      </c>
      <c r="J21" s="633"/>
    </row>
    <row r="22" spans="1:11">
      <c r="A22" s="111">
        <f t="shared" si="1"/>
        <v>10</v>
      </c>
      <c r="B22" s="634" t="s">
        <v>188</v>
      </c>
      <c r="C22" s="632">
        <v>2017</v>
      </c>
      <c r="D22" s="7">
        <f t="shared" si="0"/>
        <v>91194894.549999997</v>
      </c>
      <c r="E22" s="528">
        <v>150061.94</v>
      </c>
      <c r="F22" s="1023">
        <v>0</v>
      </c>
      <c r="G22" s="1023">
        <v>4824268.1100000003</v>
      </c>
      <c r="H22" s="1023">
        <v>85335964.900000006</v>
      </c>
      <c r="I22" s="1023">
        <v>0</v>
      </c>
      <c r="J22" s="633"/>
    </row>
    <row r="23" spans="1:11">
      <c r="A23" s="111">
        <f t="shared" si="1"/>
        <v>11</v>
      </c>
      <c r="B23" s="631" t="s">
        <v>189</v>
      </c>
      <c r="C23" s="632">
        <v>2017</v>
      </c>
      <c r="D23" s="7">
        <f t="shared" si="0"/>
        <v>91967696.25</v>
      </c>
      <c r="E23" s="528">
        <v>150061.94</v>
      </c>
      <c r="F23" s="1023">
        <v>0</v>
      </c>
      <c r="G23" s="1023">
        <v>4844917.93</v>
      </c>
      <c r="H23" s="1023">
        <v>86972716.379999995</v>
      </c>
      <c r="I23" s="1023">
        <v>0</v>
      </c>
      <c r="J23" s="633"/>
    </row>
    <row r="24" spans="1:11">
      <c r="A24" s="111">
        <f t="shared" si="1"/>
        <v>12</v>
      </c>
      <c r="B24" s="631" t="s">
        <v>190</v>
      </c>
      <c r="C24" s="632">
        <v>2017</v>
      </c>
      <c r="D24" s="7">
        <f t="shared" si="0"/>
        <v>134322418.63999999</v>
      </c>
      <c r="E24" s="528">
        <v>150061.94</v>
      </c>
      <c r="F24" s="1023">
        <v>0</v>
      </c>
      <c r="G24" s="1023">
        <v>4852268.33</v>
      </c>
      <c r="H24" s="1023">
        <v>91066687.480000004</v>
      </c>
      <c r="I24" s="1023">
        <v>0</v>
      </c>
      <c r="J24" s="633"/>
    </row>
    <row r="25" spans="1:11">
      <c r="A25" s="111">
        <f t="shared" si="1"/>
        <v>13</v>
      </c>
      <c r="B25" s="631" t="s">
        <v>180</v>
      </c>
      <c r="C25" s="632">
        <v>2017</v>
      </c>
      <c r="D25" s="91">
        <f t="shared" si="0"/>
        <v>221778479.72000003</v>
      </c>
      <c r="E25" s="409">
        <v>150976.49</v>
      </c>
      <c r="F25" s="117">
        <v>0</v>
      </c>
      <c r="G25" s="117">
        <v>4884727.96</v>
      </c>
      <c r="H25" s="117">
        <v>98805811.510000005</v>
      </c>
      <c r="I25" s="117">
        <v>0</v>
      </c>
      <c r="J25" s="633"/>
    </row>
    <row r="26" spans="1:11">
      <c r="A26" s="111">
        <f t="shared" si="1"/>
        <v>14</v>
      </c>
      <c r="B26" s="1290"/>
      <c r="C26" s="635" t="s">
        <v>543</v>
      </c>
      <c r="D26" s="526">
        <f t="shared" ref="D26:I26" si="2">SUM(D13:D25)/13</f>
        <v>111914471.08153847</v>
      </c>
      <c r="E26" s="526">
        <f t="shared" si="2"/>
        <v>5894761.7546153832</v>
      </c>
      <c r="F26" s="526">
        <f t="shared" si="2"/>
        <v>0</v>
      </c>
      <c r="G26" s="526">
        <f t="shared" si="2"/>
        <v>4594011.3792307694</v>
      </c>
      <c r="H26" s="526">
        <f t="shared" si="2"/>
        <v>80157512.240769237</v>
      </c>
      <c r="I26" s="526">
        <f t="shared" si="2"/>
        <v>0</v>
      </c>
      <c r="J26" s="633"/>
      <c r="K26" s="633"/>
    </row>
    <row r="27" spans="1:11">
      <c r="A27" s="111"/>
      <c r="B27" s="631"/>
      <c r="C27" s="635"/>
      <c r="D27" s="526"/>
      <c r="E27" s="526"/>
      <c r="F27" s="526"/>
      <c r="G27" s="526"/>
      <c r="H27" s="526"/>
      <c r="I27" s="633"/>
      <c r="J27" s="481"/>
      <c r="K27" s="633"/>
    </row>
    <row r="28" spans="1:11">
      <c r="A28" s="111"/>
      <c r="B28" s="631"/>
      <c r="C28" s="635"/>
      <c r="D28" s="84" t="s">
        <v>349</v>
      </c>
      <c r="E28" s="84" t="s">
        <v>541</v>
      </c>
      <c r="F28" s="84" t="s">
        <v>958</v>
      </c>
      <c r="G28" s="84" t="s">
        <v>971</v>
      </c>
      <c r="H28" s="84" t="s">
        <v>974</v>
      </c>
      <c r="I28" s="84" t="s">
        <v>992</v>
      </c>
      <c r="J28" s="481"/>
      <c r="K28" s="633"/>
    </row>
    <row r="29" spans="1:11">
      <c r="A29" s="111"/>
      <c r="B29" s="631"/>
      <c r="C29" s="635"/>
      <c r="E29" s="360" t="s">
        <v>993</v>
      </c>
      <c r="F29" s="360"/>
      <c r="G29" s="360"/>
      <c r="H29" s="526"/>
      <c r="I29" s="633"/>
      <c r="J29" s="481"/>
      <c r="K29" s="633"/>
    </row>
    <row r="30" spans="1:11">
      <c r="B30" s="571"/>
      <c r="D30" s="571" t="s">
        <v>990</v>
      </c>
      <c r="E30" s="571" t="s">
        <v>994</v>
      </c>
      <c r="F30" s="360"/>
      <c r="G30" s="360"/>
      <c r="H30" s="526"/>
      <c r="I30" s="633"/>
      <c r="J30" s="481"/>
      <c r="K30" s="633"/>
    </row>
    <row r="31" spans="1:11">
      <c r="B31" s="571"/>
      <c r="D31" s="571" t="s">
        <v>427</v>
      </c>
      <c r="E31" s="571" t="s">
        <v>427</v>
      </c>
      <c r="F31" s="528"/>
      <c r="G31" s="1218"/>
      <c r="H31" s="1217" t="s">
        <v>2591</v>
      </c>
      <c r="I31" s="1218"/>
      <c r="J31" s="633"/>
      <c r="K31" s="633"/>
    </row>
    <row r="32" spans="1:11">
      <c r="A32" s="865" t="s">
        <v>331</v>
      </c>
      <c r="B32" s="630" t="s">
        <v>192</v>
      </c>
      <c r="C32" s="630" t="s">
        <v>193</v>
      </c>
      <c r="D32" s="3" t="s">
        <v>991</v>
      </c>
      <c r="E32" s="3" t="s">
        <v>991</v>
      </c>
      <c r="F32" s="362" t="s">
        <v>2592</v>
      </c>
      <c r="G32" s="362" t="s">
        <v>2593</v>
      </c>
      <c r="H32" s="362" t="s">
        <v>2594</v>
      </c>
      <c r="I32" s="362"/>
      <c r="J32" s="633"/>
      <c r="K32" s="633"/>
    </row>
    <row r="33" spans="1:11">
      <c r="A33" s="111">
        <f>+A26+1</f>
        <v>15</v>
      </c>
      <c r="B33" s="631" t="s">
        <v>180</v>
      </c>
      <c r="C33" s="632">
        <v>2016</v>
      </c>
      <c r="D33" s="1023">
        <v>26943987.050000001</v>
      </c>
      <c r="E33" s="1023">
        <v>0</v>
      </c>
      <c r="F33" s="1023">
        <v>0</v>
      </c>
      <c r="G33" s="1023">
        <v>0</v>
      </c>
      <c r="H33" s="1023">
        <v>0</v>
      </c>
      <c r="I33" s="636"/>
      <c r="J33" s="633"/>
      <c r="K33" s="633"/>
    </row>
    <row r="34" spans="1:11">
      <c r="A34" s="111">
        <f>A33+1</f>
        <v>16</v>
      </c>
      <c r="B34" s="631" t="s">
        <v>181</v>
      </c>
      <c r="C34" s="632">
        <v>2017</v>
      </c>
      <c r="D34" s="1023">
        <v>27694026.600000001</v>
      </c>
      <c r="E34" s="1023">
        <v>0</v>
      </c>
      <c r="F34" s="1023">
        <v>0</v>
      </c>
      <c r="G34" s="1023">
        <v>0</v>
      </c>
      <c r="H34" s="1023">
        <v>0</v>
      </c>
      <c r="I34" s="636"/>
      <c r="J34" s="633"/>
      <c r="K34" s="633"/>
    </row>
    <row r="35" spans="1:11">
      <c r="A35" s="111">
        <f t="shared" ref="A35:A46" si="3">A34+1</f>
        <v>17</v>
      </c>
      <c r="B35" s="634" t="s">
        <v>182</v>
      </c>
      <c r="C35" s="632">
        <v>2017</v>
      </c>
      <c r="D35" s="1023">
        <v>28719448.57</v>
      </c>
      <c r="E35" s="1023">
        <v>0</v>
      </c>
      <c r="F35" s="1023">
        <v>0</v>
      </c>
      <c r="G35" s="1023">
        <v>0</v>
      </c>
      <c r="H35" s="1023">
        <v>0</v>
      </c>
      <c r="I35" s="636"/>
      <c r="J35" s="633"/>
      <c r="K35" s="633"/>
    </row>
    <row r="36" spans="1:11">
      <c r="A36" s="111">
        <f t="shared" si="3"/>
        <v>18</v>
      </c>
      <c r="B36" s="634" t="s">
        <v>195</v>
      </c>
      <c r="C36" s="632">
        <v>2017</v>
      </c>
      <c r="D36" s="1023">
        <v>32483201.68</v>
      </c>
      <c r="E36" s="1023">
        <v>0</v>
      </c>
      <c r="F36" s="1023">
        <v>0</v>
      </c>
      <c r="G36" s="1023">
        <v>0</v>
      </c>
      <c r="H36" s="1023">
        <v>0</v>
      </c>
      <c r="I36" s="636"/>
      <c r="J36" s="633"/>
      <c r="K36" s="633"/>
    </row>
    <row r="37" spans="1:11">
      <c r="A37" s="111">
        <f t="shared" si="3"/>
        <v>19</v>
      </c>
      <c r="B37" s="631" t="s">
        <v>183</v>
      </c>
      <c r="C37" s="632">
        <v>2017</v>
      </c>
      <c r="D37" s="1023">
        <v>644652.87</v>
      </c>
      <c r="E37" s="1023">
        <v>0</v>
      </c>
      <c r="F37" s="1023">
        <v>0</v>
      </c>
      <c r="G37" s="1023">
        <v>0</v>
      </c>
      <c r="H37" s="1023">
        <v>0</v>
      </c>
      <c r="I37" s="636"/>
      <c r="J37" s="633"/>
      <c r="K37" s="633"/>
    </row>
    <row r="38" spans="1:11">
      <c r="A38" s="111">
        <f t="shared" si="3"/>
        <v>20</v>
      </c>
      <c r="B38" s="634" t="s">
        <v>184</v>
      </c>
      <c r="C38" s="632">
        <v>2017</v>
      </c>
      <c r="D38" s="1023">
        <v>655186.86</v>
      </c>
      <c r="E38" s="1023">
        <v>0</v>
      </c>
      <c r="F38" s="1023">
        <v>0</v>
      </c>
      <c r="G38" s="1023">
        <v>0</v>
      </c>
      <c r="H38" s="1023">
        <v>0</v>
      </c>
      <c r="I38" s="636"/>
      <c r="J38" s="633"/>
      <c r="K38" s="633"/>
    </row>
    <row r="39" spans="1:11">
      <c r="A39" s="111">
        <f t="shared" si="3"/>
        <v>21</v>
      </c>
      <c r="B39" s="634" t="s">
        <v>185</v>
      </c>
      <c r="C39" s="632">
        <v>2017</v>
      </c>
      <c r="D39" s="1023">
        <v>691459.98</v>
      </c>
      <c r="E39" s="1023">
        <v>0</v>
      </c>
      <c r="F39" s="1023">
        <v>0</v>
      </c>
      <c r="G39" s="1023">
        <v>0</v>
      </c>
      <c r="H39" s="1023">
        <v>0</v>
      </c>
      <c r="I39" s="636"/>
      <c r="J39" s="633"/>
      <c r="K39" s="633"/>
    </row>
    <row r="40" spans="1:11">
      <c r="A40" s="111">
        <f t="shared" si="3"/>
        <v>22</v>
      </c>
      <c r="B40" s="631" t="s">
        <v>186</v>
      </c>
      <c r="C40" s="632">
        <v>2017</v>
      </c>
      <c r="D40" s="1023">
        <v>753989.59</v>
      </c>
      <c r="E40" s="1023">
        <v>0</v>
      </c>
      <c r="F40" s="1023">
        <v>0</v>
      </c>
      <c r="G40" s="1023">
        <v>0</v>
      </c>
      <c r="H40" s="1023">
        <v>0</v>
      </c>
      <c r="I40" s="636"/>
      <c r="J40" s="633"/>
      <c r="K40" s="633"/>
    </row>
    <row r="41" spans="1:11">
      <c r="A41" s="111">
        <f t="shared" si="3"/>
        <v>23</v>
      </c>
      <c r="B41" s="634" t="s">
        <v>187</v>
      </c>
      <c r="C41" s="632">
        <v>2017</v>
      </c>
      <c r="D41" s="1023">
        <v>825496.74</v>
      </c>
      <c r="E41" s="1023">
        <v>0</v>
      </c>
      <c r="F41" s="1023">
        <v>0</v>
      </c>
      <c r="G41" s="1023">
        <v>0</v>
      </c>
      <c r="H41" s="1023">
        <v>0</v>
      </c>
      <c r="I41" s="636"/>
      <c r="J41" s="633"/>
      <c r="K41" s="633"/>
    </row>
    <row r="42" spans="1:11">
      <c r="A42" s="111">
        <f t="shared" si="3"/>
        <v>24</v>
      </c>
      <c r="B42" s="634" t="s">
        <v>188</v>
      </c>
      <c r="C42" s="632">
        <v>2017</v>
      </c>
      <c r="D42" s="1023">
        <v>884599.6</v>
      </c>
      <c r="E42" s="1023">
        <v>0</v>
      </c>
      <c r="F42" s="1023">
        <v>0</v>
      </c>
      <c r="G42" s="1023">
        <v>0</v>
      </c>
      <c r="H42" s="1023">
        <v>0</v>
      </c>
      <c r="I42" s="636"/>
      <c r="J42" s="633"/>
      <c r="K42" s="633"/>
    </row>
    <row r="43" spans="1:11">
      <c r="A43" s="111">
        <f t="shared" si="3"/>
        <v>25</v>
      </c>
      <c r="B43" s="631" t="s">
        <v>189</v>
      </c>
      <c r="C43" s="632">
        <v>2017</v>
      </c>
      <c r="D43" s="1023">
        <v>0</v>
      </c>
      <c r="E43" s="1023">
        <v>0</v>
      </c>
      <c r="F43" s="1023">
        <v>0</v>
      </c>
      <c r="G43" s="1023">
        <v>0</v>
      </c>
      <c r="H43" s="1023">
        <v>0</v>
      </c>
      <c r="I43" s="636"/>
      <c r="J43" s="633"/>
      <c r="K43" s="633"/>
    </row>
    <row r="44" spans="1:11">
      <c r="A44" s="111">
        <f t="shared" si="3"/>
        <v>26</v>
      </c>
      <c r="B44" s="631" t="s">
        <v>190</v>
      </c>
      <c r="C44" s="632">
        <v>2017</v>
      </c>
      <c r="D44" s="1023">
        <v>0</v>
      </c>
      <c r="E44" s="1023">
        <v>0</v>
      </c>
      <c r="F44" s="1124">
        <v>38253400.890000001</v>
      </c>
      <c r="G44" s="1124">
        <v>0</v>
      </c>
      <c r="H44" s="528">
        <v>0</v>
      </c>
      <c r="I44" s="636"/>
      <c r="J44" s="633"/>
      <c r="K44" s="633"/>
    </row>
    <row r="45" spans="1:11">
      <c r="A45" s="111">
        <f t="shared" si="3"/>
        <v>27</v>
      </c>
      <c r="B45" s="631" t="s">
        <v>180</v>
      </c>
      <c r="C45" s="632">
        <v>2017</v>
      </c>
      <c r="D45" s="117">
        <v>0</v>
      </c>
      <c r="E45" s="117">
        <v>0</v>
      </c>
      <c r="F45" s="1219">
        <v>46788115.939999998</v>
      </c>
      <c r="G45" s="1219">
        <v>36155802.810000002</v>
      </c>
      <c r="H45" s="409">
        <v>34993045.010000005</v>
      </c>
      <c r="I45" s="636"/>
      <c r="J45" s="633"/>
      <c r="K45" s="633"/>
    </row>
    <row r="46" spans="1:11">
      <c r="A46" s="111">
        <f t="shared" si="3"/>
        <v>28</v>
      </c>
      <c r="B46" s="1290"/>
      <c r="C46" s="635" t="s">
        <v>543</v>
      </c>
      <c r="D46" s="526">
        <f>SUM(D33:D45)/13</f>
        <v>9253542.2723076921</v>
      </c>
      <c r="E46" s="526">
        <f>SUM(E33:E45)/13</f>
        <v>0</v>
      </c>
      <c r="F46" s="526">
        <f>SUM(F33:F45)/13</f>
        <v>6541655.1407692302</v>
      </c>
      <c r="G46" s="526">
        <f>SUM(G33:G45)/13</f>
        <v>2781215.6007692311</v>
      </c>
      <c r="H46" s="526">
        <f>SUM(H33:H45)/13</f>
        <v>2691772.6930769235</v>
      </c>
      <c r="I46" s="637" t="s">
        <v>76</v>
      </c>
      <c r="J46" s="633"/>
      <c r="K46" s="633"/>
    </row>
    <row r="48" spans="1:11">
      <c r="B48" s="638" t="s">
        <v>1936</v>
      </c>
    </row>
    <row r="49" spans="1:13">
      <c r="B49" s="638"/>
      <c r="D49" s="664" t="s">
        <v>360</v>
      </c>
      <c r="E49" s="664" t="s">
        <v>344</v>
      </c>
      <c r="F49" s="664" t="s">
        <v>345</v>
      </c>
      <c r="G49" s="664" t="s">
        <v>346</v>
      </c>
      <c r="H49" s="664" t="s">
        <v>347</v>
      </c>
      <c r="I49" s="664" t="s">
        <v>348</v>
      </c>
      <c r="J49" s="664" t="s">
        <v>349</v>
      </c>
      <c r="K49" s="664" t="s">
        <v>541</v>
      </c>
    </row>
    <row r="50" spans="1:13" s="665" customFormat="1">
      <c r="A50" s="806"/>
      <c r="D50" s="478" t="s">
        <v>211</v>
      </c>
      <c r="E50" s="478" t="s">
        <v>211</v>
      </c>
      <c r="F50" s="478" t="s">
        <v>211</v>
      </c>
      <c r="G50" s="478" t="s">
        <v>211</v>
      </c>
      <c r="H50" s="478" t="s">
        <v>211</v>
      </c>
      <c r="I50" s="478" t="s">
        <v>211</v>
      </c>
      <c r="J50" s="478" t="s">
        <v>211</v>
      </c>
      <c r="K50" s="478" t="s">
        <v>211</v>
      </c>
      <c r="L50" s="806"/>
    </row>
    <row r="51" spans="1:13">
      <c r="G51" s="571" t="s">
        <v>1937</v>
      </c>
      <c r="K51" s="666"/>
    </row>
    <row r="52" spans="1:13">
      <c r="A52" s="666"/>
      <c r="B52" s="666"/>
      <c r="C52" s="666"/>
      <c r="D52" s="666" t="s">
        <v>198</v>
      </c>
      <c r="E52" s="666" t="s">
        <v>1920</v>
      </c>
      <c r="F52" s="666" t="s">
        <v>1938</v>
      </c>
      <c r="G52" s="666" t="s">
        <v>196</v>
      </c>
      <c r="H52" s="666" t="s">
        <v>1939</v>
      </c>
      <c r="I52" s="667" t="s">
        <v>1940</v>
      </c>
      <c r="J52" s="666" t="s">
        <v>198</v>
      </c>
      <c r="K52" s="666" t="s">
        <v>18</v>
      </c>
    </row>
    <row r="53" spans="1:13">
      <c r="A53" s="865" t="s">
        <v>331</v>
      </c>
      <c r="B53" s="630" t="s">
        <v>192</v>
      </c>
      <c r="C53" s="630" t="s">
        <v>193</v>
      </c>
      <c r="D53" s="664" t="s">
        <v>1941</v>
      </c>
      <c r="E53" s="664" t="s">
        <v>1921</v>
      </c>
      <c r="F53" s="664" t="s">
        <v>1942</v>
      </c>
      <c r="G53" s="664" t="s">
        <v>1943</v>
      </c>
      <c r="H53" s="664" t="s">
        <v>1944</v>
      </c>
      <c r="I53" s="664" t="s">
        <v>1945</v>
      </c>
      <c r="J53" s="664" t="s">
        <v>1946</v>
      </c>
      <c r="K53" s="3" t="s">
        <v>1947</v>
      </c>
    </row>
    <row r="54" spans="1:13">
      <c r="A54" s="111">
        <f>A46+1</f>
        <v>29</v>
      </c>
      <c r="B54" s="631" t="s">
        <v>180</v>
      </c>
      <c r="C54" s="632">
        <v>2017</v>
      </c>
      <c r="D54" s="673" t="s">
        <v>76</v>
      </c>
      <c r="E54" s="673" t="s">
        <v>76</v>
      </c>
      <c r="F54" s="673" t="s">
        <v>76</v>
      </c>
      <c r="G54" s="673" t="s">
        <v>76</v>
      </c>
      <c r="H54" s="673" t="s">
        <v>76</v>
      </c>
      <c r="I54" s="673" t="s">
        <v>76</v>
      </c>
      <c r="J54" s="7">
        <f>D25</f>
        <v>221778479.72000003</v>
      </c>
      <c r="K54" s="673" t="s">
        <v>76</v>
      </c>
    </row>
    <row r="55" spans="1:13">
      <c r="A55" s="111">
        <f>A54+1</f>
        <v>30</v>
      </c>
      <c r="B55" s="631" t="s">
        <v>181</v>
      </c>
      <c r="C55" s="632">
        <v>2018</v>
      </c>
      <c r="D55" s="7">
        <f t="shared" ref="D55:K64" si="4">D89+D122+D155+D188+D221+D254+D287+D320+D353+D386</f>
        <v>9351203.5251600072</v>
      </c>
      <c r="E55" s="7">
        <f t="shared" si="4"/>
        <v>701340.26438700035</v>
      </c>
      <c r="F55" s="7">
        <f t="shared" si="4"/>
        <v>10052543.789547008</v>
      </c>
      <c r="G55" s="7">
        <f t="shared" si="4"/>
        <v>5037315.0016000001</v>
      </c>
      <c r="H55" s="7">
        <f t="shared" si="4"/>
        <v>4098416.9471999994</v>
      </c>
      <c r="I55" s="7">
        <f t="shared" si="4"/>
        <v>70417.354080000048</v>
      </c>
      <c r="J55" s="7">
        <f t="shared" si="4"/>
        <v>226723291.15386704</v>
      </c>
      <c r="K55" s="7">
        <f t="shared" si="4"/>
        <v>4944811.4338670075</v>
      </c>
      <c r="L55" s="803"/>
      <c r="M55" s="7"/>
    </row>
    <row r="56" spans="1:13">
      <c r="A56" s="111">
        <f t="shared" ref="A56:A79" si="5">A55+1</f>
        <v>31</v>
      </c>
      <c r="B56" s="634" t="s">
        <v>182</v>
      </c>
      <c r="C56" s="632">
        <v>2018</v>
      </c>
      <c r="D56" s="7">
        <f t="shared" si="4"/>
        <v>10204201.744830003</v>
      </c>
      <c r="E56" s="7">
        <f t="shared" si="4"/>
        <v>765315.13086225023</v>
      </c>
      <c r="F56" s="7">
        <f t="shared" si="4"/>
        <v>10969516.875692254</v>
      </c>
      <c r="G56" s="7">
        <f t="shared" si="4"/>
        <v>1615948.3799999997</v>
      </c>
      <c r="H56" s="7">
        <f t="shared" si="4"/>
        <v>0</v>
      </c>
      <c r="I56" s="7">
        <f t="shared" si="4"/>
        <v>121196.12849999998</v>
      </c>
      <c r="J56" s="7">
        <f t="shared" si="4"/>
        <v>235955663.52105927</v>
      </c>
      <c r="K56" s="7">
        <f t="shared" si="4"/>
        <v>14177183.801059252</v>
      </c>
      <c r="L56" s="803"/>
      <c r="M56" s="7"/>
    </row>
    <row r="57" spans="1:13">
      <c r="A57" s="111">
        <f t="shared" si="5"/>
        <v>32</v>
      </c>
      <c r="B57" s="634" t="s">
        <v>195</v>
      </c>
      <c r="C57" s="632">
        <v>2018</v>
      </c>
      <c r="D57" s="7">
        <f t="shared" si="4"/>
        <v>22153491.458437972</v>
      </c>
      <c r="E57" s="7">
        <f t="shared" si="4"/>
        <v>1661511.8593828478</v>
      </c>
      <c r="F57" s="7">
        <f t="shared" si="4"/>
        <v>23815003.317820817</v>
      </c>
      <c r="G57" s="7">
        <f t="shared" si="4"/>
        <v>1024176.6912</v>
      </c>
      <c r="H57" s="7">
        <f t="shared" si="4"/>
        <v>0</v>
      </c>
      <c r="I57" s="7">
        <f t="shared" si="4"/>
        <v>76813.251840000012</v>
      </c>
      <c r="J57" s="7">
        <f t="shared" si="4"/>
        <v>258669676.89584011</v>
      </c>
      <c r="K57" s="7">
        <f t="shared" si="4"/>
        <v>36891197.175840072</v>
      </c>
      <c r="L57" s="803"/>
      <c r="M57" s="7"/>
    </row>
    <row r="58" spans="1:13">
      <c r="A58" s="111">
        <f t="shared" si="5"/>
        <v>33</v>
      </c>
      <c r="B58" s="631" t="s">
        <v>183</v>
      </c>
      <c r="C58" s="632">
        <v>2018</v>
      </c>
      <c r="D58" s="7">
        <f t="shared" si="4"/>
        <v>9357335.1182040256</v>
      </c>
      <c r="E58" s="7">
        <f t="shared" si="4"/>
        <v>701800.13386530185</v>
      </c>
      <c r="F58" s="7">
        <f t="shared" si="4"/>
        <v>10059135.252069328</v>
      </c>
      <c r="G58" s="7">
        <f t="shared" si="4"/>
        <v>116255.00000000001</v>
      </c>
      <c r="H58" s="7">
        <f t="shared" si="4"/>
        <v>0</v>
      </c>
      <c r="I58" s="7">
        <f t="shared" si="4"/>
        <v>8719.125</v>
      </c>
      <c r="J58" s="7">
        <f t="shared" si="4"/>
        <v>268603838.0229094</v>
      </c>
      <c r="K58" s="7">
        <f t="shared" si="4"/>
        <v>46825358.302909411</v>
      </c>
      <c r="L58" s="803"/>
      <c r="M58" s="7"/>
    </row>
    <row r="59" spans="1:13">
      <c r="A59" s="111">
        <f t="shared" si="5"/>
        <v>34</v>
      </c>
      <c r="B59" s="634" t="s">
        <v>184</v>
      </c>
      <c r="C59" s="632">
        <v>2018</v>
      </c>
      <c r="D59" s="7">
        <f t="shared" si="4"/>
        <v>14954818.094085429</v>
      </c>
      <c r="E59" s="7">
        <f t="shared" si="4"/>
        <v>1121611.357056407</v>
      </c>
      <c r="F59" s="7">
        <f t="shared" si="4"/>
        <v>16076429.451141836</v>
      </c>
      <c r="G59" s="7">
        <f t="shared" si="4"/>
        <v>786000</v>
      </c>
      <c r="H59" s="7">
        <f t="shared" si="4"/>
        <v>0</v>
      </c>
      <c r="I59" s="7">
        <f t="shared" si="4"/>
        <v>58950</v>
      </c>
      <c r="J59" s="7">
        <f t="shared" si="4"/>
        <v>283835317.47405124</v>
      </c>
      <c r="K59" s="7">
        <f t="shared" si="4"/>
        <v>62056837.754051253</v>
      </c>
      <c r="L59" s="803"/>
      <c r="M59" s="7"/>
    </row>
    <row r="60" spans="1:13">
      <c r="A60" s="111">
        <f t="shared" si="5"/>
        <v>35</v>
      </c>
      <c r="B60" s="634" t="s">
        <v>1477</v>
      </c>
      <c r="C60" s="632">
        <v>2018</v>
      </c>
      <c r="D60" s="7">
        <f t="shared" si="4"/>
        <v>17718218.694935065</v>
      </c>
      <c r="E60" s="7">
        <f t="shared" si="4"/>
        <v>1328866.4021201301</v>
      </c>
      <c r="F60" s="7">
        <f t="shared" si="4"/>
        <v>19047085.097055193</v>
      </c>
      <c r="G60" s="7">
        <f t="shared" si="4"/>
        <v>3410369.5299999993</v>
      </c>
      <c r="H60" s="7">
        <f t="shared" si="4"/>
        <v>2447557.5500000003</v>
      </c>
      <c r="I60" s="7">
        <f t="shared" si="4"/>
        <v>72210.898499999967</v>
      </c>
      <c r="J60" s="7">
        <f t="shared" si="4"/>
        <v>299399822.14260644</v>
      </c>
      <c r="K60" s="7">
        <f t="shared" si="4"/>
        <v>77621342.422606423</v>
      </c>
      <c r="L60" s="803"/>
      <c r="M60" s="7"/>
    </row>
    <row r="61" spans="1:13">
      <c r="A61" s="111">
        <f t="shared" si="5"/>
        <v>36</v>
      </c>
      <c r="B61" s="631" t="s">
        <v>186</v>
      </c>
      <c r="C61" s="632">
        <v>2018</v>
      </c>
      <c r="D61" s="7">
        <f t="shared" si="4"/>
        <v>12070760.36228192</v>
      </c>
      <c r="E61" s="7">
        <f t="shared" si="4"/>
        <v>905307.02717114403</v>
      </c>
      <c r="F61" s="7">
        <f t="shared" si="4"/>
        <v>12976067.389453067</v>
      </c>
      <c r="G61" s="7">
        <f t="shared" si="4"/>
        <v>548326</v>
      </c>
      <c r="H61" s="7">
        <f t="shared" si="4"/>
        <v>0</v>
      </c>
      <c r="I61" s="7">
        <f t="shared" si="4"/>
        <v>41124.449999999997</v>
      </c>
      <c r="J61" s="7">
        <f t="shared" si="4"/>
        <v>311786439.0820595</v>
      </c>
      <c r="K61" s="7">
        <f t="shared" si="4"/>
        <v>90007959.362059504</v>
      </c>
      <c r="L61" s="803"/>
      <c r="M61" s="7"/>
    </row>
    <row r="62" spans="1:13">
      <c r="A62" s="111">
        <f t="shared" si="5"/>
        <v>37</v>
      </c>
      <c r="B62" s="634" t="s">
        <v>187</v>
      </c>
      <c r="C62" s="632">
        <v>2018</v>
      </c>
      <c r="D62" s="7">
        <f t="shared" si="4"/>
        <v>16798570.912209753</v>
      </c>
      <c r="E62" s="7">
        <f t="shared" si="4"/>
        <v>1259892.8184157314</v>
      </c>
      <c r="F62" s="7">
        <f t="shared" si="4"/>
        <v>18058463.730625484</v>
      </c>
      <c r="G62" s="7">
        <f t="shared" si="4"/>
        <v>297663</v>
      </c>
      <c r="H62" s="7">
        <f t="shared" si="4"/>
        <v>0</v>
      </c>
      <c r="I62" s="7">
        <f t="shared" si="4"/>
        <v>22324.724999999999</v>
      </c>
      <c r="J62" s="7">
        <f t="shared" si="4"/>
        <v>329524915.08768499</v>
      </c>
      <c r="K62" s="7">
        <f t="shared" si="4"/>
        <v>107746435.36768499</v>
      </c>
      <c r="L62" s="803"/>
      <c r="M62" s="7"/>
    </row>
    <row r="63" spans="1:13">
      <c r="A63" s="111">
        <f t="shared" si="5"/>
        <v>38</v>
      </c>
      <c r="B63" s="634" t="s">
        <v>188</v>
      </c>
      <c r="C63" s="632">
        <v>2018</v>
      </c>
      <c r="D63" s="7">
        <f t="shared" si="4"/>
        <v>13815046.666871225</v>
      </c>
      <c r="E63" s="7">
        <f t="shared" si="4"/>
        <v>1036128.5000153418</v>
      </c>
      <c r="F63" s="7">
        <f t="shared" si="4"/>
        <v>14851175.166886566</v>
      </c>
      <c r="G63" s="7">
        <f t="shared" si="4"/>
        <v>349971</v>
      </c>
      <c r="H63" s="7">
        <f t="shared" si="4"/>
        <v>0</v>
      </c>
      <c r="I63" s="7">
        <f t="shared" si="4"/>
        <v>26247.825000000001</v>
      </c>
      <c r="J63" s="7">
        <f t="shared" si="4"/>
        <v>343999871.42957157</v>
      </c>
      <c r="K63" s="7">
        <f t="shared" si="4"/>
        <v>122221391.70957154</v>
      </c>
      <c r="L63" s="803"/>
      <c r="M63" s="7"/>
    </row>
    <row r="64" spans="1:13">
      <c r="A64" s="111">
        <f t="shared" si="5"/>
        <v>39</v>
      </c>
      <c r="B64" s="631" t="s">
        <v>191</v>
      </c>
      <c r="C64" s="632">
        <v>2018</v>
      </c>
      <c r="D64" s="7">
        <f t="shared" si="4"/>
        <v>24263779.81418046</v>
      </c>
      <c r="E64" s="7">
        <f t="shared" si="4"/>
        <v>1819783.4860635344</v>
      </c>
      <c r="F64" s="7">
        <f t="shared" si="4"/>
        <v>26083563.300243992</v>
      </c>
      <c r="G64" s="7">
        <f t="shared" si="4"/>
        <v>77673</v>
      </c>
      <c r="H64" s="7">
        <f t="shared" si="4"/>
        <v>0</v>
      </c>
      <c r="I64" s="7">
        <f t="shared" si="4"/>
        <v>5825.4749999999995</v>
      </c>
      <c r="J64" s="7">
        <f t="shared" si="4"/>
        <v>369999936.25481558</v>
      </c>
      <c r="K64" s="7">
        <f t="shared" si="4"/>
        <v>148221456.53481555</v>
      </c>
      <c r="L64" s="803"/>
      <c r="M64" s="7"/>
    </row>
    <row r="65" spans="1:13">
      <c r="A65" s="111">
        <f t="shared" si="5"/>
        <v>40</v>
      </c>
      <c r="B65" s="631" t="s">
        <v>190</v>
      </c>
      <c r="C65" s="632">
        <v>2018</v>
      </c>
      <c r="D65" s="7">
        <f t="shared" ref="D65:K74" si="6">D99+D132+D165+D198+D231+D264+D297+D330+D363+D396</f>
        <v>22781800.740541551</v>
      </c>
      <c r="E65" s="7">
        <f t="shared" si="6"/>
        <v>1708635.0555406166</v>
      </c>
      <c r="F65" s="7">
        <f t="shared" si="6"/>
        <v>24490435.796082173</v>
      </c>
      <c r="G65" s="7">
        <f t="shared" si="6"/>
        <v>47000</v>
      </c>
      <c r="H65" s="7">
        <f t="shared" si="6"/>
        <v>0</v>
      </c>
      <c r="I65" s="7">
        <f t="shared" si="6"/>
        <v>3525</v>
      </c>
      <c r="J65" s="7">
        <f t="shared" si="6"/>
        <v>394439847.05089772</v>
      </c>
      <c r="K65" s="7">
        <f t="shared" si="6"/>
        <v>172661367.33089769</v>
      </c>
      <c r="L65" s="803"/>
      <c r="M65" s="7"/>
    </row>
    <row r="66" spans="1:13">
      <c r="A66" s="111">
        <f t="shared" si="5"/>
        <v>41</v>
      </c>
      <c r="B66" s="631" t="s">
        <v>180</v>
      </c>
      <c r="C66" s="632">
        <v>2018</v>
      </c>
      <c r="D66" s="7">
        <f t="shared" si="6"/>
        <v>27803219.212408446</v>
      </c>
      <c r="E66" s="7">
        <f t="shared" si="6"/>
        <v>2085241.4409306336</v>
      </c>
      <c r="F66" s="7">
        <f t="shared" si="6"/>
        <v>29888460.653339084</v>
      </c>
      <c r="G66" s="7">
        <f t="shared" si="6"/>
        <v>20677884.444288</v>
      </c>
      <c r="H66" s="7">
        <f t="shared" si="6"/>
        <v>8513637.9700000007</v>
      </c>
      <c r="I66" s="7">
        <f t="shared" si="6"/>
        <v>912318.4855715998</v>
      </c>
      <c r="J66" s="7">
        <f t="shared" si="6"/>
        <v>402738104.77437723</v>
      </c>
      <c r="K66" s="7">
        <f t="shared" si="6"/>
        <v>180959625.0543772</v>
      </c>
      <c r="L66" s="803"/>
      <c r="M66" s="7"/>
    </row>
    <row r="67" spans="1:13">
      <c r="A67" s="111">
        <f t="shared" si="5"/>
        <v>42</v>
      </c>
      <c r="B67" s="631" t="s">
        <v>181</v>
      </c>
      <c r="C67" s="632">
        <v>2019</v>
      </c>
      <c r="D67" s="7">
        <f t="shared" si="6"/>
        <v>10509600.680446928</v>
      </c>
      <c r="E67" s="7">
        <f t="shared" si="6"/>
        <v>788220.05103351944</v>
      </c>
      <c r="F67" s="7">
        <f t="shared" si="6"/>
        <v>11297820.731480448</v>
      </c>
      <c r="G67" s="7">
        <f t="shared" si="6"/>
        <v>185930</v>
      </c>
      <c r="H67" s="7">
        <f t="shared" si="6"/>
        <v>0</v>
      </c>
      <c r="I67" s="7">
        <f t="shared" si="6"/>
        <v>13944.75</v>
      </c>
      <c r="J67" s="7">
        <f t="shared" si="6"/>
        <v>413836050.75585765</v>
      </c>
      <c r="K67" s="7">
        <f t="shared" si="6"/>
        <v>192057571.03585768</v>
      </c>
      <c r="L67" s="803"/>
      <c r="M67" s="7"/>
    </row>
    <row r="68" spans="1:13">
      <c r="A68" s="111">
        <f t="shared" si="5"/>
        <v>43</v>
      </c>
      <c r="B68" s="634" t="s">
        <v>182</v>
      </c>
      <c r="C68" s="632">
        <v>2019</v>
      </c>
      <c r="D68" s="7">
        <f t="shared" si="6"/>
        <v>18429547.798468925</v>
      </c>
      <c r="E68" s="7">
        <f t="shared" si="6"/>
        <v>1382216.0848851695</v>
      </c>
      <c r="F68" s="7">
        <f t="shared" si="6"/>
        <v>19811763.883354098</v>
      </c>
      <c r="G68" s="7">
        <f t="shared" si="6"/>
        <v>204642.63</v>
      </c>
      <c r="H68" s="7">
        <f t="shared" si="6"/>
        <v>0</v>
      </c>
      <c r="I68" s="7">
        <f t="shared" si="6"/>
        <v>15348.197249999999</v>
      </c>
      <c r="J68" s="7">
        <f t="shared" si="6"/>
        <v>433427823.81196177</v>
      </c>
      <c r="K68" s="7">
        <f t="shared" si="6"/>
        <v>211649344.09196174</v>
      </c>
      <c r="L68" s="803"/>
      <c r="M68" s="7"/>
    </row>
    <row r="69" spans="1:13">
      <c r="A69" s="111">
        <f t="shared" si="5"/>
        <v>44</v>
      </c>
      <c r="B69" s="634" t="s">
        <v>195</v>
      </c>
      <c r="C69" s="632">
        <v>2019</v>
      </c>
      <c r="D69" s="7">
        <f t="shared" si="6"/>
        <v>20210542.548006929</v>
      </c>
      <c r="E69" s="7">
        <f t="shared" si="6"/>
        <v>1515790.6911005196</v>
      </c>
      <c r="F69" s="7">
        <f t="shared" si="6"/>
        <v>21726333.239107449</v>
      </c>
      <c r="G69" s="7">
        <f t="shared" si="6"/>
        <v>361033.7</v>
      </c>
      <c r="H69" s="7">
        <f t="shared" si="6"/>
        <v>0</v>
      </c>
      <c r="I69" s="7">
        <f t="shared" si="6"/>
        <v>27077.5275</v>
      </c>
      <c r="J69" s="7">
        <f t="shared" si="6"/>
        <v>454766045.82356918</v>
      </c>
      <c r="K69" s="7">
        <f t="shared" si="6"/>
        <v>232987566.10356921</v>
      </c>
      <c r="L69" s="803"/>
      <c r="M69" s="7"/>
    </row>
    <row r="70" spans="1:13">
      <c r="A70" s="111">
        <f t="shared" si="5"/>
        <v>45</v>
      </c>
      <c r="B70" s="631" t="s">
        <v>183</v>
      </c>
      <c r="C70" s="632">
        <v>2019</v>
      </c>
      <c r="D70" s="7">
        <f t="shared" si="6"/>
        <v>18395093.093095724</v>
      </c>
      <c r="E70" s="7">
        <f t="shared" si="6"/>
        <v>1379631.9819821792</v>
      </c>
      <c r="F70" s="7">
        <f t="shared" si="6"/>
        <v>19774725.075077903</v>
      </c>
      <c r="G70" s="7">
        <f t="shared" si="6"/>
        <v>373816.33</v>
      </c>
      <c r="H70" s="7">
        <f t="shared" si="6"/>
        <v>0</v>
      </c>
      <c r="I70" s="7">
        <f t="shared" si="6"/>
        <v>28036.224750000001</v>
      </c>
      <c r="J70" s="7">
        <f t="shared" si="6"/>
        <v>474138918.3438971</v>
      </c>
      <c r="K70" s="7">
        <f t="shared" si="6"/>
        <v>252360438.62389711</v>
      </c>
      <c r="L70" s="803"/>
      <c r="M70" s="7"/>
    </row>
    <row r="71" spans="1:13">
      <c r="A71" s="111">
        <f t="shared" si="5"/>
        <v>46</v>
      </c>
      <c r="B71" s="634" t="s">
        <v>184</v>
      </c>
      <c r="C71" s="632">
        <v>2019</v>
      </c>
      <c r="D71" s="7">
        <f t="shared" si="6"/>
        <v>19070891.887879726</v>
      </c>
      <c r="E71" s="7">
        <f t="shared" si="6"/>
        <v>1430316.8915909794</v>
      </c>
      <c r="F71" s="7">
        <f t="shared" si="6"/>
        <v>20501208.779470704</v>
      </c>
      <c r="G71" s="7">
        <f t="shared" si="6"/>
        <v>400430.52</v>
      </c>
      <c r="H71" s="7">
        <f t="shared" si="6"/>
        <v>0</v>
      </c>
      <c r="I71" s="7">
        <f t="shared" si="6"/>
        <v>30032.289000000001</v>
      </c>
      <c r="J71" s="7">
        <f t="shared" si="6"/>
        <v>494209664.31436777</v>
      </c>
      <c r="K71" s="7">
        <f t="shared" si="6"/>
        <v>272431184.5943678</v>
      </c>
      <c r="L71" s="803"/>
      <c r="M71" s="7"/>
    </row>
    <row r="72" spans="1:13">
      <c r="A72" s="111">
        <f t="shared" si="5"/>
        <v>47</v>
      </c>
      <c r="B72" s="634" t="s">
        <v>1477</v>
      </c>
      <c r="C72" s="632">
        <v>2019</v>
      </c>
      <c r="D72" s="7">
        <f t="shared" si="6"/>
        <v>34328458.891959727</v>
      </c>
      <c r="E72" s="7">
        <f t="shared" si="6"/>
        <v>2574634.4168969793</v>
      </c>
      <c r="F72" s="7">
        <f t="shared" si="6"/>
        <v>36903093.308856703</v>
      </c>
      <c r="G72" s="7">
        <f t="shared" si="6"/>
        <v>413213.15</v>
      </c>
      <c r="H72" s="7">
        <f t="shared" si="6"/>
        <v>0</v>
      </c>
      <c r="I72" s="7">
        <f t="shared" si="6"/>
        <v>30990.986250000002</v>
      </c>
      <c r="J72" s="7">
        <f t="shared" si="6"/>
        <v>530668553.48697448</v>
      </c>
      <c r="K72" s="7">
        <f t="shared" si="6"/>
        <v>308890073.76697451</v>
      </c>
      <c r="L72" s="803"/>
      <c r="M72" s="7"/>
    </row>
    <row r="73" spans="1:13">
      <c r="A73" s="111">
        <f t="shared" si="5"/>
        <v>48</v>
      </c>
      <c r="B73" s="631" t="s">
        <v>186</v>
      </c>
      <c r="C73" s="632">
        <v>2019</v>
      </c>
      <c r="D73" s="7">
        <f t="shared" si="6"/>
        <v>21416332.885885727</v>
      </c>
      <c r="E73" s="7">
        <f t="shared" si="6"/>
        <v>1606224.9664414295</v>
      </c>
      <c r="F73" s="7">
        <f t="shared" si="6"/>
        <v>23022557.852327153</v>
      </c>
      <c r="G73" s="7">
        <f t="shared" si="6"/>
        <v>432386.85</v>
      </c>
      <c r="H73" s="7">
        <f t="shared" si="6"/>
        <v>0</v>
      </c>
      <c r="I73" s="7">
        <f t="shared" si="6"/>
        <v>32429.013749999998</v>
      </c>
      <c r="J73" s="7">
        <f t="shared" si="6"/>
        <v>553226295.47555172</v>
      </c>
      <c r="K73" s="7">
        <f t="shared" si="6"/>
        <v>331447815.7555517</v>
      </c>
      <c r="L73" s="803"/>
      <c r="M73" s="7"/>
    </row>
    <row r="74" spans="1:13">
      <c r="A74" s="111">
        <f t="shared" si="5"/>
        <v>49</v>
      </c>
      <c r="B74" s="634" t="s">
        <v>187</v>
      </c>
      <c r="C74" s="632">
        <v>2019</v>
      </c>
      <c r="D74" s="7">
        <f t="shared" si="6"/>
        <v>22238369.516114414</v>
      </c>
      <c r="E74" s="7">
        <f t="shared" si="6"/>
        <v>1667877.7137085809</v>
      </c>
      <c r="F74" s="7">
        <f t="shared" si="6"/>
        <v>23906247.229822993</v>
      </c>
      <c r="G74" s="7">
        <f t="shared" si="6"/>
        <v>14427934.35</v>
      </c>
      <c r="H74" s="7">
        <f t="shared" si="6"/>
        <v>8470082.9399999995</v>
      </c>
      <c r="I74" s="7">
        <f t="shared" si="6"/>
        <v>446838.85574999999</v>
      </c>
      <c r="J74" s="7">
        <f t="shared" si="6"/>
        <v>562257769.49962473</v>
      </c>
      <c r="K74" s="7">
        <f t="shared" si="6"/>
        <v>340479289.77962464</v>
      </c>
      <c r="L74" s="803"/>
      <c r="M74" s="7"/>
    </row>
    <row r="75" spans="1:13">
      <c r="A75" s="111">
        <f t="shared" si="5"/>
        <v>50</v>
      </c>
      <c r="B75" s="634" t="s">
        <v>188</v>
      </c>
      <c r="C75" s="632">
        <v>2019</v>
      </c>
      <c r="D75" s="7">
        <f t="shared" ref="D75:K75" si="7">D109+D142+D175+D208+D241+D274+D307+D340+D373+D406</f>
        <v>24775208.928607386</v>
      </c>
      <c r="E75" s="7">
        <f t="shared" si="7"/>
        <v>1858140.6696455539</v>
      </c>
      <c r="F75" s="7">
        <f t="shared" si="7"/>
        <v>26633349.598252941</v>
      </c>
      <c r="G75" s="7">
        <f t="shared" si="7"/>
        <v>453078.41000000003</v>
      </c>
      <c r="H75" s="7">
        <f t="shared" si="7"/>
        <v>0</v>
      </c>
      <c r="I75" s="7">
        <f t="shared" si="7"/>
        <v>33980.880749999997</v>
      </c>
      <c r="J75" s="7">
        <f t="shared" si="7"/>
        <v>588404059.80712759</v>
      </c>
      <c r="K75" s="484">
        <f t="shared" si="7"/>
        <v>366625580.08712757</v>
      </c>
      <c r="L75" s="803"/>
      <c r="M75" s="7"/>
    </row>
    <row r="76" spans="1:13">
      <c r="A76" s="111">
        <f t="shared" si="5"/>
        <v>51</v>
      </c>
      <c r="B76" s="634" t="s">
        <v>191</v>
      </c>
      <c r="C76" s="632">
        <v>2019</v>
      </c>
      <c r="D76" s="7">
        <f>D110+D143+D176+D209+D242+D275+D308+D341+D374</f>
        <v>23310192.734987721</v>
      </c>
      <c r="E76" s="7">
        <f t="shared" ref="E76:K78" si="8">E110+E143+E176+E209+E242+E275+E308+E341+E374+E407</f>
        <v>2891631.9551240792</v>
      </c>
      <c r="F76" s="7">
        <f t="shared" si="8"/>
        <v>41446724.690111801</v>
      </c>
      <c r="G76" s="7">
        <f t="shared" si="8"/>
        <v>19987218.269999996</v>
      </c>
      <c r="H76" s="7">
        <f t="shared" si="8"/>
        <v>9341863.8599999994</v>
      </c>
      <c r="I76" s="7">
        <f t="shared" si="8"/>
        <v>798401.58074999985</v>
      </c>
      <c r="J76" s="7">
        <f t="shared" si="8"/>
        <v>609065164.64648938</v>
      </c>
      <c r="K76" s="484">
        <f t="shared" si="8"/>
        <v>387286684.92648947</v>
      </c>
      <c r="L76" s="803"/>
      <c r="M76" s="7"/>
    </row>
    <row r="77" spans="1:13">
      <c r="A77" s="111">
        <f t="shared" si="5"/>
        <v>52</v>
      </c>
      <c r="B77" s="634" t="s">
        <v>190</v>
      </c>
      <c r="C77" s="632">
        <v>2019</v>
      </c>
      <c r="D77" s="7">
        <f>D111+D144+D177+D210+D243+D276+D309+D342+D375</f>
        <v>28594395.182708353</v>
      </c>
      <c r="E77" s="7">
        <f t="shared" si="8"/>
        <v>2488228.9637031266</v>
      </c>
      <c r="F77" s="7">
        <f t="shared" si="8"/>
        <v>35664615.146411479</v>
      </c>
      <c r="G77" s="7">
        <f t="shared" si="8"/>
        <v>16531554.139999997</v>
      </c>
      <c r="H77" s="7">
        <f t="shared" si="8"/>
        <v>6140181.3599999994</v>
      </c>
      <c r="I77" s="7">
        <f t="shared" si="8"/>
        <v>779352.95849999983</v>
      </c>
      <c r="J77" s="7">
        <f t="shared" si="8"/>
        <v>627418872.69440091</v>
      </c>
      <c r="K77" s="484">
        <f t="shared" si="8"/>
        <v>405640392.97440094</v>
      </c>
      <c r="L77" s="803"/>
      <c r="M77" s="7"/>
    </row>
    <row r="78" spans="1:13">
      <c r="A78" s="111">
        <f t="shared" si="5"/>
        <v>53</v>
      </c>
      <c r="B78" s="634" t="s">
        <v>180</v>
      </c>
      <c r="C78" s="632">
        <v>2019</v>
      </c>
      <c r="D78" s="7">
        <f>D112+D145+D178+D211+D244+D277+D310+D343+D376+D409</f>
        <v>33982790.172716424</v>
      </c>
      <c r="E78" s="7">
        <f t="shared" si="8"/>
        <v>2548709.2629537322</v>
      </c>
      <c r="F78" s="7">
        <f t="shared" si="8"/>
        <v>36531499.43567016</v>
      </c>
      <c r="G78" s="7">
        <f t="shared" si="8"/>
        <v>5786284.5911999997</v>
      </c>
      <c r="H78" s="7">
        <f t="shared" si="8"/>
        <v>2531642.4799999995</v>
      </c>
      <c r="I78" s="7">
        <f t="shared" si="8"/>
        <v>244098.15833999997</v>
      </c>
      <c r="J78" s="7">
        <f t="shared" si="8"/>
        <v>657919989.38053107</v>
      </c>
      <c r="K78" s="91">
        <f t="shared" si="8"/>
        <v>436141509.6605311</v>
      </c>
      <c r="L78" s="804"/>
      <c r="M78" s="7"/>
    </row>
    <row r="79" spans="1:13">
      <c r="A79" s="111">
        <f t="shared" si="5"/>
        <v>54</v>
      </c>
      <c r="C79" s="668" t="s">
        <v>1625</v>
      </c>
      <c r="K79" s="73">
        <f>AVERAGE(K66:K78)</f>
        <v>301458236.65036386</v>
      </c>
      <c r="L79" s="807"/>
    </row>
    <row r="81" spans="1:11">
      <c r="B81" s="638" t="s">
        <v>1948</v>
      </c>
    </row>
    <row r="82" spans="1:11" s="669" customFormat="1">
      <c r="B82" s="670" t="s">
        <v>1949</v>
      </c>
      <c r="D82" s="1381" t="s">
        <v>225</v>
      </c>
      <c r="E82" s="1381"/>
    </row>
    <row r="83" spans="1:11" s="664" customFormat="1">
      <c r="D83" s="664" t="s">
        <v>360</v>
      </c>
      <c r="E83" s="664" t="s">
        <v>344</v>
      </c>
      <c r="F83" s="664" t="s">
        <v>345</v>
      </c>
      <c r="G83" s="664" t="s">
        <v>346</v>
      </c>
      <c r="H83" s="664" t="s">
        <v>347</v>
      </c>
      <c r="I83" s="664" t="s">
        <v>348</v>
      </c>
      <c r="J83" s="664" t="s">
        <v>349</v>
      </c>
      <c r="K83" s="664" t="s">
        <v>541</v>
      </c>
    </row>
    <row r="84" spans="1:11" s="669" customFormat="1" ht="25.95" customHeight="1">
      <c r="D84" s="671"/>
      <c r="E84" s="672" t="s">
        <v>2091</v>
      </c>
      <c r="F84" s="673" t="s">
        <v>1950</v>
      </c>
      <c r="G84" s="543"/>
      <c r="H84" s="671"/>
      <c r="I84" s="672" t="s">
        <v>2092</v>
      </c>
      <c r="J84" s="672" t="s">
        <v>1951</v>
      </c>
      <c r="K84" s="672" t="s">
        <v>1952</v>
      </c>
    </row>
    <row r="85" spans="1:11" s="669" customFormat="1">
      <c r="D85" s="671"/>
      <c r="E85" s="674"/>
      <c r="F85" s="674"/>
      <c r="G85" s="571" t="str">
        <f>G51</f>
        <v>Unloaded</v>
      </c>
      <c r="H85" s="671"/>
      <c r="I85" s="674"/>
      <c r="J85" s="674"/>
      <c r="K85" s="571"/>
    </row>
    <row r="86" spans="1:11" s="666" customFormat="1">
      <c r="D86" s="666" t="str">
        <f>D$52</f>
        <v>Forecast</v>
      </c>
      <c r="E86" s="666" t="str">
        <f t="shared" ref="E86:J86" si="9">E$52</f>
        <v>Corporate</v>
      </c>
      <c r="F86" s="666" t="str">
        <f t="shared" si="9"/>
        <v xml:space="preserve">Total </v>
      </c>
      <c r="G86" s="571" t="str">
        <f>G52</f>
        <v>Total</v>
      </c>
      <c r="H86" s="666" t="str">
        <f t="shared" si="9"/>
        <v>Prior Period</v>
      </c>
      <c r="I86" s="666" t="str">
        <f t="shared" si="9"/>
        <v>Over Heads</v>
      </c>
      <c r="J86" s="666" t="str">
        <f t="shared" si="9"/>
        <v>Forecast</v>
      </c>
      <c r="K86" s="571" t="str">
        <f>K$52</f>
        <v>Forecast Period</v>
      </c>
    </row>
    <row r="87" spans="1:11" s="669" customFormat="1">
      <c r="A87" s="865" t="s">
        <v>331</v>
      </c>
      <c r="B87" s="630" t="s">
        <v>192</v>
      </c>
      <c r="C87" s="630" t="s">
        <v>193</v>
      </c>
      <c r="D87" s="664" t="str">
        <f>D$53</f>
        <v>Expenditures</v>
      </c>
      <c r="E87" s="664" t="str">
        <f t="shared" ref="E87:J87" si="10">E$53</f>
        <v>Overheads</v>
      </c>
      <c r="F87" s="664" t="str">
        <f t="shared" si="10"/>
        <v>CWIP Exp</v>
      </c>
      <c r="G87" s="3" t="str">
        <f>G53</f>
        <v>Plant Adds</v>
      </c>
      <c r="H87" s="664" t="str">
        <f t="shared" si="10"/>
        <v>CWIP Closed</v>
      </c>
      <c r="I87" s="664" t="str">
        <f t="shared" si="10"/>
        <v>Closed to PIS</v>
      </c>
      <c r="J87" s="664" t="str">
        <f t="shared" si="10"/>
        <v>Period CWIP</v>
      </c>
      <c r="K87" s="664" t="str">
        <f>K$53</f>
        <v>Incremental CWIP</v>
      </c>
    </row>
    <row r="88" spans="1:11" s="669" customFormat="1">
      <c r="A88" s="111">
        <f>A79+1</f>
        <v>55</v>
      </c>
      <c r="B88" s="631" t="s">
        <v>180</v>
      </c>
      <c r="C88" s="632">
        <v>2017</v>
      </c>
      <c r="D88" s="673" t="s">
        <v>76</v>
      </c>
      <c r="E88" s="673" t="s">
        <v>76</v>
      </c>
      <c r="F88" s="673" t="s">
        <v>76</v>
      </c>
      <c r="G88" s="673" t="s">
        <v>76</v>
      </c>
      <c r="H88" s="673" t="s">
        <v>76</v>
      </c>
      <c r="I88" s="673" t="s">
        <v>76</v>
      </c>
      <c r="J88" s="63">
        <f>E25</f>
        <v>150976.49</v>
      </c>
      <c r="K88" s="673" t="s">
        <v>76</v>
      </c>
    </row>
    <row r="89" spans="1:11" s="669" customFormat="1">
      <c r="A89" s="111">
        <f>A88+1</f>
        <v>56</v>
      </c>
      <c r="B89" s="631" t="s">
        <v>181</v>
      </c>
      <c r="C89" s="632">
        <v>2018</v>
      </c>
      <c r="D89" s="1023">
        <v>426481</v>
      </c>
      <c r="E89" s="63">
        <f>D89*'16-PlantAdditions'!$E$103</f>
        <v>31986.074999999997</v>
      </c>
      <c r="F89" s="63">
        <f>E89+D89</f>
        <v>458467.07500000001</v>
      </c>
      <c r="G89" s="1023">
        <v>191116.00000000003</v>
      </c>
      <c r="H89" s="1023">
        <v>0</v>
      </c>
      <c r="I89" s="63">
        <f>(G89-H89)*'16-PlantAdditions'!$E$103</f>
        <v>14333.700000000003</v>
      </c>
      <c r="J89" s="63">
        <f>J88+F89-G89-I89</f>
        <v>403993.86499999993</v>
      </c>
      <c r="K89" s="63">
        <f>J89-$J$88</f>
        <v>253017.37499999994</v>
      </c>
    </row>
    <row r="90" spans="1:11" s="669" customFormat="1">
      <c r="A90" s="111">
        <f t="shared" ref="A90:A108" si="11">A89+1</f>
        <v>57</v>
      </c>
      <c r="B90" s="634" t="s">
        <v>182</v>
      </c>
      <c r="C90" s="632">
        <v>2018</v>
      </c>
      <c r="D90" s="1023">
        <v>659259</v>
      </c>
      <c r="E90" s="63">
        <f>D90*'16-PlantAdditions'!$E$103</f>
        <v>49444.424999999996</v>
      </c>
      <c r="F90" s="63">
        <f t="shared" ref="F90:F112" si="12">E90+D90</f>
        <v>708703.42500000005</v>
      </c>
      <c r="G90" s="1023">
        <v>891972</v>
      </c>
      <c r="H90" s="1023">
        <v>0</v>
      </c>
      <c r="I90" s="63">
        <f>(G90-H90)*'16-PlantAdditions'!$E$103</f>
        <v>66897.899999999994</v>
      </c>
      <c r="J90" s="63">
        <f t="shared" ref="J90:J108" si="13">J89+F90-G90-I90</f>
        <v>153827.39000000004</v>
      </c>
      <c r="K90" s="63">
        <f t="shared" ref="K90:K112" si="14">J90-$J$88</f>
        <v>2850.9000000000524</v>
      </c>
    </row>
    <row r="91" spans="1:11" s="669" customFormat="1">
      <c r="A91" s="111">
        <f t="shared" si="11"/>
        <v>58</v>
      </c>
      <c r="B91" s="634" t="s">
        <v>195</v>
      </c>
      <c r="C91" s="632">
        <v>2018</v>
      </c>
      <c r="D91" s="1023">
        <v>589704.00000000012</v>
      </c>
      <c r="E91" s="63">
        <f>D91*'16-PlantAdditions'!$E$103</f>
        <v>44227.80000000001</v>
      </c>
      <c r="F91" s="63">
        <f t="shared" si="12"/>
        <v>633931.80000000016</v>
      </c>
      <c r="G91" s="1023">
        <v>588345.00000000012</v>
      </c>
      <c r="H91" s="1023">
        <v>0</v>
      </c>
      <c r="I91" s="63">
        <f>(G91-H91)*'16-PlantAdditions'!$E$103</f>
        <v>44125.875000000007</v>
      </c>
      <c r="J91" s="63">
        <f t="shared" si="13"/>
        <v>155288.31500000006</v>
      </c>
      <c r="K91" s="63">
        <f t="shared" si="14"/>
        <v>4311.8250000000698</v>
      </c>
    </row>
    <row r="92" spans="1:11" s="669" customFormat="1">
      <c r="A92" s="111">
        <f t="shared" si="11"/>
        <v>59</v>
      </c>
      <c r="B92" s="631" t="s">
        <v>183</v>
      </c>
      <c r="C92" s="632">
        <v>2018</v>
      </c>
      <c r="D92" s="1023">
        <v>82255.000000000015</v>
      </c>
      <c r="E92" s="63">
        <f>D92*'16-PlantAdditions'!$E$103</f>
        <v>6169.1250000000009</v>
      </c>
      <c r="F92" s="63">
        <f t="shared" si="12"/>
        <v>88424.125000000015</v>
      </c>
      <c r="G92" s="1023">
        <v>80255.000000000015</v>
      </c>
      <c r="H92" s="1023">
        <v>0</v>
      </c>
      <c r="I92" s="63">
        <f>(G92-H92)*'16-PlantAdditions'!$E$103</f>
        <v>6019.1250000000009</v>
      </c>
      <c r="J92" s="63">
        <f t="shared" si="13"/>
        <v>157438.31500000006</v>
      </c>
      <c r="K92" s="63">
        <f t="shared" si="14"/>
        <v>6461.8250000000698</v>
      </c>
    </row>
    <row r="93" spans="1:11" s="669" customFormat="1">
      <c r="A93" s="111">
        <f t="shared" si="11"/>
        <v>60</v>
      </c>
      <c r="B93" s="634" t="s">
        <v>184</v>
      </c>
      <c r="C93" s="632">
        <v>2018</v>
      </c>
      <c r="D93" s="1023">
        <v>788000</v>
      </c>
      <c r="E93" s="63">
        <f>D93*'16-PlantAdditions'!$E$103</f>
        <v>59100</v>
      </c>
      <c r="F93" s="63">
        <f t="shared" si="12"/>
        <v>847100</v>
      </c>
      <c r="G93" s="1023">
        <v>786000</v>
      </c>
      <c r="H93" s="1023">
        <v>0</v>
      </c>
      <c r="I93" s="63">
        <f>(G93-H93)*'16-PlantAdditions'!$E$103</f>
        <v>58950</v>
      </c>
      <c r="J93" s="63">
        <f t="shared" si="13"/>
        <v>159588.31500000006</v>
      </c>
      <c r="K93" s="63">
        <f t="shared" si="14"/>
        <v>8611.8250000000698</v>
      </c>
    </row>
    <row r="94" spans="1:11" s="669" customFormat="1">
      <c r="A94" s="111">
        <f t="shared" si="11"/>
        <v>61</v>
      </c>
      <c r="B94" s="634" t="s">
        <v>1477</v>
      </c>
      <c r="C94" s="632">
        <v>2018</v>
      </c>
      <c r="D94" s="1023">
        <v>703326</v>
      </c>
      <c r="E94" s="63">
        <f>D94*'16-PlantAdditions'!$E$103</f>
        <v>52749.45</v>
      </c>
      <c r="F94" s="63">
        <f t="shared" si="12"/>
        <v>756075.45</v>
      </c>
      <c r="G94" s="1023">
        <v>862313.49</v>
      </c>
      <c r="H94" s="1023">
        <v>150976.49</v>
      </c>
      <c r="I94" s="63">
        <f>(G94-H94)*'16-PlantAdditions'!$E$103</f>
        <v>53350.275000000001</v>
      </c>
      <c r="J94" s="63">
        <f t="shared" si="13"/>
        <v>0</v>
      </c>
      <c r="K94" s="63">
        <f t="shared" si="14"/>
        <v>-150976.49</v>
      </c>
    </row>
    <row r="95" spans="1:11" s="669" customFormat="1">
      <c r="A95" s="111">
        <f t="shared" si="11"/>
        <v>62</v>
      </c>
      <c r="B95" s="631" t="s">
        <v>186</v>
      </c>
      <c r="C95" s="632">
        <v>2018</v>
      </c>
      <c r="D95" s="1023">
        <v>503326</v>
      </c>
      <c r="E95" s="63">
        <f>D95*'16-PlantAdditions'!$E$103</f>
        <v>37749.449999999997</v>
      </c>
      <c r="F95" s="63">
        <f t="shared" si="12"/>
        <v>541075.44999999995</v>
      </c>
      <c r="G95" s="1023">
        <v>503326</v>
      </c>
      <c r="H95" s="1023">
        <v>0</v>
      </c>
      <c r="I95" s="63">
        <f>(G95-H95)*'16-PlantAdditions'!$E$103</f>
        <v>37749.449999999997</v>
      </c>
      <c r="J95" s="63">
        <f t="shared" si="13"/>
        <v>0</v>
      </c>
      <c r="K95" s="63">
        <f t="shared" si="14"/>
        <v>-150976.49</v>
      </c>
    </row>
    <row r="96" spans="1:11" s="669" customFormat="1">
      <c r="A96" s="111">
        <f t="shared" si="11"/>
        <v>63</v>
      </c>
      <c r="B96" s="634" t="s">
        <v>187</v>
      </c>
      <c r="C96" s="632">
        <v>2018</v>
      </c>
      <c r="D96" s="1023">
        <v>252663</v>
      </c>
      <c r="E96" s="63">
        <f>D96*'16-PlantAdditions'!$E$103</f>
        <v>18949.724999999999</v>
      </c>
      <c r="F96" s="63">
        <f t="shared" si="12"/>
        <v>271612.72499999998</v>
      </c>
      <c r="G96" s="1023">
        <v>252663</v>
      </c>
      <c r="H96" s="1023">
        <v>0</v>
      </c>
      <c r="I96" s="63">
        <f>(G96-H96)*'16-PlantAdditions'!$E$103</f>
        <v>18949.724999999999</v>
      </c>
      <c r="J96" s="63">
        <f t="shared" si="13"/>
        <v>0</v>
      </c>
      <c r="K96" s="63">
        <f t="shared" si="14"/>
        <v>-150976.49</v>
      </c>
    </row>
    <row r="97" spans="1:11" s="669" customFormat="1">
      <c r="A97" s="111">
        <f t="shared" si="11"/>
        <v>64</v>
      </c>
      <c r="B97" s="634" t="s">
        <v>188</v>
      </c>
      <c r="C97" s="632">
        <v>2018</v>
      </c>
      <c r="D97" s="1023">
        <v>304971</v>
      </c>
      <c r="E97" s="63">
        <f>D97*'16-PlantAdditions'!$E$103</f>
        <v>22872.825000000001</v>
      </c>
      <c r="F97" s="63">
        <f t="shared" si="12"/>
        <v>327843.82500000001</v>
      </c>
      <c r="G97" s="1023">
        <v>304971</v>
      </c>
      <c r="H97" s="1023">
        <v>0</v>
      </c>
      <c r="I97" s="63">
        <f>(G97-H97)*'16-PlantAdditions'!$E$103</f>
        <v>22872.825000000001</v>
      </c>
      <c r="J97" s="63">
        <f t="shared" si="13"/>
        <v>0</v>
      </c>
      <c r="K97" s="63">
        <f t="shared" si="14"/>
        <v>-150976.49</v>
      </c>
    </row>
    <row r="98" spans="1:11" s="669" customFormat="1">
      <c r="A98" s="111">
        <f t="shared" si="11"/>
        <v>65</v>
      </c>
      <c r="B98" s="631" t="s">
        <v>191</v>
      </c>
      <c r="C98" s="632">
        <v>2018</v>
      </c>
      <c r="D98" s="1023">
        <v>2000</v>
      </c>
      <c r="E98" s="63">
        <f>D98*'16-PlantAdditions'!$E$103</f>
        <v>150</v>
      </c>
      <c r="F98" s="63">
        <f t="shared" si="12"/>
        <v>2150</v>
      </c>
      <c r="G98" s="1023">
        <v>2000</v>
      </c>
      <c r="H98" s="1023">
        <v>0</v>
      </c>
      <c r="I98" s="63">
        <f>(G98-H98)*'16-PlantAdditions'!$E$103</f>
        <v>150</v>
      </c>
      <c r="J98" s="63">
        <f t="shared" si="13"/>
        <v>0</v>
      </c>
      <c r="K98" s="63">
        <f t="shared" si="14"/>
        <v>-150976.49</v>
      </c>
    </row>
    <row r="99" spans="1:11" s="669" customFormat="1">
      <c r="A99" s="111">
        <f t="shared" si="11"/>
        <v>66</v>
      </c>
      <c r="B99" s="631" t="s">
        <v>190</v>
      </c>
      <c r="C99" s="632">
        <v>2018</v>
      </c>
      <c r="D99" s="1023">
        <v>2000</v>
      </c>
      <c r="E99" s="63">
        <f>D99*'16-PlantAdditions'!$E$103</f>
        <v>150</v>
      </c>
      <c r="F99" s="63">
        <f t="shared" si="12"/>
        <v>2150</v>
      </c>
      <c r="G99" s="1023">
        <v>2000</v>
      </c>
      <c r="H99" s="1023">
        <v>0</v>
      </c>
      <c r="I99" s="63">
        <f>(G99-H99)*'16-PlantAdditions'!$E$103</f>
        <v>150</v>
      </c>
      <c r="J99" s="63">
        <f t="shared" si="13"/>
        <v>0</v>
      </c>
      <c r="K99" s="63">
        <f t="shared" si="14"/>
        <v>-150976.49</v>
      </c>
    </row>
    <row r="100" spans="1:11" s="669" customFormat="1">
      <c r="A100" s="111">
        <f t="shared" si="11"/>
        <v>67</v>
      </c>
      <c r="B100" s="631" t="s">
        <v>180</v>
      </c>
      <c r="C100" s="632">
        <v>2018</v>
      </c>
      <c r="D100" s="1023">
        <v>2161291</v>
      </c>
      <c r="E100" s="63">
        <f>D100*'16-PlantAdditions'!$E$103</f>
        <v>162096.82499999998</v>
      </c>
      <c r="F100" s="63">
        <f t="shared" si="12"/>
        <v>2323387.8250000002</v>
      </c>
      <c r="G100" s="1023">
        <v>2161291</v>
      </c>
      <c r="H100" s="1023">
        <v>0</v>
      </c>
      <c r="I100" s="63">
        <f>(G100-H100)*'16-PlantAdditions'!$E$103</f>
        <v>162096.82499999998</v>
      </c>
      <c r="J100" s="63">
        <f t="shared" si="13"/>
        <v>0</v>
      </c>
      <c r="K100" s="63">
        <f t="shared" si="14"/>
        <v>-150976.49</v>
      </c>
    </row>
    <row r="101" spans="1:11" s="669" customFormat="1">
      <c r="A101" s="111">
        <f t="shared" si="11"/>
        <v>68</v>
      </c>
      <c r="B101" s="631" t="s">
        <v>181</v>
      </c>
      <c r="C101" s="632">
        <v>2019</v>
      </c>
      <c r="D101" s="1023">
        <v>0</v>
      </c>
      <c r="E101" s="63">
        <f>D101*'16-PlantAdditions'!$E$103</f>
        <v>0</v>
      </c>
      <c r="F101" s="63">
        <f t="shared" si="12"/>
        <v>0</v>
      </c>
      <c r="G101" s="1023">
        <v>0</v>
      </c>
      <c r="H101" s="1023">
        <v>0</v>
      </c>
      <c r="I101" s="63">
        <f>(G101-H101)*'16-PlantAdditions'!$E$103</f>
        <v>0</v>
      </c>
      <c r="J101" s="63">
        <f t="shared" si="13"/>
        <v>0</v>
      </c>
      <c r="K101" s="63">
        <f t="shared" si="14"/>
        <v>-150976.49</v>
      </c>
    </row>
    <row r="102" spans="1:11" s="669" customFormat="1">
      <c r="A102" s="111">
        <f t="shared" si="11"/>
        <v>69</v>
      </c>
      <c r="B102" s="634" t="s">
        <v>182</v>
      </c>
      <c r="C102" s="632">
        <v>2019</v>
      </c>
      <c r="D102" s="1023">
        <v>0</v>
      </c>
      <c r="E102" s="63">
        <f>D102*'16-PlantAdditions'!$E$103</f>
        <v>0</v>
      </c>
      <c r="F102" s="63">
        <f t="shared" si="12"/>
        <v>0</v>
      </c>
      <c r="G102" s="1023">
        <v>0</v>
      </c>
      <c r="H102" s="1023">
        <v>0</v>
      </c>
      <c r="I102" s="63">
        <f>(G102-H102)*'16-PlantAdditions'!$E$103</f>
        <v>0</v>
      </c>
      <c r="J102" s="63">
        <f t="shared" si="13"/>
        <v>0</v>
      </c>
      <c r="K102" s="63">
        <f t="shared" si="14"/>
        <v>-150976.49</v>
      </c>
    </row>
    <row r="103" spans="1:11" s="669" customFormat="1">
      <c r="A103" s="111">
        <f t="shared" si="11"/>
        <v>70</v>
      </c>
      <c r="B103" s="634" t="s">
        <v>195</v>
      </c>
      <c r="C103" s="632">
        <v>2019</v>
      </c>
      <c r="D103" s="1023">
        <v>0</v>
      </c>
      <c r="E103" s="63">
        <f>D103*'16-PlantAdditions'!$E$103</f>
        <v>0</v>
      </c>
      <c r="F103" s="63">
        <f t="shared" si="12"/>
        <v>0</v>
      </c>
      <c r="G103" s="1023">
        <v>0</v>
      </c>
      <c r="H103" s="1023">
        <v>0</v>
      </c>
      <c r="I103" s="63">
        <f>(G103-H103)*'16-PlantAdditions'!$E$103</f>
        <v>0</v>
      </c>
      <c r="J103" s="63">
        <f t="shared" si="13"/>
        <v>0</v>
      </c>
      <c r="K103" s="63">
        <f t="shared" si="14"/>
        <v>-150976.49</v>
      </c>
    </row>
    <row r="104" spans="1:11" s="669" customFormat="1">
      <c r="A104" s="111">
        <f t="shared" si="11"/>
        <v>71</v>
      </c>
      <c r="B104" s="631" t="s">
        <v>183</v>
      </c>
      <c r="C104" s="632">
        <v>2019</v>
      </c>
      <c r="D104" s="1023">
        <v>0</v>
      </c>
      <c r="E104" s="63">
        <f>D104*'16-PlantAdditions'!$E$103</f>
        <v>0</v>
      </c>
      <c r="F104" s="63">
        <f t="shared" si="12"/>
        <v>0</v>
      </c>
      <c r="G104" s="1023">
        <v>0</v>
      </c>
      <c r="H104" s="1023">
        <v>0</v>
      </c>
      <c r="I104" s="63">
        <f>(G104-H104)*'16-PlantAdditions'!$E$103</f>
        <v>0</v>
      </c>
      <c r="J104" s="63">
        <f t="shared" si="13"/>
        <v>0</v>
      </c>
      <c r="K104" s="63">
        <f t="shared" si="14"/>
        <v>-150976.49</v>
      </c>
    </row>
    <row r="105" spans="1:11" s="669" customFormat="1">
      <c r="A105" s="111">
        <f t="shared" si="11"/>
        <v>72</v>
      </c>
      <c r="B105" s="634" t="s">
        <v>184</v>
      </c>
      <c r="C105" s="632">
        <v>2019</v>
      </c>
      <c r="D105" s="1023">
        <v>0</v>
      </c>
      <c r="E105" s="63">
        <f>D105*'16-PlantAdditions'!$E$103</f>
        <v>0</v>
      </c>
      <c r="F105" s="63">
        <f t="shared" si="12"/>
        <v>0</v>
      </c>
      <c r="G105" s="1023">
        <v>0</v>
      </c>
      <c r="H105" s="1023">
        <v>0</v>
      </c>
      <c r="I105" s="63">
        <f>(G105-H105)*'16-PlantAdditions'!$E$103</f>
        <v>0</v>
      </c>
      <c r="J105" s="63">
        <f t="shared" si="13"/>
        <v>0</v>
      </c>
      <c r="K105" s="63">
        <f t="shared" si="14"/>
        <v>-150976.49</v>
      </c>
    </row>
    <row r="106" spans="1:11" s="669" customFormat="1">
      <c r="A106" s="111">
        <f t="shared" si="11"/>
        <v>73</v>
      </c>
      <c r="B106" s="634" t="s">
        <v>1477</v>
      </c>
      <c r="C106" s="632">
        <v>2019</v>
      </c>
      <c r="D106" s="1023">
        <v>0</v>
      </c>
      <c r="E106" s="63">
        <f>D106*'16-PlantAdditions'!$E$103</f>
        <v>0</v>
      </c>
      <c r="F106" s="63">
        <f t="shared" si="12"/>
        <v>0</v>
      </c>
      <c r="G106" s="1023">
        <v>0</v>
      </c>
      <c r="H106" s="1023">
        <v>0</v>
      </c>
      <c r="I106" s="63">
        <f>(G106-H106)*'16-PlantAdditions'!$E$103</f>
        <v>0</v>
      </c>
      <c r="J106" s="63">
        <f t="shared" si="13"/>
        <v>0</v>
      </c>
      <c r="K106" s="63">
        <f t="shared" si="14"/>
        <v>-150976.49</v>
      </c>
    </row>
    <row r="107" spans="1:11" s="669" customFormat="1">
      <c r="A107" s="111">
        <f t="shared" si="11"/>
        <v>74</v>
      </c>
      <c r="B107" s="631" t="s">
        <v>186</v>
      </c>
      <c r="C107" s="632">
        <v>2019</v>
      </c>
      <c r="D107" s="1023">
        <v>0</v>
      </c>
      <c r="E107" s="63">
        <f>D107*'16-PlantAdditions'!$E$103</f>
        <v>0</v>
      </c>
      <c r="F107" s="63">
        <f t="shared" si="12"/>
        <v>0</v>
      </c>
      <c r="G107" s="1023">
        <v>0</v>
      </c>
      <c r="H107" s="1023">
        <v>0</v>
      </c>
      <c r="I107" s="63">
        <f>(G107-H107)*'16-PlantAdditions'!$E$103</f>
        <v>0</v>
      </c>
      <c r="J107" s="63">
        <f t="shared" si="13"/>
        <v>0</v>
      </c>
      <c r="K107" s="63">
        <f t="shared" si="14"/>
        <v>-150976.49</v>
      </c>
    </row>
    <row r="108" spans="1:11" s="669" customFormat="1">
      <c r="A108" s="111">
        <f t="shared" si="11"/>
        <v>75</v>
      </c>
      <c r="B108" s="634" t="s">
        <v>187</v>
      </c>
      <c r="C108" s="632">
        <v>2019</v>
      </c>
      <c r="D108" s="1023">
        <v>0</v>
      </c>
      <c r="E108" s="63">
        <f>D108*'16-PlantAdditions'!$E$103</f>
        <v>0</v>
      </c>
      <c r="F108" s="63">
        <f t="shared" si="12"/>
        <v>0</v>
      </c>
      <c r="G108" s="1023">
        <v>0</v>
      </c>
      <c r="H108" s="1023">
        <v>0</v>
      </c>
      <c r="I108" s="63">
        <f>(G108-H108)*'16-PlantAdditions'!$E$103</f>
        <v>0</v>
      </c>
      <c r="J108" s="63">
        <f t="shared" si="13"/>
        <v>0</v>
      </c>
      <c r="K108" s="63">
        <f t="shared" si="14"/>
        <v>-150976.49</v>
      </c>
    </row>
    <row r="109" spans="1:11" s="669" customFormat="1">
      <c r="A109" s="111">
        <f>A108+1</f>
        <v>76</v>
      </c>
      <c r="B109" s="634" t="s">
        <v>188</v>
      </c>
      <c r="C109" s="632">
        <v>2019</v>
      </c>
      <c r="D109" s="1023">
        <v>0</v>
      </c>
      <c r="E109" s="63">
        <f>D109*'16-PlantAdditions'!$E$103</f>
        <v>0</v>
      </c>
      <c r="F109" s="63">
        <f t="shared" si="12"/>
        <v>0</v>
      </c>
      <c r="G109" s="1023">
        <v>0</v>
      </c>
      <c r="H109" s="1023">
        <v>0</v>
      </c>
      <c r="I109" s="63">
        <f>(G109-H109)*'16-PlantAdditions'!$E$103</f>
        <v>0</v>
      </c>
      <c r="J109" s="63">
        <f>J108+F109-G109-I109</f>
        <v>0</v>
      </c>
      <c r="K109" s="63">
        <f t="shared" si="14"/>
        <v>-150976.49</v>
      </c>
    </row>
    <row r="110" spans="1:11" s="669" customFormat="1">
      <c r="A110" s="111">
        <f t="shared" ref="A110:A113" si="15">A109+1</f>
        <v>77</v>
      </c>
      <c r="B110" s="634" t="s">
        <v>191</v>
      </c>
      <c r="C110" s="632">
        <v>2019</v>
      </c>
      <c r="D110" s="1023">
        <v>0</v>
      </c>
      <c r="E110" s="63">
        <f>D110*'16-PlantAdditions'!$E$103</f>
        <v>0</v>
      </c>
      <c r="F110" s="63">
        <f t="shared" si="12"/>
        <v>0</v>
      </c>
      <c r="G110" s="1023">
        <v>0</v>
      </c>
      <c r="H110" s="1023">
        <v>0</v>
      </c>
      <c r="I110" s="63">
        <f>(G110-H110)*'16-PlantAdditions'!$E$103</f>
        <v>0</v>
      </c>
      <c r="J110" s="63">
        <f t="shared" ref="J110:J112" si="16">J109+F110-G110-I110</f>
        <v>0</v>
      </c>
      <c r="K110" s="63">
        <f t="shared" si="14"/>
        <v>-150976.49</v>
      </c>
    </row>
    <row r="111" spans="1:11" s="669" customFormat="1">
      <c r="A111" s="111">
        <f t="shared" si="15"/>
        <v>78</v>
      </c>
      <c r="B111" s="634" t="s">
        <v>190</v>
      </c>
      <c r="C111" s="632">
        <v>2019</v>
      </c>
      <c r="D111" s="1023">
        <v>0</v>
      </c>
      <c r="E111" s="63">
        <f>D111*'16-PlantAdditions'!$E$103</f>
        <v>0</v>
      </c>
      <c r="F111" s="63">
        <f t="shared" si="12"/>
        <v>0</v>
      </c>
      <c r="G111" s="1023">
        <v>0</v>
      </c>
      <c r="H111" s="1023">
        <v>0</v>
      </c>
      <c r="I111" s="63">
        <f>(G111-H111)*'16-PlantAdditions'!$E$103</f>
        <v>0</v>
      </c>
      <c r="J111" s="63">
        <f t="shared" si="16"/>
        <v>0</v>
      </c>
      <c r="K111" s="63">
        <f t="shared" si="14"/>
        <v>-150976.49</v>
      </c>
    </row>
    <row r="112" spans="1:11" s="669" customFormat="1">
      <c r="A112" s="111">
        <f t="shared" si="15"/>
        <v>79</v>
      </c>
      <c r="B112" s="634" t="s">
        <v>180</v>
      </c>
      <c r="C112" s="632">
        <v>2019</v>
      </c>
      <c r="D112" s="1023">
        <v>0</v>
      </c>
      <c r="E112" s="63">
        <f>D112*'16-PlantAdditions'!$E$103</f>
        <v>0</v>
      </c>
      <c r="F112" s="63">
        <f t="shared" si="12"/>
        <v>0</v>
      </c>
      <c r="G112" s="1023">
        <v>0</v>
      </c>
      <c r="H112" s="1023">
        <v>0</v>
      </c>
      <c r="I112" s="63">
        <f>(G112-H112)*'16-PlantAdditions'!$E$103</f>
        <v>0</v>
      </c>
      <c r="J112" s="63">
        <f t="shared" si="16"/>
        <v>0</v>
      </c>
      <c r="K112" s="112">
        <f t="shared" si="14"/>
        <v>-150976.49</v>
      </c>
    </row>
    <row r="113" spans="1:11" s="669" customFormat="1">
      <c r="A113" s="111">
        <f t="shared" si="15"/>
        <v>80</v>
      </c>
      <c r="B113"/>
      <c r="C113" s="668" t="s">
        <v>1625</v>
      </c>
      <c r="D113"/>
      <c r="E113"/>
      <c r="F113"/>
      <c r="G113"/>
      <c r="H113"/>
      <c r="I113"/>
      <c r="J113"/>
      <c r="K113" s="73">
        <f>AVERAGE(K100:K112)</f>
        <v>-150976.49</v>
      </c>
    </row>
    <row r="114" spans="1:11" s="669" customFormat="1">
      <c r="A114" s="111"/>
      <c r="B114"/>
      <c r="C114" s="668"/>
      <c r="D114"/>
      <c r="E114"/>
      <c r="F114"/>
      <c r="G114"/>
      <c r="H114"/>
      <c r="I114"/>
      <c r="J114"/>
      <c r="K114" s="73"/>
    </row>
    <row r="115" spans="1:11" s="669" customFormat="1">
      <c r="B115" s="670" t="s">
        <v>1953</v>
      </c>
      <c r="D115" s="1381" t="s">
        <v>1954</v>
      </c>
      <c r="E115" s="1381"/>
    </row>
    <row r="116" spans="1:11" s="669" customFormat="1">
      <c r="A116" s="664"/>
      <c r="B116" s="664"/>
      <c r="C116" s="664"/>
      <c r="D116" s="664" t="s">
        <v>360</v>
      </c>
      <c r="E116" s="664" t="s">
        <v>344</v>
      </c>
      <c r="F116" s="664" t="s">
        <v>345</v>
      </c>
      <c r="G116" s="664" t="s">
        <v>346</v>
      </c>
      <c r="H116" s="664" t="s">
        <v>347</v>
      </c>
      <c r="I116" s="664" t="s">
        <v>348</v>
      </c>
      <c r="J116" s="664" t="s">
        <v>349</v>
      </c>
      <c r="K116" s="664" t="s">
        <v>541</v>
      </c>
    </row>
    <row r="117" spans="1:11" s="669" customFormat="1" ht="26.4">
      <c r="D117" s="671"/>
      <c r="E117" s="672" t="s">
        <v>2091</v>
      </c>
      <c r="F117" s="673" t="s">
        <v>1950</v>
      </c>
      <c r="G117" s="543"/>
      <c r="H117" s="671"/>
      <c r="I117" s="672" t="s">
        <v>2092</v>
      </c>
      <c r="J117" s="672" t="s">
        <v>1951</v>
      </c>
      <c r="K117" s="672" t="s">
        <v>1952</v>
      </c>
    </row>
    <row r="118" spans="1:11" s="669" customFormat="1">
      <c r="D118" s="671"/>
      <c r="E118" s="671"/>
      <c r="F118" s="671"/>
      <c r="G118" s="571" t="str">
        <f>G51</f>
        <v>Unloaded</v>
      </c>
      <c r="H118" s="671"/>
      <c r="I118" s="671"/>
    </row>
    <row r="119" spans="1:11" s="669" customFormat="1">
      <c r="A119" s="666"/>
      <c r="B119" s="666"/>
      <c r="C119" s="666"/>
      <c r="D119" s="666" t="str">
        <f>D$52</f>
        <v>Forecast</v>
      </c>
      <c r="E119" s="666" t="str">
        <f t="shared" ref="E119:J119" si="17">E$52</f>
        <v>Corporate</v>
      </c>
      <c r="F119" s="666" t="str">
        <f t="shared" si="17"/>
        <v xml:space="preserve">Total </v>
      </c>
      <c r="G119" s="571" t="str">
        <f>G52</f>
        <v>Total</v>
      </c>
      <c r="H119" s="666" t="str">
        <f t="shared" si="17"/>
        <v>Prior Period</v>
      </c>
      <c r="I119" s="666" t="str">
        <f t="shared" si="17"/>
        <v>Over Heads</v>
      </c>
      <c r="J119" s="666" t="str">
        <f t="shared" si="17"/>
        <v>Forecast</v>
      </c>
      <c r="K119" s="571" t="str">
        <f>K$52</f>
        <v>Forecast Period</v>
      </c>
    </row>
    <row r="120" spans="1:11" s="669" customFormat="1">
      <c r="A120" s="865" t="s">
        <v>331</v>
      </c>
      <c r="B120" s="630" t="s">
        <v>192</v>
      </c>
      <c r="C120" s="630" t="s">
        <v>193</v>
      </c>
      <c r="D120" s="664" t="str">
        <f>D$53</f>
        <v>Expenditures</v>
      </c>
      <c r="E120" s="664" t="str">
        <f t="shared" ref="E120:J120" si="18">E$53</f>
        <v>Overheads</v>
      </c>
      <c r="F120" s="664" t="str">
        <f t="shared" si="18"/>
        <v>CWIP Exp</v>
      </c>
      <c r="G120" s="3" t="str">
        <f>G53</f>
        <v>Plant Adds</v>
      </c>
      <c r="H120" s="664" t="str">
        <f t="shared" si="18"/>
        <v>CWIP Closed</v>
      </c>
      <c r="I120" s="664" t="str">
        <f t="shared" si="18"/>
        <v>Closed to PIS</v>
      </c>
      <c r="J120" s="664" t="str">
        <f t="shared" si="18"/>
        <v>Period CWIP</v>
      </c>
      <c r="K120" s="664" t="str">
        <f>K$53</f>
        <v>Incremental CWIP</v>
      </c>
    </row>
    <row r="121" spans="1:11" s="669" customFormat="1">
      <c r="A121" s="111">
        <f>A113+1</f>
        <v>81</v>
      </c>
      <c r="B121" s="631" t="s">
        <v>180</v>
      </c>
      <c r="C121" s="632">
        <v>2017</v>
      </c>
      <c r="D121" s="673" t="s">
        <v>76</v>
      </c>
      <c r="E121" s="673" t="s">
        <v>76</v>
      </c>
      <c r="F121" s="673" t="s">
        <v>76</v>
      </c>
      <c r="G121" s="673" t="s">
        <v>76</v>
      </c>
      <c r="H121" s="673" t="s">
        <v>76</v>
      </c>
      <c r="I121" s="673" t="s">
        <v>76</v>
      </c>
      <c r="J121" s="63">
        <f>F25</f>
        <v>0</v>
      </c>
      <c r="K121" s="673" t="s">
        <v>76</v>
      </c>
    </row>
    <row r="122" spans="1:11" s="669" customFormat="1">
      <c r="A122" s="111">
        <f>A121+1</f>
        <v>82</v>
      </c>
      <c r="B122" s="631" t="s">
        <v>181</v>
      </c>
      <c r="C122" s="632">
        <v>2018</v>
      </c>
      <c r="D122" s="1023">
        <v>0</v>
      </c>
      <c r="E122" s="63">
        <f>D122*'16-PlantAdditions'!$E$103</f>
        <v>0</v>
      </c>
      <c r="F122" s="63">
        <f>E122+D122</f>
        <v>0</v>
      </c>
      <c r="G122" s="1023">
        <v>0</v>
      </c>
      <c r="H122" s="1023">
        <v>0</v>
      </c>
      <c r="I122" s="63">
        <f>(G122-H122)*'16-PlantAdditions'!$E$103</f>
        <v>0</v>
      </c>
      <c r="J122" s="63">
        <f>J121+F122-G122-I122</f>
        <v>0</v>
      </c>
      <c r="K122" s="491">
        <f>J122-$J$121</f>
        <v>0</v>
      </c>
    </row>
    <row r="123" spans="1:11" s="669" customFormat="1">
      <c r="A123" s="111">
        <f t="shared" ref="A123:A146" si="19">A122+1</f>
        <v>83</v>
      </c>
      <c r="B123" s="634" t="s">
        <v>182</v>
      </c>
      <c r="C123" s="632">
        <v>2018</v>
      </c>
      <c r="D123" s="1023">
        <v>0</v>
      </c>
      <c r="E123" s="63">
        <f>D123*'16-PlantAdditions'!$E$103</f>
        <v>0</v>
      </c>
      <c r="F123" s="63">
        <f t="shared" ref="F123:F145" si="20">E123+D123</f>
        <v>0</v>
      </c>
      <c r="G123" s="1023">
        <v>0</v>
      </c>
      <c r="H123" s="1023">
        <v>0</v>
      </c>
      <c r="I123" s="63">
        <f>(G123-H123)*'16-PlantAdditions'!$E$103</f>
        <v>0</v>
      </c>
      <c r="J123" s="63">
        <f t="shared" ref="J123:J145" si="21">J122+F123-G123-I123</f>
        <v>0</v>
      </c>
      <c r="K123" s="491">
        <f t="shared" ref="K123:K145" si="22">J123-$J$121</f>
        <v>0</v>
      </c>
    </row>
    <row r="124" spans="1:11" s="669" customFormat="1">
      <c r="A124" s="111">
        <f t="shared" si="19"/>
        <v>84</v>
      </c>
      <c r="B124" s="634" t="s">
        <v>195</v>
      </c>
      <c r="C124" s="632">
        <v>2018</v>
      </c>
      <c r="D124" s="1023">
        <v>0</v>
      </c>
      <c r="E124" s="63">
        <f>D124*'16-PlantAdditions'!$E$103</f>
        <v>0</v>
      </c>
      <c r="F124" s="63">
        <f t="shared" si="20"/>
        <v>0</v>
      </c>
      <c r="G124" s="1023">
        <v>0</v>
      </c>
      <c r="H124" s="1023">
        <v>0</v>
      </c>
      <c r="I124" s="63">
        <f>(G124-H124)*'16-PlantAdditions'!$E$103</f>
        <v>0</v>
      </c>
      <c r="J124" s="63">
        <f t="shared" si="21"/>
        <v>0</v>
      </c>
      <c r="K124" s="491">
        <f t="shared" si="22"/>
        <v>0</v>
      </c>
    </row>
    <row r="125" spans="1:11" s="669" customFormat="1">
      <c r="A125" s="111">
        <f t="shared" si="19"/>
        <v>85</v>
      </c>
      <c r="B125" s="631" t="s">
        <v>183</v>
      </c>
      <c r="C125" s="632">
        <v>2018</v>
      </c>
      <c r="D125" s="1023">
        <v>0</v>
      </c>
      <c r="E125" s="63">
        <f>D125*'16-PlantAdditions'!$E$103</f>
        <v>0</v>
      </c>
      <c r="F125" s="63">
        <f t="shared" si="20"/>
        <v>0</v>
      </c>
      <c r="G125" s="1023">
        <v>0</v>
      </c>
      <c r="H125" s="1023">
        <v>0</v>
      </c>
      <c r="I125" s="63">
        <f>(G125-H125)*'16-PlantAdditions'!$E$103</f>
        <v>0</v>
      </c>
      <c r="J125" s="63">
        <f t="shared" si="21"/>
        <v>0</v>
      </c>
      <c r="K125" s="491">
        <f t="shared" si="22"/>
        <v>0</v>
      </c>
    </row>
    <row r="126" spans="1:11" s="669" customFormat="1">
      <c r="A126" s="111">
        <f t="shared" si="19"/>
        <v>86</v>
      </c>
      <c r="B126" s="634" t="s">
        <v>184</v>
      </c>
      <c r="C126" s="632">
        <v>2018</v>
      </c>
      <c r="D126" s="1023">
        <v>0</v>
      </c>
      <c r="E126" s="63">
        <f>D126*'16-PlantAdditions'!$E$103</f>
        <v>0</v>
      </c>
      <c r="F126" s="63">
        <f t="shared" si="20"/>
        <v>0</v>
      </c>
      <c r="G126" s="1023">
        <v>0</v>
      </c>
      <c r="H126" s="1023">
        <v>0</v>
      </c>
      <c r="I126" s="63">
        <f>(G126-H126)*'16-PlantAdditions'!$E$103</f>
        <v>0</v>
      </c>
      <c r="J126" s="63">
        <f t="shared" si="21"/>
        <v>0</v>
      </c>
      <c r="K126" s="491">
        <f t="shared" si="22"/>
        <v>0</v>
      </c>
    </row>
    <row r="127" spans="1:11" s="669" customFormat="1">
      <c r="A127" s="111">
        <f t="shared" si="19"/>
        <v>87</v>
      </c>
      <c r="B127" s="634" t="s">
        <v>1477</v>
      </c>
      <c r="C127" s="632">
        <v>2018</v>
      </c>
      <c r="D127" s="1023">
        <v>0</v>
      </c>
      <c r="E127" s="63">
        <f>D127*'16-PlantAdditions'!$E$103</f>
        <v>0</v>
      </c>
      <c r="F127" s="63">
        <f t="shared" si="20"/>
        <v>0</v>
      </c>
      <c r="G127" s="1023">
        <v>0</v>
      </c>
      <c r="H127" s="1023">
        <v>0</v>
      </c>
      <c r="I127" s="63">
        <f>(G127-H127)*'16-PlantAdditions'!$E$103</f>
        <v>0</v>
      </c>
      <c r="J127" s="63">
        <f t="shared" si="21"/>
        <v>0</v>
      </c>
      <c r="K127" s="491">
        <f t="shared" si="22"/>
        <v>0</v>
      </c>
    </row>
    <row r="128" spans="1:11" s="669" customFormat="1">
      <c r="A128" s="111">
        <f t="shared" si="19"/>
        <v>88</v>
      </c>
      <c r="B128" s="631" t="s">
        <v>186</v>
      </c>
      <c r="C128" s="632">
        <v>2018</v>
      </c>
      <c r="D128" s="1023">
        <v>0</v>
      </c>
      <c r="E128" s="63">
        <f>D128*'16-PlantAdditions'!$E$103</f>
        <v>0</v>
      </c>
      <c r="F128" s="63">
        <f t="shared" si="20"/>
        <v>0</v>
      </c>
      <c r="G128" s="1023">
        <v>0</v>
      </c>
      <c r="H128" s="1023">
        <v>0</v>
      </c>
      <c r="I128" s="63">
        <f>(G128-H128)*'16-PlantAdditions'!$E$103</f>
        <v>0</v>
      </c>
      <c r="J128" s="63">
        <f t="shared" si="21"/>
        <v>0</v>
      </c>
      <c r="K128" s="491">
        <f t="shared" si="22"/>
        <v>0</v>
      </c>
    </row>
    <row r="129" spans="1:11" s="669" customFormat="1">
      <c r="A129" s="111">
        <f t="shared" si="19"/>
        <v>89</v>
      </c>
      <c r="B129" s="634" t="s">
        <v>187</v>
      </c>
      <c r="C129" s="632">
        <v>2018</v>
      </c>
      <c r="D129" s="1023">
        <v>0</v>
      </c>
      <c r="E129" s="63">
        <f>D129*'16-PlantAdditions'!$E$103</f>
        <v>0</v>
      </c>
      <c r="F129" s="63">
        <f t="shared" si="20"/>
        <v>0</v>
      </c>
      <c r="G129" s="1023">
        <v>0</v>
      </c>
      <c r="H129" s="1023">
        <v>0</v>
      </c>
      <c r="I129" s="63">
        <f>(G129-H129)*'16-PlantAdditions'!$E$103</f>
        <v>0</v>
      </c>
      <c r="J129" s="63">
        <f t="shared" si="21"/>
        <v>0</v>
      </c>
      <c r="K129" s="491">
        <f t="shared" si="22"/>
        <v>0</v>
      </c>
    </row>
    <row r="130" spans="1:11" s="669" customFormat="1">
      <c r="A130" s="111">
        <f t="shared" si="19"/>
        <v>90</v>
      </c>
      <c r="B130" s="634" t="s">
        <v>188</v>
      </c>
      <c r="C130" s="632">
        <v>2018</v>
      </c>
      <c r="D130" s="1023">
        <v>0</v>
      </c>
      <c r="E130" s="63">
        <f>D130*'16-PlantAdditions'!$E$103</f>
        <v>0</v>
      </c>
      <c r="F130" s="63">
        <f t="shared" si="20"/>
        <v>0</v>
      </c>
      <c r="G130" s="1023">
        <v>0</v>
      </c>
      <c r="H130" s="1023">
        <v>0</v>
      </c>
      <c r="I130" s="63">
        <f>(G130-H130)*'16-PlantAdditions'!$E$103</f>
        <v>0</v>
      </c>
      <c r="J130" s="63">
        <f t="shared" si="21"/>
        <v>0</v>
      </c>
      <c r="K130" s="491">
        <f t="shared" si="22"/>
        <v>0</v>
      </c>
    </row>
    <row r="131" spans="1:11" s="669" customFormat="1">
      <c r="A131" s="111">
        <f t="shared" si="19"/>
        <v>91</v>
      </c>
      <c r="B131" s="631" t="s">
        <v>191</v>
      </c>
      <c r="C131" s="632">
        <v>2018</v>
      </c>
      <c r="D131" s="1023">
        <v>0</v>
      </c>
      <c r="E131" s="63">
        <f>D131*'16-PlantAdditions'!$E$103</f>
        <v>0</v>
      </c>
      <c r="F131" s="63">
        <f t="shared" si="20"/>
        <v>0</v>
      </c>
      <c r="G131" s="1023">
        <v>0</v>
      </c>
      <c r="H131" s="1023">
        <v>0</v>
      </c>
      <c r="I131" s="63">
        <f>(G131-H131)*'16-PlantAdditions'!$E$103</f>
        <v>0</v>
      </c>
      <c r="J131" s="63">
        <f t="shared" si="21"/>
        <v>0</v>
      </c>
      <c r="K131" s="491">
        <f t="shared" si="22"/>
        <v>0</v>
      </c>
    </row>
    <row r="132" spans="1:11" s="669" customFormat="1">
      <c r="A132" s="111">
        <f t="shared" si="19"/>
        <v>92</v>
      </c>
      <c r="B132" s="631" t="s">
        <v>190</v>
      </c>
      <c r="C132" s="632">
        <v>2018</v>
      </c>
      <c r="D132" s="1023">
        <v>0</v>
      </c>
      <c r="E132" s="63">
        <f>D132*'16-PlantAdditions'!$E$103</f>
        <v>0</v>
      </c>
      <c r="F132" s="63">
        <f t="shared" si="20"/>
        <v>0</v>
      </c>
      <c r="G132" s="1023">
        <v>0</v>
      </c>
      <c r="H132" s="1023">
        <v>0</v>
      </c>
      <c r="I132" s="63">
        <f>(G132-H132)*'16-PlantAdditions'!$E$103</f>
        <v>0</v>
      </c>
      <c r="J132" s="63">
        <f t="shared" si="21"/>
        <v>0</v>
      </c>
      <c r="K132" s="491">
        <f t="shared" si="22"/>
        <v>0</v>
      </c>
    </row>
    <row r="133" spans="1:11" s="669" customFormat="1">
      <c r="A133" s="111">
        <f t="shared" si="19"/>
        <v>93</v>
      </c>
      <c r="B133" s="631" t="s">
        <v>180</v>
      </c>
      <c r="C133" s="632">
        <v>2018</v>
      </c>
      <c r="D133" s="1023">
        <v>0</v>
      </c>
      <c r="E133" s="63">
        <f>D133*'16-PlantAdditions'!$E$103</f>
        <v>0</v>
      </c>
      <c r="F133" s="63">
        <f t="shared" si="20"/>
        <v>0</v>
      </c>
      <c r="G133" s="1023">
        <v>0</v>
      </c>
      <c r="H133" s="1023">
        <v>0</v>
      </c>
      <c r="I133" s="63">
        <f>(G133-H133)*'16-PlantAdditions'!$E$103</f>
        <v>0</v>
      </c>
      <c r="J133" s="63">
        <f t="shared" si="21"/>
        <v>0</v>
      </c>
      <c r="K133" s="491">
        <f t="shared" si="22"/>
        <v>0</v>
      </c>
    </row>
    <row r="134" spans="1:11" s="669" customFormat="1">
      <c r="A134" s="111">
        <f t="shared" si="19"/>
        <v>94</v>
      </c>
      <c r="B134" s="631" t="s">
        <v>181</v>
      </c>
      <c r="C134" s="632">
        <v>2019</v>
      </c>
      <c r="D134" s="1023">
        <v>0</v>
      </c>
      <c r="E134" s="63">
        <f>D134*'16-PlantAdditions'!$E$103</f>
        <v>0</v>
      </c>
      <c r="F134" s="63">
        <f t="shared" si="20"/>
        <v>0</v>
      </c>
      <c r="G134" s="1023">
        <v>0</v>
      </c>
      <c r="H134" s="1023">
        <v>0</v>
      </c>
      <c r="I134" s="63">
        <f>(G134-H134)*'16-PlantAdditions'!$E$103</f>
        <v>0</v>
      </c>
      <c r="J134" s="63">
        <f t="shared" si="21"/>
        <v>0</v>
      </c>
      <c r="K134" s="491">
        <f t="shared" si="22"/>
        <v>0</v>
      </c>
    </row>
    <row r="135" spans="1:11" s="669" customFormat="1">
      <c r="A135" s="111">
        <f t="shared" si="19"/>
        <v>95</v>
      </c>
      <c r="B135" s="634" t="s">
        <v>182</v>
      </c>
      <c r="C135" s="632">
        <v>2019</v>
      </c>
      <c r="D135" s="1023">
        <v>0</v>
      </c>
      <c r="E135" s="63">
        <f>D135*'16-PlantAdditions'!$E$103</f>
        <v>0</v>
      </c>
      <c r="F135" s="63">
        <f t="shared" si="20"/>
        <v>0</v>
      </c>
      <c r="G135" s="1023">
        <v>0</v>
      </c>
      <c r="H135" s="1023">
        <v>0</v>
      </c>
      <c r="I135" s="63">
        <f>(G135-H135)*'16-PlantAdditions'!$E$103</f>
        <v>0</v>
      </c>
      <c r="J135" s="63">
        <f t="shared" si="21"/>
        <v>0</v>
      </c>
      <c r="K135" s="491">
        <f t="shared" si="22"/>
        <v>0</v>
      </c>
    </row>
    <row r="136" spans="1:11" s="669" customFormat="1">
      <c r="A136" s="111">
        <f t="shared" si="19"/>
        <v>96</v>
      </c>
      <c r="B136" s="634" t="s">
        <v>195</v>
      </c>
      <c r="C136" s="632">
        <v>2019</v>
      </c>
      <c r="D136" s="1023">
        <v>0</v>
      </c>
      <c r="E136" s="63">
        <f>D136*'16-PlantAdditions'!$E$103</f>
        <v>0</v>
      </c>
      <c r="F136" s="63">
        <f t="shared" si="20"/>
        <v>0</v>
      </c>
      <c r="G136" s="1023">
        <v>0</v>
      </c>
      <c r="H136" s="1023">
        <v>0</v>
      </c>
      <c r="I136" s="63">
        <f>(G136-H136)*'16-PlantAdditions'!$E$103</f>
        <v>0</v>
      </c>
      <c r="J136" s="63">
        <f t="shared" si="21"/>
        <v>0</v>
      </c>
      <c r="K136" s="491">
        <f t="shared" si="22"/>
        <v>0</v>
      </c>
    </row>
    <row r="137" spans="1:11" s="669" customFormat="1">
      <c r="A137" s="111">
        <f t="shared" si="19"/>
        <v>97</v>
      </c>
      <c r="B137" s="631" t="s">
        <v>183</v>
      </c>
      <c r="C137" s="632">
        <v>2019</v>
      </c>
      <c r="D137" s="1023">
        <v>0</v>
      </c>
      <c r="E137" s="63">
        <f>D137*'16-PlantAdditions'!$E$103</f>
        <v>0</v>
      </c>
      <c r="F137" s="63">
        <f t="shared" si="20"/>
        <v>0</v>
      </c>
      <c r="G137" s="1023">
        <v>0</v>
      </c>
      <c r="H137" s="1023">
        <v>0</v>
      </c>
      <c r="I137" s="63">
        <f>(G137-H137)*'16-PlantAdditions'!$E$103</f>
        <v>0</v>
      </c>
      <c r="J137" s="63">
        <f t="shared" si="21"/>
        <v>0</v>
      </c>
      <c r="K137" s="491">
        <f t="shared" si="22"/>
        <v>0</v>
      </c>
    </row>
    <row r="138" spans="1:11" s="669" customFormat="1">
      <c r="A138" s="111">
        <f t="shared" si="19"/>
        <v>98</v>
      </c>
      <c r="B138" s="634" t="s">
        <v>184</v>
      </c>
      <c r="C138" s="632">
        <v>2019</v>
      </c>
      <c r="D138" s="1023">
        <v>0</v>
      </c>
      <c r="E138" s="63">
        <f>D138*'16-PlantAdditions'!$E$103</f>
        <v>0</v>
      </c>
      <c r="F138" s="63">
        <f t="shared" si="20"/>
        <v>0</v>
      </c>
      <c r="G138" s="1023">
        <v>0</v>
      </c>
      <c r="H138" s="1023">
        <v>0</v>
      </c>
      <c r="I138" s="63">
        <f>(G138-H138)*'16-PlantAdditions'!$E$103</f>
        <v>0</v>
      </c>
      <c r="J138" s="63">
        <f t="shared" si="21"/>
        <v>0</v>
      </c>
      <c r="K138" s="491">
        <f t="shared" si="22"/>
        <v>0</v>
      </c>
    </row>
    <row r="139" spans="1:11" s="669" customFormat="1">
      <c r="A139" s="111">
        <f t="shared" si="19"/>
        <v>99</v>
      </c>
      <c r="B139" s="634" t="s">
        <v>1477</v>
      </c>
      <c r="C139" s="632">
        <v>2019</v>
      </c>
      <c r="D139" s="1023">
        <v>0</v>
      </c>
      <c r="E139" s="63">
        <f>D139*'16-PlantAdditions'!$E$103</f>
        <v>0</v>
      </c>
      <c r="F139" s="63">
        <f t="shared" si="20"/>
        <v>0</v>
      </c>
      <c r="G139" s="1023">
        <v>0</v>
      </c>
      <c r="H139" s="1023">
        <v>0</v>
      </c>
      <c r="I139" s="63">
        <f>(G139-H139)*'16-PlantAdditions'!$E$103</f>
        <v>0</v>
      </c>
      <c r="J139" s="63">
        <f t="shared" si="21"/>
        <v>0</v>
      </c>
      <c r="K139" s="491">
        <f t="shared" si="22"/>
        <v>0</v>
      </c>
    </row>
    <row r="140" spans="1:11" s="669" customFormat="1">
      <c r="A140" s="111">
        <f t="shared" si="19"/>
        <v>100</v>
      </c>
      <c r="B140" s="631" t="s">
        <v>186</v>
      </c>
      <c r="C140" s="632">
        <v>2019</v>
      </c>
      <c r="D140" s="1023">
        <v>0</v>
      </c>
      <c r="E140" s="63">
        <f>D140*'16-PlantAdditions'!$E$103</f>
        <v>0</v>
      </c>
      <c r="F140" s="63">
        <f t="shared" si="20"/>
        <v>0</v>
      </c>
      <c r="G140" s="1023">
        <v>0</v>
      </c>
      <c r="H140" s="1023">
        <v>0</v>
      </c>
      <c r="I140" s="63">
        <f>(G140-H140)*'16-PlantAdditions'!$E$103</f>
        <v>0</v>
      </c>
      <c r="J140" s="63">
        <f t="shared" si="21"/>
        <v>0</v>
      </c>
      <c r="K140" s="491">
        <f t="shared" si="22"/>
        <v>0</v>
      </c>
    </row>
    <row r="141" spans="1:11" s="669" customFormat="1">
      <c r="A141" s="111">
        <f t="shared" si="19"/>
        <v>101</v>
      </c>
      <c r="B141" s="634" t="s">
        <v>187</v>
      </c>
      <c r="C141" s="632">
        <v>2019</v>
      </c>
      <c r="D141" s="1023">
        <v>0</v>
      </c>
      <c r="E141" s="63">
        <f>D141*'16-PlantAdditions'!$E$103</f>
        <v>0</v>
      </c>
      <c r="F141" s="63">
        <f t="shared" si="20"/>
        <v>0</v>
      </c>
      <c r="G141" s="1023">
        <v>0</v>
      </c>
      <c r="H141" s="1023">
        <v>0</v>
      </c>
      <c r="I141" s="63">
        <f>(G141-H141)*'16-PlantAdditions'!$E$103</f>
        <v>0</v>
      </c>
      <c r="J141" s="63">
        <f t="shared" si="21"/>
        <v>0</v>
      </c>
      <c r="K141" s="491">
        <f t="shared" si="22"/>
        <v>0</v>
      </c>
    </row>
    <row r="142" spans="1:11" s="669" customFormat="1">
      <c r="A142" s="111">
        <f t="shared" si="19"/>
        <v>102</v>
      </c>
      <c r="B142" s="634" t="s">
        <v>188</v>
      </c>
      <c r="C142" s="632">
        <v>2019</v>
      </c>
      <c r="D142" s="1023">
        <v>0</v>
      </c>
      <c r="E142" s="63">
        <f>D142*'16-PlantAdditions'!$E$103</f>
        <v>0</v>
      </c>
      <c r="F142" s="63">
        <f t="shared" si="20"/>
        <v>0</v>
      </c>
      <c r="G142" s="1023">
        <v>0</v>
      </c>
      <c r="H142" s="1023">
        <v>0</v>
      </c>
      <c r="I142" s="63">
        <f>(G142-H142)*'16-PlantAdditions'!$E$103</f>
        <v>0</v>
      </c>
      <c r="J142" s="63">
        <f t="shared" si="21"/>
        <v>0</v>
      </c>
      <c r="K142" s="491">
        <f t="shared" si="22"/>
        <v>0</v>
      </c>
    </row>
    <row r="143" spans="1:11" s="669" customFormat="1">
      <c r="A143" s="111">
        <f t="shared" si="19"/>
        <v>103</v>
      </c>
      <c r="B143" s="634" t="s">
        <v>191</v>
      </c>
      <c r="C143" s="632">
        <v>2019</v>
      </c>
      <c r="D143" s="1023">
        <v>0</v>
      </c>
      <c r="E143" s="63">
        <f>D143*'16-PlantAdditions'!$E$103</f>
        <v>0</v>
      </c>
      <c r="F143" s="63">
        <f t="shared" si="20"/>
        <v>0</v>
      </c>
      <c r="G143" s="1023">
        <v>0</v>
      </c>
      <c r="H143" s="1023">
        <v>0</v>
      </c>
      <c r="I143" s="63">
        <f>(G143-H143)*'16-PlantAdditions'!$E$103</f>
        <v>0</v>
      </c>
      <c r="J143" s="63">
        <f t="shared" si="21"/>
        <v>0</v>
      </c>
      <c r="K143" s="491">
        <f t="shared" si="22"/>
        <v>0</v>
      </c>
    </row>
    <row r="144" spans="1:11" s="669" customFormat="1">
      <c r="A144" s="111">
        <f t="shared" si="19"/>
        <v>104</v>
      </c>
      <c r="B144" s="634" t="s">
        <v>190</v>
      </c>
      <c r="C144" s="632">
        <v>2019</v>
      </c>
      <c r="D144" s="1023">
        <v>0</v>
      </c>
      <c r="E144" s="63">
        <f>D144*'16-PlantAdditions'!$E$103</f>
        <v>0</v>
      </c>
      <c r="F144" s="63">
        <f t="shared" si="20"/>
        <v>0</v>
      </c>
      <c r="G144" s="1023">
        <v>0</v>
      </c>
      <c r="H144" s="1023">
        <v>0</v>
      </c>
      <c r="I144" s="63">
        <f>(G144-H144)*'16-PlantAdditions'!$E$103</f>
        <v>0</v>
      </c>
      <c r="J144" s="63">
        <f t="shared" si="21"/>
        <v>0</v>
      </c>
      <c r="K144" s="491">
        <f t="shared" si="22"/>
        <v>0</v>
      </c>
    </row>
    <row r="145" spans="1:11" s="669" customFormat="1">
      <c r="A145" s="111">
        <f t="shared" si="19"/>
        <v>105</v>
      </c>
      <c r="B145" s="634" t="s">
        <v>180</v>
      </c>
      <c r="C145" s="632">
        <v>2019</v>
      </c>
      <c r="D145" s="1023">
        <v>0</v>
      </c>
      <c r="E145" s="63">
        <f>D145*'16-PlantAdditions'!$E$103</f>
        <v>0</v>
      </c>
      <c r="F145" s="63">
        <f t="shared" si="20"/>
        <v>0</v>
      </c>
      <c r="G145" s="1023">
        <v>0</v>
      </c>
      <c r="H145" s="1023">
        <v>0</v>
      </c>
      <c r="I145" s="63">
        <f>(G145-H145)*'16-PlantAdditions'!$E$103</f>
        <v>0</v>
      </c>
      <c r="J145" s="63">
        <f t="shared" si="21"/>
        <v>0</v>
      </c>
      <c r="K145" s="112">
        <f t="shared" si="22"/>
        <v>0</v>
      </c>
    </row>
    <row r="146" spans="1:11" s="669" customFormat="1">
      <c r="A146" s="111">
        <f t="shared" si="19"/>
        <v>106</v>
      </c>
      <c r="B146"/>
      <c r="C146" s="668" t="s">
        <v>1625</v>
      </c>
      <c r="D146"/>
      <c r="E146"/>
      <c r="F146"/>
      <c r="G146"/>
      <c r="H146"/>
      <c r="I146"/>
      <c r="J146"/>
      <c r="K146" s="73">
        <f>AVERAGE(K133:K145)</f>
        <v>0</v>
      </c>
    </row>
    <row r="147" spans="1:11" s="669" customFormat="1">
      <c r="A147" s="111"/>
      <c r="B147"/>
      <c r="C147" s="668"/>
      <c r="D147"/>
      <c r="E147"/>
      <c r="F147"/>
      <c r="G147"/>
      <c r="H147"/>
      <c r="I147"/>
      <c r="J147"/>
      <c r="K147" s="73"/>
    </row>
    <row r="148" spans="1:11" s="669" customFormat="1">
      <c r="B148" s="670" t="s">
        <v>1955</v>
      </c>
      <c r="D148" s="1381" t="s">
        <v>1964</v>
      </c>
      <c r="E148" s="1381"/>
    </row>
    <row r="149" spans="1:11" s="669" customFormat="1">
      <c r="B149" s="670"/>
      <c r="D149" s="664" t="s">
        <v>360</v>
      </c>
      <c r="E149" s="664" t="s">
        <v>344</v>
      </c>
      <c r="F149" s="664" t="s">
        <v>345</v>
      </c>
      <c r="G149" s="664" t="s">
        <v>346</v>
      </c>
      <c r="H149" s="664" t="s">
        <v>347</v>
      </c>
      <c r="I149" s="664" t="s">
        <v>348</v>
      </c>
      <c r="J149" s="664" t="s">
        <v>349</v>
      </c>
      <c r="K149" s="664" t="s">
        <v>541</v>
      </c>
    </row>
    <row r="150" spans="1:11" s="669" customFormat="1" ht="26.4">
      <c r="B150" s="670"/>
      <c r="D150" s="671"/>
      <c r="E150" s="672" t="s">
        <v>2091</v>
      </c>
      <c r="F150" s="673" t="s">
        <v>1950</v>
      </c>
      <c r="G150" s="543"/>
      <c r="H150" s="671"/>
      <c r="I150" s="672" t="s">
        <v>2092</v>
      </c>
      <c r="J150" s="672" t="s">
        <v>1951</v>
      </c>
      <c r="K150" s="672" t="s">
        <v>1952</v>
      </c>
    </row>
    <row r="151" spans="1:11" s="669" customFormat="1">
      <c r="D151" s="671"/>
      <c r="E151" s="671"/>
      <c r="F151" s="671"/>
      <c r="G151" s="571" t="str">
        <f>G51</f>
        <v>Unloaded</v>
      </c>
      <c r="H151" s="671"/>
      <c r="I151" s="671"/>
    </row>
    <row r="152" spans="1:11" s="669" customFormat="1">
      <c r="A152" s="666"/>
      <c r="B152" s="666"/>
      <c r="C152" s="666"/>
      <c r="D152" s="666" t="str">
        <f>D$52</f>
        <v>Forecast</v>
      </c>
      <c r="E152" s="666" t="str">
        <f t="shared" ref="E152:J152" si="23">E$52</f>
        <v>Corporate</v>
      </c>
      <c r="F152" s="666" t="str">
        <f t="shared" si="23"/>
        <v xml:space="preserve">Total </v>
      </c>
      <c r="G152" s="571" t="str">
        <f>G52</f>
        <v>Total</v>
      </c>
      <c r="H152" s="666" t="str">
        <f t="shared" si="23"/>
        <v>Prior Period</v>
      </c>
      <c r="I152" s="666" t="str">
        <f t="shared" si="23"/>
        <v>Over Heads</v>
      </c>
      <c r="J152" s="666" t="str">
        <f t="shared" si="23"/>
        <v>Forecast</v>
      </c>
      <c r="K152" s="571" t="str">
        <f>K$52</f>
        <v>Forecast Period</v>
      </c>
    </row>
    <row r="153" spans="1:11" s="669" customFormat="1">
      <c r="A153" s="865" t="s">
        <v>331</v>
      </c>
      <c r="B153" s="630" t="s">
        <v>192</v>
      </c>
      <c r="C153" s="630" t="s">
        <v>193</v>
      </c>
      <c r="D153" s="664" t="str">
        <f>D$53</f>
        <v>Expenditures</v>
      </c>
      <c r="E153" s="664" t="str">
        <f t="shared" ref="E153:J153" si="24">E$53</f>
        <v>Overheads</v>
      </c>
      <c r="F153" s="664" t="str">
        <f t="shared" si="24"/>
        <v>CWIP Exp</v>
      </c>
      <c r="G153" s="125" t="str">
        <f>G53</f>
        <v>Plant Adds</v>
      </c>
      <c r="H153" s="664" t="str">
        <f t="shared" si="24"/>
        <v>CWIP Closed</v>
      </c>
      <c r="I153" s="664" t="str">
        <f t="shared" si="24"/>
        <v>Closed to PIS</v>
      </c>
      <c r="J153" s="664" t="str">
        <f t="shared" si="24"/>
        <v>Period CWIP</v>
      </c>
      <c r="K153" s="664" t="str">
        <f>K$53</f>
        <v>Incremental CWIP</v>
      </c>
    </row>
    <row r="154" spans="1:11" s="669" customFormat="1">
      <c r="A154" s="111">
        <f>A146+1</f>
        <v>107</v>
      </c>
      <c r="B154" s="631" t="s">
        <v>180</v>
      </c>
      <c r="C154" s="632">
        <v>2017</v>
      </c>
      <c r="D154" s="673" t="s">
        <v>76</v>
      </c>
      <c r="E154" s="673" t="s">
        <v>76</v>
      </c>
      <c r="F154" s="673" t="s">
        <v>76</v>
      </c>
      <c r="G154" s="673" t="s">
        <v>76</v>
      </c>
      <c r="H154" s="673" t="s">
        <v>76</v>
      </c>
      <c r="I154" s="673" t="s">
        <v>76</v>
      </c>
      <c r="J154" s="63">
        <f>G25</f>
        <v>4884727.96</v>
      </c>
      <c r="K154" s="673" t="s">
        <v>76</v>
      </c>
    </row>
    <row r="155" spans="1:11" s="669" customFormat="1">
      <c r="A155" s="111">
        <f>A154+1</f>
        <v>108</v>
      </c>
      <c r="B155" s="631" t="s">
        <v>181</v>
      </c>
      <c r="C155" s="632">
        <v>2018</v>
      </c>
      <c r="D155" s="1023">
        <v>11515</v>
      </c>
      <c r="E155" s="63">
        <f>D155*'16-PlantAdditions'!$E$103</f>
        <v>863.625</v>
      </c>
      <c r="F155" s="63">
        <f>E155+D155</f>
        <v>12378.625</v>
      </c>
      <c r="G155" s="1023">
        <v>0</v>
      </c>
      <c r="H155" s="1023">
        <v>0</v>
      </c>
      <c r="I155" s="63">
        <f>(G155-H155)*'16-PlantAdditions'!$E$103</f>
        <v>0</v>
      </c>
      <c r="J155" s="63">
        <f>J154+F155-G155-I155</f>
        <v>4897106.585</v>
      </c>
      <c r="K155" s="63">
        <f>J155-$J$154</f>
        <v>12378.625</v>
      </c>
    </row>
    <row r="156" spans="1:11" s="669" customFormat="1">
      <c r="A156" s="111">
        <f t="shared" ref="A156:A179" si="25">A155+1</f>
        <v>109</v>
      </c>
      <c r="B156" s="634" t="s">
        <v>182</v>
      </c>
      <c r="C156" s="632">
        <v>2018</v>
      </c>
      <c r="D156" s="1023">
        <v>11776</v>
      </c>
      <c r="E156" s="63">
        <f>D156*'16-PlantAdditions'!$E$103</f>
        <v>883.19999999999993</v>
      </c>
      <c r="F156" s="63">
        <f t="shared" ref="F156:F178" si="26">E156+D156</f>
        <v>12659.2</v>
      </c>
      <c r="G156" s="1023">
        <v>0</v>
      </c>
      <c r="H156" s="1023">
        <v>0</v>
      </c>
      <c r="I156" s="63">
        <f>(G156-H156)*'16-PlantAdditions'!$E$103</f>
        <v>0</v>
      </c>
      <c r="J156" s="63">
        <f t="shared" ref="J156:J175" si="27">J155+F156-G156-I156</f>
        <v>4909765.7850000001</v>
      </c>
      <c r="K156" s="63">
        <f t="shared" ref="K156:K178" si="28">J156-$J$154</f>
        <v>25037.825000000186</v>
      </c>
    </row>
    <row r="157" spans="1:11" s="669" customFormat="1">
      <c r="A157" s="111">
        <f t="shared" si="25"/>
        <v>110</v>
      </c>
      <c r="B157" s="634" t="s">
        <v>195</v>
      </c>
      <c r="C157" s="632">
        <v>2018</v>
      </c>
      <c r="D157" s="1023">
        <v>11286</v>
      </c>
      <c r="E157" s="63">
        <f>D157*'16-PlantAdditions'!$E$103</f>
        <v>846.44999999999993</v>
      </c>
      <c r="F157" s="63">
        <f t="shared" si="26"/>
        <v>12132.45</v>
      </c>
      <c r="G157" s="1023">
        <v>0</v>
      </c>
      <c r="H157" s="1023">
        <v>0</v>
      </c>
      <c r="I157" s="63">
        <f>(G157-H157)*'16-PlantAdditions'!$E$103</f>
        <v>0</v>
      </c>
      <c r="J157" s="63">
        <f t="shared" si="27"/>
        <v>4921898.2350000003</v>
      </c>
      <c r="K157" s="63">
        <f t="shared" si="28"/>
        <v>37170.275000000373</v>
      </c>
    </row>
    <row r="158" spans="1:11" s="669" customFormat="1">
      <c r="A158" s="111">
        <f t="shared" si="25"/>
        <v>111</v>
      </c>
      <c r="B158" s="631" t="s">
        <v>183</v>
      </c>
      <c r="C158" s="632">
        <v>2018</v>
      </c>
      <c r="D158" s="1023">
        <v>18380</v>
      </c>
      <c r="E158" s="63">
        <f>D158*'16-PlantAdditions'!$E$103</f>
        <v>1378.5</v>
      </c>
      <c r="F158" s="63">
        <f t="shared" si="26"/>
        <v>19758.5</v>
      </c>
      <c r="G158" s="1023">
        <v>0</v>
      </c>
      <c r="H158" s="1023">
        <v>0</v>
      </c>
      <c r="I158" s="63">
        <f>(G158-H158)*'16-PlantAdditions'!$E$103</f>
        <v>0</v>
      </c>
      <c r="J158" s="63">
        <f t="shared" si="27"/>
        <v>4941656.7350000003</v>
      </c>
      <c r="K158" s="63">
        <f t="shared" si="28"/>
        <v>56928.775000000373</v>
      </c>
    </row>
    <row r="159" spans="1:11" s="669" customFormat="1">
      <c r="A159" s="111">
        <f t="shared" si="25"/>
        <v>112</v>
      </c>
      <c r="B159" s="634" t="s">
        <v>184</v>
      </c>
      <c r="C159" s="632">
        <v>2018</v>
      </c>
      <c r="D159" s="1023">
        <v>18380</v>
      </c>
      <c r="E159" s="63">
        <f>D159*'16-PlantAdditions'!$E$103</f>
        <v>1378.5</v>
      </c>
      <c r="F159" s="63">
        <f t="shared" si="26"/>
        <v>19758.5</v>
      </c>
      <c r="G159" s="1023">
        <v>0</v>
      </c>
      <c r="H159" s="1023">
        <v>0</v>
      </c>
      <c r="I159" s="63">
        <f>(G159-H159)*'16-PlantAdditions'!$E$103</f>
        <v>0</v>
      </c>
      <c r="J159" s="63">
        <f t="shared" si="27"/>
        <v>4961415.2350000003</v>
      </c>
      <c r="K159" s="63">
        <f t="shared" si="28"/>
        <v>76687.275000000373</v>
      </c>
    </row>
    <row r="160" spans="1:11" s="669" customFormat="1">
      <c r="A160" s="111">
        <f t="shared" si="25"/>
        <v>113</v>
      </c>
      <c r="B160" s="634" t="s">
        <v>1477</v>
      </c>
      <c r="C160" s="632">
        <v>2018</v>
      </c>
      <c r="D160" s="1023">
        <v>18380</v>
      </c>
      <c r="E160" s="63">
        <f>D160*'16-PlantAdditions'!$E$103</f>
        <v>1378.5</v>
      </c>
      <c r="F160" s="63">
        <f t="shared" si="26"/>
        <v>19758.5</v>
      </c>
      <c r="G160" s="1023">
        <v>0</v>
      </c>
      <c r="H160" s="1023">
        <v>0</v>
      </c>
      <c r="I160" s="63">
        <f>(G160-H160)*'16-PlantAdditions'!$E$103</f>
        <v>0</v>
      </c>
      <c r="J160" s="63">
        <f t="shared" si="27"/>
        <v>4981173.7350000003</v>
      </c>
      <c r="K160" s="63">
        <f t="shared" si="28"/>
        <v>96445.775000000373</v>
      </c>
    </row>
    <row r="161" spans="1:11" s="669" customFormat="1">
      <c r="A161" s="111">
        <f t="shared" si="25"/>
        <v>114</v>
      </c>
      <c r="B161" s="631" t="s">
        <v>186</v>
      </c>
      <c r="C161" s="632">
        <v>2018</v>
      </c>
      <c r="D161" s="1023">
        <v>18380</v>
      </c>
      <c r="E161" s="63">
        <f>D161*'16-PlantAdditions'!$E$103</f>
        <v>1378.5</v>
      </c>
      <c r="F161" s="63">
        <f t="shared" si="26"/>
        <v>19758.5</v>
      </c>
      <c r="G161" s="1023">
        <v>0</v>
      </c>
      <c r="H161" s="1023">
        <v>0</v>
      </c>
      <c r="I161" s="63">
        <f>(G161-H161)*'16-PlantAdditions'!$E$103</f>
        <v>0</v>
      </c>
      <c r="J161" s="63">
        <f t="shared" si="27"/>
        <v>5000932.2350000003</v>
      </c>
      <c r="K161" s="63">
        <f t="shared" si="28"/>
        <v>116204.27500000037</v>
      </c>
    </row>
    <row r="162" spans="1:11" s="669" customFormat="1">
      <c r="A162" s="111">
        <f t="shared" si="25"/>
        <v>115</v>
      </c>
      <c r="B162" s="634" t="s">
        <v>187</v>
      </c>
      <c r="C162" s="632">
        <v>2018</v>
      </c>
      <c r="D162" s="1023">
        <v>18380</v>
      </c>
      <c r="E162" s="63">
        <f>D162*'16-PlantAdditions'!$E$103</f>
        <v>1378.5</v>
      </c>
      <c r="F162" s="63">
        <f t="shared" si="26"/>
        <v>19758.5</v>
      </c>
      <c r="G162" s="1023">
        <v>0</v>
      </c>
      <c r="H162" s="1023">
        <v>0</v>
      </c>
      <c r="I162" s="63">
        <f>(G162-H162)*'16-PlantAdditions'!$E$103</f>
        <v>0</v>
      </c>
      <c r="J162" s="63">
        <f t="shared" si="27"/>
        <v>5020690.7350000003</v>
      </c>
      <c r="K162" s="63">
        <f t="shared" si="28"/>
        <v>135962.77500000037</v>
      </c>
    </row>
    <row r="163" spans="1:11" s="669" customFormat="1">
      <c r="A163" s="111">
        <f t="shared" si="25"/>
        <v>116</v>
      </c>
      <c r="B163" s="634" t="s">
        <v>188</v>
      </c>
      <c r="C163" s="632">
        <v>2018</v>
      </c>
      <c r="D163" s="1023">
        <v>18380</v>
      </c>
      <c r="E163" s="63">
        <f>D163*'16-PlantAdditions'!$E$103</f>
        <v>1378.5</v>
      </c>
      <c r="F163" s="63">
        <f t="shared" si="26"/>
        <v>19758.5</v>
      </c>
      <c r="G163" s="1023">
        <v>0</v>
      </c>
      <c r="H163" s="1023">
        <v>0</v>
      </c>
      <c r="I163" s="63">
        <f>(G163-H163)*'16-PlantAdditions'!$E$103</f>
        <v>0</v>
      </c>
      <c r="J163" s="63">
        <f t="shared" si="27"/>
        <v>5040449.2350000003</v>
      </c>
      <c r="K163" s="63">
        <f t="shared" si="28"/>
        <v>155721.27500000037</v>
      </c>
    </row>
    <row r="164" spans="1:11" s="669" customFormat="1">
      <c r="A164" s="111">
        <f t="shared" si="25"/>
        <v>117</v>
      </c>
      <c r="B164" s="631" t="s">
        <v>191</v>
      </c>
      <c r="C164" s="632">
        <v>2018</v>
      </c>
      <c r="D164" s="1023">
        <v>18380</v>
      </c>
      <c r="E164" s="63">
        <f>D164*'16-PlantAdditions'!$E$103</f>
        <v>1378.5</v>
      </c>
      <c r="F164" s="63">
        <f t="shared" si="26"/>
        <v>19758.5</v>
      </c>
      <c r="G164" s="1023">
        <v>0</v>
      </c>
      <c r="H164" s="1023">
        <v>0</v>
      </c>
      <c r="I164" s="63">
        <f>(G164-H164)*'16-PlantAdditions'!$E$103</f>
        <v>0</v>
      </c>
      <c r="J164" s="63">
        <f t="shared" si="27"/>
        <v>5060207.7350000003</v>
      </c>
      <c r="K164" s="63">
        <f t="shared" si="28"/>
        <v>175479.77500000037</v>
      </c>
    </row>
    <row r="165" spans="1:11" s="669" customFormat="1">
      <c r="A165" s="111">
        <f t="shared" si="25"/>
        <v>118</v>
      </c>
      <c r="B165" s="631" t="s">
        <v>190</v>
      </c>
      <c r="C165" s="632">
        <v>2018</v>
      </c>
      <c r="D165" s="1023">
        <v>18380</v>
      </c>
      <c r="E165" s="63">
        <f>D165*'16-PlantAdditions'!$E$103</f>
        <v>1378.5</v>
      </c>
      <c r="F165" s="63">
        <f t="shared" si="26"/>
        <v>19758.5</v>
      </c>
      <c r="G165" s="1023">
        <v>0</v>
      </c>
      <c r="H165" s="1023">
        <v>0</v>
      </c>
      <c r="I165" s="63">
        <f>(G165-H165)*'16-PlantAdditions'!$E$103</f>
        <v>0</v>
      </c>
      <c r="J165" s="63">
        <f t="shared" si="27"/>
        <v>5079966.2350000003</v>
      </c>
      <c r="K165" s="63">
        <f t="shared" si="28"/>
        <v>195238.27500000037</v>
      </c>
    </row>
    <row r="166" spans="1:11" s="669" customFormat="1">
      <c r="A166" s="111">
        <f t="shared" si="25"/>
        <v>119</v>
      </c>
      <c r="B166" s="631" t="s">
        <v>180</v>
      </c>
      <c r="C166" s="632">
        <v>2018</v>
      </c>
      <c r="D166" s="1023">
        <v>18383</v>
      </c>
      <c r="E166" s="63">
        <f>D166*'16-PlantAdditions'!$E$103</f>
        <v>1378.7249999999999</v>
      </c>
      <c r="F166" s="63">
        <f t="shared" si="26"/>
        <v>19761.724999999999</v>
      </c>
      <c r="G166" s="1023">
        <v>0</v>
      </c>
      <c r="H166" s="1023">
        <v>0</v>
      </c>
      <c r="I166" s="63">
        <f>(G166-H166)*'16-PlantAdditions'!$E$103</f>
        <v>0</v>
      </c>
      <c r="J166" s="63">
        <f t="shared" si="27"/>
        <v>5099727.96</v>
      </c>
      <c r="K166" s="63">
        <f t="shared" si="28"/>
        <v>215000</v>
      </c>
    </row>
    <row r="167" spans="1:11" s="669" customFormat="1">
      <c r="A167" s="111">
        <f t="shared" si="25"/>
        <v>120</v>
      </c>
      <c r="B167" s="631" t="s">
        <v>181</v>
      </c>
      <c r="C167" s="632">
        <v>2019</v>
      </c>
      <c r="D167" s="1023">
        <v>25000</v>
      </c>
      <c r="E167" s="63">
        <f>D167*'16-PlantAdditions'!$E$103</f>
        <v>1875</v>
      </c>
      <c r="F167" s="63">
        <f t="shared" si="26"/>
        <v>26875</v>
      </c>
      <c r="G167" s="1023">
        <v>0</v>
      </c>
      <c r="H167" s="1023">
        <v>0</v>
      </c>
      <c r="I167" s="63">
        <f>(G167-H167)*'16-PlantAdditions'!$E$103</f>
        <v>0</v>
      </c>
      <c r="J167" s="63">
        <f t="shared" si="27"/>
        <v>5126602.96</v>
      </c>
      <c r="K167" s="63">
        <f t="shared" si="28"/>
        <v>241875</v>
      </c>
    </row>
    <row r="168" spans="1:11" s="669" customFormat="1">
      <c r="A168" s="111">
        <f t="shared" si="25"/>
        <v>121</v>
      </c>
      <c r="B168" s="634" t="s">
        <v>182</v>
      </c>
      <c r="C168" s="632">
        <v>2019</v>
      </c>
      <c r="D168" s="1023">
        <v>25000</v>
      </c>
      <c r="E168" s="63">
        <f>D168*'16-PlantAdditions'!$E$103</f>
        <v>1875</v>
      </c>
      <c r="F168" s="63">
        <f t="shared" si="26"/>
        <v>26875</v>
      </c>
      <c r="G168" s="1023">
        <v>0</v>
      </c>
      <c r="H168" s="1023">
        <v>0</v>
      </c>
      <c r="I168" s="63">
        <f>(G168-H168)*'16-PlantAdditions'!$E$103</f>
        <v>0</v>
      </c>
      <c r="J168" s="63">
        <f t="shared" si="27"/>
        <v>5153477.96</v>
      </c>
      <c r="K168" s="63">
        <f t="shared" si="28"/>
        <v>268750</v>
      </c>
    </row>
    <row r="169" spans="1:11" s="669" customFormat="1">
      <c r="A169" s="111">
        <f t="shared" si="25"/>
        <v>122</v>
      </c>
      <c r="B169" s="634" t="s">
        <v>195</v>
      </c>
      <c r="C169" s="632">
        <v>2019</v>
      </c>
      <c r="D169" s="1023">
        <v>25000</v>
      </c>
      <c r="E169" s="63">
        <f>D169*'16-PlantAdditions'!$E$103</f>
        <v>1875</v>
      </c>
      <c r="F169" s="63">
        <f t="shared" si="26"/>
        <v>26875</v>
      </c>
      <c r="G169" s="1023">
        <v>0</v>
      </c>
      <c r="H169" s="1023">
        <v>0</v>
      </c>
      <c r="I169" s="63">
        <f>(G169-H169)*'16-PlantAdditions'!$E$103</f>
        <v>0</v>
      </c>
      <c r="J169" s="63">
        <f t="shared" si="27"/>
        <v>5180352.96</v>
      </c>
      <c r="K169" s="63">
        <f t="shared" si="28"/>
        <v>295625</v>
      </c>
    </row>
    <row r="170" spans="1:11" s="669" customFormat="1">
      <c r="A170" s="111">
        <f t="shared" si="25"/>
        <v>123</v>
      </c>
      <c r="B170" s="631" t="s">
        <v>183</v>
      </c>
      <c r="C170" s="632">
        <v>2019</v>
      </c>
      <c r="D170" s="1023">
        <v>25000</v>
      </c>
      <c r="E170" s="63">
        <f>D170*'16-PlantAdditions'!$E$103</f>
        <v>1875</v>
      </c>
      <c r="F170" s="63">
        <f t="shared" si="26"/>
        <v>26875</v>
      </c>
      <c r="G170" s="1023">
        <v>0</v>
      </c>
      <c r="H170" s="1023">
        <v>0</v>
      </c>
      <c r="I170" s="63">
        <f>(G170-H170)*'16-PlantAdditions'!$E$103</f>
        <v>0</v>
      </c>
      <c r="J170" s="63">
        <f t="shared" si="27"/>
        <v>5207227.96</v>
      </c>
      <c r="K170" s="63">
        <f t="shared" si="28"/>
        <v>322500</v>
      </c>
    </row>
    <row r="171" spans="1:11" s="669" customFormat="1">
      <c r="A171" s="111">
        <f t="shared" si="25"/>
        <v>124</v>
      </c>
      <c r="B171" s="634" t="s">
        <v>184</v>
      </c>
      <c r="C171" s="632">
        <v>2019</v>
      </c>
      <c r="D171" s="1023">
        <v>25000</v>
      </c>
      <c r="E171" s="63">
        <f>D171*'16-PlantAdditions'!$E$103</f>
        <v>1875</v>
      </c>
      <c r="F171" s="63">
        <f t="shared" si="26"/>
        <v>26875</v>
      </c>
      <c r="G171" s="1023">
        <v>0</v>
      </c>
      <c r="H171" s="1023">
        <v>0</v>
      </c>
      <c r="I171" s="63">
        <f>(G171-H171)*'16-PlantAdditions'!$E$103</f>
        <v>0</v>
      </c>
      <c r="J171" s="63">
        <f t="shared" si="27"/>
        <v>5234102.96</v>
      </c>
      <c r="K171" s="63">
        <f t="shared" si="28"/>
        <v>349375</v>
      </c>
    </row>
    <row r="172" spans="1:11" s="669" customFormat="1">
      <c r="A172" s="111">
        <f t="shared" si="25"/>
        <v>125</v>
      </c>
      <c r="B172" s="634" t="s">
        <v>1477</v>
      </c>
      <c r="C172" s="632">
        <v>2019</v>
      </c>
      <c r="D172" s="1023">
        <v>25000</v>
      </c>
      <c r="E172" s="63">
        <f>D172*'16-PlantAdditions'!$E$103</f>
        <v>1875</v>
      </c>
      <c r="F172" s="63">
        <f t="shared" si="26"/>
        <v>26875</v>
      </c>
      <c r="G172" s="1023">
        <v>0</v>
      </c>
      <c r="H172" s="1023">
        <v>0</v>
      </c>
      <c r="I172" s="63">
        <f>(G172-H172)*'16-PlantAdditions'!$E$103</f>
        <v>0</v>
      </c>
      <c r="J172" s="63">
        <f t="shared" si="27"/>
        <v>5260977.96</v>
      </c>
      <c r="K172" s="63">
        <f t="shared" si="28"/>
        <v>376250</v>
      </c>
    </row>
    <row r="173" spans="1:11" s="669" customFormat="1">
      <c r="A173" s="111">
        <f t="shared" si="25"/>
        <v>126</v>
      </c>
      <c r="B173" s="631" t="s">
        <v>186</v>
      </c>
      <c r="C173" s="632">
        <v>2019</v>
      </c>
      <c r="D173" s="1023">
        <v>25000</v>
      </c>
      <c r="E173" s="63">
        <f>D173*'16-PlantAdditions'!$E$103</f>
        <v>1875</v>
      </c>
      <c r="F173" s="63">
        <f t="shared" si="26"/>
        <v>26875</v>
      </c>
      <c r="G173" s="1023">
        <v>0</v>
      </c>
      <c r="H173" s="1023">
        <v>0</v>
      </c>
      <c r="I173" s="63">
        <f>(G173-H173)*'16-PlantAdditions'!$E$103</f>
        <v>0</v>
      </c>
      <c r="J173" s="63">
        <f t="shared" si="27"/>
        <v>5287852.96</v>
      </c>
      <c r="K173" s="63">
        <f t="shared" si="28"/>
        <v>403125</v>
      </c>
    </row>
    <row r="174" spans="1:11" s="669" customFormat="1">
      <c r="A174" s="111">
        <f t="shared" si="25"/>
        <v>127</v>
      </c>
      <c r="B174" s="634" t="s">
        <v>187</v>
      </c>
      <c r="C174" s="632">
        <v>2019</v>
      </c>
      <c r="D174" s="1023">
        <v>125000</v>
      </c>
      <c r="E174" s="63">
        <f>D174*'16-PlantAdditions'!$E$103</f>
        <v>9375</v>
      </c>
      <c r="F174" s="63">
        <f t="shared" si="26"/>
        <v>134375</v>
      </c>
      <c r="G174" s="1023">
        <v>0</v>
      </c>
      <c r="H174" s="1023">
        <v>0</v>
      </c>
      <c r="I174" s="63">
        <f>(G174-H174)*'16-PlantAdditions'!$E$103</f>
        <v>0</v>
      </c>
      <c r="J174" s="63">
        <f t="shared" si="27"/>
        <v>5422227.96</v>
      </c>
      <c r="K174" s="63">
        <f t="shared" si="28"/>
        <v>537500</v>
      </c>
    </row>
    <row r="175" spans="1:11" s="669" customFormat="1">
      <c r="A175" s="111">
        <f t="shared" si="25"/>
        <v>128</v>
      </c>
      <c r="B175" s="634" t="s">
        <v>188</v>
      </c>
      <c r="C175" s="632">
        <v>2019</v>
      </c>
      <c r="D175" s="1023">
        <v>250000</v>
      </c>
      <c r="E175" s="63">
        <f>D175*'16-PlantAdditions'!$E$103</f>
        <v>18750</v>
      </c>
      <c r="F175" s="63">
        <f t="shared" si="26"/>
        <v>268750</v>
      </c>
      <c r="G175" s="1023">
        <v>0</v>
      </c>
      <c r="H175" s="1023">
        <v>0</v>
      </c>
      <c r="I175" s="63">
        <f>(G175-H175)*'16-PlantAdditions'!$E$103</f>
        <v>0</v>
      </c>
      <c r="J175" s="63">
        <f t="shared" si="27"/>
        <v>5690977.96</v>
      </c>
      <c r="K175" s="63">
        <f t="shared" si="28"/>
        <v>806250</v>
      </c>
    </row>
    <row r="176" spans="1:11" s="669" customFormat="1">
      <c r="A176" s="111">
        <f t="shared" si="25"/>
        <v>129</v>
      </c>
      <c r="B176" s="634" t="s">
        <v>191</v>
      </c>
      <c r="C176" s="632">
        <v>2019</v>
      </c>
      <c r="D176" s="1023">
        <v>250000</v>
      </c>
      <c r="E176" s="63">
        <f>D176*'16-PlantAdditions'!$E$103</f>
        <v>18750</v>
      </c>
      <c r="F176" s="63">
        <f t="shared" si="26"/>
        <v>268750</v>
      </c>
      <c r="G176" s="1023">
        <v>0</v>
      </c>
      <c r="H176" s="1023">
        <v>0</v>
      </c>
      <c r="I176" s="63">
        <f>(G176-H176)*'16-PlantAdditions'!$E$103</f>
        <v>0</v>
      </c>
      <c r="J176" s="63">
        <f t="shared" ref="J176:J178" si="29">J175+F176-G176-I176</f>
        <v>5959727.96</v>
      </c>
      <c r="K176" s="63">
        <f t="shared" si="28"/>
        <v>1075000</v>
      </c>
    </row>
    <row r="177" spans="1:11" s="669" customFormat="1">
      <c r="A177" s="111">
        <f t="shared" si="25"/>
        <v>130</v>
      </c>
      <c r="B177" s="634" t="s">
        <v>190</v>
      </c>
      <c r="C177" s="632">
        <v>2019</v>
      </c>
      <c r="D177" s="1023">
        <v>250000</v>
      </c>
      <c r="E177" s="63">
        <f>D177*'16-PlantAdditions'!$E$103</f>
        <v>18750</v>
      </c>
      <c r="F177" s="63">
        <f t="shared" si="26"/>
        <v>268750</v>
      </c>
      <c r="G177" s="1023">
        <v>0</v>
      </c>
      <c r="H177" s="1023">
        <v>0</v>
      </c>
      <c r="I177" s="63">
        <f>(G177-H177)*'16-PlantAdditions'!$E$103</f>
        <v>0</v>
      </c>
      <c r="J177" s="63">
        <f t="shared" si="29"/>
        <v>6228477.96</v>
      </c>
      <c r="K177" s="63">
        <f t="shared" si="28"/>
        <v>1343750</v>
      </c>
    </row>
    <row r="178" spans="1:11" s="669" customFormat="1">
      <c r="A178" s="111">
        <f t="shared" si="25"/>
        <v>131</v>
      </c>
      <c r="B178" s="634" t="s">
        <v>180</v>
      </c>
      <c r="C178" s="632">
        <v>2019</v>
      </c>
      <c r="D178" s="1023">
        <v>545000</v>
      </c>
      <c r="E178" s="63">
        <f>D178*'16-PlantAdditions'!$E$103</f>
        <v>40875</v>
      </c>
      <c r="F178" s="63">
        <f t="shared" si="26"/>
        <v>585875</v>
      </c>
      <c r="G178" s="1023">
        <v>0</v>
      </c>
      <c r="H178" s="1023">
        <v>0</v>
      </c>
      <c r="I178" s="63">
        <f>(G178-H178)*'16-PlantAdditions'!$E$103</f>
        <v>0</v>
      </c>
      <c r="J178" s="63">
        <f t="shared" si="29"/>
        <v>6814352.96</v>
      </c>
      <c r="K178" s="112">
        <f t="shared" si="28"/>
        <v>1929625</v>
      </c>
    </row>
    <row r="179" spans="1:11" s="669" customFormat="1">
      <c r="A179" s="111">
        <f t="shared" si="25"/>
        <v>132</v>
      </c>
      <c r="B179"/>
      <c r="C179" s="668" t="s">
        <v>1625</v>
      </c>
      <c r="D179"/>
      <c r="E179"/>
      <c r="F179"/>
      <c r="G179"/>
      <c r="H179"/>
      <c r="I179"/>
      <c r="J179"/>
      <c r="K179" s="73">
        <f>AVERAGE(K166:K178)</f>
        <v>628048.07692307688</v>
      </c>
    </row>
    <row r="180" spans="1:11" s="669" customFormat="1">
      <c r="A180" s="111"/>
      <c r="B180"/>
      <c r="C180" s="668"/>
      <c r="D180"/>
      <c r="E180"/>
      <c r="F180"/>
      <c r="G180"/>
      <c r="H180"/>
      <c r="I180"/>
      <c r="J180"/>
      <c r="K180" s="73"/>
    </row>
    <row r="181" spans="1:11" s="669" customFormat="1">
      <c r="B181" s="670" t="s">
        <v>1956</v>
      </c>
      <c r="D181" s="1381" t="s">
        <v>1966</v>
      </c>
      <c r="E181" s="1381"/>
    </row>
    <row r="182" spans="1:11" s="669" customFormat="1">
      <c r="A182" s="664"/>
      <c r="B182" s="664"/>
      <c r="C182" s="664"/>
      <c r="D182" s="664" t="s">
        <v>360</v>
      </c>
      <c r="E182" s="664" t="s">
        <v>344</v>
      </c>
      <c r="F182" s="664" t="s">
        <v>345</v>
      </c>
      <c r="G182" s="664" t="s">
        <v>346</v>
      </c>
      <c r="H182" s="664" t="s">
        <v>347</v>
      </c>
      <c r="I182" s="664" t="s">
        <v>348</v>
      </c>
      <c r="J182" s="664" t="s">
        <v>349</v>
      </c>
      <c r="K182" s="664" t="s">
        <v>541</v>
      </c>
    </row>
    <row r="183" spans="1:11" s="669" customFormat="1" ht="26.4">
      <c r="D183" s="671"/>
      <c r="E183" s="672" t="s">
        <v>2091</v>
      </c>
      <c r="F183" s="673" t="s">
        <v>1950</v>
      </c>
      <c r="G183" s="543"/>
      <c r="H183" s="671"/>
      <c r="I183" s="672" t="s">
        <v>2092</v>
      </c>
      <c r="J183" s="672" t="s">
        <v>1951</v>
      </c>
      <c r="K183" s="672" t="s">
        <v>1952</v>
      </c>
    </row>
    <row r="184" spans="1:11" s="669" customFormat="1">
      <c r="D184" s="671"/>
      <c r="E184" s="672"/>
      <c r="F184" s="673"/>
      <c r="G184" s="4" t="str">
        <f>G51</f>
        <v>Unloaded</v>
      </c>
      <c r="H184" s="671"/>
      <c r="I184" s="672"/>
      <c r="J184" s="672"/>
      <c r="K184" s="672"/>
    </row>
    <row r="185" spans="1:11" s="669" customFormat="1">
      <c r="A185" s="666"/>
      <c r="B185" s="666"/>
      <c r="C185" s="666"/>
      <c r="D185" s="666" t="str">
        <f>D$52</f>
        <v>Forecast</v>
      </c>
      <c r="E185" s="666" t="str">
        <f t="shared" ref="E185:J185" si="30">E$52</f>
        <v>Corporate</v>
      </c>
      <c r="F185" s="666" t="str">
        <f t="shared" si="30"/>
        <v xml:space="preserve">Total </v>
      </c>
      <c r="G185" s="4" t="str">
        <f>G52</f>
        <v>Total</v>
      </c>
      <c r="H185" s="666" t="str">
        <f t="shared" si="30"/>
        <v>Prior Period</v>
      </c>
      <c r="I185" s="666" t="str">
        <f t="shared" si="30"/>
        <v>Over Heads</v>
      </c>
      <c r="J185" s="666" t="str">
        <f t="shared" si="30"/>
        <v>Forecast</v>
      </c>
      <c r="K185" s="571" t="str">
        <f>K$52</f>
        <v>Forecast Period</v>
      </c>
    </row>
    <row r="186" spans="1:11" s="669" customFormat="1">
      <c r="A186" s="865" t="s">
        <v>331</v>
      </c>
      <c r="B186" s="630" t="s">
        <v>192</v>
      </c>
      <c r="C186" s="630" t="s">
        <v>193</v>
      </c>
      <c r="D186" s="664" t="str">
        <f>D$53</f>
        <v>Expenditures</v>
      </c>
      <c r="E186" s="664" t="str">
        <f t="shared" ref="E186:J186" si="31">E$53</f>
        <v>Overheads</v>
      </c>
      <c r="F186" s="664" t="str">
        <f t="shared" si="31"/>
        <v>CWIP Exp</v>
      </c>
      <c r="G186" s="84" t="str">
        <f>G53</f>
        <v>Plant Adds</v>
      </c>
      <c r="H186" s="664" t="str">
        <f t="shared" si="31"/>
        <v>CWIP Closed</v>
      </c>
      <c r="I186" s="664" t="str">
        <f t="shared" si="31"/>
        <v>Closed to PIS</v>
      </c>
      <c r="J186" s="664" t="str">
        <f t="shared" si="31"/>
        <v>Period CWIP</v>
      </c>
      <c r="K186" s="664" t="str">
        <f>K$53</f>
        <v>Incremental CWIP</v>
      </c>
    </row>
    <row r="187" spans="1:11" s="669" customFormat="1">
      <c r="A187" s="111">
        <f>A179+1</f>
        <v>133</v>
      </c>
      <c r="B187" s="631" t="s">
        <v>180</v>
      </c>
      <c r="C187" s="632">
        <v>2017</v>
      </c>
      <c r="D187" s="673" t="s">
        <v>76</v>
      </c>
      <c r="E187" s="673" t="s">
        <v>76</v>
      </c>
      <c r="F187" s="673" t="s">
        <v>76</v>
      </c>
      <c r="G187" s="673" t="s">
        <v>76</v>
      </c>
      <c r="H187" s="673" t="s">
        <v>76</v>
      </c>
      <c r="I187" s="673" t="s">
        <v>76</v>
      </c>
      <c r="J187" s="63">
        <f>H25</f>
        <v>98805811.510000005</v>
      </c>
      <c r="K187" s="673" t="s">
        <v>76</v>
      </c>
    </row>
    <row r="188" spans="1:11" s="669" customFormat="1">
      <c r="A188" s="111">
        <f>A187+1</f>
        <v>134</v>
      </c>
      <c r="B188" s="631" t="s">
        <v>181</v>
      </c>
      <c r="C188" s="632">
        <v>2018</v>
      </c>
      <c r="D188" s="1023">
        <v>588166.99999999988</v>
      </c>
      <c r="E188" s="63">
        <f>D188*'16-PlantAdditions'!$E$103</f>
        <v>44112.524999999987</v>
      </c>
      <c r="F188" s="63">
        <f>E188+D188</f>
        <v>632279.52499999991</v>
      </c>
      <c r="G188" s="1023">
        <v>0</v>
      </c>
      <c r="H188" s="1023">
        <v>0</v>
      </c>
      <c r="I188" s="63">
        <f>(G188-H188)*'16-PlantAdditions'!$E$103</f>
        <v>0</v>
      </c>
      <c r="J188" s="63">
        <f>J187+F188-G188-I188</f>
        <v>99438091.035000011</v>
      </c>
      <c r="K188" s="63">
        <f>J188-$J$187</f>
        <v>632279.52500000596</v>
      </c>
    </row>
    <row r="189" spans="1:11" s="669" customFormat="1">
      <c r="A189" s="111">
        <f t="shared" ref="A189:A212" si="32">A188+1</f>
        <v>135</v>
      </c>
      <c r="B189" s="634" t="s">
        <v>182</v>
      </c>
      <c r="C189" s="632">
        <v>2018</v>
      </c>
      <c r="D189" s="1023">
        <v>2503299.9999999995</v>
      </c>
      <c r="E189" s="63">
        <f>D189*'16-PlantAdditions'!$E$103</f>
        <v>187747.49999999997</v>
      </c>
      <c r="F189" s="63">
        <f t="shared" ref="F189:F208" si="33">E189+D189</f>
        <v>2691047.4999999995</v>
      </c>
      <c r="G189" s="1023">
        <v>0</v>
      </c>
      <c r="H189" s="1023">
        <v>0</v>
      </c>
      <c r="I189" s="63">
        <f>(G189-H189)*'16-PlantAdditions'!$E$103</f>
        <v>0</v>
      </c>
      <c r="J189" s="63">
        <f t="shared" ref="J189:J208" si="34">J188+F189-G189-I189</f>
        <v>102129138.53500001</v>
      </c>
      <c r="K189" s="63">
        <f t="shared" ref="K189:K211" si="35">J189-$J$187</f>
        <v>3323327.025000006</v>
      </c>
    </row>
    <row r="190" spans="1:11" s="669" customFormat="1">
      <c r="A190" s="111">
        <f t="shared" si="32"/>
        <v>136</v>
      </c>
      <c r="B190" s="634" t="s">
        <v>195</v>
      </c>
      <c r="C190" s="632">
        <v>2018</v>
      </c>
      <c r="D190" s="1023">
        <v>4798387</v>
      </c>
      <c r="E190" s="63">
        <f>D190*'16-PlantAdditions'!$E$103</f>
        <v>359879.02499999997</v>
      </c>
      <c r="F190" s="63">
        <f t="shared" si="33"/>
        <v>5158266.0250000004</v>
      </c>
      <c r="G190" s="1023">
        <v>0</v>
      </c>
      <c r="H190" s="1023">
        <v>0</v>
      </c>
      <c r="I190" s="63">
        <f>(G190-H190)*'16-PlantAdditions'!$E$103</f>
        <v>0</v>
      </c>
      <c r="J190" s="63">
        <f t="shared" si="34"/>
        <v>107287404.56000002</v>
      </c>
      <c r="K190" s="63">
        <f t="shared" si="35"/>
        <v>8481593.0500000119</v>
      </c>
    </row>
    <row r="191" spans="1:11" s="669" customFormat="1">
      <c r="A191" s="111">
        <f t="shared" si="32"/>
        <v>137</v>
      </c>
      <c r="B191" s="631" t="s">
        <v>183</v>
      </c>
      <c r="C191" s="632">
        <v>2018</v>
      </c>
      <c r="D191" s="1023">
        <v>5648177</v>
      </c>
      <c r="E191" s="63">
        <f>D191*'16-PlantAdditions'!$E$103</f>
        <v>423613.27499999997</v>
      </c>
      <c r="F191" s="63">
        <f t="shared" si="33"/>
        <v>6071790.2750000004</v>
      </c>
      <c r="G191" s="1023">
        <v>0</v>
      </c>
      <c r="H191" s="1023">
        <v>0</v>
      </c>
      <c r="I191" s="63">
        <f>(G191-H191)*'16-PlantAdditions'!$E$103</f>
        <v>0</v>
      </c>
      <c r="J191" s="63">
        <f t="shared" si="34"/>
        <v>113359194.83500002</v>
      </c>
      <c r="K191" s="63">
        <f t="shared" si="35"/>
        <v>14553383.325000018</v>
      </c>
    </row>
    <row r="192" spans="1:11" s="669" customFormat="1">
      <c r="A192" s="111">
        <f t="shared" si="32"/>
        <v>138</v>
      </c>
      <c r="B192" s="634" t="s">
        <v>184</v>
      </c>
      <c r="C192" s="632">
        <v>2018</v>
      </c>
      <c r="D192" s="1023">
        <v>5573177</v>
      </c>
      <c r="E192" s="63">
        <f>D192*'16-PlantAdditions'!$E$103</f>
        <v>417988.27499999997</v>
      </c>
      <c r="F192" s="63">
        <f t="shared" si="33"/>
        <v>5991165.2750000004</v>
      </c>
      <c r="G192" s="1023">
        <v>0</v>
      </c>
      <c r="H192" s="1023">
        <v>0</v>
      </c>
      <c r="I192" s="63">
        <f>(G192-H192)*'16-PlantAdditions'!$E$103</f>
        <v>0</v>
      </c>
      <c r="J192" s="63">
        <f t="shared" si="34"/>
        <v>119350360.11000003</v>
      </c>
      <c r="K192" s="63">
        <f t="shared" si="35"/>
        <v>20544548.600000024</v>
      </c>
    </row>
    <row r="193" spans="1:11" s="669" customFormat="1">
      <c r="A193" s="111">
        <f t="shared" si="32"/>
        <v>139</v>
      </c>
      <c r="B193" s="634" t="s">
        <v>1477</v>
      </c>
      <c r="C193" s="632">
        <v>2018</v>
      </c>
      <c r="D193" s="1023">
        <v>6499929</v>
      </c>
      <c r="E193" s="63">
        <f>D193*'16-PlantAdditions'!$E$103</f>
        <v>487494.67499999999</v>
      </c>
      <c r="F193" s="63">
        <f t="shared" si="33"/>
        <v>6987423.6749999998</v>
      </c>
      <c r="G193" s="1023">
        <v>2458050.5399999996</v>
      </c>
      <c r="H193" s="1023">
        <v>2207008.54</v>
      </c>
      <c r="I193" s="63">
        <f>(G193-H193)*'16-PlantAdditions'!$E$103</f>
        <v>18828.149999999965</v>
      </c>
      <c r="J193" s="63">
        <f t="shared" si="34"/>
        <v>123860905.09500001</v>
      </c>
      <c r="K193" s="63">
        <f t="shared" si="35"/>
        <v>25055093.585000008</v>
      </c>
    </row>
    <row r="194" spans="1:11" s="669" customFormat="1">
      <c r="A194" s="111">
        <f t="shared" si="32"/>
        <v>140</v>
      </c>
      <c r="B194" s="631" t="s">
        <v>186</v>
      </c>
      <c r="C194" s="632">
        <v>2018</v>
      </c>
      <c r="D194" s="1023">
        <v>5781065</v>
      </c>
      <c r="E194" s="63">
        <f>D194*'16-PlantAdditions'!$E$103</f>
        <v>433579.875</v>
      </c>
      <c r="F194" s="63">
        <f t="shared" si="33"/>
        <v>6214644.875</v>
      </c>
      <c r="G194" s="1023">
        <v>45000</v>
      </c>
      <c r="H194" s="1023">
        <v>0</v>
      </c>
      <c r="I194" s="63">
        <f>(G194-H194)*'16-PlantAdditions'!$E$103</f>
        <v>3375</v>
      </c>
      <c r="J194" s="63">
        <f t="shared" si="34"/>
        <v>130027174.97000001</v>
      </c>
      <c r="K194" s="63">
        <f t="shared" si="35"/>
        <v>31221363.460000008</v>
      </c>
    </row>
    <row r="195" spans="1:11" s="669" customFormat="1">
      <c r="A195" s="111">
        <f t="shared" si="32"/>
        <v>141</v>
      </c>
      <c r="B195" s="634" t="s">
        <v>187</v>
      </c>
      <c r="C195" s="632">
        <v>2018</v>
      </c>
      <c r="D195" s="1023">
        <v>7660609</v>
      </c>
      <c r="E195" s="63">
        <f>D195*'16-PlantAdditions'!$E$103</f>
        <v>574545.67499999993</v>
      </c>
      <c r="F195" s="63">
        <f t="shared" si="33"/>
        <v>8235154.6749999998</v>
      </c>
      <c r="G195" s="1023">
        <v>45000</v>
      </c>
      <c r="H195" s="1023">
        <v>0</v>
      </c>
      <c r="I195" s="63">
        <f>(G195-H195)*'16-PlantAdditions'!$E$103</f>
        <v>3375</v>
      </c>
      <c r="J195" s="63">
        <f t="shared" si="34"/>
        <v>138213954.64500001</v>
      </c>
      <c r="K195" s="63">
        <f t="shared" si="35"/>
        <v>39408143.135000005</v>
      </c>
    </row>
    <row r="196" spans="1:11" s="669" customFormat="1">
      <c r="A196" s="111">
        <f t="shared" si="32"/>
        <v>142</v>
      </c>
      <c r="B196" s="634" t="s">
        <v>188</v>
      </c>
      <c r="C196" s="632">
        <v>2018</v>
      </c>
      <c r="D196" s="1023">
        <v>7537297</v>
      </c>
      <c r="E196" s="63">
        <f>D196*'16-PlantAdditions'!$E$103</f>
        <v>565297.27500000002</v>
      </c>
      <c r="F196" s="63">
        <f t="shared" si="33"/>
        <v>8102594.2750000004</v>
      </c>
      <c r="G196" s="1023">
        <v>45000</v>
      </c>
      <c r="H196" s="1023">
        <v>0</v>
      </c>
      <c r="I196" s="63">
        <f>(G196-H196)*'16-PlantAdditions'!$E$103</f>
        <v>3375</v>
      </c>
      <c r="J196" s="63">
        <f t="shared" si="34"/>
        <v>146268173.92000002</v>
      </c>
      <c r="K196" s="63">
        <f t="shared" si="35"/>
        <v>47462362.410000011</v>
      </c>
    </row>
    <row r="197" spans="1:11" s="669" customFormat="1">
      <c r="A197" s="111">
        <f t="shared" si="32"/>
        <v>143</v>
      </c>
      <c r="B197" s="631" t="s">
        <v>191</v>
      </c>
      <c r="C197" s="632">
        <v>2018</v>
      </c>
      <c r="D197" s="1023">
        <v>18313481</v>
      </c>
      <c r="E197" s="63">
        <f>D197*'16-PlantAdditions'!$E$103</f>
        <v>1373511.075</v>
      </c>
      <c r="F197" s="63">
        <f t="shared" si="33"/>
        <v>19686992.074999999</v>
      </c>
      <c r="G197" s="1023">
        <v>75673</v>
      </c>
      <c r="H197" s="1023">
        <v>0</v>
      </c>
      <c r="I197" s="63">
        <f>(G197-H197)*'16-PlantAdditions'!$E$103</f>
        <v>5675.4749999999995</v>
      </c>
      <c r="J197" s="63">
        <f t="shared" si="34"/>
        <v>165873817.52000001</v>
      </c>
      <c r="K197" s="63">
        <f t="shared" si="35"/>
        <v>67068006.010000005</v>
      </c>
    </row>
    <row r="198" spans="1:11" s="669" customFormat="1">
      <c r="A198" s="111">
        <f t="shared" si="32"/>
        <v>144</v>
      </c>
      <c r="B198" s="631" t="s">
        <v>190</v>
      </c>
      <c r="C198" s="632">
        <v>2018</v>
      </c>
      <c r="D198" s="1023">
        <v>19079066</v>
      </c>
      <c r="E198" s="63">
        <f>D198*'16-PlantAdditions'!$E$103</f>
        <v>1430929.95</v>
      </c>
      <c r="F198" s="63">
        <f t="shared" si="33"/>
        <v>20509995.949999999</v>
      </c>
      <c r="G198" s="1023">
        <v>45000</v>
      </c>
      <c r="H198" s="1023">
        <v>0</v>
      </c>
      <c r="I198" s="63">
        <f>(G198-H198)*'16-PlantAdditions'!$E$103</f>
        <v>3375</v>
      </c>
      <c r="J198" s="63">
        <f t="shared" si="34"/>
        <v>186335438.47</v>
      </c>
      <c r="K198" s="63">
        <f t="shared" si="35"/>
        <v>87529626.959999993</v>
      </c>
    </row>
    <row r="199" spans="1:11" s="669" customFormat="1">
      <c r="A199" s="111">
        <f t="shared" si="32"/>
        <v>145</v>
      </c>
      <c r="B199" s="631" t="s">
        <v>180</v>
      </c>
      <c r="C199" s="632">
        <v>2018</v>
      </c>
      <c r="D199" s="1023">
        <v>20045129.999999996</v>
      </c>
      <c r="E199" s="63">
        <f>D199*'16-PlantAdditions'!$E$103</f>
        <v>1503384.7499999998</v>
      </c>
      <c r="F199" s="63">
        <f t="shared" si="33"/>
        <v>21548514.749999996</v>
      </c>
      <c r="G199" s="1023">
        <v>18456121.27</v>
      </c>
      <c r="H199" s="1023">
        <v>8497680.2700000014</v>
      </c>
      <c r="I199" s="63">
        <f>(G199-H199)*'16-PlantAdditions'!$E$103</f>
        <v>746883.07499999984</v>
      </c>
      <c r="J199" s="63">
        <f t="shared" si="34"/>
        <v>188680948.875</v>
      </c>
      <c r="K199" s="63">
        <f t="shared" si="35"/>
        <v>89875137.364999995</v>
      </c>
    </row>
    <row r="200" spans="1:11" s="669" customFormat="1">
      <c r="A200" s="111">
        <f t="shared" si="32"/>
        <v>146</v>
      </c>
      <c r="B200" s="631" t="s">
        <v>181</v>
      </c>
      <c r="C200" s="632">
        <v>2019</v>
      </c>
      <c r="D200" s="1023">
        <v>4609602</v>
      </c>
      <c r="E200" s="63">
        <f>D200*'16-PlantAdditions'!$E$103</f>
        <v>345720.14999999997</v>
      </c>
      <c r="F200" s="63">
        <f t="shared" si="33"/>
        <v>4955322.1500000004</v>
      </c>
      <c r="G200" s="1023">
        <v>185000</v>
      </c>
      <c r="H200" s="1023">
        <v>0</v>
      </c>
      <c r="I200" s="63">
        <f>(G200-H200)*'16-PlantAdditions'!$E$103</f>
        <v>13875</v>
      </c>
      <c r="J200" s="63">
        <f t="shared" si="34"/>
        <v>193437396.02500001</v>
      </c>
      <c r="K200" s="63">
        <f t="shared" si="35"/>
        <v>94631584.515000001</v>
      </c>
    </row>
    <row r="201" spans="1:11" s="669" customFormat="1">
      <c r="A201" s="111">
        <f t="shared" si="32"/>
        <v>147</v>
      </c>
      <c r="B201" s="634" t="s">
        <v>182</v>
      </c>
      <c r="C201" s="632">
        <v>2019</v>
      </c>
      <c r="D201" s="1023">
        <v>5236167</v>
      </c>
      <c r="E201" s="63">
        <f>D201*'16-PlantAdditions'!$E$103</f>
        <v>392712.52499999997</v>
      </c>
      <c r="F201" s="63">
        <f t="shared" si="33"/>
        <v>5628879.5250000004</v>
      </c>
      <c r="G201" s="1023">
        <v>190000</v>
      </c>
      <c r="H201" s="1023">
        <v>0</v>
      </c>
      <c r="I201" s="63">
        <f>(G201-H201)*'16-PlantAdditions'!$E$103</f>
        <v>14250</v>
      </c>
      <c r="J201" s="63">
        <f t="shared" si="34"/>
        <v>198862025.55000001</v>
      </c>
      <c r="K201" s="63">
        <f t="shared" si="35"/>
        <v>100056214.04000001</v>
      </c>
    </row>
    <row r="202" spans="1:11" s="669" customFormat="1">
      <c r="A202" s="111">
        <f t="shared" si="32"/>
        <v>148</v>
      </c>
      <c r="B202" s="634" t="s">
        <v>195</v>
      </c>
      <c r="C202" s="632">
        <v>2019</v>
      </c>
      <c r="D202" s="1023">
        <v>11290424</v>
      </c>
      <c r="E202" s="63">
        <f>D202*'16-PlantAdditions'!$E$103</f>
        <v>846781.79999999993</v>
      </c>
      <c r="F202" s="63">
        <f t="shared" si="33"/>
        <v>12137205.800000001</v>
      </c>
      <c r="G202" s="1023">
        <v>340000</v>
      </c>
      <c r="H202" s="1023">
        <v>0</v>
      </c>
      <c r="I202" s="63">
        <f>(G202-H202)*'16-PlantAdditions'!$E$103</f>
        <v>25500</v>
      </c>
      <c r="J202" s="63">
        <f t="shared" si="34"/>
        <v>210633731.35000002</v>
      </c>
      <c r="K202" s="63">
        <f t="shared" si="35"/>
        <v>111827919.84000002</v>
      </c>
    </row>
    <row r="203" spans="1:11" s="669" customFormat="1">
      <c r="A203" s="111">
        <f t="shared" si="32"/>
        <v>149</v>
      </c>
      <c r="B203" s="631" t="s">
        <v>183</v>
      </c>
      <c r="C203" s="632">
        <v>2019</v>
      </c>
      <c r="D203" s="1023">
        <v>12835520</v>
      </c>
      <c r="E203" s="63">
        <f>D203*'16-PlantAdditions'!$E$103</f>
        <v>962664</v>
      </c>
      <c r="F203" s="63">
        <f t="shared" si="33"/>
        <v>13798184</v>
      </c>
      <c r="G203" s="1023">
        <v>340000</v>
      </c>
      <c r="H203" s="1023">
        <v>0</v>
      </c>
      <c r="I203" s="63">
        <f>(G203-H203)*'16-PlantAdditions'!$E$103</f>
        <v>25500</v>
      </c>
      <c r="J203" s="63">
        <f t="shared" si="34"/>
        <v>224066415.35000002</v>
      </c>
      <c r="K203" s="63">
        <f t="shared" si="35"/>
        <v>125260603.84000002</v>
      </c>
    </row>
    <row r="204" spans="1:11" s="669" customFormat="1">
      <c r="A204" s="111">
        <f t="shared" si="32"/>
        <v>150</v>
      </c>
      <c r="B204" s="634" t="s">
        <v>184</v>
      </c>
      <c r="C204" s="632">
        <v>2019</v>
      </c>
      <c r="D204" s="1023">
        <v>13428006</v>
      </c>
      <c r="E204" s="63">
        <f>D204*'16-PlantAdditions'!$E$103</f>
        <v>1007100.45</v>
      </c>
      <c r="F204" s="63">
        <f t="shared" si="33"/>
        <v>14435106.449999999</v>
      </c>
      <c r="G204" s="1023">
        <v>340000</v>
      </c>
      <c r="H204" s="1023">
        <v>0</v>
      </c>
      <c r="I204" s="63">
        <f>(G204-H204)*'16-PlantAdditions'!$E$103</f>
        <v>25500</v>
      </c>
      <c r="J204" s="63">
        <f t="shared" si="34"/>
        <v>238136021.80000001</v>
      </c>
      <c r="K204" s="63">
        <f t="shared" si="35"/>
        <v>139330210.29000002</v>
      </c>
    </row>
    <row r="205" spans="1:11" s="669" customFormat="1">
      <c r="A205" s="111">
        <f t="shared" si="32"/>
        <v>151</v>
      </c>
      <c r="B205" s="634" t="s">
        <v>1477</v>
      </c>
      <c r="C205" s="632">
        <v>2019</v>
      </c>
      <c r="D205" s="1023">
        <v>14204694</v>
      </c>
      <c r="E205" s="63">
        <f>D205*'16-PlantAdditions'!$E$103</f>
        <v>1065352.05</v>
      </c>
      <c r="F205" s="63">
        <f t="shared" si="33"/>
        <v>15270046.050000001</v>
      </c>
      <c r="G205" s="1023">
        <v>340000</v>
      </c>
      <c r="H205" s="1023">
        <v>0</v>
      </c>
      <c r="I205" s="63">
        <f>(G205-H205)*'16-PlantAdditions'!$E$103</f>
        <v>25500</v>
      </c>
      <c r="J205" s="63">
        <f t="shared" si="34"/>
        <v>253040567.85000002</v>
      </c>
      <c r="K205" s="63">
        <f t="shared" si="35"/>
        <v>154234756.34000003</v>
      </c>
    </row>
    <row r="206" spans="1:11" s="669" customFormat="1">
      <c r="A206" s="111">
        <f t="shared" si="32"/>
        <v>152</v>
      </c>
      <c r="B206" s="631" t="s">
        <v>186</v>
      </c>
      <c r="C206" s="632">
        <v>2019</v>
      </c>
      <c r="D206" s="1023">
        <v>14472486</v>
      </c>
      <c r="E206" s="63">
        <f>D206*'16-PlantAdditions'!$E$103</f>
        <v>1085436.45</v>
      </c>
      <c r="F206" s="63">
        <f t="shared" si="33"/>
        <v>15557922.449999999</v>
      </c>
      <c r="G206" s="1023">
        <v>340000</v>
      </c>
      <c r="H206" s="1023">
        <v>0</v>
      </c>
      <c r="I206" s="63">
        <f>(G206-H206)*'16-PlantAdditions'!$E$103</f>
        <v>25500</v>
      </c>
      <c r="J206" s="63">
        <f t="shared" si="34"/>
        <v>268232990.30000001</v>
      </c>
      <c r="K206" s="63">
        <f t="shared" si="35"/>
        <v>169427178.79000002</v>
      </c>
    </row>
    <row r="207" spans="1:11" s="669" customFormat="1">
      <c r="A207" s="111">
        <f t="shared" si="32"/>
        <v>153</v>
      </c>
      <c r="B207" s="634" t="s">
        <v>187</v>
      </c>
      <c r="C207" s="632">
        <v>2019</v>
      </c>
      <c r="D207" s="1023">
        <v>14642486</v>
      </c>
      <c r="E207" s="63">
        <f>D207*'16-PlantAdditions'!$E$103</f>
        <v>1098186.45</v>
      </c>
      <c r="F207" s="63">
        <f t="shared" si="33"/>
        <v>15740672.449999999</v>
      </c>
      <c r="G207" s="1023">
        <v>340000</v>
      </c>
      <c r="H207" s="1023">
        <v>0</v>
      </c>
      <c r="I207" s="63">
        <f>(G207-H207)*'16-PlantAdditions'!$E$103</f>
        <v>25500</v>
      </c>
      <c r="J207" s="63">
        <f t="shared" si="34"/>
        <v>283608162.75</v>
      </c>
      <c r="K207" s="63">
        <f t="shared" si="35"/>
        <v>184802351.24000001</v>
      </c>
    </row>
    <row r="208" spans="1:11" s="669" customFormat="1">
      <c r="A208" s="111">
        <f t="shared" si="32"/>
        <v>154</v>
      </c>
      <c r="B208" s="634" t="s">
        <v>188</v>
      </c>
      <c r="C208" s="632">
        <v>2019</v>
      </c>
      <c r="D208" s="1023">
        <v>15213790</v>
      </c>
      <c r="E208" s="63">
        <f>D208*'16-PlantAdditions'!$E$103</f>
        <v>1141034.25</v>
      </c>
      <c r="F208" s="63">
        <f t="shared" si="33"/>
        <v>16354824.25</v>
      </c>
      <c r="G208" s="1023">
        <v>340000</v>
      </c>
      <c r="H208" s="1023">
        <v>0</v>
      </c>
      <c r="I208" s="63">
        <f>(G208-H208)*'16-PlantAdditions'!$E$103</f>
        <v>25500</v>
      </c>
      <c r="J208" s="63">
        <f t="shared" si="34"/>
        <v>299597487</v>
      </c>
      <c r="K208" s="63">
        <f t="shared" si="35"/>
        <v>200791675.49000001</v>
      </c>
    </row>
    <row r="209" spans="1:11" s="669" customFormat="1">
      <c r="A209" s="111">
        <f t="shared" si="32"/>
        <v>155</v>
      </c>
      <c r="B209" s="634" t="s">
        <v>191</v>
      </c>
      <c r="C209" s="632">
        <v>2019</v>
      </c>
      <c r="D209" s="1023">
        <v>18580671</v>
      </c>
      <c r="E209" s="63">
        <f>D209*'16-PlantAdditions'!$E$103</f>
        <v>1393550.325</v>
      </c>
      <c r="F209" s="63">
        <f t="shared" ref="F209:F211" si="36">E209+D209</f>
        <v>19974221.324999999</v>
      </c>
      <c r="G209" s="1023">
        <v>5706366.5899999999</v>
      </c>
      <c r="H209" s="1023">
        <v>3174604.59</v>
      </c>
      <c r="I209" s="63">
        <f>(G209-H209)*'16-PlantAdditions'!$E$103</f>
        <v>189882.15</v>
      </c>
      <c r="J209" s="63">
        <f t="shared" ref="J209:J211" si="37">J208+F209-G209-I209</f>
        <v>313675459.58500004</v>
      </c>
      <c r="K209" s="63">
        <f t="shared" si="35"/>
        <v>214869648.07500005</v>
      </c>
    </row>
    <row r="210" spans="1:11" s="669" customFormat="1">
      <c r="A210" s="111">
        <f t="shared" si="32"/>
        <v>156</v>
      </c>
      <c r="B210" s="634" t="s">
        <v>190</v>
      </c>
      <c r="C210" s="632">
        <v>2019</v>
      </c>
      <c r="D210" s="1023">
        <v>13761026</v>
      </c>
      <c r="E210" s="63">
        <f>D210*'16-PlantAdditions'!$E$103</f>
        <v>1032076.95</v>
      </c>
      <c r="F210" s="63">
        <f t="shared" si="36"/>
        <v>14793102.949999999</v>
      </c>
      <c r="G210" s="1023">
        <v>290000</v>
      </c>
      <c r="H210" s="1023">
        <v>0</v>
      </c>
      <c r="I210" s="63">
        <f>(G210-H210)*'16-PlantAdditions'!$E$103</f>
        <v>21750</v>
      </c>
      <c r="J210" s="63">
        <f t="shared" si="37"/>
        <v>328156812.53500003</v>
      </c>
      <c r="K210" s="63">
        <f t="shared" si="35"/>
        <v>229351001.02500004</v>
      </c>
    </row>
    <row r="211" spans="1:11" s="669" customFormat="1">
      <c r="A211" s="111">
        <f t="shared" si="32"/>
        <v>157</v>
      </c>
      <c r="B211" s="634" t="s">
        <v>180</v>
      </c>
      <c r="C211" s="632">
        <v>2019</v>
      </c>
      <c r="D211" s="1023">
        <v>14863709</v>
      </c>
      <c r="E211" s="63">
        <f>D211*'16-PlantAdditions'!$E$103</f>
        <v>1114778.175</v>
      </c>
      <c r="F211" s="63">
        <f t="shared" si="36"/>
        <v>15978487.175000001</v>
      </c>
      <c r="G211" s="1023">
        <v>290000</v>
      </c>
      <c r="H211" s="1023">
        <v>0</v>
      </c>
      <c r="I211" s="63">
        <f>(G211-H211)*'16-PlantAdditions'!$E$103</f>
        <v>21750</v>
      </c>
      <c r="J211" s="63">
        <f t="shared" si="37"/>
        <v>343823549.71000004</v>
      </c>
      <c r="K211" s="112">
        <f t="shared" si="35"/>
        <v>245017738.20000005</v>
      </c>
    </row>
    <row r="212" spans="1:11" s="669" customFormat="1">
      <c r="A212" s="111">
        <f t="shared" si="32"/>
        <v>158</v>
      </c>
      <c r="B212"/>
      <c r="C212" s="668" t="s">
        <v>1625</v>
      </c>
      <c r="D212"/>
      <c r="E212"/>
      <c r="F212"/>
      <c r="G212"/>
      <c r="H212"/>
      <c r="I212"/>
      <c r="J212"/>
      <c r="K212" s="73">
        <f>AVERAGE(K199:K211)</f>
        <v>158421232.23461542</v>
      </c>
    </row>
    <row r="213" spans="1:11" s="669" customFormat="1">
      <c r="A213" s="111"/>
      <c r="B213"/>
      <c r="C213" s="668"/>
      <c r="D213"/>
      <c r="E213"/>
      <c r="F213"/>
      <c r="G213"/>
      <c r="H213"/>
      <c r="I213"/>
      <c r="J213"/>
      <c r="K213" s="73"/>
    </row>
    <row r="214" spans="1:11" s="669" customFormat="1">
      <c r="B214" s="670" t="s">
        <v>1957</v>
      </c>
      <c r="D214" s="1381" t="s">
        <v>545</v>
      </c>
      <c r="E214" s="1381"/>
    </row>
    <row r="215" spans="1:11" s="669" customFormat="1">
      <c r="B215" s="670"/>
      <c r="D215" s="664" t="s">
        <v>360</v>
      </c>
      <c r="E215" s="664" t="s">
        <v>344</v>
      </c>
      <c r="F215" s="664" t="s">
        <v>345</v>
      </c>
      <c r="G215" s="664" t="s">
        <v>346</v>
      </c>
      <c r="H215" s="664" t="s">
        <v>347</v>
      </c>
      <c r="I215" s="664" t="s">
        <v>348</v>
      </c>
      <c r="J215" s="664" t="s">
        <v>349</v>
      </c>
      <c r="K215" s="664" t="s">
        <v>541</v>
      </c>
    </row>
    <row r="216" spans="1:11" s="669" customFormat="1" ht="26.4">
      <c r="B216" s="670"/>
      <c r="D216" s="671"/>
      <c r="E216" s="672" t="s">
        <v>2091</v>
      </c>
      <c r="F216" s="673" t="s">
        <v>1950</v>
      </c>
      <c r="G216" s="543"/>
      <c r="H216" s="671"/>
      <c r="I216" s="672" t="s">
        <v>2092</v>
      </c>
      <c r="J216" s="672" t="s">
        <v>1951</v>
      </c>
      <c r="K216" s="672" t="s">
        <v>1952</v>
      </c>
    </row>
    <row r="217" spans="1:11" s="669" customFormat="1">
      <c r="D217" s="671"/>
      <c r="E217" s="671"/>
      <c r="F217" s="671"/>
      <c r="G217" s="571" t="str">
        <f>G51</f>
        <v>Unloaded</v>
      </c>
      <c r="H217" s="671"/>
      <c r="I217" s="671"/>
    </row>
    <row r="218" spans="1:11" s="669" customFormat="1">
      <c r="A218" s="666"/>
      <c r="B218" s="666"/>
      <c r="C218" s="666"/>
      <c r="D218" s="666" t="str">
        <f>D$52</f>
        <v>Forecast</v>
      </c>
      <c r="E218" s="666" t="str">
        <f t="shared" ref="E218:J218" si="38">E$52</f>
        <v>Corporate</v>
      </c>
      <c r="F218" s="666" t="str">
        <f t="shared" si="38"/>
        <v xml:space="preserve">Total </v>
      </c>
      <c r="G218" s="571" t="str">
        <f>G52</f>
        <v>Total</v>
      </c>
      <c r="H218" s="666" t="str">
        <f t="shared" si="38"/>
        <v>Prior Period</v>
      </c>
      <c r="I218" s="666" t="str">
        <f t="shared" si="38"/>
        <v>Over Heads</v>
      </c>
      <c r="J218" s="666" t="str">
        <f t="shared" si="38"/>
        <v>Forecast</v>
      </c>
      <c r="K218" s="571" t="str">
        <f>K$52</f>
        <v>Forecast Period</v>
      </c>
    </row>
    <row r="219" spans="1:11" s="669" customFormat="1">
      <c r="A219" s="865" t="s">
        <v>331</v>
      </c>
      <c r="B219" s="630" t="s">
        <v>192</v>
      </c>
      <c r="C219" s="630" t="s">
        <v>193</v>
      </c>
      <c r="D219" s="664" t="str">
        <f>D$53</f>
        <v>Expenditures</v>
      </c>
      <c r="E219" s="664" t="str">
        <f t="shared" ref="E219:J219" si="39">E$53</f>
        <v>Overheads</v>
      </c>
      <c r="F219" s="664" t="str">
        <f t="shared" si="39"/>
        <v>CWIP Exp</v>
      </c>
      <c r="G219" s="125" t="str">
        <f>G53</f>
        <v>Plant Adds</v>
      </c>
      <c r="H219" s="664" t="str">
        <f t="shared" si="39"/>
        <v>CWIP Closed</v>
      </c>
      <c r="I219" s="664" t="str">
        <f t="shared" si="39"/>
        <v>Closed to PIS</v>
      </c>
      <c r="J219" s="664" t="str">
        <f t="shared" si="39"/>
        <v>Period CWIP</v>
      </c>
      <c r="K219" s="664" t="str">
        <f>K$53</f>
        <v>Incremental CWIP</v>
      </c>
    </row>
    <row r="220" spans="1:11" s="669" customFormat="1">
      <c r="A220" s="111">
        <f>A212+1</f>
        <v>159</v>
      </c>
      <c r="B220" s="631" t="s">
        <v>180</v>
      </c>
      <c r="C220" s="632">
        <v>2017</v>
      </c>
      <c r="D220" s="673" t="s">
        <v>76</v>
      </c>
      <c r="E220" s="673" t="s">
        <v>76</v>
      </c>
      <c r="F220" s="673" t="s">
        <v>76</v>
      </c>
      <c r="G220" s="673" t="s">
        <v>76</v>
      </c>
      <c r="H220" s="673" t="s">
        <v>76</v>
      </c>
      <c r="I220" s="673" t="s">
        <v>76</v>
      </c>
      <c r="J220" s="63">
        <f>I25</f>
        <v>0</v>
      </c>
      <c r="K220" s="673" t="s">
        <v>76</v>
      </c>
    </row>
    <row r="221" spans="1:11" s="669" customFormat="1">
      <c r="A221" s="111">
        <f>A220+1</f>
        <v>160</v>
      </c>
      <c r="B221" s="631" t="s">
        <v>181</v>
      </c>
      <c r="C221" s="632">
        <v>2018</v>
      </c>
      <c r="D221" s="1023">
        <v>0</v>
      </c>
      <c r="E221" s="63">
        <f>D221*'16-PlantAdditions'!$E$103</f>
        <v>0</v>
      </c>
      <c r="F221" s="63">
        <f>E221+D221</f>
        <v>0</v>
      </c>
      <c r="G221" s="1023">
        <v>0</v>
      </c>
      <c r="H221" s="1023">
        <v>0</v>
      </c>
      <c r="I221" s="63">
        <f>(G221-H221)*'16-PlantAdditions'!$E$103</f>
        <v>0</v>
      </c>
      <c r="J221" s="63">
        <f>J220+F221-G221-I221</f>
        <v>0</v>
      </c>
      <c r="K221" s="63">
        <f>J221-$J$220</f>
        <v>0</v>
      </c>
    </row>
    <row r="222" spans="1:11" s="669" customFormat="1">
      <c r="A222" s="111">
        <f t="shared" ref="A222:A245" si="40">A221+1</f>
        <v>161</v>
      </c>
      <c r="B222" s="634" t="s">
        <v>182</v>
      </c>
      <c r="C222" s="632">
        <v>2018</v>
      </c>
      <c r="D222" s="1023">
        <v>0</v>
      </c>
      <c r="E222" s="63">
        <f>D222*'16-PlantAdditions'!$E$103</f>
        <v>0</v>
      </c>
      <c r="F222" s="63">
        <f t="shared" ref="F222:F241" si="41">E222+D222</f>
        <v>0</v>
      </c>
      <c r="G222" s="1023">
        <v>0</v>
      </c>
      <c r="H222" s="1023">
        <v>0</v>
      </c>
      <c r="I222" s="63">
        <f>(G222-H222)*'16-PlantAdditions'!$E$103</f>
        <v>0</v>
      </c>
      <c r="J222" s="63">
        <f t="shared" ref="J222:J241" si="42">J221+F222-G222-I222</f>
        <v>0</v>
      </c>
      <c r="K222" s="63">
        <f t="shared" ref="K222:K244" si="43">J222-$J$220</f>
        <v>0</v>
      </c>
    </row>
    <row r="223" spans="1:11" s="669" customFormat="1">
      <c r="A223" s="111">
        <f t="shared" si="40"/>
        <v>162</v>
      </c>
      <c r="B223" s="634" t="s">
        <v>195</v>
      </c>
      <c r="C223" s="632">
        <v>2018</v>
      </c>
      <c r="D223" s="1023">
        <v>0</v>
      </c>
      <c r="E223" s="63">
        <f>D223*'16-PlantAdditions'!$E$103</f>
        <v>0</v>
      </c>
      <c r="F223" s="63">
        <f t="shared" si="41"/>
        <v>0</v>
      </c>
      <c r="G223" s="1023">
        <v>0</v>
      </c>
      <c r="H223" s="1023">
        <v>0</v>
      </c>
      <c r="I223" s="63">
        <f>(G223-H223)*'16-PlantAdditions'!$E$103</f>
        <v>0</v>
      </c>
      <c r="J223" s="63">
        <f t="shared" si="42"/>
        <v>0</v>
      </c>
      <c r="K223" s="63">
        <f t="shared" si="43"/>
        <v>0</v>
      </c>
    </row>
    <row r="224" spans="1:11" s="669" customFormat="1">
      <c r="A224" s="111">
        <f t="shared" si="40"/>
        <v>163</v>
      </c>
      <c r="B224" s="631" t="s">
        <v>183</v>
      </c>
      <c r="C224" s="632">
        <v>2018</v>
      </c>
      <c r="D224" s="1023">
        <v>0</v>
      </c>
      <c r="E224" s="63">
        <f>D224*'16-PlantAdditions'!$E$103</f>
        <v>0</v>
      </c>
      <c r="F224" s="63">
        <f t="shared" si="41"/>
        <v>0</v>
      </c>
      <c r="G224" s="1023">
        <v>0</v>
      </c>
      <c r="H224" s="1023">
        <v>0</v>
      </c>
      <c r="I224" s="63">
        <f>(G224-H224)*'16-PlantAdditions'!$E$103</f>
        <v>0</v>
      </c>
      <c r="J224" s="63">
        <f t="shared" si="42"/>
        <v>0</v>
      </c>
      <c r="K224" s="63">
        <f t="shared" si="43"/>
        <v>0</v>
      </c>
    </row>
    <row r="225" spans="1:11" s="669" customFormat="1">
      <c r="A225" s="111">
        <f t="shared" si="40"/>
        <v>164</v>
      </c>
      <c r="B225" s="634" t="s">
        <v>184</v>
      </c>
      <c r="C225" s="632">
        <v>2018</v>
      </c>
      <c r="D225" s="1023">
        <v>0</v>
      </c>
      <c r="E225" s="63">
        <f>D225*'16-PlantAdditions'!$E$103</f>
        <v>0</v>
      </c>
      <c r="F225" s="63">
        <f t="shared" si="41"/>
        <v>0</v>
      </c>
      <c r="G225" s="1023">
        <v>0</v>
      </c>
      <c r="H225" s="1023">
        <v>0</v>
      </c>
      <c r="I225" s="63">
        <f>(G225-H225)*'16-PlantAdditions'!$E$103</f>
        <v>0</v>
      </c>
      <c r="J225" s="63">
        <f t="shared" si="42"/>
        <v>0</v>
      </c>
      <c r="K225" s="63">
        <f t="shared" si="43"/>
        <v>0</v>
      </c>
    </row>
    <row r="226" spans="1:11" s="669" customFormat="1">
      <c r="A226" s="111">
        <f t="shared" si="40"/>
        <v>165</v>
      </c>
      <c r="B226" s="634" t="s">
        <v>1477</v>
      </c>
      <c r="C226" s="632">
        <v>2018</v>
      </c>
      <c r="D226" s="1023">
        <v>0</v>
      </c>
      <c r="E226" s="63">
        <f>D226*'16-PlantAdditions'!$E$103</f>
        <v>0</v>
      </c>
      <c r="F226" s="63">
        <f t="shared" si="41"/>
        <v>0</v>
      </c>
      <c r="G226" s="1023">
        <v>0</v>
      </c>
      <c r="H226" s="1023">
        <v>0</v>
      </c>
      <c r="I226" s="63">
        <f>(G226-H226)*'16-PlantAdditions'!$E$103</f>
        <v>0</v>
      </c>
      <c r="J226" s="63">
        <f t="shared" si="42"/>
        <v>0</v>
      </c>
      <c r="K226" s="63">
        <f t="shared" si="43"/>
        <v>0</v>
      </c>
    </row>
    <row r="227" spans="1:11" s="669" customFormat="1">
      <c r="A227" s="111">
        <f t="shared" si="40"/>
        <v>166</v>
      </c>
      <c r="B227" s="631" t="s">
        <v>186</v>
      </c>
      <c r="C227" s="632">
        <v>2018</v>
      </c>
      <c r="D227" s="1023">
        <v>0</v>
      </c>
      <c r="E227" s="63">
        <f>D227*'16-PlantAdditions'!$E$103</f>
        <v>0</v>
      </c>
      <c r="F227" s="63">
        <f t="shared" si="41"/>
        <v>0</v>
      </c>
      <c r="G227" s="1023">
        <v>0</v>
      </c>
      <c r="H227" s="1023">
        <v>0</v>
      </c>
      <c r="I227" s="63">
        <f>(G227-H227)*'16-PlantAdditions'!$E$103</f>
        <v>0</v>
      </c>
      <c r="J227" s="63">
        <f t="shared" si="42"/>
        <v>0</v>
      </c>
      <c r="K227" s="63">
        <f t="shared" si="43"/>
        <v>0</v>
      </c>
    </row>
    <row r="228" spans="1:11" s="669" customFormat="1">
      <c r="A228" s="111">
        <f t="shared" si="40"/>
        <v>167</v>
      </c>
      <c r="B228" s="634" t="s">
        <v>187</v>
      </c>
      <c r="C228" s="632">
        <v>2018</v>
      </c>
      <c r="D228" s="1023">
        <v>0</v>
      </c>
      <c r="E228" s="63">
        <f>D228*'16-PlantAdditions'!$E$103</f>
        <v>0</v>
      </c>
      <c r="F228" s="63">
        <f t="shared" si="41"/>
        <v>0</v>
      </c>
      <c r="G228" s="1023">
        <v>0</v>
      </c>
      <c r="H228" s="1023">
        <v>0</v>
      </c>
      <c r="I228" s="63">
        <f>(G228-H228)*'16-PlantAdditions'!$E$103</f>
        <v>0</v>
      </c>
      <c r="J228" s="63">
        <f t="shared" si="42"/>
        <v>0</v>
      </c>
      <c r="K228" s="63">
        <f t="shared" si="43"/>
        <v>0</v>
      </c>
    </row>
    <row r="229" spans="1:11" s="669" customFormat="1">
      <c r="A229" s="111">
        <f t="shared" si="40"/>
        <v>168</v>
      </c>
      <c r="B229" s="634" t="s">
        <v>188</v>
      </c>
      <c r="C229" s="632">
        <v>2018</v>
      </c>
      <c r="D229" s="1023">
        <v>0</v>
      </c>
      <c r="E229" s="63">
        <f>D229*'16-PlantAdditions'!$E$103</f>
        <v>0</v>
      </c>
      <c r="F229" s="63">
        <f t="shared" si="41"/>
        <v>0</v>
      </c>
      <c r="G229" s="1023">
        <v>0</v>
      </c>
      <c r="H229" s="1023">
        <v>0</v>
      </c>
      <c r="I229" s="63">
        <f>(G229-H229)*'16-PlantAdditions'!$E$103</f>
        <v>0</v>
      </c>
      <c r="J229" s="63">
        <f t="shared" si="42"/>
        <v>0</v>
      </c>
      <c r="K229" s="63">
        <f t="shared" si="43"/>
        <v>0</v>
      </c>
    </row>
    <row r="230" spans="1:11" s="669" customFormat="1">
      <c r="A230" s="111">
        <f t="shared" si="40"/>
        <v>169</v>
      </c>
      <c r="B230" s="631" t="s">
        <v>191</v>
      </c>
      <c r="C230" s="632">
        <v>2018</v>
      </c>
      <c r="D230" s="1023">
        <v>0</v>
      </c>
      <c r="E230" s="63">
        <f>D230*'16-PlantAdditions'!$E$103</f>
        <v>0</v>
      </c>
      <c r="F230" s="63">
        <f t="shared" si="41"/>
        <v>0</v>
      </c>
      <c r="G230" s="1023">
        <v>0</v>
      </c>
      <c r="H230" s="1023">
        <v>0</v>
      </c>
      <c r="I230" s="63">
        <f>(G230-H230)*'16-PlantAdditions'!$E$103</f>
        <v>0</v>
      </c>
      <c r="J230" s="63">
        <f t="shared" si="42"/>
        <v>0</v>
      </c>
      <c r="K230" s="63">
        <f t="shared" si="43"/>
        <v>0</v>
      </c>
    </row>
    <row r="231" spans="1:11" s="669" customFormat="1">
      <c r="A231" s="111">
        <f t="shared" si="40"/>
        <v>170</v>
      </c>
      <c r="B231" s="631" t="s">
        <v>190</v>
      </c>
      <c r="C231" s="632">
        <v>2018</v>
      </c>
      <c r="D231" s="1023">
        <v>0</v>
      </c>
      <c r="E231" s="63">
        <f>D231*'16-PlantAdditions'!$E$103</f>
        <v>0</v>
      </c>
      <c r="F231" s="63">
        <f t="shared" si="41"/>
        <v>0</v>
      </c>
      <c r="G231" s="1023">
        <v>0</v>
      </c>
      <c r="H231" s="1023">
        <v>0</v>
      </c>
      <c r="I231" s="63">
        <f>(G231-H231)*'16-PlantAdditions'!$E$103</f>
        <v>0</v>
      </c>
      <c r="J231" s="63">
        <f t="shared" si="42"/>
        <v>0</v>
      </c>
      <c r="K231" s="63">
        <f t="shared" si="43"/>
        <v>0</v>
      </c>
    </row>
    <row r="232" spans="1:11" s="669" customFormat="1">
      <c r="A232" s="111">
        <f t="shared" si="40"/>
        <v>171</v>
      </c>
      <c r="B232" s="631" t="s">
        <v>180</v>
      </c>
      <c r="C232" s="632">
        <v>2018</v>
      </c>
      <c r="D232" s="1023">
        <v>0</v>
      </c>
      <c r="E232" s="63">
        <f>D232*'16-PlantAdditions'!$E$103</f>
        <v>0</v>
      </c>
      <c r="F232" s="63">
        <f t="shared" si="41"/>
        <v>0</v>
      </c>
      <c r="G232" s="1023">
        <v>0</v>
      </c>
      <c r="H232" s="1023">
        <v>0</v>
      </c>
      <c r="I232" s="63">
        <f>(G232-H232)*'16-PlantAdditions'!$E$103</f>
        <v>0</v>
      </c>
      <c r="J232" s="63">
        <f t="shared" si="42"/>
        <v>0</v>
      </c>
      <c r="K232" s="63">
        <f t="shared" si="43"/>
        <v>0</v>
      </c>
    </row>
    <row r="233" spans="1:11" s="669" customFormat="1">
      <c r="A233" s="111">
        <f t="shared" si="40"/>
        <v>172</v>
      </c>
      <c r="B233" s="631" t="s">
        <v>181</v>
      </c>
      <c r="C233" s="632">
        <v>2019</v>
      </c>
      <c r="D233" s="1023">
        <v>0</v>
      </c>
      <c r="E233" s="63">
        <f>D233*'16-PlantAdditions'!$E$103</f>
        <v>0</v>
      </c>
      <c r="F233" s="63">
        <f t="shared" si="41"/>
        <v>0</v>
      </c>
      <c r="G233" s="1023">
        <v>0</v>
      </c>
      <c r="H233" s="1023">
        <v>0</v>
      </c>
      <c r="I233" s="63">
        <f>(G233-H233)*'16-PlantAdditions'!$E$103</f>
        <v>0</v>
      </c>
      <c r="J233" s="63">
        <f t="shared" si="42"/>
        <v>0</v>
      </c>
      <c r="K233" s="63">
        <f t="shared" si="43"/>
        <v>0</v>
      </c>
    </row>
    <row r="234" spans="1:11" s="669" customFormat="1">
      <c r="A234" s="111">
        <f t="shared" si="40"/>
        <v>173</v>
      </c>
      <c r="B234" s="634" t="s">
        <v>182</v>
      </c>
      <c r="C234" s="632">
        <v>2019</v>
      </c>
      <c r="D234" s="1023">
        <v>0</v>
      </c>
      <c r="E234" s="63">
        <f>D234*'16-PlantAdditions'!$E$103</f>
        <v>0</v>
      </c>
      <c r="F234" s="63">
        <f t="shared" si="41"/>
        <v>0</v>
      </c>
      <c r="G234" s="1023">
        <v>0</v>
      </c>
      <c r="H234" s="1023">
        <v>0</v>
      </c>
      <c r="I234" s="63">
        <f>(G234-H234)*'16-PlantAdditions'!$E$103</f>
        <v>0</v>
      </c>
      <c r="J234" s="63">
        <f t="shared" si="42"/>
        <v>0</v>
      </c>
      <c r="K234" s="63">
        <f t="shared" si="43"/>
        <v>0</v>
      </c>
    </row>
    <row r="235" spans="1:11" s="669" customFormat="1">
      <c r="A235" s="111">
        <f t="shared" si="40"/>
        <v>174</v>
      </c>
      <c r="B235" s="634" t="s">
        <v>195</v>
      </c>
      <c r="C235" s="632">
        <v>2019</v>
      </c>
      <c r="D235" s="1023">
        <v>0</v>
      </c>
      <c r="E235" s="63">
        <f>D235*'16-PlantAdditions'!$E$103</f>
        <v>0</v>
      </c>
      <c r="F235" s="63">
        <f t="shared" si="41"/>
        <v>0</v>
      </c>
      <c r="G235" s="1023">
        <v>0</v>
      </c>
      <c r="H235" s="1023">
        <v>0</v>
      </c>
      <c r="I235" s="63">
        <f>(G235-H235)*'16-PlantAdditions'!$E$103</f>
        <v>0</v>
      </c>
      <c r="J235" s="63">
        <f t="shared" si="42"/>
        <v>0</v>
      </c>
      <c r="K235" s="63">
        <f t="shared" si="43"/>
        <v>0</v>
      </c>
    </row>
    <row r="236" spans="1:11" s="669" customFormat="1">
      <c r="A236" s="111">
        <f t="shared" si="40"/>
        <v>175</v>
      </c>
      <c r="B236" s="631" t="s">
        <v>183</v>
      </c>
      <c r="C236" s="632">
        <v>2019</v>
      </c>
      <c r="D236" s="1023">
        <v>0</v>
      </c>
      <c r="E236" s="63">
        <f>D236*'16-PlantAdditions'!$E$103</f>
        <v>0</v>
      </c>
      <c r="F236" s="63">
        <f t="shared" si="41"/>
        <v>0</v>
      </c>
      <c r="G236" s="1023">
        <v>0</v>
      </c>
      <c r="H236" s="1023">
        <v>0</v>
      </c>
      <c r="I236" s="63">
        <f>(G236-H236)*'16-PlantAdditions'!$E$103</f>
        <v>0</v>
      </c>
      <c r="J236" s="63">
        <f t="shared" si="42"/>
        <v>0</v>
      </c>
      <c r="K236" s="63">
        <f t="shared" si="43"/>
        <v>0</v>
      </c>
    </row>
    <row r="237" spans="1:11" s="669" customFormat="1">
      <c r="A237" s="111">
        <f t="shared" si="40"/>
        <v>176</v>
      </c>
      <c r="B237" s="634" t="s">
        <v>184</v>
      </c>
      <c r="C237" s="632">
        <v>2019</v>
      </c>
      <c r="D237" s="1023">
        <v>0</v>
      </c>
      <c r="E237" s="63">
        <f>D237*'16-PlantAdditions'!$E$103</f>
        <v>0</v>
      </c>
      <c r="F237" s="63">
        <f t="shared" si="41"/>
        <v>0</v>
      </c>
      <c r="G237" s="1023">
        <v>0</v>
      </c>
      <c r="H237" s="1023">
        <v>0</v>
      </c>
      <c r="I237" s="63">
        <f>(G237-H237)*'16-PlantAdditions'!$E$103</f>
        <v>0</v>
      </c>
      <c r="J237" s="63">
        <f t="shared" si="42"/>
        <v>0</v>
      </c>
      <c r="K237" s="63">
        <f t="shared" si="43"/>
        <v>0</v>
      </c>
    </row>
    <row r="238" spans="1:11" s="669" customFormat="1">
      <c r="A238" s="111">
        <f t="shared" si="40"/>
        <v>177</v>
      </c>
      <c r="B238" s="634" t="s">
        <v>1477</v>
      </c>
      <c r="C238" s="632">
        <v>2019</v>
      </c>
      <c r="D238" s="1023">
        <v>0</v>
      </c>
      <c r="E238" s="63">
        <f>D238*'16-PlantAdditions'!$E$103</f>
        <v>0</v>
      </c>
      <c r="F238" s="63">
        <f t="shared" si="41"/>
        <v>0</v>
      </c>
      <c r="G238" s="1023">
        <v>0</v>
      </c>
      <c r="H238" s="1023">
        <v>0</v>
      </c>
      <c r="I238" s="63">
        <f>(G238-H238)*'16-PlantAdditions'!$E$103</f>
        <v>0</v>
      </c>
      <c r="J238" s="63">
        <f t="shared" si="42"/>
        <v>0</v>
      </c>
      <c r="K238" s="63">
        <f t="shared" si="43"/>
        <v>0</v>
      </c>
    </row>
    <row r="239" spans="1:11" s="669" customFormat="1">
      <c r="A239" s="111">
        <f t="shared" si="40"/>
        <v>178</v>
      </c>
      <c r="B239" s="631" t="s">
        <v>186</v>
      </c>
      <c r="C239" s="632">
        <v>2019</v>
      </c>
      <c r="D239" s="1023">
        <v>0</v>
      </c>
      <c r="E239" s="63">
        <f>D239*'16-PlantAdditions'!$E$103</f>
        <v>0</v>
      </c>
      <c r="F239" s="63">
        <f t="shared" si="41"/>
        <v>0</v>
      </c>
      <c r="G239" s="1023">
        <v>0</v>
      </c>
      <c r="H239" s="1023">
        <v>0</v>
      </c>
      <c r="I239" s="63">
        <f>(G239-H239)*'16-PlantAdditions'!$E$103</f>
        <v>0</v>
      </c>
      <c r="J239" s="63">
        <f t="shared" si="42"/>
        <v>0</v>
      </c>
      <c r="K239" s="63">
        <f t="shared" si="43"/>
        <v>0</v>
      </c>
    </row>
    <row r="240" spans="1:11" s="669" customFormat="1">
      <c r="A240" s="111">
        <f t="shared" si="40"/>
        <v>179</v>
      </c>
      <c r="B240" s="634" t="s">
        <v>187</v>
      </c>
      <c r="C240" s="632">
        <v>2019</v>
      </c>
      <c r="D240" s="1023">
        <v>0</v>
      </c>
      <c r="E240" s="63">
        <f>D240*'16-PlantAdditions'!$E$103</f>
        <v>0</v>
      </c>
      <c r="F240" s="63">
        <f t="shared" si="41"/>
        <v>0</v>
      </c>
      <c r="G240" s="1023">
        <v>0</v>
      </c>
      <c r="H240" s="1023">
        <v>0</v>
      </c>
      <c r="I240" s="63">
        <f>(G240-H240)*'16-PlantAdditions'!$E$103</f>
        <v>0</v>
      </c>
      <c r="J240" s="63">
        <f t="shared" si="42"/>
        <v>0</v>
      </c>
      <c r="K240" s="63">
        <f t="shared" si="43"/>
        <v>0</v>
      </c>
    </row>
    <row r="241" spans="1:11" s="669" customFormat="1">
      <c r="A241" s="111">
        <f t="shared" si="40"/>
        <v>180</v>
      </c>
      <c r="B241" s="634" t="s">
        <v>188</v>
      </c>
      <c r="C241" s="632">
        <v>2019</v>
      </c>
      <c r="D241" s="1023">
        <v>0</v>
      </c>
      <c r="E241" s="63">
        <f>D241*'16-PlantAdditions'!$E$103</f>
        <v>0</v>
      </c>
      <c r="F241" s="63">
        <f t="shared" si="41"/>
        <v>0</v>
      </c>
      <c r="G241" s="1023">
        <v>0</v>
      </c>
      <c r="H241" s="1023">
        <v>0</v>
      </c>
      <c r="I241" s="63">
        <f>(G241-H241)*'16-PlantAdditions'!$E$103</f>
        <v>0</v>
      </c>
      <c r="J241" s="63">
        <f t="shared" si="42"/>
        <v>0</v>
      </c>
      <c r="K241" s="63">
        <f t="shared" si="43"/>
        <v>0</v>
      </c>
    </row>
    <row r="242" spans="1:11" s="669" customFormat="1">
      <c r="A242" s="111">
        <f t="shared" si="40"/>
        <v>181</v>
      </c>
      <c r="B242" s="634" t="s">
        <v>191</v>
      </c>
      <c r="C242" s="632">
        <v>2019</v>
      </c>
      <c r="D242" s="1023">
        <v>0</v>
      </c>
      <c r="E242" s="63">
        <f>D242*'16-PlantAdditions'!$E$103</f>
        <v>0</v>
      </c>
      <c r="F242" s="63">
        <f t="shared" ref="F242:F244" si="44">E242+D242</f>
        <v>0</v>
      </c>
      <c r="G242" s="1023">
        <v>0</v>
      </c>
      <c r="H242" s="1023">
        <v>0</v>
      </c>
      <c r="I242" s="63">
        <f>(G242-H242)*'16-PlantAdditions'!$E$103</f>
        <v>0</v>
      </c>
      <c r="J242" s="63">
        <f t="shared" ref="J242:J244" si="45">J241+F242-G242-I242</f>
        <v>0</v>
      </c>
      <c r="K242" s="63">
        <f t="shared" si="43"/>
        <v>0</v>
      </c>
    </row>
    <row r="243" spans="1:11" s="669" customFormat="1">
      <c r="A243" s="111">
        <f t="shared" si="40"/>
        <v>182</v>
      </c>
      <c r="B243" s="634" t="s">
        <v>190</v>
      </c>
      <c r="C243" s="632">
        <v>2019</v>
      </c>
      <c r="D243" s="1023">
        <v>0</v>
      </c>
      <c r="E243" s="63">
        <f>D243*'16-PlantAdditions'!$E$103</f>
        <v>0</v>
      </c>
      <c r="F243" s="63">
        <f t="shared" si="44"/>
        <v>0</v>
      </c>
      <c r="G243" s="1023">
        <v>0</v>
      </c>
      <c r="H243" s="1023">
        <v>0</v>
      </c>
      <c r="I243" s="63">
        <f>(G243-H243)*'16-PlantAdditions'!$E$103</f>
        <v>0</v>
      </c>
      <c r="J243" s="63">
        <f t="shared" si="45"/>
        <v>0</v>
      </c>
      <c r="K243" s="63">
        <f t="shared" si="43"/>
        <v>0</v>
      </c>
    </row>
    <row r="244" spans="1:11" s="669" customFormat="1">
      <c r="A244" s="111">
        <f t="shared" si="40"/>
        <v>183</v>
      </c>
      <c r="B244" s="634" t="s">
        <v>180</v>
      </c>
      <c r="C244" s="632">
        <v>2019</v>
      </c>
      <c r="D244" s="1023">
        <v>0</v>
      </c>
      <c r="E244" s="63">
        <f>D244*'16-PlantAdditions'!$E$103</f>
        <v>0</v>
      </c>
      <c r="F244" s="63">
        <f t="shared" si="44"/>
        <v>0</v>
      </c>
      <c r="G244" s="1023">
        <v>0</v>
      </c>
      <c r="H244" s="1023">
        <v>0</v>
      </c>
      <c r="I244" s="63">
        <f>(G244-H244)*'16-PlantAdditions'!$E$103</f>
        <v>0</v>
      </c>
      <c r="J244" s="63">
        <f t="shared" si="45"/>
        <v>0</v>
      </c>
      <c r="K244" s="112">
        <f t="shared" si="43"/>
        <v>0</v>
      </c>
    </row>
    <row r="245" spans="1:11" s="669" customFormat="1">
      <c r="A245" s="111">
        <f t="shared" si="40"/>
        <v>184</v>
      </c>
      <c r="B245"/>
      <c r="C245" s="668" t="s">
        <v>1625</v>
      </c>
      <c r="D245"/>
      <c r="E245"/>
      <c r="F245"/>
      <c r="G245"/>
      <c r="H245"/>
      <c r="I245"/>
      <c r="J245"/>
      <c r="K245" s="73">
        <f>AVERAGE(K232:K244)</f>
        <v>0</v>
      </c>
    </row>
    <row r="246" spans="1:11" s="669" customFormat="1">
      <c r="A246" s="111"/>
      <c r="B246"/>
      <c r="C246" s="668"/>
      <c r="D246"/>
      <c r="E246"/>
      <c r="F246"/>
      <c r="G246"/>
      <c r="H246"/>
      <c r="I246"/>
      <c r="J246"/>
      <c r="K246" s="73"/>
    </row>
    <row r="247" spans="1:11" s="669" customFormat="1">
      <c r="B247" s="670" t="s">
        <v>1958</v>
      </c>
      <c r="D247" s="1381" t="s">
        <v>1959</v>
      </c>
      <c r="E247" s="1381"/>
    </row>
    <row r="248" spans="1:11" s="669" customFormat="1">
      <c r="A248" s="664"/>
      <c r="B248" s="664"/>
      <c r="C248" s="664"/>
      <c r="D248" s="664" t="s">
        <v>360</v>
      </c>
      <c r="E248" s="664" t="s">
        <v>344</v>
      </c>
      <c r="F248" s="664" t="s">
        <v>345</v>
      </c>
      <c r="G248" s="664" t="s">
        <v>346</v>
      </c>
      <c r="H248" s="664" t="s">
        <v>347</v>
      </c>
      <c r="I248" s="664" t="s">
        <v>348</v>
      </c>
      <c r="J248" s="664" t="s">
        <v>349</v>
      </c>
      <c r="K248" s="664" t="s">
        <v>541</v>
      </c>
    </row>
    <row r="249" spans="1:11" s="669" customFormat="1" ht="26.4">
      <c r="D249" s="671"/>
      <c r="E249" s="672" t="s">
        <v>2091</v>
      </c>
      <c r="F249" s="673" t="s">
        <v>1950</v>
      </c>
      <c r="G249" s="543"/>
      <c r="H249" s="671"/>
      <c r="I249" s="672" t="s">
        <v>2092</v>
      </c>
      <c r="J249" s="672" t="s">
        <v>1951</v>
      </c>
      <c r="K249" s="672" t="s">
        <v>1952</v>
      </c>
    </row>
    <row r="250" spans="1:11" s="669" customFormat="1">
      <c r="D250" s="671"/>
      <c r="E250" s="671"/>
      <c r="F250" s="671"/>
      <c r="G250" s="571" t="s">
        <v>1960</v>
      </c>
      <c r="H250" s="671"/>
      <c r="I250" s="671"/>
    </row>
    <row r="251" spans="1:11" s="669" customFormat="1">
      <c r="A251" s="666"/>
      <c r="B251" s="666"/>
      <c r="C251" s="666"/>
      <c r="D251" s="666" t="str">
        <f>D$52</f>
        <v>Forecast</v>
      </c>
      <c r="E251" s="666" t="str">
        <f t="shared" ref="E251:J251" si="46">E$52</f>
        <v>Corporate</v>
      </c>
      <c r="F251" s="666" t="str">
        <f t="shared" si="46"/>
        <v xml:space="preserve">Total </v>
      </c>
      <c r="G251" s="666" t="s">
        <v>196</v>
      </c>
      <c r="H251" s="666" t="str">
        <f t="shared" si="46"/>
        <v>Prior Period</v>
      </c>
      <c r="I251" s="666" t="str">
        <f t="shared" si="46"/>
        <v>Over Heads</v>
      </c>
      <c r="J251" s="666" t="str">
        <f t="shared" si="46"/>
        <v>Forecast</v>
      </c>
      <c r="K251" s="571" t="str">
        <f>K$52</f>
        <v>Forecast Period</v>
      </c>
    </row>
    <row r="252" spans="1:11" s="669" customFormat="1">
      <c r="A252" s="865" t="s">
        <v>331</v>
      </c>
      <c r="B252" s="630" t="s">
        <v>192</v>
      </c>
      <c r="C252" s="630" t="s">
        <v>193</v>
      </c>
      <c r="D252" s="664" t="str">
        <f>D$53</f>
        <v>Expenditures</v>
      </c>
      <c r="E252" s="664" t="str">
        <f t="shared" ref="E252:J252" si="47">E$53</f>
        <v>Overheads</v>
      </c>
      <c r="F252" s="664" t="str">
        <f t="shared" si="47"/>
        <v>CWIP Exp</v>
      </c>
      <c r="G252" s="664" t="s">
        <v>1943</v>
      </c>
      <c r="H252" s="664" t="str">
        <f t="shared" si="47"/>
        <v>CWIP Closed</v>
      </c>
      <c r="I252" s="664" t="str">
        <f t="shared" si="47"/>
        <v>Closed to PIS</v>
      </c>
      <c r="J252" s="664" t="str">
        <f t="shared" si="47"/>
        <v>Period CWIP</v>
      </c>
      <c r="K252" s="664" t="str">
        <f>K$53</f>
        <v>Incremental CWIP</v>
      </c>
    </row>
    <row r="253" spans="1:11" s="669" customFormat="1">
      <c r="A253" s="111">
        <f>A245+1</f>
        <v>185</v>
      </c>
      <c r="B253" s="631" t="s">
        <v>180</v>
      </c>
      <c r="C253" s="632">
        <v>2017</v>
      </c>
      <c r="D253" s="673" t="s">
        <v>76</v>
      </c>
      <c r="E253" s="673" t="s">
        <v>76</v>
      </c>
      <c r="F253" s="673" t="s">
        <v>76</v>
      </c>
      <c r="G253" s="673" t="s">
        <v>76</v>
      </c>
      <c r="H253" s="673" t="s">
        <v>76</v>
      </c>
      <c r="I253" s="673" t="s">
        <v>76</v>
      </c>
      <c r="J253" s="63">
        <f>D45</f>
        <v>0</v>
      </c>
      <c r="K253" s="673" t="s">
        <v>76</v>
      </c>
    </row>
    <row r="254" spans="1:11" s="669" customFormat="1">
      <c r="A254" s="111">
        <f>A253+1</f>
        <v>186</v>
      </c>
      <c r="B254" s="631" t="s">
        <v>181</v>
      </c>
      <c r="C254" s="632">
        <v>2018</v>
      </c>
      <c r="D254" s="1023">
        <v>10309</v>
      </c>
      <c r="E254" s="63">
        <f>D254*'16-PlantAdditions'!$E$103</f>
        <v>773.17499999999995</v>
      </c>
      <c r="F254" s="63">
        <f>E254+D254</f>
        <v>11082.174999999999</v>
      </c>
      <c r="G254" s="1023">
        <v>10309</v>
      </c>
      <c r="H254" s="1023">
        <v>0</v>
      </c>
      <c r="I254" s="63">
        <f>(G254-H254)*'16-PlantAdditions'!$E$103</f>
        <v>773.17499999999995</v>
      </c>
      <c r="J254" s="63">
        <f>J253+F254-G254-I254</f>
        <v>0</v>
      </c>
      <c r="K254" s="63">
        <f>J254-$J$253</f>
        <v>0</v>
      </c>
    </row>
    <row r="255" spans="1:11" s="669" customFormat="1">
      <c r="A255" s="111">
        <f t="shared" ref="A255:A278" si="48">A254+1</f>
        <v>187</v>
      </c>
      <c r="B255" s="634" t="s">
        <v>182</v>
      </c>
      <c r="C255" s="632">
        <v>2018</v>
      </c>
      <c r="D255" s="1023">
        <v>6204</v>
      </c>
      <c r="E255" s="63">
        <f>D255*'16-PlantAdditions'!$E$103</f>
        <v>465.29999999999995</v>
      </c>
      <c r="F255" s="63">
        <f t="shared" ref="F255:F274" si="49">E255+D255</f>
        <v>6669.3</v>
      </c>
      <c r="G255" s="1023">
        <v>6204</v>
      </c>
      <c r="H255" s="1023">
        <v>0</v>
      </c>
      <c r="I255" s="63">
        <f>(G255-H255)*'16-PlantAdditions'!$E$103</f>
        <v>465.29999999999995</v>
      </c>
      <c r="J255" s="63">
        <f t="shared" ref="J255:J274" si="50">J254+F255-G255-I255</f>
        <v>0</v>
      </c>
      <c r="K255" s="63">
        <f t="shared" ref="K255:K277" si="51">J255-$J$253</f>
        <v>0</v>
      </c>
    </row>
    <row r="256" spans="1:11" s="669" customFormat="1">
      <c r="A256" s="111">
        <f t="shared" si="48"/>
        <v>188</v>
      </c>
      <c r="B256" s="634" t="s">
        <v>195</v>
      </c>
      <c r="C256" s="632">
        <v>2018</v>
      </c>
      <c r="D256" s="1023">
        <v>6687</v>
      </c>
      <c r="E256" s="63">
        <f>D256*'16-PlantAdditions'!$E$103</f>
        <v>501.52499999999998</v>
      </c>
      <c r="F256" s="63">
        <f t="shared" si="49"/>
        <v>7188.5249999999996</v>
      </c>
      <c r="G256" s="1023">
        <v>6687</v>
      </c>
      <c r="H256" s="1023">
        <v>0</v>
      </c>
      <c r="I256" s="63">
        <f>(G256-H256)*'16-PlantAdditions'!$E$103</f>
        <v>501.52499999999998</v>
      </c>
      <c r="J256" s="63">
        <f t="shared" si="50"/>
        <v>0</v>
      </c>
      <c r="K256" s="63">
        <f t="shared" si="51"/>
        <v>0</v>
      </c>
    </row>
    <row r="257" spans="1:11" s="669" customFormat="1">
      <c r="A257" s="111">
        <f t="shared" si="48"/>
        <v>189</v>
      </c>
      <c r="B257" s="631" t="s">
        <v>183</v>
      </c>
      <c r="C257" s="632">
        <v>2018</v>
      </c>
      <c r="D257" s="1023">
        <v>0</v>
      </c>
      <c r="E257" s="63">
        <f>D257*'16-PlantAdditions'!$E$103</f>
        <v>0</v>
      </c>
      <c r="F257" s="63">
        <f t="shared" si="49"/>
        <v>0</v>
      </c>
      <c r="G257" s="1023">
        <v>0</v>
      </c>
      <c r="H257" s="1023">
        <v>0</v>
      </c>
      <c r="I257" s="63">
        <f>(G257-H257)*'16-PlantAdditions'!$E$103</f>
        <v>0</v>
      </c>
      <c r="J257" s="63">
        <f t="shared" si="50"/>
        <v>0</v>
      </c>
      <c r="K257" s="63">
        <f t="shared" si="51"/>
        <v>0</v>
      </c>
    </row>
    <row r="258" spans="1:11" s="669" customFormat="1">
      <c r="A258" s="111">
        <f t="shared" si="48"/>
        <v>190</v>
      </c>
      <c r="B258" s="634" t="s">
        <v>184</v>
      </c>
      <c r="C258" s="632">
        <v>2018</v>
      </c>
      <c r="D258" s="1023">
        <v>0</v>
      </c>
      <c r="E258" s="63">
        <f>D258*'16-PlantAdditions'!$E$103</f>
        <v>0</v>
      </c>
      <c r="F258" s="63">
        <f t="shared" si="49"/>
        <v>0</v>
      </c>
      <c r="G258" s="1023">
        <v>0</v>
      </c>
      <c r="H258" s="1023">
        <v>0</v>
      </c>
      <c r="I258" s="63">
        <f>(G258-H258)*'16-PlantAdditions'!$E$103</f>
        <v>0</v>
      </c>
      <c r="J258" s="63">
        <f t="shared" si="50"/>
        <v>0</v>
      </c>
      <c r="K258" s="63">
        <f t="shared" si="51"/>
        <v>0</v>
      </c>
    </row>
    <row r="259" spans="1:11" s="669" customFormat="1">
      <c r="A259" s="111">
        <f t="shared" si="48"/>
        <v>191</v>
      </c>
      <c r="B259" s="634" t="s">
        <v>1477</v>
      </c>
      <c r="C259" s="632">
        <v>2018</v>
      </c>
      <c r="D259" s="1023">
        <v>0</v>
      </c>
      <c r="E259" s="63">
        <f>D259*'16-PlantAdditions'!$E$103</f>
        <v>0</v>
      </c>
      <c r="F259" s="63">
        <f t="shared" si="49"/>
        <v>0</v>
      </c>
      <c r="G259" s="1023">
        <v>0</v>
      </c>
      <c r="H259" s="1023">
        <v>0</v>
      </c>
      <c r="I259" s="63">
        <f>(G259-H259)*'16-PlantAdditions'!$E$103</f>
        <v>0</v>
      </c>
      <c r="J259" s="63">
        <f>J258+F259-G259-I259</f>
        <v>0</v>
      </c>
      <c r="K259" s="63">
        <f t="shared" si="51"/>
        <v>0</v>
      </c>
    </row>
    <row r="260" spans="1:11" s="669" customFormat="1">
      <c r="A260" s="111">
        <f t="shared" si="48"/>
        <v>192</v>
      </c>
      <c r="B260" s="631" t="s">
        <v>186</v>
      </c>
      <c r="C260" s="632">
        <v>2018</v>
      </c>
      <c r="D260" s="1023">
        <v>0</v>
      </c>
      <c r="E260" s="63">
        <f>D260*'16-PlantAdditions'!$E$103</f>
        <v>0</v>
      </c>
      <c r="F260" s="63">
        <f t="shared" si="49"/>
        <v>0</v>
      </c>
      <c r="G260" s="1023">
        <v>0</v>
      </c>
      <c r="H260" s="1023">
        <v>0</v>
      </c>
      <c r="I260" s="63">
        <f>(G260-H260)*'16-PlantAdditions'!$E$103</f>
        <v>0</v>
      </c>
      <c r="J260" s="63">
        <f t="shared" si="50"/>
        <v>0</v>
      </c>
      <c r="K260" s="63">
        <f t="shared" si="51"/>
        <v>0</v>
      </c>
    </row>
    <row r="261" spans="1:11" s="669" customFormat="1">
      <c r="A261" s="111">
        <f t="shared" si="48"/>
        <v>193</v>
      </c>
      <c r="B261" s="634" t="s">
        <v>187</v>
      </c>
      <c r="C261" s="632">
        <v>2018</v>
      </c>
      <c r="D261" s="1023">
        <v>0</v>
      </c>
      <c r="E261" s="63">
        <f>D261*'16-PlantAdditions'!$E$103</f>
        <v>0</v>
      </c>
      <c r="F261" s="63">
        <f t="shared" si="49"/>
        <v>0</v>
      </c>
      <c r="G261" s="1023">
        <v>0</v>
      </c>
      <c r="H261" s="1023">
        <v>0</v>
      </c>
      <c r="I261" s="63">
        <f>(G261-H261)*'16-PlantAdditions'!$E$103</f>
        <v>0</v>
      </c>
      <c r="J261" s="63">
        <f t="shared" si="50"/>
        <v>0</v>
      </c>
      <c r="K261" s="63">
        <f t="shared" si="51"/>
        <v>0</v>
      </c>
    </row>
    <row r="262" spans="1:11" s="669" customFormat="1">
      <c r="A262" s="111">
        <f t="shared" si="48"/>
        <v>194</v>
      </c>
      <c r="B262" s="634" t="s">
        <v>188</v>
      </c>
      <c r="C262" s="632">
        <v>2018</v>
      </c>
      <c r="D262" s="1023">
        <v>0</v>
      </c>
      <c r="E262" s="63">
        <f>D262*'16-PlantAdditions'!$E$103</f>
        <v>0</v>
      </c>
      <c r="F262" s="63">
        <f t="shared" si="49"/>
        <v>0</v>
      </c>
      <c r="G262" s="1023">
        <v>0</v>
      </c>
      <c r="H262" s="1023">
        <v>0</v>
      </c>
      <c r="I262" s="63">
        <f>(G262-H262)*'16-PlantAdditions'!$E$103</f>
        <v>0</v>
      </c>
      <c r="J262" s="63">
        <f t="shared" si="50"/>
        <v>0</v>
      </c>
      <c r="K262" s="63">
        <f t="shared" si="51"/>
        <v>0</v>
      </c>
    </row>
    <row r="263" spans="1:11" s="669" customFormat="1">
      <c r="A263" s="111">
        <f t="shared" si="48"/>
        <v>195</v>
      </c>
      <c r="B263" s="631" t="s">
        <v>191</v>
      </c>
      <c r="C263" s="632">
        <v>2018</v>
      </c>
      <c r="D263" s="1023">
        <v>0</v>
      </c>
      <c r="E263" s="63">
        <f>D263*'16-PlantAdditions'!$E$103</f>
        <v>0</v>
      </c>
      <c r="F263" s="63">
        <f t="shared" si="49"/>
        <v>0</v>
      </c>
      <c r="G263" s="1023">
        <v>0</v>
      </c>
      <c r="H263" s="1023">
        <v>0</v>
      </c>
      <c r="I263" s="63">
        <f>(G263-H263)*'16-PlantAdditions'!$E$103</f>
        <v>0</v>
      </c>
      <c r="J263" s="63">
        <f t="shared" si="50"/>
        <v>0</v>
      </c>
      <c r="K263" s="63">
        <f t="shared" si="51"/>
        <v>0</v>
      </c>
    </row>
    <row r="264" spans="1:11" s="669" customFormat="1">
      <c r="A264" s="111">
        <f t="shared" si="48"/>
        <v>196</v>
      </c>
      <c r="B264" s="631" t="s">
        <v>190</v>
      </c>
      <c r="C264" s="632">
        <v>2018</v>
      </c>
      <c r="D264" s="1023">
        <v>0</v>
      </c>
      <c r="E264" s="63">
        <f>D264*'16-PlantAdditions'!$E$103</f>
        <v>0</v>
      </c>
      <c r="F264" s="63">
        <f t="shared" si="49"/>
        <v>0</v>
      </c>
      <c r="G264" s="1023">
        <v>0</v>
      </c>
      <c r="H264" s="1023">
        <v>0</v>
      </c>
      <c r="I264" s="63">
        <f>(G264-H264)*'16-PlantAdditions'!$E$103</f>
        <v>0</v>
      </c>
      <c r="J264" s="63">
        <f t="shared" si="50"/>
        <v>0</v>
      </c>
      <c r="K264" s="63">
        <f t="shared" si="51"/>
        <v>0</v>
      </c>
    </row>
    <row r="265" spans="1:11" s="669" customFormat="1">
      <c r="A265" s="111">
        <f t="shared" si="48"/>
        <v>197</v>
      </c>
      <c r="B265" s="631" t="s">
        <v>180</v>
      </c>
      <c r="C265" s="632">
        <v>2018</v>
      </c>
      <c r="D265" s="1023">
        <v>0</v>
      </c>
      <c r="E265" s="63">
        <f>D265*'16-PlantAdditions'!$E$103</f>
        <v>0</v>
      </c>
      <c r="F265" s="63">
        <f t="shared" si="49"/>
        <v>0</v>
      </c>
      <c r="G265" s="1023">
        <v>0</v>
      </c>
      <c r="H265" s="1023">
        <v>0</v>
      </c>
      <c r="I265" s="63">
        <f>(G265-H265)*'16-PlantAdditions'!$E$103</f>
        <v>0</v>
      </c>
      <c r="J265" s="63">
        <f t="shared" si="50"/>
        <v>0</v>
      </c>
      <c r="K265" s="63">
        <f t="shared" si="51"/>
        <v>0</v>
      </c>
    </row>
    <row r="266" spans="1:11" s="669" customFormat="1">
      <c r="A266" s="111">
        <f t="shared" si="48"/>
        <v>198</v>
      </c>
      <c r="B266" s="631" t="s">
        <v>181</v>
      </c>
      <c r="C266" s="632">
        <v>2019</v>
      </c>
      <c r="D266" s="1023">
        <v>0</v>
      </c>
      <c r="E266" s="63">
        <f>D266*'16-PlantAdditions'!$E$103</f>
        <v>0</v>
      </c>
      <c r="F266" s="63">
        <f t="shared" si="49"/>
        <v>0</v>
      </c>
      <c r="G266" s="1023">
        <v>0</v>
      </c>
      <c r="H266" s="1023">
        <v>0</v>
      </c>
      <c r="I266" s="63">
        <f>(G266-H266)*'16-PlantAdditions'!$E$103</f>
        <v>0</v>
      </c>
      <c r="J266" s="63">
        <f t="shared" si="50"/>
        <v>0</v>
      </c>
      <c r="K266" s="63">
        <f t="shared" si="51"/>
        <v>0</v>
      </c>
    </row>
    <row r="267" spans="1:11" s="669" customFormat="1">
      <c r="A267" s="111">
        <f t="shared" si="48"/>
        <v>199</v>
      </c>
      <c r="B267" s="634" t="s">
        <v>182</v>
      </c>
      <c r="C267" s="632">
        <v>2019</v>
      </c>
      <c r="D267" s="1023">
        <v>0</v>
      </c>
      <c r="E267" s="63">
        <f>D267*'16-PlantAdditions'!$E$103</f>
        <v>0</v>
      </c>
      <c r="F267" s="63">
        <f t="shared" si="49"/>
        <v>0</v>
      </c>
      <c r="G267" s="1023">
        <v>0</v>
      </c>
      <c r="H267" s="1023">
        <v>0</v>
      </c>
      <c r="I267" s="63">
        <f>(G267-H267)*'16-PlantAdditions'!$E$103</f>
        <v>0</v>
      </c>
      <c r="J267" s="63">
        <f t="shared" si="50"/>
        <v>0</v>
      </c>
      <c r="K267" s="63">
        <f t="shared" si="51"/>
        <v>0</v>
      </c>
    </row>
    <row r="268" spans="1:11" s="669" customFormat="1">
      <c r="A268" s="111">
        <f t="shared" si="48"/>
        <v>200</v>
      </c>
      <c r="B268" s="634" t="s">
        <v>195</v>
      </c>
      <c r="C268" s="632">
        <v>2019</v>
      </c>
      <c r="D268" s="1023">
        <v>0</v>
      </c>
      <c r="E268" s="63">
        <f>D268*'16-PlantAdditions'!$E$103</f>
        <v>0</v>
      </c>
      <c r="F268" s="63">
        <f t="shared" si="49"/>
        <v>0</v>
      </c>
      <c r="G268" s="1023">
        <v>0</v>
      </c>
      <c r="H268" s="1023">
        <v>0</v>
      </c>
      <c r="I268" s="63">
        <f>(G268-H268)*'16-PlantAdditions'!$E$103</f>
        <v>0</v>
      </c>
      <c r="J268" s="63">
        <f t="shared" si="50"/>
        <v>0</v>
      </c>
      <c r="K268" s="63">
        <f t="shared" si="51"/>
        <v>0</v>
      </c>
    </row>
    <row r="269" spans="1:11" s="669" customFormat="1">
      <c r="A269" s="111">
        <f t="shared" si="48"/>
        <v>201</v>
      </c>
      <c r="B269" s="631" t="s">
        <v>183</v>
      </c>
      <c r="C269" s="632">
        <v>2019</v>
      </c>
      <c r="D269" s="1023">
        <v>0</v>
      </c>
      <c r="E269" s="63">
        <f>D269*'16-PlantAdditions'!$E$103</f>
        <v>0</v>
      </c>
      <c r="F269" s="63">
        <f t="shared" si="49"/>
        <v>0</v>
      </c>
      <c r="G269" s="1023">
        <v>0</v>
      </c>
      <c r="H269" s="1023">
        <v>0</v>
      </c>
      <c r="I269" s="63">
        <f>(G269-H269)*'16-PlantAdditions'!$E$103</f>
        <v>0</v>
      </c>
      <c r="J269" s="63">
        <f t="shared" si="50"/>
        <v>0</v>
      </c>
      <c r="K269" s="63">
        <f t="shared" si="51"/>
        <v>0</v>
      </c>
    </row>
    <row r="270" spans="1:11" s="669" customFormat="1">
      <c r="A270" s="111">
        <f t="shared" si="48"/>
        <v>202</v>
      </c>
      <c r="B270" s="634" t="s">
        <v>184</v>
      </c>
      <c r="C270" s="632">
        <v>2019</v>
      </c>
      <c r="D270" s="1023">
        <v>0</v>
      </c>
      <c r="E270" s="63">
        <f>D270*'16-PlantAdditions'!$E$103</f>
        <v>0</v>
      </c>
      <c r="F270" s="63">
        <f t="shared" si="49"/>
        <v>0</v>
      </c>
      <c r="G270" s="1023">
        <v>0</v>
      </c>
      <c r="H270" s="1023">
        <v>0</v>
      </c>
      <c r="I270" s="63">
        <f>(G270-H270)*'16-PlantAdditions'!$E$103</f>
        <v>0</v>
      </c>
      <c r="J270" s="63">
        <f t="shared" si="50"/>
        <v>0</v>
      </c>
      <c r="K270" s="63">
        <f t="shared" si="51"/>
        <v>0</v>
      </c>
    </row>
    <row r="271" spans="1:11" s="669" customFormat="1">
      <c r="A271" s="111">
        <f t="shared" si="48"/>
        <v>203</v>
      </c>
      <c r="B271" s="634" t="s">
        <v>1477</v>
      </c>
      <c r="C271" s="632">
        <v>2019</v>
      </c>
      <c r="D271" s="1023">
        <v>0</v>
      </c>
      <c r="E271" s="63">
        <f>D271*'16-PlantAdditions'!$E$103</f>
        <v>0</v>
      </c>
      <c r="F271" s="63">
        <f t="shared" si="49"/>
        <v>0</v>
      </c>
      <c r="G271" s="1023">
        <v>0</v>
      </c>
      <c r="H271" s="1023">
        <v>0</v>
      </c>
      <c r="I271" s="63">
        <f>(G271-H271)*'16-PlantAdditions'!$E$103</f>
        <v>0</v>
      </c>
      <c r="J271" s="63">
        <f t="shared" si="50"/>
        <v>0</v>
      </c>
      <c r="K271" s="63">
        <f t="shared" si="51"/>
        <v>0</v>
      </c>
    </row>
    <row r="272" spans="1:11" s="669" customFormat="1">
      <c r="A272" s="111">
        <f t="shared" si="48"/>
        <v>204</v>
      </c>
      <c r="B272" s="631" t="s">
        <v>186</v>
      </c>
      <c r="C272" s="632">
        <v>2019</v>
      </c>
      <c r="D272" s="1023">
        <v>0</v>
      </c>
      <c r="E272" s="63">
        <f>D272*'16-PlantAdditions'!$E$103</f>
        <v>0</v>
      </c>
      <c r="F272" s="63">
        <f t="shared" si="49"/>
        <v>0</v>
      </c>
      <c r="G272" s="1023">
        <v>0</v>
      </c>
      <c r="H272" s="1023">
        <v>0</v>
      </c>
      <c r="I272" s="63">
        <f>(G272-H272)*'16-PlantAdditions'!$E$103</f>
        <v>0</v>
      </c>
      <c r="J272" s="63">
        <f t="shared" si="50"/>
        <v>0</v>
      </c>
      <c r="K272" s="63">
        <f t="shared" si="51"/>
        <v>0</v>
      </c>
    </row>
    <row r="273" spans="1:11" s="669" customFormat="1">
      <c r="A273" s="111">
        <f t="shared" si="48"/>
        <v>205</v>
      </c>
      <c r="B273" s="634" t="s">
        <v>187</v>
      </c>
      <c r="C273" s="632">
        <v>2019</v>
      </c>
      <c r="D273" s="1023">
        <v>0</v>
      </c>
      <c r="E273" s="63">
        <f>D273*'16-PlantAdditions'!$E$103</f>
        <v>0</v>
      </c>
      <c r="F273" s="63">
        <f t="shared" si="49"/>
        <v>0</v>
      </c>
      <c r="G273" s="1023">
        <v>0</v>
      </c>
      <c r="H273" s="1023">
        <v>0</v>
      </c>
      <c r="I273" s="63">
        <f>(G273-H273)*'16-PlantAdditions'!$E$103</f>
        <v>0</v>
      </c>
      <c r="J273" s="63">
        <f t="shared" si="50"/>
        <v>0</v>
      </c>
      <c r="K273" s="63">
        <f t="shared" si="51"/>
        <v>0</v>
      </c>
    </row>
    <row r="274" spans="1:11" s="669" customFormat="1">
      <c r="A274" s="111">
        <f t="shared" si="48"/>
        <v>206</v>
      </c>
      <c r="B274" s="634" t="s">
        <v>188</v>
      </c>
      <c r="C274" s="632">
        <v>2019</v>
      </c>
      <c r="D274" s="1023">
        <v>0</v>
      </c>
      <c r="E274" s="63">
        <f>D274*'16-PlantAdditions'!$E$103</f>
        <v>0</v>
      </c>
      <c r="F274" s="63">
        <f t="shared" si="49"/>
        <v>0</v>
      </c>
      <c r="G274" s="1023">
        <v>0</v>
      </c>
      <c r="H274" s="1023">
        <v>0</v>
      </c>
      <c r="I274" s="63">
        <f>(G274-H274)*'16-PlantAdditions'!$E$103</f>
        <v>0</v>
      </c>
      <c r="J274" s="63">
        <f t="shared" si="50"/>
        <v>0</v>
      </c>
      <c r="K274" s="63">
        <f t="shared" si="51"/>
        <v>0</v>
      </c>
    </row>
    <row r="275" spans="1:11" s="669" customFormat="1">
      <c r="A275" s="111">
        <f t="shared" si="48"/>
        <v>207</v>
      </c>
      <c r="B275" s="634" t="s">
        <v>191</v>
      </c>
      <c r="C275" s="632">
        <v>2019</v>
      </c>
      <c r="D275" s="1023">
        <v>0</v>
      </c>
      <c r="E275" s="63">
        <f>D275*'16-PlantAdditions'!$E$103</f>
        <v>0</v>
      </c>
      <c r="F275" s="63">
        <f t="shared" ref="F275:F277" si="52">E275+D275</f>
        <v>0</v>
      </c>
      <c r="G275" s="1023">
        <v>0</v>
      </c>
      <c r="H275" s="1023">
        <v>0</v>
      </c>
      <c r="I275" s="63">
        <f>(G275-H275)*'16-PlantAdditions'!$E$103</f>
        <v>0</v>
      </c>
      <c r="J275" s="63">
        <f t="shared" ref="J275:J277" si="53">J274+F275-G275-I275</f>
        <v>0</v>
      </c>
      <c r="K275" s="63">
        <f t="shared" si="51"/>
        <v>0</v>
      </c>
    </row>
    <row r="276" spans="1:11" s="669" customFormat="1">
      <c r="A276" s="111">
        <f t="shared" si="48"/>
        <v>208</v>
      </c>
      <c r="B276" s="634" t="s">
        <v>190</v>
      </c>
      <c r="C276" s="632">
        <v>2019</v>
      </c>
      <c r="D276" s="1023">
        <v>0</v>
      </c>
      <c r="E276" s="63">
        <f>D276*'16-PlantAdditions'!$E$103</f>
        <v>0</v>
      </c>
      <c r="F276" s="63">
        <f t="shared" si="52"/>
        <v>0</v>
      </c>
      <c r="G276" s="1023">
        <v>0</v>
      </c>
      <c r="H276" s="1023">
        <v>0</v>
      </c>
      <c r="I276" s="63">
        <f>(G276-H276)*'16-PlantAdditions'!$E$103</f>
        <v>0</v>
      </c>
      <c r="J276" s="63">
        <f t="shared" si="53"/>
        <v>0</v>
      </c>
      <c r="K276" s="63">
        <f t="shared" si="51"/>
        <v>0</v>
      </c>
    </row>
    <row r="277" spans="1:11" s="669" customFormat="1">
      <c r="A277" s="111">
        <f t="shared" si="48"/>
        <v>209</v>
      </c>
      <c r="B277" s="634" t="s">
        <v>180</v>
      </c>
      <c r="C277" s="632">
        <v>2019</v>
      </c>
      <c r="D277" s="1023">
        <v>0</v>
      </c>
      <c r="E277" s="63">
        <f>D277*'16-PlantAdditions'!$E$103</f>
        <v>0</v>
      </c>
      <c r="F277" s="63">
        <f t="shared" si="52"/>
        <v>0</v>
      </c>
      <c r="G277" s="1023">
        <v>0</v>
      </c>
      <c r="H277" s="1023">
        <v>0</v>
      </c>
      <c r="I277" s="63">
        <f>(G277-H277)*'16-PlantAdditions'!$E$103</f>
        <v>0</v>
      </c>
      <c r="J277" s="63">
        <f t="shared" si="53"/>
        <v>0</v>
      </c>
      <c r="K277" s="112">
        <f t="shared" si="51"/>
        <v>0</v>
      </c>
    </row>
    <row r="278" spans="1:11" s="669" customFormat="1">
      <c r="A278" s="111">
        <f t="shared" si="48"/>
        <v>210</v>
      </c>
      <c r="B278"/>
      <c r="C278" s="668" t="s">
        <v>1625</v>
      </c>
      <c r="D278"/>
      <c r="E278"/>
      <c r="F278"/>
      <c r="G278"/>
      <c r="H278"/>
      <c r="I278"/>
      <c r="J278"/>
      <c r="K278" s="73">
        <f>AVERAGE(K265:K277)</f>
        <v>0</v>
      </c>
    </row>
    <row r="279" spans="1:11" s="669" customFormat="1" ht="12.75" customHeight="1">
      <c r="A279" s="111"/>
      <c r="B279"/>
      <c r="C279" s="668"/>
      <c r="D279"/>
      <c r="E279"/>
      <c r="F279"/>
      <c r="G279"/>
      <c r="H279"/>
      <c r="I279"/>
      <c r="J279"/>
      <c r="K279" s="73"/>
    </row>
    <row r="280" spans="1:11" s="669" customFormat="1">
      <c r="B280" s="670" t="s">
        <v>1961</v>
      </c>
      <c r="D280" s="1381" t="s">
        <v>1962</v>
      </c>
      <c r="E280" s="1381"/>
    </row>
    <row r="281" spans="1:11" s="669" customFormat="1">
      <c r="B281" s="670"/>
      <c r="D281" s="664" t="s">
        <v>360</v>
      </c>
      <c r="E281" s="664" t="s">
        <v>344</v>
      </c>
      <c r="F281" s="664" t="s">
        <v>345</v>
      </c>
      <c r="G281" s="664" t="s">
        <v>346</v>
      </c>
      <c r="H281" s="664" t="s">
        <v>347</v>
      </c>
      <c r="I281" s="664" t="s">
        <v>348</v>
      </c>
      <c r="J281" s="664" t="s">
        <v>349</v>
      </c>
      <c r="K281" s="664" t="s">
        <v>541</v>
      </c>
    </row>
    <row r="282" spans="1:11" s="669" customFormat="1" ht="26.4">
      <c r="B282" s="670"/>
      <c r="D282" s="671"/>
      <c r="E282" s="672" t="s">
        <v>2091</v>
      </c>
      <c r="F282" s="673" t="s">
        <v>1950</v>
      </c>
      <c r="G282" s="543"/>
      <c r="H282" s="671"/>
      <c r="I282" s="672" t="s">
        <v>2092</v>
      </c>
      <c r="J282" s="672" t="s">
        <v>1951</v>
      </c>
      <c r="K282" s="672" t="s">
        <v>1952</v>
      </c>
    </row>
    <row r="283" spans="1:11" s="669" customFormat="1">
      <c r="D283" s="671"/>
      <c r="E283" s="672"/>
      <c r="F283" s="673"/>
      <c r="G283" s="666" t="str">
        <f>G51</f>
        <v>Unloaded</v>
      </c>
      <c r="H283" s="671"/>
      <c r="I283" s="672"/>
      <c r="J283" s="672"/>
      <c r="K283" s="672"/>
    </row>
    <row r="284" spans="1:11" s="669" customFormat="1">
      <c r="A284" s="666"/>
      <c r="B284" s="666"/>
      <c r="C284" s="666"/>
      <c r="D284" s="666" t="str">
        <f>D$52</f>
        <v>Forecast</v>
      </c>
      <c r="E284" s="666" t="str">
        <f t="shared" ref="E284:J284" si="54">E$52</f>
        <v>Corporate</v>
      </c>
      <c r="F284" s="666" t="str">
        <f t="shared" si="54"/>
        <v xml:space="preserve">Total </v>
      </c>
      <c r="G284" s="666" t="str">
        <f>G52</f>
        <v>Total</v>
      </c>
      <c r="H284" s="666" t="str">
        <f t="shared" si="54"/>
        <v>Prior Period</v>
      </c>
      <c r="I284" s="666" t="str">
        <f t="shared" si="54"/>
        <v>Over Heads</v>
      </c>
      <c r="J284" s="666" t="str">
        <f t="shared" si="54"/>
        <v>Forecast</v>
      </c>
      <c r="K284" s="571" t="str">
        <f>K$52</f>
        <v>Forecast Period</v>
      </c>
    </row>
    <row r="285" spans="1:11" s="669" customFormat="1">
      <c r="A285" s="865" t="s">
        <v>331</v>
      </c>
      <c r="B285" s="630" t="s">
        <v>192</v>
      </c>
      <c r="C285" s="630" t="s">
        <v>193</v>
      </c>
      <c r="D285" s="664" t="str">
        <f>D$53</f>
        <v>Expenditures</v>
      </c>
      <c r="E285" s="664" t="str">
        <f t="shared" ref="E285:J285" si="55">E$53</f>
        <v>Overheads</v>
      </c>
      <c r="F285" s="664" t="str">
        <f t="shared" si="55"/>
        <v>CWIP Exp</v>
      </c>
      <c r="G285" s="664" t="str">
        <f>G53</f>
        <v>Plant Adds</v>
      </c>
      <c r="H285" s="664" t="str">
        <f t="shared" si="55"/>
        <v>CWIP Closed</v>
      </c>
      <c r="I285" s="664" t="str">
        <f t="shared" si="55"/>
        <v>Closed to PIS</v>
      </c>
      <c r="J285" s="664" t="str">
        <f t="shared" si="55"/>
        <v>Period CWIP</v>
      </c>
      <c r="K285" s="664" t="str">
        <f>K$53</f>
        <v>Incremental CWIP</v>
      </c>
    </row>
    <row r="286" spans="1:11" s="669" customFormat="1">
      <c r="A286" s="111">
        <f>A278+1</f>
        <v>211</v>
      </c>
      <c r="B286" s="631" t="s">
        <v>180</v>
      </c>
      <c r="C286" s="632">
        <v>2017</v>
      </c>
      <c r="D286" s="673" t="s">
        <v>76</v>
      </c>
      <c r="E286" s="673" t="s">
        <v>76</v>
      </c>
      <c r="F286" s="673" t="s">
        <v>76</v>
      </c>
      <c r="G286" s="673" t="s">
        <v>76</v>
      </c>
      <c r="H286" s="673" t="s">
        <v>76</v>
      </c>
      <c r="I286" s="673" t="s">
        <v>76</v>
      </c>
      <c r="J286" s="63">
        <f>E45</f>
        <v>0</v>
      </c>
      <c r="K286" s="673" t="s">
        <v>76</v>
      </c>
    </row>
    <row r="287" spans="1:11" s="669" customFormat="1">
      <c r="A287" s="111">
        <f>A286+1</f>
        <v>212</v>
      </c>
      <c r="B287" s="631" t="s">
        <v>181</v>
      </c>
      <c r="C287" s="632">
        <v>2018</v>
      </c>
      <c r="D287" s="1023">
        <v>728</v>
      </c>
      <c r="E287" s="63">
        <f>D287*'16-PlantAdditions'!$E$103</f>
        <v>54.6</v>
      </c>
      <c r="F287" s="63">
        <f>E287+D287</f>
        <v>782.6</v>
      </c>
      <c r="G287" s="1023">
        <v>728</v>
      </c>
      <c r="H287" s="1023">
        <v>0</v>
      </c>
      <c r="I287" s="63">
        <f>(G287-H287)*'16-PlantAdditions'!$E$103</f>
        <v>54.6</v>
      </c>
      <c r="J287" s="63">
        <f>J286+F287-G287-I287</f>
        <v>0</v>
      </c>
      <c r="K287" s="63">
        <f>J287-$J$286</f>
        <v>0</v>
      </c>
    </row>
    <row r="288" spans="1:11" s="669" customFormat="1">
      <c r="A288" s="111">
        <f t="shared" ref="A288:A311" si="56">A287+1</f>
        <v>213</v>
      </c>
      <c r="B288" s="634" t="s">
        <v>182</v>
      </c>
      <c r="C288" s="632">
        <v>2018</v>
      </c>
      <c r="D288" s="1023">
        <v>1158</v>
      </c>
      <c r="E288" s="63">
        <f>D288*'16-PlantAdditions'!$E$103</f>
        <v>86.85</v>
      </c>
      <c r="F288" s="63">
        <f t="shared" ref="F288:F307" si="57">E288+D288</f>
        <v>1244.8499999999999</v>
      </c>
      <c r="G288" s="1023">
        <v>1158</v>
      </c>
      <c r="H288" s="1023">
        <v>0</v>
      </c>
      <c r="I288" s="63">
        <f>(G288-H288)*'16-PlantAdditions'!$E$103</f>
        <v>86.85</v>
      </c>
      <c r="J288" s="63">
        <f t="shared" ref="J288:J307" si="58">J287+F288-G288-I288</f>
        <v>0</v>
      </c>
      <c r="K288" s="63">
        <f t="shared" ref="K288:K310" si="59">J288-$J$286</f>
        <v>0</v>
      </c>
    </row>
    <row r="289" spans="1:13" s="669" customFormat="1">
      <c r="A289" s="111">
        <f t="shared" si="56"/>
        <v>214</v>
      </c>
      <c r="B289" s="634" t="s">
        <v>195</v>
      </c>
      <c r="C289" s="632">
        <v>2018</v>
      </c>
      <c r="D289" s="1023">
        <v>780</v>
      </c>
      <c r="E289" s="63">
        <f>D289*'16-PlantAdditions'!$E$103</f>
        <v>58.5</v>
      </c>
      <c r="F289" s="63">
        <f t="shared" si="57"/>
        <v>838.5</v>
      </c>
      <c r="G289" s="1023">
        <v>780</v>
      </c>
      <c r="H289" s="1023">
        <v>0</v>
      </c>
      <c r="I289" s="63">
        <f>(G289-H289)*'16-PlantAdditions'!$E$103</f>
        <v>58.5</v>
      </c>
      <c r="J289" s="63">
        <f t="shared" si="58"/>
        <v>0</v>
      </c>
      <c r="K289" s="63">
        <f t="shared" si="59"/>
        <v>0</v>
      </c>
    </row>
    <row r="290" spans="1:13" s="669" customFormat="1">
      <c r="A290" s="111">
        <f t="shared" si="56"/>
        <v>215</v>
      </c>
      <c r="B290" s="631" t="s">
        <v>183</v>
      </c>
      <c r="C290" s="632">
        <v>2018</v>
      </c>
      <c r="D290" s="1023">
        <v>0</v>
      </c>
      <c r="E290" s="63">
        <f>D290*'16-PlantAdditions'!$E$103</f>
        <v>0</v>
      </c>
      <c r="F290" s="63">
        <f t="shared" si="57"/>
        <v>0</v>
      </c>
      <c r="G290" s="1023">
        <v>0</v>
      </c>
      <c r="H290" s="1023">
        <v>0</v>
      </c>
      <c r="I290" s="63">
        <f>(G290-H290)*'16-PlantAdditions'!$E$103</f>
        <v>0</v>
      </c>
      <c r="J290" s="63">
        <f t="shared" si="58"/>
        <v>0</v>
      </c>
      <c r="K290" s="63">
        <f t="shared" si="59"/>
        <v>0</v>
      </c>
    </row>
    <row r="291" spans="1:13" s="669" customFormat="1">
      <c r="A291" s="111">
        <f t="shared" si="56"/>
        <v>216</v>
      </c>
      <c r="B291" s="634" t="s">
        <v>184</v>
      </c>
      <c r="C291" s="632">
        <v>2018</v>
      </c>
      <c r="D291" s="1023">
        <v>0</v>
      </c>
      <c r="E291" s="63">
        <f>D291*'16-PlantAdditions'!$E$103</f>
        <v>0</v>
      </c>
      <c r="F291" s="63">
        <f t="shared" si="57"/>
        <v>0</v>
      </c>
      <c r="G291" s="1023">
        <v>0</v>
      </c>
      <c r="H291" s="1023">
        <v>0</v>
      </c>
      <c r="I291" s="63">
        <f>(G291-H291)*'16-PlantAdditions'!$E$103</f>
        <v>0</v>
      </c>
      <c r="J291" s="63">
        <f t="shared" si="58"/>
        <v>0</v>
      </c>
      <c r="K291" s="63">
        <f t="shared" si="59"/>
        <v>0</v>
      </c>
      <c r="L291" s="666"/>
      <c r="M291" s="666"/>
    </row>
    <row r="292" spans="1:13" s="669" customFormat="1">
      <c r="A292" s="111">
        <f t="shared" si="56"/>
        <v>217</v>
      </c>
      <c r="B292" s="634" t="s">
        <v>1477</v>
      </c>
      <c r="C292" s="632">
        <v>2018</v>
      </c>
      <c r="D292" s="1023">
        <v>334</v>
      </c>
      <c r="E292" s="63">
        <f>D292*'16-PlantAdditions'!$E$103</f>
        <v>25.05</v>
      </c>
      <c r="F292" s="63">
        <f t="shared" si="57"/>
        <v>359.05</v>
      </c>
      <c r="G292" s="1023">
        <v>334</v>
      </c>
      <c r="H292" s="1023">
        <v>0</v>
      </c>
      <c r="I292" s="63">
        <f>(G292-H292)*'16-PlantAdditions'!$E$103</f>
        <v>25.05</v>
      </c>
      <c r="J292" s="63">
        <f t="shared" si="58"/>
        <v>0</v>
      </c>
      <c r="K292" s="63">
        <f t="shared" si="59"/>
        <v>0</v>
      </c>
      <c r="L292" s="664"/>
      <c r="M292" s="664"/>
    </row>
    <row r="293" spans="1:13" s="669" customFormat="1">
      <c r="A293" s="111">
        <f t="shared" si="56"/>
        <v>218</v>
      </c>
      <c r="B293" s="631" t="s">
        <v>186</v>
      </c>
      <c r="C293" s="632">
        <v>2018</v>
      </c>
      <c r="D293" s="1023">
        <v>0</v>
      </c>
      <c r="E293" s="63">
        <f>D293*'16-PlantAdditions'!$E$103</f>
        <v>0</v>
      </c>
      <c r="F293" s="63">
        <f t="shared" si="57"/>
        <v>0</v>
      </c>
      <c r="G293" s="1023">
        <v>0</v>
      </c>
      <c r="H293" s="1023">
        <v>0</v>
      </c>
      <c r="I293" s="63">
        <f>(G293-H293)*'16-PlantAdditions'!$E$103</f>
        <v>0</v>
      </c>
      <c r="J293" s="63">
        <f t="shared" si="58"/>
        <v>0</v>
      </c>
      <c r="K293" s="63">
        <f t="shared" si="59"/>
        <v>0</v>
      </c>
    </row>
    <row r="294" spans="1:13" s="669" customFormat="1">
      <c r="A294" s="111">
        <f t="shared" si="56"/>
        <v>219</v>
      </c>
      <c r="B294" s="634" t="s">
        <v>187</v>
      </c>
      <c r="C294" s="632">
        <v>2018</v>
      </c>
      <c r="D294" s="1023">
        <v>0</v>
      </c>
      <c r="E294" s="63">
        <f>D294*'16-PlantAdditions'!$E$103</f>
        <v>0</v>
      </c>
      <c r="F294" s="63">
        <f t="shared" si="57"/>
        <v>0</v>
      </c>
      <c r="G294" s="1023">
        <v>0</v>
      </c>
      <c r="H294" s="1023">
        <v>0</v>
      </c>
      <c r="I294" s="63">
        <f>(G294-H294)*'16-PlantAdditions'!$E$103</f>
        <v>0</v>
      </c>
      <c r="J294" s="63">
        <f t="shared" si="58"/>
        <v>0</v>
      </c>
      <c r="K294" s="63">
        <f t="shared" si="59"/>
        <v>0</v>
      </c>
    </row>
    <row r="295" spans="1:13" s="669" customFormat="1">
      <c r="A295" s="111">
        <f t="shared" si="56"/>
        <v>220</v>
      </c>
      <c r="B295" s="634" t="s">
        <v>188</v>
      </c>
      <c r="C295" s="632">
        <v>2018</v>
      </c>
      <c r="D295" s="1023">
        <v>0</v>
      </c>
      <c r="E295" s="63">
        <f>D295*'16-PlantAdditions'!$E$103</f>
        <v>0</v>
      </c>
      <c r="F295" s="63">
        <f t="shared" si="57"/>
        <v>0</v>
      </c>
      <c r="G295" s="1023">
        <v>0</v>
      </c>
      <c r="H295" s="1023">
        <v>0</v>
      </c>
      <c r="I295" s="63">
        <f>(G295-H295)*'16-PlantAdditions'!$E$103</f>
        <v>0</v>
      </c>
      <c r="J295" s="63">
        <f t="shared" si="58"/>
        <v>0</v>
      </c>
      <c r="K295" s="63">
        <f t="shared" si="59"/>
        <v>0</v>
      </c>
    </row>
    <row r="296" spans="1:13" s="669" customFormat="1">
      <c r="A296" s="111">
        <f t="shared" si="56"/>
        <v>221</v>
      </c>
      <c r="B296" s="631" t="s">
        <v>191</v>
      </c>
      <c r="C296" s="632">
        <v>2018</v>
      </c>
      <c r="D296" s="1023">
        <v>0</v>
      </c>
      <c r="E296" s="63">
        <f>D296*'16-PlantAdditions'!$E$103</f>
        <v>0</v>
      </c>
      <c r="F296" s="63">
        <f t="shared" si="57"/>
        <v>0</v>
      </c>
      <c r="G296" s="1023">
        <v>0</v>
      </c>
      <c r="H296" s="1023">
        <v>0</v>
      </c>
      <c r="I296" s="63">
        <f>(G296-H296)*'16-PlantAdditions'!$E$103</f>
        <v>0</v>
      </c>
      <c r="J296" s="63">
        <f t="shared" si="58"/>
        <v>0</v>
      </c>
      <c r="K296" s="63">
        <f t="shared" si="59"/>
        <v>0</v>
      </c>
    </row>
    <row r="297" spans="1:13" s="669" customFormat="1">
      <c r="A297" s="111">
        <f t="shared" si="56"/>
        <v>222</v>
      </c>
      <c r="B297" s="631" t="s">
        <v>190</v>
      </c>
      <c r="C297" s="632">
        <v>2018</v>
      </c>
      <c r="D297" s="1023">
        <v>0</v>
      </c>
      <c r="E297" s="63">
        <f>D297*'16-PlantAdditions'!$E$103</f>
        <v>0</v>
      </c>
      <c r="F297" s="63">
        <f t="shared" si="57"/>
        <v>0</v>
      </c>
      <c r="G297" s="1023">
        <v>0</v>
      </c>
      <c r="H297" s="1023">
        <v>0</v>
      </c>
      <c r="I297" s="63">
        <f>(G297-H297)*'16-PlantAdditions'!$E$103</f>
        <v>0</v>
      </c>
      <c r="J297" s="63">
        <f t="shared" si="58"/>
        <v>0</v>
      </c>
      <c r="K297" s="63">
        <f t="shared" si="59"/>
        <v>0</v>
      </c>
    </row>
    <row r="298" spans="1:13" s="669" customFormat="1">
      <c r="A298" s="111">
        <f t="shared" si="56"/>
        <v>223</v>
      </c>
      <c r="B298" s="631" t="s">
        <v>180</v>
      </c>
      <c r="C298" s="632">
        <v>2018</v>
      </c>
      <c r="D298" s="1023">
        <v>0</v>
      </c>
      <c r="E298" s="63">
        <f>D298*'16-PlantAdditions'!$E$103</f>
        <v>0</v>
      </c>
      <c r="F298" s="63">
        <f t="shared" si="57"/>
        <v>0</v>
      </c>
      <c r="G298" s="1023">
        <v>0</v>
      </c>
      <c r="H298" s="1023">
        <v>0</v>
      </c>
      <c r="I298" s="63">
        <f>(G298-H298)*'16-PlantAdditions'!$E$103</f>
        <v>0</v>
      </c>
      <c r="J298" s="63">
        <f t="shared" si="58"/>
        <v>0</v>
      </c>
      <c r="K298" s="63">
        <f t="shared" si="59"/>
        <v>0</v>
      </c>
    </row>
    <row r="299" spans="1:13" s="669" customFormat="1">
      <c r="A299" s="111">
        <f t="shared" si="56"/>
        <v>224</v>
      </c>
      <c r="B299" s="631" t="s">
        <v>181</v>
      </c>
      <c r="C299" s="632">
        <v>2019</v>
      </c>
      <c r="D299" s="1023">
        <v>0</v>
      </c>
      <c r="E299" s="63">
        <f>D299*'16-PlantAdditions'!$E$103</f>
        <v>0</v>
      </c>
      <c r="F299" s="63">
        <f t="shared" si="57"/>
        <v>0</v>
      </c>
      <c r="G299" s="1023">
        <v>0</v>
      </c>
      <c r="H299" s="1023">
        <v>0</v>
      </c>
      <c r="I299" s="63">
        <f>(G299-H299)*'16-PlantAdditions'!$E$103</f>
        <v>0</v>
      </c>
      <c r="J299" s="63">
        <f t="shared" si="58"/>
        <v>0</v>
      </c>
      <c r="K299" s="63">
        <f t="shared" si="59"/>
        <v>0</v>
      </c>
    </row>
    <row r="300" spans="1:13" s="669" customFormat="1">
      <c r="A300" s="111">
        <f t="shared" si="56"/>
        <v>225</v>
      </c>
      <c r="B300" s="634" t="s">
        <v>182</v>
      </c>
      <c r="C300" s="632">
        <v>2019</v>
      </c>
      <c r="D300" s="1023">
        <v>0</v>
      </c>
      <c r="E300" s="63">
        <f>D300*'16-PlantAdditions'!$E$103</f>
        <v>0</v>
      </c>
      <c r="F300" s="63">
        <f t="shared" si="57"/>
        <v>0</v>
      </c>
      <c r="G300" s="1023">
        <v>0</v>
      </c>
      <c r="H300" s="1023">
        <v>0</v>
      </c>
      <c r="I300" s="63">
        <f>(G300-H300)*'16-PlantAdditions'!$E$103</f>
        <v>0</v>
      </c>
      <c r="J300" s="63">
        <f t="shared" si="58"/>
        <v>0</v>
      </c>
      <c r="K300" s="63">
        <f t="shared" si="59"/>
        <v>0</v>
      </c>
    </row>
    <row r="301" spans="1:13" s="669" customFormat="1">
      <c r="A301" s="111">
        <f t="shared" si="56"/>
        <v>226</v>
      </c>
      <c r="B301" s="634" t="s">
        <v>195</v>
      </c>
      <c r="C301" s="632">
        <v>2019</v>
      </c>
      <c r="D301" s="1023">
        <v>0</v>
      </c>
      <c r="E301" s="63">
        <f>D301*'16-PlantAdditions'!$E$103</f>
        <v>0</v>
      </c>
      <c r="F301" s="63">
        <f t="shared" si="57"/>
        <v>0</v>
      </c>
      <c r="G301" s="1023">
        <v>0</v>
      </c>
      <c r="H301" s="1023">
        <v>0</v>
      </c>
      <c r="I301" s="63">
        <f>(G301-H301)*'16-PlantAdditions'!$E$103</f>
        <v>0</v>
      </c>
      <c r="J301" s="63">
        <f t="shared" si="58"/>
        <v>0</v>
      </c>
      <c r="K301" s="63">
        <f t="shared" si="59"/>
        <v>0</v>
      </c>
    </row>
    <row r="302" spans="1:13" s="669" customFormat="1">
      <c r="A302" s="111">
        <f t="shared" si="56"/>
        <v>227</v>
      </c>
      <c r="B302" s="631" t="s">
        <v>183</v>
      </c>
      <c r="C302" s="632">
        <v>2019</v>
      </c>
      <c r="D302" s="1023">
        <v>0</v>
      </c>
      <c r="E302" s="63">
        <f>D302*'16-PlantAdditions'!$E$103</f>
        <v>0</v>
      </c>
      <c r="F302" s="63">
        <f t="shared" si="57"/>
        <v>0</v>
      </c>
      <c r="G302" s="1023">
        <v>0</v>
      </c>
      <c r="H302" s="1023">
        <v>0</v>
      </c>
      <c r="I302" s="63">
        <f>(G302-H302)*'16-PlantAdditions'!$E$103</f>
        <v>0</v>
      </c>
      <c r="J302" s="63">
        <f t="shared" si="58"/>
        <v>0</v>
      </c>
      <c r="K302" s="63">
        <f t="shared" si="59"/>
        <v>0</v>
      </c>
    </row>
    <row r="303" spans="1:13" s="669" customFormat="1">
      <c r="A303" s="111">
        <f t="shared" si="56"/>
        <v>228</v>
      </c>
      <c r="B303" s="634" t="s">
        <v>184</v>
      </c>
      <c r="C303" s="632">
        <v>2019</v>
      </c>
      <c r="D303" s="1023">
        <v>0</v>
      </c>
      <c r="E303" s="63">
        <f>D303*'16-PlantAdditions'!$E$103</f>
        <v>0</v>
      </c>
      <c r="F303" s="63">
        <f t="shared" si="57"/>
        <v>0</v>
      </c>
      <c r="G303" s="1023">
        <v>0</v>
      </c>
      <c r="H303" s="1023">
        <v>0</v>
      </c>
      <c r="I303" s="63">
        <f>(G303-H303)*'16-PlantAdditions'!$E$103</f>
        <v>0</v>
      </c>
      <c r="J303" s="63">
        <f t="shared" si="58"/>
        <v>0</v>
      </c>
      <c r="K303" s="63">
        <f t="shared" si="59"/>
        <v>0</v>
      </c>
    </row>
    <row r="304" spans="1:13" s="669" customFormat="1">
      <c r="A304" s="111">
        <f t="shared" si="56"/>
        <v>229</v>
      </c>
      <c r="B304" s="634" t="s">
        <v>1477</v>
      </c>
      <c r="C304" s="632">
        <v>2019</v>
      </c>
      <c r="D304" s="1023">
        <v>0</v>
      </c>
      <c r="E304" s="63">
        <f>D304*'16-PlantAdditions'!$E$103</f>
        <v>0</v>
      </c>
      <c r="F304" s="63">
        <f t="shared" si="57"/>
        <v>0</v>
      </c>
      <c r="G304" s="1023">
        <v>0</v>
      </c>
      <c r="H304" s="1023">
        <v>0</v>
      </c>
      <c r="I304" s="63">
        <f>(G304-H304)*'16-PlantAdditions'!$E$103</f>
        <v>0</v>
      </c>
      <c r="J304" s="63">
        <f t="shared" si="58"/>
        <v>0</v>
      </c>
      <c r="K304" s="63">
        <f t="shared" si="59"/>
        <v>0</v>
      </c>
    </row>
    <row r="305" spans="1:12" s="669" customFormat="1">
      <c r="A305" s="111">
        <f t="shared" si="56"/>
        <v>230</v>
      </c>
      <c r="B305" s="631" t="s">
        <v>186</v>
      </c>
      <c r="C305" s="632">
        <v>2019</v>
      </c>
      <c r="D305" s="1023">
        <v>0</v>
      </c>
      <c r="E305" s="63">
        <f>D305*'16-PlantAdditions'!$E$103</f>
        <v>0</v>
      </c>
      <c r="F305" s="63">
        <f t="shared" si="57"/>
        <v>0</v>
      </c>
      <c r="G305" s="1023">
        <v>0</v>
      </c>
      <c r="H305" s="1023">
        <v>0</v>
      </c>
      <c r="I305" s="63">
        <f>(G305-H305)*'16-PlantAdditions'!$E$103</f>
        <v>0</v>
      </c>
      <c r="J305" s="63">
        <f t="shared" si="58"/>
        <v>0</v>
      </c>
      <c r="K305" s="63">
        <f t="shared" si="59"/>
        <v>0</v>
      </c>
    </row>
    <row r="306" spans="1:12" s="669" customFormat="1">
      <c r="A306" s="111">
        <f t="shared" si="56"/>
        <v>231</v>
      </c>
      <c r="B306" s="634" t="s">
        <v>187</v>
      </c>
      <c r="C306" s="632">
        <v>2019</v>
      </c>
      <c r="D306" s="1023">
        <v>0</v>
      </c>
      <c r="E306" s="63">
        <f>D306*'16-PlantAdditions'!$E$103</f>
        <v>0</v>
      </c>
      <c r="F306" s="63">
        <f t="shared" si="57"/>
        <v>0</v>
      </c>
      <c r="G306" s="1023">
        <v>0</v>
      </c>
      <c r="H306" s="1023">
        <v>0</v>
      </c>
      <c r="I306" s="63">
        <f>(G306-H306)*'16-PlantAdditions'!$E$103</f>
        <v>0</v>
      </c>
      <c r="J306" s="63">
        <f t="shared" si="58"/>
        <v>0</v>
      </c>
      <c r="K306" s="63">
        <f t="shared" si="59"/>
        <v>0</v>
      </c>
    </row>
    <row r="307" spans="1:12" s="669" customFormat="1">
      <c r="A307" s="111">
        <f t="shared" si="56"/>
        <v>232</v>
      </c>
      <c r="B307" s="634" t="s">
        <v>188</v>
      </c>
      <c r="C307" s="632">
        <v>2019</v>
      </c>
      <c r="D307" s="1023">
        <v>0</v>
      </c>
      <c r="E307" s="63">
        <f>D307*'16-PlantAdditions'!$E$103</f>
        <v>0</v>
      </c>
      <c r="F307" s="63">
        <f t="shared" si="57"/>
        <v>0</v>
      </c>
      <c r="G307" s="1023">
        <v>0</v>
      </c>
      <c r="H307" s="1023">
        <v>0</v>
      </c>
      <c r="I307" s="63">
        <f>(G307-H307)*'16-PlantAdditions'!$E$103</f>
        <v>0</v>
      </c>
      <c r="J307" s="63">
        <f t="shared" si="58"/>
        <v>0</v>
      </c>
      <c r="K307" s="63">
        <f t="shared" si="59"/>
        <v>0</v>
      </c>
    </row>
    <row r="308" spans="1:12" s="669" customFormat="1">
      <c r="A308" s="111">
        <f t="shared" si="56"/>
        <v>233</v>
      </c>
      <c r="B308" s="634" t="s">
        <v>191</v>
      </c>
      <c r="C308" s="632">
        <v>2019</v>
      </c>
      <c r="D308" s="1023">
        <v>0</v>
      </c>
      <c r="E308" s="63">
        <f>D308*'16-PlantAdditions'!$E$103</f>
        <v>0</v>
      </c>
      <c r="F308" s="63">
        <f t="shared" ref="F308:F310" si="60">E308+D308</f>
        <v>0</v>
      </c>
      <c r="G308" s="1023">
        <v>0</v>
      </c>
      <c r="H308" s="1023">
        <v>0</v>
      </c>
      <c r="I308" s="63">
        <f>(G308-H308)*'16-PlantAdditions'!$E$103</f>
        <v>0</v>
      </c>
      <c r="J308" s="63">
        <f t="shared" ref="J308:J310" si="61">J307+F308-G308-I308</f>
        <v>0</v>
      </c>
      <c r="K308" s="63">
        <f t="shared" si="59"/>
        <v>0</v>
      </c>
    </row>
    <row r="309" spans="1:12" s="669" customFormat="1">
      <c r="A309" s="111">
        <f t="shared" si="56"/>
        <v>234</v>
      </c>
      <c r="B309" s="634" t="s">
        <v>190</v>
      </c>
      <c r="C309" s="632">
        <v>2019</v>
      </c>
      <c r="D309" s="1023">
        <v>0</v>
      </c>
      <c r="E309" s="63">
        <f>D309*'16-PlantAdditions'!$E$103</f>
        <v>0</v>
      </c>
      <c r="F309" s="63">
        <f t="shared" si="60"/>
        <v>0</v>
      </c>
      <c r="G309" s="1023">
        <v>0</v>
      </c>
      <c r="H309" s="1023">
        <v>0</v>
      </c>
      <c r="I309" s="63">
        <f>(G309-H309)*'16-PlantAdditions'!$E$103</f>
        <v>0</v>
      </c>
      <c r="J309" s="63">
        <f t="shared" si="61"/>
        <v>0</v>
      </c>
      <c r="K309" s="63">
        <f t="shared" si="59"/>
        <v>0</v>
      </c>
    </row>
    <row r="310" spans="1:12" s="669" customFormat="1">
      <c r="A310" s="111">
        <f t="shared" si="56"/>
        <v>235</v>
      </c>
      <c r="B310" s="634" t="s">
        <v>180</v>
      </c>
      <c r="C310" s="632">
        <v>2019</v>
      </c>
      <c r="D310" s="1023">
        <v>0</v>
      </c>
      <c r="E310" s="63">
        <f>D310*'16-PlantAdditions'!$E$103</f>
        <v>0</v>
      </c>
      <c r="F310" s="63">
        <f t="shared" si="60"/>
        <v>0</v>
      </c>
      <c r="G310" s="1023">
        <v>0</v>
      </c>
      <c r="H310" s="1023">
        <v>0</v>
      </c>
      <c r="I310" s="63">
        <f>(G310-H310)*'16-PlantAdditions'!$E$103</f>
        <v>0</v>
      </c>
      <c r="J310" s="63">
        <f t="shared" si="61"/>
        <v>0</v>
      </c>
      <c r="K310" s="112">
        <f t="shared" si="59"/>
        <v>0</v>
      </c>
    </row>
    <row r="311" spans="1:12" s="669" customFormat="1">
      <c r="A311" s="111">
        <f t="shared" si="56"/>
        <v>236</v>
      </c>
      <c r="B311"/>
      <c r="C311" s="668" t="s">
        <v>1625</v>
      </c>
      <c r="D311"/>
      <c r="E311"/>
      <c r="F311"/>
      <c r="G311"/>
      <c r="H311"/>
      <c r="I311"/>
      <c r="J311"/>
      <c r="K311" s="73">
        <f>AVERAGE(K298:K310)</f>
        <v>0</v>
      </c>
    </row>
    <row r="312" spans="1:12" s="669" customFormat="1">
      <c r="A312" s="111"/>
      <c r="B312"/>
      <c r="C312" s="668"/>
      <c r="D312"/>
      <c r="E312"/>
      <c r="F312"/>
      <c r="G312"/>
      <c r="H312"/>
      <c r="I312"/>
      <c r="J312"/>
      <c r="K312" s="73"/>
    </row>
    <row r="313" spans="1:12" s="669" customFormat="1">
      <c r="B313" s="670" t="s">
        <v>1963</v>
      </c>
      <c r="D313" s="1381" t="s">
        <v>2592</v>
      </c>
      <c r="E313" s="1381"/>
    </row>
    <row r="314" spans="1:12" s="669" customFormat="1">
      <c r="A314" s="664"/>
      <c r="B314" s="664"/>
      <c r="C314" s="664"/>
      <c r="D314" s="664" t="s">
        <v>360</v>
      </c>
      <c r="E314" s="664" t="s">
        <v>344</v>
      </c>
      <c r="F314" s="664" t="s">
        <v>345</v>
      </c>
      <c r="G314" s="664" t="s">
        <v>346</v>
      </c>
      <c r="H314" s="664" t="s">
        <v>347</v>
      </c>
      <c r="I314" s="664" t="s">
        <v>348</v>
      </c>
      <c r="J314" s="664" t="s">
        <v>349</v>
      </c>
      <c r="K314" s="664" t="s">
        <v>541</v>
      </c>
    </row>
    <row r="315" spans="1:12" s="669" customFormat="1" ht="26.4">
      <c r="D315" s="671"/>
      <c r="E315" s="672" t="s">
        <v>2091</v>
      </c>
      <c r="F315" s="673" t="s">
        <v>1950</v>
      </c>
      <c r="G315" s="543"/>
      <c r="H315" s="671"/>
      <c r="I315" s="672" t="s">
        <v>2092</v>
      </c>
      <c r="J315" s="672" t="s">
        <v>1951</v>
      </c>
      <c r="K315" s="672" t="s">
        <v>1952</v>
      </c>
    </row>
    <row r="316" spans="1:12" s="669" customFormat="1">
      <c r="D316" s="671"/>
      <c r="E316" s="671"/>
      <c r="F316" s="671"/>
      <c r="G316" s="571" t="str">
        <f>G51</f>
        <v>Unloaded</v>
      </c>
      <c r="H316" s="671"/>
      <c r="I316" s="671"/>
    </row>
    <row r="317" spans="1:12" s="669" customFormat="1">
      <c r="A317" s="666"/>
      <c r="B317" s="666"/>
      <c r="C317" s="666"/>
      <c r="D317" s="666" t="str">
        <f>D$52</f>
        <v>Forecast</v>
      </c>
      <c r="E317" s="666" t="str">
        <f t="shared" ref="E317:J317" si="62">E$52</f>
        <v>Corporate</v>
      </c>
      <c r="F317" s="666" t="str">
        <f t="shared" si="62"/>
        <v xml:space="preserve">Total </v>
      </c>
      <c r="G317" s="571" t="str">
        <f>G52</f>
        <v>Total</v>
      </c>
      <c r="H317" s="666" t="str">
        <f t="shared" si="62"/>
        <v>Prior Period</v>
      </c>
      <c r="I317" s="666" t="str">
        <f t="shared" si="62"/>
        <v>Over Heads</v>
      </c>
      <c r="J317" s="666" t="str">
        <f t="shared" si="62"/>
        <v>Forecast</v>
      </c>
      <c r="K317" s="571" t="str">
        <f>K$52</f>
        <v>Forecast Period</v>
      </c>
    </row>
    <row r="318" spans="1:12" s="669" customFormat="1">
      <c r="A318" s="865" t="s">
        <v>331</v>
      </c>
      <c r="B318" s="630" t="s">
        <v>192</v>
      </c>
      <c r="C318" s="630" t="s">
        <v>193</v>
      </c>
      <c r="D318" s="664" t="str">
        <f>D$53</f>
        <v>Expenditures</v>
      </c>
      <c r="E318" s="664" t="str">
        <f t="shared" ref="E318:J318" si="63">E$53</f>
        <v>Overheads</v>
      </c>
      <c r="F318" s="664" t="str">
        <f t="shared" si="63"/>
        <v>CWIP Exp</v>
      </c>
      <c r="G318" s="3" t="str">
        <f>G53</f>
        <v>Plant Adds</v>
      </c>
      <c r="H318" s="664" t="str">
        <f t="shared" si="63"/>
        <v>CWIP Closed</v>
      </c>
      <c r="I318" s="664" t="str">
        <f t="shared" si="63"/>
        <v>Closed to PIS</v>
      </c>
      <c r="J318" s="664" t="str">
        <f t="shared" si="63"/>
        <v>Period CWIP</v>
      </c>
      <c r="K318" s="664" t="str">
        <f>K$53</f>
        <v>Incremental CWIP</v>
      </c>
    </row>
    <row r="319" spans="1:12" s="669" customFormat="1">
      <c r="A319" s="111">
        <f>A311+1</f>
        <v>237</v>
      </c>
      <c r="B319" s="631" t="s">
        <v>180</v>
      </c>
      <c r="C319" s="632">
        <v>2017</v>
      </c>
      <c r="D319" s="673" t="s">
        <v>76</v>
      </c>
      <c r="E319" s="673" t="s">
        <v>76</v>
      </c>
      <c r="F319" s="673" t="s">
        <v>76</v>
      </c>
      <c r="G319" s="673" t="s">
        <v>76</v>
      </c>
      <c r="H319" s="673" t="s">
        <v>76</v>
      </c>
      <c r="I319" s="673" t="s">
        <v>76</v>
      </c>
      <c r="J319" s="63">
        <f>F45</f>
        <v>46788115.939999998</v>
      </c>
      <c r="K319" s="673" t="s">
        <v>76</v>
      </c>
    </row>
    <row r="320" spans="1:12" s="669" customFormat="1">
      <c r="A320" s="111">
        <f>A319+1</f>
        <v>238</v>
      </c>
      <c r="B320" s="631" t="s">
        <v>181</v>
      </c>
      <c r="C320" s="632">
        <v>2018</v>
      </c>
      <c r="D320" s="1023">
        <v>6150624.7251600064</v>
      </c>
      <c r="E320" s="63">
        <f>D320*'16-PlantAdditions'!$E$103</f>
        <v>461296.85438700049</v>
      </c>
      <c r="F320" s="63">
        <f>E320+D320</f>
        <v>6611921.5795470066</v>
      </c>
      <c r="G320" s="1023">
        <v>4835162.0016000001</v>
      </c>
      <c r="H320" s="1023">
        <v>4098416.9471999994</v>
      </c>
      <c r="I320" s="63">
        <f>(G320-H320)*'16-PlantAdditions'!$E$103</f>
        <v>55255.87908000005</v>
      </c>
      <c r="J320" s="63">
        <f>J319+F320-G320-I320</f>
        <v>48509619.638867006</v>
      </c>
      <c r="K320" s="63">
        <f>J320-$J$319</f>
        <v>1721503.6988670081</v>
      </c>
      <c r="L320" s="666"/>
    </row>
    <row r="321" spans="1:12" s="669" customFormat="1">
      <c r="A321" s="111">
        <f t="shared" ref="A321:A344" si="64">A320+1</f>
        <v>239</v>
      </c>
      <c r="B321" s="634" t="s">
        <v>182</v>
      </c>
      <c r="C321" s="632">
        <v>2018</v>
      </c>
      <c r="D321" s="1023">
        <v>6764841.5648300042</v>
      </c>
      <c r="E321" s="63">
        <f>D321*'16-PlantAdditions'!$E$103</f>
        <v>507363.11736225028</v>
      </c>
      <c r="F321" s="63">
        <f t="shared" ref="F321:F340" si="65">E321+D321</f>
        <v>7272204.6821922548</v>
      </c>
      <c r="G321" s="1023">
        <v>716614.37999999966</v>
      </c>
      <c r="H321" s="1023">
        <v>0</v>
      </c>
      <c r="I321" s="63">
        <f>(G321-H321)*'16-PlantAdditions'!$E$103</f>
        <v>53746.078499999974</v>
      </c>
      <c r="J321" s="63">
        <f t="shared" ref="J321:J340" si="66">J320+F321-G321-I321</f>
        <v>55011463.862559251</v>
      </c>
      <c r="K321" s="63">
        <f t="shared" ref="K321:K343" si="67">J321-$J$319</f>
        <v>8223347.9225592539</v>
      </c>
      <c r="L321" s="666"/>
    </row>
    <row r="322" spans="1:12" s="669" customFormat="1">
      <c r="A322" s="111">
        <f t="shared" si="64"/>
        <v>240</v>
      </c>
      <c r="B322" s="634" t="s">
        <v>195</v>
      </c>
      <c r="C322" s="632">
        <v>2018</v>
      </c>
      <c r="D322" s="1023">
        <v>6728747.118437971</v>
      </c>
      <c r="E322" s="63">
        <f>D322*'16-PlantAdditions'!$E$103</f>
        <v>504656.03388284781</v>
      </c>
      <c r="F322" s="63">
        <f t="shared" si="65"/>
        <v>7233403.152320819</v>
      </c>
      <c r="G322" s="1023">
        <v>428364.69119999994</v>
      </c>
      <c r="H322" s="1023">
        <v>0</v>
      </c>
      <c r="I322" s="63">
        <f>(G322-H322)*'16-PlantAdditions'!$E$103</f>
        <v>32127.351839999996</v>
      </c>
      <c r="J322" s="63">
        <f t="shared" si="66"/>
        <v>61784374.971840069</v>
      </c>
      <c r="K322" s="63">
        <f t="shared" si="67"/>
        <v>14996259.031840071</v>
      </c>
      <c r="L322" s="666"/>
    </row>
    <row r="323" spans="1:12" s="669" customFormat="1">
      <c r="A323" s="111">
        <f t="shared" si="64"/>
        <v>241</v>
      </c>
      <c r="B323" s="631" t="s">
        <v>183</v>
      </c>
      <c r="C323" s="632">
        <v>2018</v>
      </c>
      <c r="D323" s="1023">
        <v>2637958.1582040256</v>
      </c>
      <c r="E323" s="63">
        <f>D323*'16-PlantAdditions'!$E$103</f>
        <v>197846.86186530191</v>
      </c>
      <c r="F323" s="63">
        <f t="shared" si="65"/>
        <v>2835805.0200693277</v>
      </c>
      <c r="G323" s="1023">
        <v>36000</v>
      </c>
      <c r="H323" s="1023">
        <v>0</v>
      </c>
      <c r="I323" s="63">
        <f>(G323-H323)*'16-PlantAdditions'!$E$103</f>
        <v>2700</v>
      </c>
      <c r="J323" s="63">
        <f t="shared" si="66"/>
        <v>64581479.9919094</v>
      </c>
      <c r="K323" s="63">
        <f t="shared" si="67"/>
        <v>17793364.051909402</v>
      </c>
      <c r="L323" s="664"/>
    </row>
    <row r="324" spans="1:12" s="669" customFormat="1">
      <c r="A324" s="111">
        <f t="shared" si="64"/>
        <v>242</v>
      </c>
      <c r="B324" s="634" t="s">
        <v>184</v>
      </c>
      <c r="C324" s="632">
        <v>2018</v>
      </c>
      <c r="D324" s="1023">
        <v>7602991.4540854283</v>
      </c>
      <c r="E324" s="63">
        <f>D324*'16-PlantAdditions'!$E$103</f>
        <v>570224.35905640712</v>
      </c>
      <c r="F324" s="63">
        <f t="shared" si="65"/>
        <v>8173215.8131418359</v>
      </c>
      <c r="G324" s="1023">
        <v>0</v>
      </c>
      <c r="H324" s="1023">
        <v>0</v>
      </c>
      <c r="I324" s="63">
        <f>(G324-H324)*'16-PlantAdditions'!$E$103</f>
        <v>0</v>
      </c>
      <c r="J324" s="63">
        <f t="shared" si="66"/>
        <v>72754695.805051237</v>
      </c>
      <c r="K324" s="63">
        <f t="shared" si="67"/>
        <v>25966579.86505124</v>
      </c>
    </row>
    <row r="325" spans="1:12" s="669" customFormat="1">
      <c r="A325" s="111">
        <f t="shared" si="64"/>
        <v>243</v>
      </c>
      <c r="B325" s="634" t="s">
        <v>1477</v>
      </c>
      <c r="C325" s="632">
        <v>2018</v>
      </c>
      <c r="D325" s="1023">
        <v>9514013.2149350662</v>
      </c>
      <c r="E325" s="63">
        <f>D325*'16-PlantAdditions'!$E$103</f>
        <v>713550.99112012994</v>
      </c>
      <c r="F325" s="63">
        <f t="shared" si="65"/>
        <v>10227564.206055196</v>
      </c>
      <c r="G325" s="1023">
        <v>0</v>
      </c>
      <c r="H325" s="1023">
        <v>0</v>
      </c>
      <c r="I325" s="63">
        <f>(G325-H325)*'16-PlantAdditions'!$E$103</f>
        <v>0</v>
      </c>
      <c r="J325" s="63">
        <f t="shared" si="66"/>
        <v>82982260.011106431</v>
      </c>
      <c r="K325" s="63">
        <f t="shared" si="67"/>
        <v>36194144.071106434</v>
      </c>
    </row>
    <row r="326" spans="1:12" s="669" customFormat="1">
      <c r="A326" s="111">
        <f t="shared" si="64"/>
        <v>244</v>
      </c>
      <c r="B326" s="631" t="s">
        <v>186</v>
      </c>
      <c r="C326" s="632">
        <v>2018</v>
      </c>
      <c r="D326" s="1023">
        <v>4760538.4822819205</v>
      </c>
      <c r="E326" s="63">
        <f>D326*'16-PlantAdditions'!$E$103</f>
        <v>357040.38617114403</v>
      </c>
      <c r="F326" s="63">
        <f t="shared" si="65"/>
        <v>5117578.8684530649</v>
      </c>
      <c r="G326" s="1023">
        <v>0</v>
      </c>
      <c r="H326" s="1023">
        <v>0</v>
      </c>
      <c r="I326" s="63">
        <f>(G326-H326)*'16-PlantAdditions'!$E$103</f>
        <v>0</v>
      </c>
      <c r="J326" s="63">
        <f t="shared" si="66"/>
        <v>88099838.879559502</v>
      </c>
      <c r="K326" s="63">
        <f t="shared" si="67"/>
        <v>41311722.939559504</v>
      </c>
    </row>
    <row r="327" spans="1:12" s="669" customFormat="1">
      <c r="A327" s="111">
        <f t="shared" si="64"/>
        <v>245</v>
      </c>
      <c r="B327" s="634" t="s">
        <v>187</v>
      </c>
      <c r="C327" s="632">
        <v>2018</v>
      </c>
      <c r="D327" s="1023">
        <v>7813914.9122097539</v>
      </c>
      <c r="E327" s="63">
        <f>D327*'16-PlantAdditions'!$E$103</f>
        <v>586043.61841573147</v>
      </c>
      <c r="F327" s="63">
        <f t="shared" si="65"/>
        <v>8399958.5306254849</v>
      </c>
      <c r="G327" s="1023">
        <v>0</v>
      </c>
      <c r="H327" s="1023">
        <v>0</v>
      </c>
      <c r="I327" s="63">
        <f>(G327-H327)*'16-PlantAdditions'!$E$103</f>
        <v>0</v>
      </c>
      <c r="J327" s="63">
        <f t="shared" si="66"/>
        <v>96499797.410184979</v>
      </c>
      <c r="K327" s="63">
        <f t="shared" si="67"/>
        <v>49711681.470184982</v>
      </c>
    </row>
    <row r="328" spans="1:12" s="669" customFormat="1">
      <c r="A328" s="111">
        <f t="shared" si="64"/>
        <v>246</v>
      </c>
      <c r="B328" s="634" t="s">
        <v>188</v>
      </c>
      <c r="C328" s="632">
        <v>2018</v>
      </c>
      <c r="D328" s="1023">
        <v>4860922.1068712259</v>
      </c>
      <c r="E328" s="63">
        <f>D328*'16-PlantAdditions'!$E$103</f>
        <v>364569.15801534191</v>
      </c>
      <c r="F328" s="63">
        <f t="shared" si="65"/>
        <v>5225491.2648865674</v>
      </c>
      <c r="G328" s="1023">
        <v>0</v>
      </c>
      <c r="H328" s="1023">
        <v>0</v>
      </c>
      <c r="I328" s="63">
        <f>(G328-H328)*'16-PlantAdditions'!$E$103</f>
        <v>0</v>
      </c>
      <c r="J328" s="63">
        <f t="shared" si="66"/>
        <v>101725288.67507155</v>
      </c>
      <c r="K328" s="63">
        <f t="shared" si="67"/>
        <v>54937172.735071555</v>
      </c>
    </row>
    <row r="329" spans="1:12" s="669" customFormat="1">
      <c r="A329" s="111">
        <f t="shared" si="64"/>
        <v>247</v>
      </c>
      <c r="B329" s="631" t="s">
        <v>191</v>
      </c>
      <c r="C329" s="632">
        <v>2018</v>
      </c>
      <c r="D329" s="1023">
        <v>5232286.1741804592</v>
      </c>
      <c r="E329" s="63">
        <f>D329*'16-PlantAdditions'!$E$103</f>
        <v>392421.46306353441</v>
      </c>
      <c r="F329" s="63">
        <f t="shared" si="65"/>
        <v>5624707.6372439936</v>
      </c>
      <c r="G329" s="1023">
        <v>0</v>
      </c>
      <c r="H329" s="1023">
        <v>0</v>
      </c>
      <c r="I329" s="63">
        <f>(G329-H329)*'16-PlantAdditions'!$E$103</f>
        <v>0</v>
      </c>
      <c r="J329" s="63">
        <f t="shared" si="66"/>
        <v>107349996.31231555</v>
      </c>
      <c r="K329" s="63">
        <f t="shared" si="67"/>
        <v>60561880.372315556</v>
      </c>
    </row>
    <row r="330" spans="1:12" s="669" customFormat="1">
      <c r="A330" s="111">
        <f t="shared" si="64"/>
        <v>248</v>
      </c>
      <c r="B330" s="631" t="s">
        <v>190</v>
      </c>
      <c r="C330" s="632">
        <v>2018</v>
      </c>
      <c r="D330" s="1023">
        <v>3062452.8605415537</v>
      </c>
      <c r="E330" s="63">
        <f>D330*'16-PlantAdditions'!$E$103</f>
        <v>229683.96454061652</v>
      </c>
      <c r="F330" s="63">
        <f t="shared" si="65"/>
        <v>3292136.8250821703</v>
      </c>
      <c r="G330" s="1023">
        <v>0</v>
      </c>
      <c r="H330" s="1023">
        <v>0</v>
      </c>
      <c r="I330" s="63">
        <f>(G330-H330)*'16-PlantAdditions'!$E$103</f>
        <v>0</v>
      </c>
      <c r="J330" s="63">
        <f t="shared" si="66"/>
        <v>110642133.13739772</v>
      </c>
      <c r="K330" s="63">
        <f t="shared" si="67"/>
        <v>63854017.197397724</v>
      </c>
    </row>
    <row r="331" spans="1:12" s="669" customFormat="1">
      <c r="A331" s="111">
        <f t="shared" si="64"/>
        <v>249</v>
      </c>
      <c r="B331" s="631" t="s">
        <v>180</v>
      </c>
      <c r="C331" s="632">
        <v>2018</v>
      </c>
      <c r="D331" s="1023">
        <v>4668878.1724084513</v>
      </c>
      <c r="E331" s="63">
        <f>D331*'16-PlantAdditions'!$E$103</f>
        <v>350165.86293063383</v>
      </c>
      <c r="F331" s="63">
        <f t="shared" si="65"/>
        <v>5019044.0353390854</v>
      </c>
      <c r="G331" s="1023">
        <v>23755.014288000231</v>
      </c>
      <c r="H331" s="1023">
        <v>0</v>
      </c>
      <c r="I331" s="63">
        <f>(G331-H331)*'16-PlantAdditions'!$E$103</f>
        <v>1781.6260716000172</v>
      </c>
      <c r="J331" s="63">
        <f t="shared" si="66"/>
        <v>115635640.53237721</v>
      </c>
      <c r="K331" s="63">
        <f t="shared" si="67"/>
        <v>68847524.592377216</v>
      </c>
    </row>
    <row r="332" spans="1:12" s="669" customFormat="1">
      <c r="A332" s="111">
        <f t="shared" si="64"/>
        <v>250</v>
      </c>
      <c r="B332" s="631" t="s">
        <v>181</v>
      </c>
      <c r="C332" s="632">
        <v>2019</v>
      </c>
      <c r="D332" s="1023">
        <v>5133735.8804469276</v>
      </c>
      <c r="E332" s="63">
        <f>D332*'16-PlantAdditions'!$E$103</f>
        <v>385030.19103351957</v>
      </c>
      <c r="F332" s="63">
        <f t="shared" si="65"/>
        <v>5518766.0714804474</v>
      </c>
      <c r="G332" s="1023">
        <v>0</v>
      </c>
      <c r="H332" s="1023">
        <v>0</v>
      </c>
      <c r="I332" s="63">
        <f>(G332-H332)*'16-PlantAdditions'!$E$103</f>
        <v>0</v>
      </c>
      <c r="J332" s="63">
        <f t="shared" si="66"/>
        <v>121154406.60385767</v>
      </c>
      <c r="K332" s="63">
        <f t="shared" si="67"/>
        <v>74366290.663857669</v>
      </c>
    </row>
    <row r="333" spans="1:12" s="669" customFormat="1">
      <c r="A333" s="111">
        <f t="shared" si="64"/>
        <v>251</v>
      </c>
      <c r="B333" s="634" t="s">
        <v>182</v>
      </c>
      <c r="C333" s="632">
        <v>2019</v>
      </c>
      <c r="D333" s="1023">
        <v>11785379.758468928</v>
      </c>
      <c r="E333" s="63">
        <f>D333*'16-PlantAdditions'!$E$103</f>
        <v>883903.48188516952</v>
      </c>
      <c r="F333" s="63">
        <f t="shared" si="65"/>
        <v>12669283.240354097</v>
      </c>
      <c r="G333" s="1023">
        <v>0</v>
      </c>
      <c r="H333" s="1023">
        <v>0</v>
      </c>
      <c r="I333" s="63">
        <f>(G333-H333)*'16-PlantAdditions'!$E$103</f>
        <v>0</v>
      </c>
      <c r="J333" s="63">
        <f t="shared" si="66"/>
        <v>133823689.84421176</v>
      </c>
      <c r="K333" s="63">
        <f t="shared" si="67"/>
        <v>87035573.90421176</v>
      </c>
    </row>
    <row r="334" spans="1:12" s="669" customFormat="1">
      <c r="A334" s="111">
        <f t="shared" si="64"/>
        <v>252</v>
      </c>
      <c r="B334" s="634" t="s">
        <v>195</v>
      </c>
      <c r="C334" s="632">
        <v>2019</v>
      </c>
      <c r="D334" s="1023">
        <v>7424714.7980069276</v>
      </c>
      <c r="E334" s="63">
        <f>D334*'16-PlantAdditions'!$E$103</f>
        <v>556853.60985051957</v>
      </c>
      <c r="F334" s="63">
        <f t="shared" si="65"/>
        <v>7981568.4078574469</v>
      </c>
      <c r="G334" s="1023">
        <v>0</v>
      </c>
      <c r="H334" s="1023">
        <v>0</v>
      </c>
      <c r="I334" s="63">
        <f>(G334-H334)*'16-PlantAdditions'!$E$103</f>
        <v>0</v>
      </c>
      <c r="J334" s="63">
        <f>J333+F334-G334-I334</f>
        <v>141805258.25206921</v>
      </c>
      <c r="K334" s="63">
        <f t="shared" si="67"/>
        <v>95017142.312069207</v>
      </c>
    </row>
    <row r="335" spans="1:12" s="669" customFormat="1">
      <c r="A335" s="111">
        <f t="shared" si="64"/>
        <v>253</v>
      </c>
      <c r="B335" s="631" t="s">
        <v>183</v>
      </c>
      <c r="C335" s="632">
        <v>2019</v>
      </c>
      <c r="D335" s="1023">
        <v>4022696.5530957235</v>
      </c>
      <c r="E335" s="63">
        <f>D335*'16-PlantAdditions'!$E$103</f>
        <v>301702.24148217926</v>
      </c>
      <c r="F335" s="63">
        <f t="shared" si="65"/>
        <v>4324398.7945779031</v>
      </c>
      <c r="G335" s="1023">
        <v>0</v>
      </c>
      <c r="H335" s="1023">
        <v>0</v>
      </c>
      <c r="I335" s="63">
        <f>(G335-H335)*'16-PlantAdditions'!$E$103</f>
        <v>0</v>
      </c>
      <c r="J335" s="63">
        <f t="shared" si="66"/>
        <v>146129657.0466471</v>
      </c>
      <c r="K335" s="63">
        <f t="shared" si="67"/>
        <v>99341541.106647104</v>
      </c>
    </row>
    <row r="336" spans="1:12" s="669" customFormat="1">
      <c r="A336" s="111">
        <f t="shared" si="64"/>
        <v>254</v>
      </c>
      <c r="B336" s="634" t="s">
        <v>184</v>
      </c>
      <c r="C336" s="632">
        <v>2019</v>
      </c>
      <c r="D336" s="1023">
        <v>3957356.2278797245</v>
      </c>
      <c r="E336" s="63">
        <f>D336*'16-PlantAdditions'!$E$103</f>
        <v>296801.71709097933</v>
      </c>
      <c r="F336" s="63">
        <f t="shared" si="65"/>
        <v>4254157.9449707037</v>
      </c>
      <c r="G336" s="1023">
        <v>0</v>
      </c>
      <c r="H336" s="1023">
        <v>0</v>
      </c>
      <c r="I336" s="63">
        <f>(G336-H336)*'16-PlantAdditions'!$E$103</f>
        <v>0</v>
      </c>
      <c r="J336" s="63">
        <f t="shared" si="66"/>
        <v>150383814.9916178</v>
      </c>
      <c r="K336" s="63">
        <f t="shared" si="67"/>
        <v>103595699.0516178</v>
      </c>
    </row>
    <row r="337" spans="1:11" s="669" customFormat="1">
      <c r="A337" s="111">
        <f t="shared" si="64"/>
        <v>255</v>
      </c>
      <c r="B337" s="634" t="s">
        <v>1477</v>
      </c>
      <c r="C337" s="632">
        <v>2019</v>
      </c>
      <c r="D337" s="1023">
        <v>4386910.7519597234</v>
      </c>
      <c r="E337" s="63">
        <f>D337*'16-PlantAdditions'!$E$103</f>
        <v>329018.30639697926</v>
      </c>
      <c r="F337" s="63">
        <f t="shared" si="65"/>
        <v>4715929.0583567023</v>
      </c>
      <c r="G337" s="1023">
        <v>0</v>
      </c>
      <c r="H337" s="1023">
        <v>0</v>
      </c>
      <c r="I337" s="63">
        <f>(G337-H337)*'16-PlantAdditions'!$E$103</f>
        <v>0</v>
      </c>
      <c r="J337" s="63">
        <f t="shared" si="66"/>
        <v>155099744.0499745</v>
      </c>
      <c r="K337" s="63">
        <f t="shared" si="67"/>
        <v>108311628.1099745</v>
      </c>
    </row>
    <row r="338" spans="1:11" s="669" customFormat="1">
      <c r="A338" s="111">
        <f t="shared" si="64"/>
        <v>256</v>
      </c>
      <c r="B338" s="631" t="s">
        <v>186</v>
      </c>
      <c r="C338" s="632">
        <v>2019</v>
      </c>
      <c r="D338" s="1023">
        <v>5763632.1158857271</v>
      </c>
      <c r="E338" s="63">
        <f>D338*'16-PlantAdditions'!$E$103</f>
        <v>432272.40869142953</v>
      </c>
      <c r="F338" s="63">
        <f t="shared" si="65"/>
        <v>6195904.5245771566</v>
      </c>
      <c r="G338" s="1023">
        <v>0</v>
      </c>
      <c r="H338" s="1023">
        <v>0</v>
      </c>
      <c r="I338" s="63">
        <f>(G338-H338)*'16-PlantAdditions'!$E$103</f>
        <v>0</v>
      </c>
      <c r="J338" s="63">
        <f t="shared" si="66"/>
        <v>161295648.57455167</v>
      </c>
      <c r="K338" s="63">
        <f t="shared" si="67"/>
        <v>114507532.63455167</v>
      </c>
    </row>
    <row r="339" spans="1:11" s="669" customFormat="1">
      <c r="A339" s="111">
        <f t="shared" si="64"/>
        <v>257</v>
      </c>
      <c r="B339" s="634" t="s">
        <v>187</v>
      </c>
      <c r="C339" s="632">
        <v>2019</v>
      </c>
      <c r="D339" s="1023">
        <v>6352933.1061144127</v>
      </c>
      <c r="E339" s="63">
        <f>D339*'16-PlantAdditions'!$E$103</f>
        <v>476469.98295858095</v>
      </c>
      <c r="F339" s="63">
        <f t="shared" si="65"/>
        <v>6829403.089072994</v>
      </c>
      <c r="G339" s="1023">
        <v>0</v>
      </c>
      <c r="H339" s="1023">
        <v>0</v>
      </c>
      <c r="I339" s="63">
        <f>(G339-H339)*'16-PlantAdditions'!$E$103</f>
        <v>0</v>
      </c>
      <c r="J339" s="63">
        <f t="shared" si="66"/>
        <v>168125051.66362467</v>
      </c>
      <c r="K339" s="63">
        <f t="shared" si="67"/>
        <v>121336935.72362468</v>
      </c>
    </row>
    <row r="340" spans="1:11" s="669" customFormat="1">
      <c r="A340" s="111">
        <f t="shared" si="64"/>
        <v>258</v>
      </c>
      <c r="B340" s="634" t="s">
        <v>188</v>
      </c>
      <c r="C340" s="632">
        <v>2019</v>
      </c>
      <c r="D340" s="1023">
        <v>8352168.5186073864</v>
      </c>
      <c r="E340" s="63">
        <f>D340*'16-PlantAdditions'!$E$103</f>
        <v>626412.638895554</v>
      </c>
      <c r="F340" s="63">
        <f t="shared" si="65"/>
        <v>8978581.1575029399</v>
      </c>
      <c r="G340" s="1023">
        <v>0</v>
      </c>
      <c r="H340" s="1023">
        <v>0</v>
      </c>
      <c r="I340" s="63">
        <f>(G340-H340)*'16-PlantAdditions'!$E$103</f>
        <v>0</v>
      </c>
      <c r="J340" s="63">
        <f t="shared" si="66"/>
        <v>177103632.82112762</v>
      </c>
      <c r="K340" s="63">
        <f t="shared" si="67"/>
        <v>130315516.88112763</v>
      </c>
    </row>
    <row r="341" spans="1:11" s="669" customFormat="1">
      <c r="A341" s="111">
        <f t="shared" si="64"/>
        <v>259</v>
      </c>
      <c r="B341" s="634" t="s">
        <v>191</v>
      </c>
      <c r="C341" s="632">
        <v>2019</v>
      </c>
      <c r="D341" s="1023">
        <v>3995869.764987723</v>
      </c>
      <c r="E341" s="63">
        <f>D341*'16-PlantAdditions'!$E$103</f>
        <v>299690.23237407923</v>
      </c>
      <c r="F341" s="63">
        <f t="shared" ref="F341:F343" si="68">E341+D341</f>
        <v>4295559.9973618025</v>
      </c>
      <c r="G341" s="1023">
        <v>0</v>
      </c>
      <c r="H341" s="1023">
        <v>0</v>
      </c>
      <c r="I341" s="63">
        <f>(G341-H341)*'16-PlantAdditions'!$E$103</f>
        <v>0</v>
      </c>
      <c r="J341" s="63">
        <f t="shared" ref="J341:J343" si="69">J340+F341-G341-I341</f>
        <v>181399192.81848943</v>
      </c>
      <c r="K341" s="63">
        <f t="shared" si="67"/>
        <v>134611076.87848943</v>
      </c>
    </row>
    <row r="342" spans="1:11" s="669" customFormat="1">
      <c r="A342" s="111">
        <f t="shared" si="64"/>
        <v>260</v>
      </c>
      <c r="B342" s="634" t="s">
        <v>190</v>
      </c>
      <c r="C342" s="632">
        <v>2019</v>
      </c>
      <c r="D342" s="1023">
        <v>14262524.372708354</v>
      </c>
      <c r="E342" s="63">
        <f>D342*'16-PlantAdditions'!$E$103</f>
        <v>1069689.3279531265</v>
      </c>
      <c r="F342" s="63">
        <f t="shared" si="68"/>
        <v>15332213.70066148</v>
      </c>
      <c r="G342" s="1023">
        <v>0</v>
      </c>
      <c r="H342" s="1023">
        <v>0</v>
      </c>
      <c r="I342" s="63">
        <f>(G342-H342)*'16-PlantAdditions'!$E$103</f>
        <v>0</v>
      </c>
      <c r="J342" s="63">
        <f t="shared" si="69"/>
        <v>196731406.51915091</v>
      </c>
      <c r="K342" s="63">
        <f t="shared" si="67"/>
        <v>149943290.57915092</v>
      </c>
    </row>
    <row r="343" spans="1:11" s="669" customFormat="1">
      <c r="A343" s="111">
        <f t="shared" si="64"/>
        <v>261</v>
      </c>
      <c r="B343" s="634" t="s">
        <v>180</v>
      </c>
      <c r="C343" s="632">
        <v>2019</v>
      </c>
      <c r="D343" s="1023">
        <v>9312567.7527164258</v>
      </c>
      <c r="E343" s="63">
        <f>D343*'16-PlantAdditions'!$E$103</f>
        <v>698442.58145373187</v>
      </c>
      <c r="F343" s="63">
        <f t="shared" si="68"/>
        <v>10011010.334170157</v>
      </c>
      <c r="G343" s="1023">
        <v>4179168.2611999996</v>
      </c>
      <c r="H343" s="1023">
        <v>2531642.4799999995</v>
      </c>
      <c r="I343" s="63">
        <f>(G343-H343)*'16-PlantAdditions'!$E$103</f>
        <v>123564.43359</v>
      </c>
      <c r="J343" s="63">
        <f t="shared" si="69"/>
        <v>202439684.15853107</v>
      </c>
      <c r="K343" s="112">
        <f t="shared" si="67"/>
        <v>155651568.21853107</v>
      </c>
    </row>
    <row r="344" spans="1:11" s="669" customFormat="1">
      <c r="A344" s="111">
        <f t="shared" si="64"/>
        <v>262</v>
      </c>
      <c r="B344"/>
      <c r="C344" s="668" t="s">
        <v>1625</v>
      </c>
      <c r="D344"/>
      <c r="E344"/>
      <c r="F344"/>
      <c r="G344"/>
      <c r="H344"/>
      <c r="I344"/>
      <c r="J344"/>
      <c r="K344" s="73">
        <f>AVERAGE(K331:K343)</f>
        <v>110990870.81971005</v>
      </c>
    </row>
    <row r="345" spans="1:11" s="669" customFormat="1">
      <c r="A345" s="111"/>
      <c r="B345"/>
      <c r="C345" s="668"/>
      <c r="D345"/>
      <c r="E345"/>
      <c r="F345"/>
      <c r="G345"/>
      <c r="H345"/>
      <c r="I345"/>
      <c r="J345"/>
      <c r="K345" s="73"/>
    </row>
    <row r="346" spans="1:11" s="669" customFormat="1">
      <c r="B346" s="670" t="s">
        <v>1965</v>
      </c>
      <c r="D346" s="1381" t="s">
        <v>2593</v>
      </c>
      <c r="E346" s="1381"/>
    </row>
    <row r="347" spans="1:11" s="669" customFormat="1">
      <c r="B347" s="670"/>
      <c r="D347" s="664" t="s">
        <v>360</v>
      </c>
      <c r="E347" s="664" t="s">
        <v>344</v>
      </c>
      <c r="F347" s="664" t="s">
        <v>345</v>
      </c>
      <c r="G347" s="664" t="s">
        <v>346</v>
      </c>
      <c r="H347" s="664" t="s">
        <v>347</v>
      </c>
      <c r="I347" s="664" t="s">
        <v>348</v>
      </c>
      <c r="J347" s="664" t="s">
        <v>349</v>
      </c>
      <c r="K347" s="664" t="s">
        <v>541</v>
      </c>
    </row>
    <row r="348" spans="1:11" s="669" customFormat="1" ht="26.4">
      <c r="B348" s="670"/>
      <c r="D348" s="671"/>
      <c r="E348" s="672" t="s">
        <v>2091</v>
      </c>
      <c r="F348" s="673" t="s">
        <v>1950</v>
      </c>
      <c r="G348" s="543"/>
      <c r="H348" s="671"/>
      <c r="I348" s="672" t="s">
        <v>2092</v>
      </c>
      <c r="J348" s="672" t="s">
        <v>1951</v>
      </c>
      <c r="K348" s="672" t="s">
        <v>1952</v>
      </c>
    </row>
    <row r="349" spans="1:11" s="669" customFormat="1">
      <c r="D349" s="671"/>
      <c r="E349" s="671"/>
      <c r="F349" s="671"/>
      <c r="G349" s="571" t="str">
        <f>G51</f>
        <v>Unloaded</v>
      </c>
      <c r="H349" s="671"/>
      <c r="I349" s="671"/>
    </row>
    <row r="350" spans="1:11" s="669" customFormat="1">
      <c r="A350" s="666"/>
      <c r="B350" s="666"/>
      <c r="C350" s="666"/>
      <c r="D350" s="666" t="str">
        <f>D$52</f>
        <v>Forecast</v>
      </c>
      <c r="E350" s="666" t="str">
        <f t="shared" ref="E350:J350" si="70">E$52</f>
        <v>Corporate</v>
      </c>
      <c r="F350" s="666" t="str">
        <f t="shared" si="70"/>
        <v xml:space="preserve">Total </v>
      </c>
      <c r="G350" s="571" t="str">
        <f>G52</f>
        <v>Total</v>
      </c>
      <c r="H350" s="666" t="str">
        <f t="shared" si="70"/>
        <v>Prior Period</v>
      </c>
      <c r="I350" s="666" t="str">
        <f t="shared" si="70"/>
        <v>Over Heads</v>
      </c>
      <c r="J350" s="666" t="str">
        <f t="shared" si="70"/>
        <v>Forecast</v>
      </c>
      <c r="K350" s="571" t="str">
        <f>K$52</f>
        <v>Forecast Period</v>
      </c>
    </row>
    <row r="351" spans="1:11" s="669" customFormat="1">
      <c r="A351" s="865" t="s">
        <v>331</v>
      </c>
      <c r="B351" s="630" t="s">
        <v>192</v>
      </c>
      <c r="C351" s="630" t="s">
        <v>193</v>
      </c>
      <c r="D351" s="664" t="str">
        <f>D$53</f>
        <v>Expenditures</v>
      </c>
      <c r="E351" s="664" t="str">
        <f t="shared" ref="E351:J351" si="71">E$53</f>
        <v>Overheads</v>
      </c>
      <c r="F351" s="664" t="str">
        <f t="shared" si="71"/>
        <v>CWIP Exp</v>
      </c>
      <c r="G351" s="125" t="str">
        <f>G53</f>
        <v>Plant Adds</v>
      </c>
      <c r="H351" s="664" t="str">
        <f t="shared" si="71"/>
        <v>CWIP Closed</v>
      </c>
      <c r="I351" s="664" t="str">
        <f t="shared" si="71"/>
        <v>Closed to PIS</v>
      </c>
      <c r="J351" s="664" t="str">
        <f t="shared" si="71"/>
        <v>Period CWIP</v>
      </c>
      <c r="K351" s="664" t="str">
        <f>K$53</f>
        <v>Incremental CWIP</v>
      </c>
    </row>
    <row r="352" spans="1:11" s="669" customFormat="1">
      <c r="A352" s="111">
        <f>A344+1</f>
        <v>263</v>
      </c>
      <c r="B352" s="631" t="s">
        <v>180</v>
      </c>
      <c r="C352" s="632">
        <v>2017</v>
      </c>
      <c r="D352" s="673" t="s">
        <v>76</v>
      </c>
      <c r="E352" s="673" t="s">
        <v>76</v>
      </c>
      <c r="F352" s="673" t="s">
        <v>76</v>
      </c>
      <c r="G352" s="673" t="s">
        <v>76</v>
      </c>
      <c r="H352" s="673" t="s">
        <v>76</v>
      </c>
      <c r="I352" s="673" t="s">
        <v>76</v>
      </c>
      <c r="J352" s="63">
        <f>G45</f>
        <v>36155802.810000002</v>
      </c>
      <c r="K352" s="673" t="s">
        <v>76</v>
      </c>
    </row>
    <row r="353" spans="1:11" s="669" customFormat="1">
      <c r="A353" s="111">
        <f>A352+1</f>
        <v>264</v>
      </c>
      <c r="B353" s="631" t="s">
        <v>181</v>
      </c>
      <c r="C353" s="632">
        <v>2018</v>
      </c>
      <c r="D353" s="1023">
        <v>15724.8</v>
      </c>
      <c r="E353" s="63">
        <f>D353*'16-PlantAdditions'!$E$103</f>
        <v>1179.3599999999999</v>
      </c>
      <c r="F353" s="63">
        <f>E353+D353</f>
        <v>16904.16</v>
      </c>
      <c r="G353" s="1023">
        <v>0</v>
      </c>
      <c r="H353" s="1023">
        <v>0</v>
      </c>
      <c r="I353" s="63">
        <f>(G353-H353)*'16-PlantAdditions'!$E$103</f>
        <v>0</v>
      </c>
      <c r="J353" s="63">
        <f>J352+F353-G353-I353</f>
        <v>36172706.969999999</v>
      </c>
      <c r="K353" s="63">
        <f>J353-$J$352</f>
        <v>16904.159999996424</v>
      </c>
    </row>
    <row r="354" spans="1:11" s="669" customFormat="1">
      <c r="A354" s="111">
        <f t="shared" ref="A354:A377" si="72">A353+1</f>
        <v>265</v>
      </c>
      <c r="B354" s="634" t="s">
        <v>182</v>
      </c>
      <c r="C354" s="632">
        <v>2018</v>
      </c>
      <c r="D354" s="1023">
        <v>39608.180000000008</v>
      </c>
      <c r="E354" s="63">
        <f>D354*'16-PlantAdditions'!$E$103</f>
        <v>2970.6135000000004</v>
      </c>
      <c r="F354" s="63">
        <f t="shared" ref="F354:F373" si="73">E354+D354</f>
        <v>42578.793500000007</v>
      </c>
      <c r="G354" s="1023">
        <v>0</v>
      </c>
      <c r="H354" s="1023">
        <v>0</v>
      </c>
      <c r="I354" s="63">
        <f>(G354-H354)*'16-PlantAdditions'!$E$103</f>
        <v>0</v>
      </c>
      <c r="J354" s="63">
        <f t="shared" ref="J354:J373" si="74">J353+F354-G354-I354</f>
        <v>36215285.763499998</v>
      </c>
      <c r="K354" s="63">
        <f t="shared" ref="K354:K376" si="75">J354-$J$352</f>
        <v>59482.953499995172</v>
      </c>
    </row>
    <row r="355" spans="1:11" s="669" customFormat="1">
      <c r="A355" s="111">
        <f t="shared" si="72"/>
        <v>266</v>
      </c>
      <c r="B355" s="634" t="s">
        <v>195</v>
      </c>
      <c r="C355" s="632">
        <v>2018</v>
      </c>
      <c r="D355" s="1023">
        <v>43159.880000000005</v>
      </c>
      <c r="E355" s="63">
        <f>D355*'16-PlantAdditions'!$E$103</f>
        <v>3236.9910000000004</v>
      </c>
      <c r="F355" s="63">
        <f t="shared" si="73"/>
        <v>46396.871000000006</v>
      </c>
      <c r="G355" s="1023">
        <v>0</v>
      </c>
      <c r="H355" s="1023">
        <v>0</v>
      </c>
      <c r="I355" s="63">
        <f>(G355-H355)*'16-PlantAdditions'!$E$103</f>
        <v>0</v>
      </c>
      <c r="J355" s="63">
        <f t="shared" si="74"/>
        <v>36261682.634499997</v>
      </c>
      <c r="K355" s="63">
        <f t="shared" si="75"/>
        <v>105879.82449999452</v>
      </c>
    </row>
    <row r="356" spans="1:11" s="669" customFormat="1">
      <c r="A356" s="111">
        <f t="shared" si="72"/>
        <v>267</v>
      </c>
      <c r="B356" s="631" t="s">
        <v>183</v>
      </c>
      <c r="C356" s="632">
        <v>2018</v>
      </c>
      <c r="D356" s="1023">
        <v>116634.96</v>
      </c>
      <c r="E356" s="63">
        <f>D356*'16-PlantAdditions'!$E$103</f>
        <v>8747.6219999999994</v>
      </c>
      <c r="F356" s="63">
        <f t="shared" si="73"/>
        <v>125382.58200000001</v>
      </c>
      <c r="G356" s="1023">
        <v>0</v>
      </c>
      <c r="H356" s="1023">
        <v>0</v>
      </c>
      <c r="I356" s="63">
        <f>(G356-H356)*'16-PlantAdditions'!$E$103</f>
        <v>0</v>
      </c>
      <c r="J356" s="63">
        <f t="shared" si="74"/>
        <v>36387065.216499999</v>
      </c>
      <c r="K356" s="63">
        <f t="shared" si="75"/>
        <v>231262.40649999678</v>
      </c>
    </row>
    <row r="357" spans="1:11" s="669" customFormat="1">
      <c r="A357" s="111">
        <f t="shared" si="72"/>
        <v>268</v>
      </c>
      <c r="B357" s="634" t="s">
        <v>184</v>
      </c>
      <c r="C357" s="632">
        <v>2018</v>
      </c>
      <c r="D357" s="1023">
        <v>89339.64</v>
      </c>
      <c r="E357" s="63">
        <f>D357*'16-PlantAdditions'!$E$103</f>
        <v>6700.473</v>
      </c>
      <c r="F357" s="63">
        <f t="shared" si="73"/>
        <v>96040.112999999998</v>
      </c>
      <c r="G357" s="1023">
        <v>0</v>
      </c>
      <c r="H357" s="1023">
        <v>0</v>
      </c>
      <c r="I357" s="63">
        <f>(G357-H357)*'16-PlantAdditions'!$E$103</f>
        <v>0</v>
      </c>
      <c r="J357" s="63">
        <f t="shared" si="74"/>
        <v>36483105.329499997</v>
      </c>
      <c r="K357" s="63">
        <f t="shared" si="75"/>
        <v>327302.51949999481</v>
      </c>
    </row>
    <row r="358" spans="1:11" s="669" customFormat="1">
      <c r="A358" s="111">
        <f t="shared" si="72"/>
        <v>269</v>
      </c>
      <c r="B358" s="634" t="s">
        <v>1477</v>
      </c>
      <c r="C358" s="632">
        <v>2018</v>
      </c>
      <c r="D358" s="1023">
        <v>86306.48</v>
      </c>
      <c r="E358" s="63">
        <f>D358*'16-PlantAdditions'!$E$103</f>
        <v>6472.9859999999999</v>
      </c>
      <c r="F358" s="63">
        <f t="shared" si="73"/>
        <v>92779.466</v>
      </c>
      <c r="G358" s="1023">
        <v>89671.5</v>
      </c>
      <c r="H358" s="1023">
        <v>89572.52</v>
      </c>
      <c r="I358" s="63">
        <f>(G358-H358)*'16-PlantAdditions'!$E$103</f>
        <v>7.4234999999996942</v>
      </c>
      <c r="J358" s="63">
        <f t="shared" si="74"/>
        <v>36486205.871999994</v>
      </c>
      <c r="K358" s="63">
        <f t="shared" si="75"/>
        <v>330403.06199999154</v>
      </c>
    </row>
    <row r="359" spans="1:11" s="669" customFormat="1">
      <c r="A359" s="111">
        <f t="shared" si="72"/>
        <v>270</v>
      </c>
      <c r="B359" s="631" t="s">
        <v>186</v>
      </c>
      <c r="C359" s="632">
        <v>2018</v>
      </c>
      <c r="D359" s="1023">
        <v>126590.88</v>
      </c>
      <c r="E359" s="63">
        <f>D359*'16-PlantAdditions'!$E$103</f>
        <v>9494.3160000000007</v>
      </c>
      <c r="F359" s="63">
        <f t="shared" si="73"/>
        <v>136085.196</v>
      </c>
      <c r="G359" s="1023">
        <v>0</v>
      </c>
      <c r="H359" s="1023">
        <v>0</v>
      </c>
      <c r="I359" s="63">
        <f>(G359-H359)*'16-PlantAdditions'!$E$103</f>
        <v>0</v>
      </c>
      <c r="J359" s="63">
        <f t="shared" si="74"/>
        <v>36622291.067999996</v>
      </c>
      <c r="K359" s="63">
        <f t="shared" si="75"/>
        <v>466488.25799999386</v>
      </c>
    </row>
    <row r="360" spans="1:11" s="669" customFormat="1">
      <c r="A360" s="111">
        <f t="shared" si="72"/>
        <v>271</v>
      </c>
      <c r="B360" s="634" t="s">
        <v>187</v>
      </c>
      <c r="C360" s="632">
        <v>2018</v>
      </c>
      <c r="D360" s="1023">
        <v>170144</v>
      </c>
      <c r="E360" s="63">
        <f>D360*'16-PlantAdditions'!$E$103</f>
        <v>12760.8</v>
      </c>
      <c r="F360" s="63">
        <f t="shared" si="73"/>
        <v>182904.8</v>
      </c>
      <c r="G360" s="1023">
        <v>0</v>
      </c>
      <c r="H360" s="1023">
        <v>0</v>
      </c>
      <c r="I360" s="63">
        <f>(G360-H360)*'16-PlantAdditions'!$E$103</f>
        <v>0</v>
      </c>
      <c r="J360" s="63">
        <f t="shared" si="74"/>
        <v>36805195.867999993</v>
      </c>
      <c r="K360" s="63">
        <f t="shared" si="75"/>
        <v>649393.05799999088</v>
      </c>
    </row>
    <row r="361" spans="1:11" s="669" customFormat="1">
      <c r="A361" s="111">
        <f t="shared" si="72"/>
        <v>272</v>
      </c>
      <c r="B361" s="634" t="s">
        <v>188</v>
      </c>
      <c r="C361" s="632">
        <v>2018</v>
      </c>
      <c r="D361" s="1023">
        <v>147616.56</v>
      </c>
      <c r="E361" s="63">
        <f>D361*'16-PlantAdditions'!$E$103</f>
        <v>11071.242</v>
      </c>
      <c r="F361" s="63">
        <f t="shared" si="73"/>
        <v>158687.802</v>
      </c>
      <c r="G361" s="1023">
        <v>0</v>
      </c>
      <c r="H361" s="1023">
        <v>0</v>
      </c>
      <c r="I361" s="63">
        <f>(G361-H361)*'16-PlantAdditions'!$E$103</f>
        <v>0</v>
      </c>
      <c r="J361" s="63">
        <f t="shared" si="74"/>
        <v>36963883.669999994</v>
      </c>
      <c r="K361" s="63">
        <f t="shared" si="75"/>
        <v>808080.85999999195</v>
      </c>
    </row>
    <row r="362" spans="1:11" s="669" customFormat="1">
      <c r="A362" s="111">
        <f t="shared" si="72"/>
        <v>273</v>
      </c>
      <c r="B362" s="631" t="s">
        <v>191</v>
      </c>
      <c r="C362" s="632">
        <v>2018</v>
      </c>
      <c r="D362" s="1023">
        <v>98842.64</v>
      </c>
      <c r="E362" s="63">
        <f>D362*'16-PlantAdditions'!$E$103</f>
        <v>7413.1979999999994</v>
      </c>
      <c r="F362" s="63">
        <f t="shared" si="73"/>
        <v>106255.838</v>
      </c>
      <c r="G362" s="1023">
        <v>0</v>
      </c>
      <c r="H362" s="1023">
        <v>0</v>
      </c>
      <c r="I362" s="63">
        <f>(G362-H362)*'16-PlantAdditions'!$E$103</f>
        <v>0</v>
      </c>
      <c r="J362" s="63">
        <f t="shared" si="74"/>
        <v>37070139.507999994</v>
      </c>
      <c r="K362" s="63">
        <f t="shared" si="75"/>
        <v>914336.69799999148</v>
      </c>
    </row>
    <row r="363" spans="1:11" s="669" customFormat="1">
      <c r="A363" s="111">
        <f t="shared" si="72"/>
        <v>274</v>
      </c>
      <c r="B363" s="631" t="s">
        <v>190</v>
      </c>
      <c r="C363" s="632">
        <v>2018</v>
      </c>
      <c r="D363" s="1023">
        <v>315181.88000000006</v>
      </c>
      <c r="E363" s="63">
        <f>D363*'16-PlantAdditions'!$E$103</f>
        <v>23638.641000000003</v>
      </c>
      <c r="F363" s="63">
        <f t="shared" si="73"/>
        <v>338820.52100000007</v>
      </c>
      <c r="G363" s="1023">
        <v>0</v>
      </c>
      <c r="H363" s="1023">
        <v>0</v>
      </c>
      <c r="I363" s="63">
        <f>(G363-H363)*'16-PlantAdditions'!$E$103</f>
        <v>0</v>
      </c>
      <c r="J363" s="63">
        <f t="shared" si="74"/>
        <v>37408960.028999992</v>
      </c>
      <c r="K363" s="63">
        <f t="shared" si="75"/>
        <v>1253157.2189999893</v>
      </c>
    </row>
    <row r="364" spans="1:11" s="669" customFormat="1">
      <c r="A364" s="111">
        <f t="shared" si="72"/>
        <v>275</v>
      </c>
      <c r="B364" s="631" t="s">
        <v>180</v>
      </c>
      <c r="C364" s="632">
        <v>2018</v>
      </c>
      <c r="D364" s="1023">
        <v>63376.04</v>
      </c>
      <c r="E364" s="63">
        <f>D364*'16-PlantAdditions'!$E$103</f>
        <v>4753.2029999999995</v>
      </c>
      <c r="F364" s="63">
        <f t="shared" si="73"/>
        <v>68129.243000000002</v>
      </c>
      <c r="G364" s="1023">
        <v>0</v>
      </c>
      <c r="H364" s="1023">
        <v>0</v>
      </c>
      <c r="I364" s="63">
        <f>(G364-H364)*'16-PlantAdditions'!$E$103</f>
        <v>0</v>
      </c>
      <c r="J364" s="63">
        <f t="shared" si="74"/>
        <v>37477089.271999992</v>
      </c>
      <c r="K364" s="63">
        <f t="shared" si="75"/>
        <v>1321286.46199999</v>
      </c>
    </row>
    <row r="365" spans="1:11" s="669" customFormat="1">
      <c r="A365" s="111">
        <f t="shared" si="72"/>
        <v>276</v>
      </c>
      <c r="B365" s="631" t="s">
        <v>181</v>
      </c>
      <c r="C365" s="632">
        <v>2019</v>
      </c>
      <c r="D365" s="1023">
        <v>273332.80000000005</v>
      </c>
      <c r="E365" s="63">
        <f>D365*'16-PlantAdditions'!$E$103</f>
        <v>20499.960000000003</v>
      </c>
      <c r="F365" s="63">
        <f t="shared" si="73"/>
        <v>293832.76000000007</v>
      </c>
      <c r="G365" s="1023">
        <v>0</v>
      </c>
      <c r="H365" s="1023">
        <v>0</v>
      </c>
      <c r="I365" s="63">
        <f>(G365-H365)*'16-PlantAdditions'!$E$103</f>
        <v>0</v>
      </c>
      <c r="J365" s="63">
        <f t="shared" si="74"/>
        <v>37770922.03199999</v>
      </c>
      <c r="K365" s="63">
        <f t="shared" si="75"/>
        <v>1615119.221999988</v>
      </c>
    </row>
    <row r="366" spans="1:11" s="669" customFormat="1">
      <c r="A366" s="111">
        <f t="shared" si="72"/>
        <v>277</v>
      </c>
      <c r="B366" s="634" t="s">
        <v>182</v>
      </c>
      <c r="C366" s="632">
        <v>2019</v>
      </c>
      <c r="D366" s="1023">
        <v>108141.04</v>
      </c>
      <c r="E366" s="63">
        <f>D366*'16-PlantAdditions'!$E$103</f>
        <v>8110.5779999999995</v>
      </c>
      <c r="F366" s="63">
        <f t="shared" si="73"/>
        <v>116251.61799999999</v>
      </c>
      <c r="G366" s="1023">
        <v>12782.63</v>
      </c>
      <c r="H366" s="1023">
        <v>0</v>
      </c>
      <c r="I366" s="63">
        <f>(G366-H366)*'16-PlantAdditions'!$E$103</f>
        <v>958.69724999999994</v>
      </c>
      <c r="J366" s="63">
        <f t="shared" si="74"/>
        <v>37873432.322749987</v>
      </c>
      <c r="K366" s="63">
        <f t="shared" si="75"/>
        <v>1717629.5127499849</v>
      </c>
    </row>
    <row r="367" spans="1:11" s="669" customFormat="1">
      <c r="A367" s="111">
        <f t="shared" si="72"/>
        <v>278</v>
      </c>
      <c r="B367" s="634" t="s">
        <v>195</v>
      </c>
      <c r="C367" s="632">
        <v>2019</v>
      </c>
      <c r="D367" s="1023">
        <v>189543.75000000003</v>
      </c>
      <c r="E367" s="63">
        <f>D367*'16-PlantAdditions'!$E$103</f>
        <v>14215.781250000002</v>
      </c>
      <c r="F367" s="63">
        <f t="shared" si="73"/>
        <v>203759.53125000003</v>
      </c>
      <c r="G367" s="1023">
        <v>19173.7</v>
      </c>
      <c r="H367" s="1023">
        <v>0</v>
      </c>
      <c r="I367" s="63">
        <f>(G367-H367)*'16-PlantAdditions'!$E$103</f>
        <v>1438.0274999999999</v>
      </c>
      <c r="J367" s="63">
        <f t="shared" si="74"/>
        <v>38056580.126499981</v>
      </c>
      <c r="K367" s="63">
        <f t="shared" si="75"/>
        <v>1900777.3164999783</v>
      </c>
    </row>
    <row r="368" spans="1:11" s="669" customFormat="1">
      <c r="A368" s="111">
        <f t="shared" si="72"/>
        <v>279</v>
      </c>
      <c r="B368" s="631" t="s">
        <v>183</v>
      </c>
      <c r="C368" s="632">
        <v>2019</v>
      </c>
      <c r="D368" s="1023">
        <v>243016.54</v>
      </c>
      <c r="E368" s="63">
        <f>D368*'16-PlantAdditions'!$E$103</f>
        <v>18226.2405</v>
      </c>
      <c r="F368" s="63">
        <f t="shared" si="73"/>
        <v>261242.78049999999</v>
      </c>
      <c r="G368" s="1023">
        <v>31956.329999999998</v>
      </c>
      <c r="H368" s="1023">
        <v>0</v>
      </c>
      <c r="I368" s="63">
        <f>(G368-H368)*'16-PlantAdditions'!$E$103</f>
        <v>2396.7247499999999</v>
      </c>
      <c r="J368" s="63">
        <f t="shared" si="74"/>
        <v>38283469.852249987</v>
      </c>
      <c r="K368" s="63">
        <f t="shared" si="75"/>
        <v>2127667.042249985</v>
      </c>
    </row>
    <row r="369" spans="1:11" s="669" customFormat="1">
      <c r="A369" s="111">
        <f t="shared" si="72"/>
        <v>280</v>
      </c>
      <c r="B369" s="634" t="s">
        <v>184</v>
      </c>
      <c r="C369" s="632">
        <v>2019</v>
      </c>
      <c r="D369" s="1023">
        <v>323229.66000000003</v>
      </c>
      <c r="E369" s="63">
        <f>D369*'16-PlantAdditions'!$E$103</f>
        <v>24242.2245</v>
      </c>
      <c r="F369" s="63">
        <f t="shared" si="73"/>
        <v>347471.88450000004</v>
      </c>
      <c r="G369" s="1023">
        <v>51130.52</v>
      </c>
      <c r="H369" s="1023">
        <v>0</v>
      </c>
      <c r="I369" s="63">
        <f>(G369-H369)*'16-PlantAdditions'!$E$103</f>
        <v>3834.7889999999998</v>
      </c>
      <c r="J369" s="63">
        <f t="shared" si="74"/>
        <v>38575976.427749984</v>
      </c>
      <c r="K369" s="63">
        <f t="shared" si="75"/>
        <v>2420173.6177499816</v>
      </c>
    </row>
    <row r="370" spans="1:11" s="669" customFormat="1">
      <c r="A370" s="111">
        <f t="shared" si="72"/>
        <v>281</v>
      </c>
      <c r="B370" s="634" t="s">
        <v>1477</v>
      </c>
      <c r="C370" s="632">
        <v>2019</v>
      </c>
      <c r="D370" s="1023">
        <v>376704.14</v>
      </c>
      <c r="E370" s="63">
        <f>D370*'16-PlantAdditions'!$E$103</f>
        <v>28252.8105</v>
      </c>
      <c r="F370" s="63">
        <f t="shared" si="73"/>
        <v>404956.95050000004</v>
      </c>
      <c r="G370" s="1023">
        <v>63913.15</v>
      </c>
      <c r="H370" s="1023">
        <v>0</v>
      </c>
      <c r="I370" s="63">
        <f>(G370-H370)*'16-PlantAdditions'!$E$103</f>
        <v>4793.4862499999999</v>
      </c>
      <c r="J370" s="63">
        <f t="shared" si="74"/>
        <v>38912226.741999984</v>
      </c>
      <c r="K370" s="63">
        <f t="shared" si="75"/>
        <v>2756423.9319999814</v>
      </c>
    </row>
    <row r="371" spans="1:11" s="669" customFormat="1">
      <c r="A371" s="111">
        <f t="shared" si="72"/>
        <v>282</v>
      </c>
      <c r="B371" s="631" t="s">
        <v>186</v>
      </c>
      <c r="C371" s="632">
        <v>2019</v>
      </c>
      <c r="D371" s="1023">
        <v>456914.76999999996</v>
      </c>
      <c r="E371" s="63">
        <f>D371*'16-PlantAdditions'!$E$103</f>
        <v>34268.607749999996</v>
      </c>
      <c r="F371" s="63">
        <f t="shared" si="73"/>
        <v>491183.37774999999</v>
      </c>
      <c r="G371" s="1023">
        <v>83086.849999999991</v>
      </c>
      <c r="H371" s="1023">
        <v>0</v>
      </c>
      <c r="I371" s="63">
        <f>(G371-H371)*'16-PlantAdditions'!$E$103</f>
        <v>6231.5137499999992</v>
      </c>
      <c r="J371" s="63">
        <f t="shared" si="74"/>
        <v>39314091.755999982</v>
      </c>
      <c r="K371" s="63">
        <f t="shared" si="75"/>
        <v>3158288.94599998</v>
      </c>
    </row>
    <row r="372" spans="1:11" s="669" customFormat="1">
      <c r="A372" s="111">
        <f t="shared" si="72"/>
        <v>283</v>
      </c>
      <c r="B372" s="634" t="s">
        <v>187</v>
      </c>
      <c r="C372" s="632">
        <v>2019</v>
      </c>
      <c r="D372" s="1023">
        <v>483650.41000000003</v>
      </c>
      <c r="E372" s="63">
        <f>D372*'16-PlantAdditions'!$E$103</f>
        <v>36273.780749999998</v>
      </c>
      <c r="F372" s="63">
        <f t="shared" si="73"/>
        <v>519924.19075000001</v>
      </c>
      <c r="G372" s="1023">
        <v>89478.41</v>
      </c>
      <c r="H372" s="1023">
        <v>0</v>
      </c>
      <c r="I372" s="63">
        <f>(G372-H372)*'16-PlantAdditions'!$E$103</f>
        <v>6710.8807500000003</v>
      </c>
      <c r="J372" s="63">
        <f t="shared" si="74"/>
        <v>39737826.655999988</v>
      </c>
      <c r="K372" s="63">
        <f t="shared" si="75"/>
        <v>3582023.8459999859</v>
      </c>
    </row>
    <row r="373" spans="1:11" s="669" customFormat="1">
      <c r="A373" s="111">
        <f t="shared" si="72"/>
        <v>284</v>
      </c>
      <c r="B373" s="634" t="s">
        <v>188</v>
      </c>
      <c r="C373" s="632">
        <v>2019</v>
      </c>
      <c r="D373" s="1023">
        <v>483650.41000000003</v>
      </c>
      <c r="E373" s="63">
        <f>D373*'16-PlantAdditions'!$E$103</f>
        <v>36273.780749999998</v>
      </c>
      <c r="F373" s="63">
        <f t="shared" si="73"/>
        <v>519924.19075000001</v>
      </c>
      <c r="G373" s="1023">
        <v>89478.41</v>
      </c>
      <c r="H373" s="1023">
        <v>0</v>
      </c>
      <c r="I373" s="63">
        <f>(G373-H373)*'16-PlantAdditions'!$E$103</f>
        <v>6710.8807500000003</v>
      </c>
      <c r="J373" s="63">
        <f t="shared" si="74"/>
        <v>40161561.555999994</v>
      </c>
      <c r="K373" s="63">
        <f t="shared" si="75"/>
        <v>4005758.7459999919</v>
      </c>
    </row>
    <row r="374" spans="1:11" s="669" customFormat="1">
      <c r="A374" s="111">
        <f t="shared" si="72"/>
        <v>285</v>
      </c>
      <c r="B374" s="634" t="s">
        <v>191</v>
      </c>
      <c r="C374" s="632">
        <v>2019</v>
      </c>
      <c r="D374" s="1023">
        <v>483651.97</v>
      </c>
      <c r="E374" s="63">
        <f>D374*'16-PlantAdditions'!$E$103</f>
        <v>36273.897749999996</v>
      </c>
      <c r="F374" s="63">
        <f t="shared" ref="F374:F376" si="76">E374+D374</f>
        <v>519925.86774999998</v>
      </c>
      <c r="G374" s="1023">
        <v>89478.41</v>
      </c>
      <c r="H374" s="1023">
        <v>0</v>
      </c>
      <c r="I374" s="63">
        <f>(G374-H374)*'16-PlantAdditions'!$E$103</f>
        <v>6710.8807500000003</v>
      </c>
      <c r="J374" s="63">
        <f t="shared" ref="J374:J376" si="77">J373+F374-G374-I374</f>
        <v>40585298.132999994</v>
      </c>
      <c r="K374" s="63">
        <f t="shared" si="75"/>
        <v>4429495.3229999915</v>
      </c>
    </row>
    <row r="375" spans="1:11" s="669" customFormat="1">
      <c r="A375" s="111">
        <f t="shared" si="72"/>
        <v>286</v>
      </c>
      <c r="B375" s="634" t="s">
        <v>190</v>
      </c>
      <c r="C375" s="632">
        <v>2019</v>
      </c>
      <c r="D375" s="1023">
        <v>320844.81</v>
      </c>
      <c r="E375" s="63">
        <f>D375*'16-PlantAdditions'!$E$103</f>
        <v>24063.36075</v>
      </c>
      <c r="F375" s="63">
        <f t="shared" si="76"/>
        <v>344908.17074999999</v>
      </c>
      <c r="G375" s="1023">
        <v>76695.78</v>
      </c>
      <c r="H375" s="1023">
        <v>0</v>
      </c>
      <c r="I375" s="63">
        <f>(G375-H375)*'16-PlantAdditions'!$E$103</f>
        <v>5752.1835000000001</v>
      </c>
      <c r="J375" s="63">
        <f t="shared" si="77"/>
        <v>40847758.340249993</v>
      </c>
      <c r="K375" s="63">
        <f t="shared" si="75"/>
        <v>4691955.5302499905</v>
      </c>
    </row>
    <row r="376" spans="1:11" s="669" customFormat="1">
      <c r="A376" s="111">
        <f t="shared" si="72"/>
        <v>287</v>
      </c>
      <c r="B376" s="634" t="s">
        <v>180</v>
      </c>
      <c r="C376" s="632">
        <v>2019</v>
      </c>
      <c r="D376" s="1023">
        <v>4917683.42</v>
      </c>
      <c r="E376" s="63">
        <f>D376*'16-PlantAdditions'!$E$103</f>
        <v>368826.25649999996</v>
      </c>
      <c r="F376" s="63">
        <f t="shared" si="76"/>
        <v>5286509.6765000001</v>
      </c>
      <c r="G376" s="1023">
        <v>31956.329999999998</v>
      </c>
      <c r="H376" s="1023">
        <v>0</v>
      </c>
      <c r="I376" s="63">
        <f>(G376-H376)*'16-PlantAdditions'!$E$103</f>
        <v>2396.7247499999999</v>
      </c>
      <c r="J376" s="63">
        <f t="shared" si="77"/>
        <v>46099914.961999997</v>
      </c>
      <c r="K376" s="805">
        <f t="shared" si="75"/>
        <v>9944112.1519999951</v>
      </c>
    </row>
    <row r="377" spans="1:11" s="669" customFormat="1">
      <c r="A377" s="111">
        <f t="shared" si="72"/>
        <v>288</v>
      </c>
      <c r="B377"/>
      <c r="C377" s="668" t="s">
        <v>1625</v>
      </c>
      <c r="D377"/>
      <c r="E377"/>
      <c r="F377"/>
      <c r="G377"/>
      <c r="H377"/>
      <c r="I377"/>
      <c r="J377"/>
      <c r="K377" s="73">
        <f>AVERAGE(K364:K376)</f>
        <v>3359285.5114230635</v>
      </c>
    </row>
    <row r="378" spans="1:11" s="669" customFormat="1">
      <c r="A378" s="111"/>
      <c r="B378"/>
      <c r="C378" s="668"/>
      <c r="D378"/>
      <c r="E378"/>
      <c r="F378"/>
      <c r="G378"/>
      <c r="H378"/>
      <c r="I378"/>
      <c r="J378"/>
      <c r="K378" s="73"/>
    </row>
    <row r="379" spans="1:11" s="669" customFormat="1">
      <c r="B379" s="670" t="s">
        <v>1967</v>
      </c>
      <c r="D379" s="1381" t="s">
        <v>2595</v>
      </c>
      <c r="E379" s="1381"/>
      <c r="F379" s="1380"/>
      <c r="G379" s="1380"/>
    </row>
    <row r="380" spans="1:11" s="669" customFormat="1">
      <c r="A380" s="664"/>
      <c r="B380" s="664"/>
      <c r="C380" s="664"/>
      <c r="D380" s="664" t="s">
        <v>360</v>
      </c>
      <c r="E380" s="664" t="s">
        <v>344</v>
      </c>
      <c r="F380" s="664" t="s">
        <v>345</v>
      </c>
      <c r="G380" s="664" t="s">
        <v>346</v>
      </c>
      <c r="H380" s="664" t="s">
        <v>347</v>
      </c>
      <c r="I380" s="664" t="s">
        <v>348</v>
      </c>
      <c r="J380" s="664" t="s">
        <v>349</v>
      </c>
      <c r="K380" s="664" t="s">
        <v>541</v>
      </c>
    </row>
    <row r="381" spans="1:11" s="669" customFormat="1" ht="26.4">
      <c r="D381" s="671"/>
      <c r="E381" s="672" t="s">
        <v>2091</v>
      </c>
      <c r="F381" s="673" t="s">
        <v>1950</v>
      </c>
      <c r="G381" s="543"/>
      <c r="H381" s="671"/>
      <c r="I381" s="672" t="s">
        <v>2092</v>
      </c>
      <c r="J381" s="672" t="s">
        <v>1951</v>
      </c>
      <c r="K381" s="672" t="s">
        <v>1952</v>
      </c>
    </row>
    <row r="382" spans="1:11" s="669" customFormat="1">
      <c r="D382" s="671"/>
      <c r="E382" s="672"/>
      <c r="F382" s="673"/>
      <c r="G382" s="886" t="str">
        <f>G51</f>
        <v>Unloaded</v>
      </c>
      <c r="H382" s="671"/>
      <c r="I382" s="672"/>
      <c r="J382" s="672"/>
      <c r="K382" s="672"/>
    </row>
    <row r="383" spans="1:11" s="669" customFormat="1">
      <c r="A383" s="666"/>
      <c r="B383" s="666"/>
      <c r="C383" s="666"/>
      <c r="D383" s="666" t="str">
        <f>D$52</f>
        <v>Forecast</v>
      </c>
      <c r="E383" s="666" t="str">
        <f t="shared" ref="E383:J383" si="78">E$52</f>
        <v>Corporate</v>
      </c>
      <c r="F383" s="666" t="str">
        <f t="shared" si="78"/>
        <v xml:space="preserve">Total </v>
      </c>
      <c r="G383" s="4" t="str">
        <f>G52</f>
        <v>Total</v>
      </c>
      <c r="H383" s="666" t="str">
        <f t="shared" si="78"/>
        <v>Prior Period</v>
      </c>
      <c r="I383" s="666" t="str">
        <f t="shared" si="78"/>
        <v>Over Heads</v>
      </c>
      <c r="J383" s="666" t="str">
        <f t="shared" si="78"/>
        <v>Forecast</v>
      </c>
      <c r="K383" s="666" t="str">
        <f>K$52</f>
        <v>Forecast Period</v>
      </c>
    </row>
    <row r="384" spans="1:11" s="669" customFormat="1">
      <c r="A384" s="865" t="s">
        <v>331</v>
      </c>
      <c r="B384" s="630" t="s">
        <v>192</v>
      </c>
      <c r="C384" s="630" t="s">
        <v>193</v>
      </c>
      <c r="D384" s="664" t="str">
        <f>D$53</f>
        <v>Expenditures</v>
      </c>
      <c r="E384" s="664" t="str">
        <f t="shared" ref="E384:J384" si="79">E$53</f>
        <v>Overheads</v>
      </c>
      <c r="F384" s="664" t="str">
        <f t="shared" si="79"/>
        <v>CWIP Exp</v>
      </c>
      <c r="G384" s="84" t="str">
        <f>G53</f>
        <v>Plant Adds</v>
      </c>
      <c r="H384" s="664" t="str">
        <f t="shared" si="79"/>
        <v>CWIP Closed</v>
      </c>
      <c r="I384" s="664" t="str">
        <f t="shared" si="79"/>
        <v>Closed to PIS</v>
      </c>
      <c r="J384" s="664" t="str">
        <f t="shared" si="79"/>
        <v>Period CWIP</v>
      </c>
      <c r="K384" s="664" t="str">
        <f>K$53</f>
        <v>Incremental CWIP</v>
      </c>
    </row>
    <row r="385" spans="1:11" s="669" customFormat="1">
      <c r="A385" s="111">
        <f>A377+1</f>
        <v>289</v>
      </c>
      <c r="B385" s="631" t="s">
        <v>180</v>
      </c>
      <c r="C385" s="632">
        <v>2017</v>
      </c>
      <c r="D385" s="673" t="s">
        <v>76</v>
      </c>
      <c r="E385" s="673" t="s">
        <v>76</v>
      </c>
      <c r="F385" s="673" t="s">
        <v>76</v>
      </c>
      <c r="G385" s="673" t="s">
        <v>76</v>
      </c>
      <c r="H385" s="673" t="s">
        <v>76</v>
      </c>
      <c r="I385" s="673" t="s">
        <v>76</v>
      </c>
      <c r="J385" s="63">
        <f>H45</f>
        <v>34993045.010000005</v>
      </c>
      <c r="K385" s="673" t="s">
        <v>76</v>
      </c>
    </row>
    <row r="386" spans="1:11" s="669" customFormat="1">
      <c r="A386" s="111">
        <f>A385+1</f>
        <v>290</v>
      </c>
      <c r="B386" s="631" t="s">
        <v>181</v>
      </c>
      <c r="C386" s="632">
        <v>2018</v>
      </c>
      <c r="D386" s="107">
        <v>2147654</v>
      </c>
      <c r="E386" s="63">
        <f>D386*'16-PlantAdditions'!$E$103</f>
        <v>161074.04999999999</v>
      </c>
      <c r="F386" s="63">
        <f>E386+D386</f>
        <v>2308728.0499999998</v>
      </c>
      <c r="G386" s="1023">
        <v>0</v>
      </c>
      <c r="H386" s="1023">
        <v>0</v>
      </c>
      <c r="I386" s="63">
        <f>(G386-H386)*'16-PlantAdditions'!$E$103</f>
        <v>0</v>
      </c>
      <c r="J386" s="63">
        <f>J385+F386-G386-I386</f>
        <v>37301773.060000002</v>
      </c>
      <c r="K386" s="63">
        <f>J386-$J$385</f>
        <v>2308728.049999997</v>
      </c>
    </row>
    <row r="387" spans="1:11" s="669" customFormat="1">
      <c r="A387" s="111">
        <f t="shared" ref="A387:A410" si="80">A386+1</f>
        <v>291</v>
      </c>
      <c r="B387" s="634" t="s">
        <v>182</v>
      </c>
      <c r="C387" s="632">
        <v>2018</v>
      </c>
      <c r="D387" s="1023">
        <v>218055</v>
      </c>
      <c r="E387" s="63">
        <f>D387*'16-PlantAdditions'!$E$103</f>
        <v>16354.125</v>
      </c>
      <c r="F387" s="63">
        <f>E387+D387</f>
        <v>234409.125</v>
      </c>
      <c r="G387" s="1023">
        <v>0</v>
      </c>
      <c r="H387" s="1023">
        <v>0</v>
      </c>
      <c r="I387" s="63">
        <f>(G387-H387)*'16-PlantAdditions'!$E$103</f>
        <v>0</v>
      </c>
      <c r="J387" s="63">
        <f t="shared" ref="J387:J406" si="81">J386+F387-G387-I387</f>
        <v>37536182.185000002</v>
      </c>
      <c r="K387" s="63">
        <f t="shared" ref="K387:K409" si="82">J387-$J$385</f>
        <v>2543137.174999997</v>
      </c>
    </row>
    <row r="388" spans="1:11" s="669" customFormat="1">
      <c r="A388" s="111">
        <f t="shared" si="80"/>
        <v>292</v>
      </c>
      <c r="B388" s="634" t="s">
        <v>195</v>
      </c>
      <c r="C388" s="632">
        <v>2018</v>
      </c>
      <c r="D388" s="1023">
        <v>9974740.459999999</v>
      </c>
      <c r="E388" s="63">
        <f>D388*'16-PlantAdditions'!$E$103</f>
        <v>748105.53449999995</v>
      </c>
      <c r="F388" s="63">
        <f t="shared" ref="F388:F406" si="83">E388+D388</f>
        <v>10722845.994499998</v>
      </c>
      <c r="G388" s="1023">
        <v>0</v>
      </c>
      <c r="H388" s="1023">
        <v>0</v>
      </c>
      <c r="I388" s="63">
        <f>(G388-H388)*'16-PlantAdditions'!$E$103</f>
        <v>0</v>
      </c>
      <c r="J388" s="63">
        <f t="shared" si="81"/>
        <v>48259028.179499999</v>
      </c>
      <c r="K388" s="63">
        <f t="shared" si="82"/>
        <v>13265983.169499993</v>
      </c>
    </row>
    <row r="389" spans="1:11" s="669" customFormat="1">
      <c r="A389" s="111">
        <f t="shared" si="80"/>
        <v>293</v>
      </c>
      <c r="B389" s="631" t="s">
        <v>183</v>
      </c>
      <c r="C389" s="632">
        <v>2018</v>
      </c>
      <c r="D389" s="1023">
        <v>853930.00000000012</v>
      </c>
      <c r="E389" s="63">
        <f>D389*'16-PlantAdditions'!$E$103</f>
        <v>64044.750000000007</v>
      </c>
      <c r="F389" s="63">
        <f t="shared" si="83"/>
        <v>917974.75000000012</v>
      </c>
      <c r="G389" s="1023">
        <v>0</v>
      </c>
      <c r="H389" s="1023">
        <v>0</v>
      </c>
      <c r="I389" s="63">
        <f>(G389-H389)*'16-PlantAdditions'!$E$103</f>
        <v>0</v>
      </c>
      <c r="J389" s="63">
        <f t="shared" si="81"/>
        <v>49177002.929499999</v>
      </c>
      <c r="K389" s="63">
        <f t="shared" si="82"/>
        <v>14183957.919499993</v>
      </c>
    </row>
    <row r="390" spans="1:11" s="669" customFormat="1">
      <c r="A390" s="111">
        <f t="shared" si="80"/>
        <v>294</v>
      </c>
      <c r="B390" s="634" t="s">
        <v>184</v>
      </c>
      <c r="C390" s="632">
        <v>2018</v>
      </c>
      <c r="D390" s="1023">
        <v>882930.00000000012</v>
      </c>
      <c r="E390" s="63">
        <f>D390*'16-PlantAdditions'!$E$103</f>
        <v>66219.75</v>
      </c>
      <c r="F390" s="63">
        <f t="shared" si="83"/>
        <v>949149.75000000012</v>
      </c>
      <c r="G390" s="1023">
        <v>0</v>
      </c>
      <c r="H390" s="1023">
        <v>0</v>
      </c>
      <c r="I390" s="63">
        <f>(G390-H390)*'16-PlantAdditions'!$E$103</f>
        <v>0</v>
      </c>
      <c r="J390" s="63">
        <f t="shared" si="81"/>
        <v>50126152.679499999</v>
      </c>
      <c r="K390" s="63">
        <f t="shared" si="82"/>
        <v>15133107.669499993</v>
      </c>
    </row>
    <row r="391" spans="1:11" s="669" customFormat="1">
      <c r="A391" s="111">
        <f t="shared" si="80"/>
        <v>295</v>
      </c>
      <c r="B391" s="634" t="s">
        <v>1477</v>
      </c>
      <c r="C391" s="632">
        <v>2018</v>
      </c>
      <c r="D391" s="1023">
        <v>895930.00000000012</v>
      </c>
      <c r="E391" s="63">
        <f>D391*'16-PlantAdditions'!$E$103</f>
        <v>67194.75</v>
      </c>
      <c r="F391" s="63">
        <f t="shared" si="83"/>
        <v>963124.75000000012</v>
      </c>
      <c r="G391" s="1023">
        <v>0</v>
      </c>
      <c r="H391" s="1023">
        <v>0</v>
      </c>
      <c r="I391" s="63">
        <f>(G391-H391)*'16-PlantAdditions'!$E$103</f>
        <v>0</v>
      </c>
      <c r="J391" s="63">
        <f t="shared" si="81"/>
        <v>51089277.429499999</v>
      </c>
      <c r="K391" s="63">
        <f t="shared" si="82"/>
        <v>16096232.419499993</v>
      </c>
    </row>
    <row r="392" spans="1:11" s="669" customFormat="1">
      <c r="A392" s="111">
        <f t="shared" si="80"/>
        <v>296</v>
      </c>
      <c r="B392" s="631" t="s">
        <v>186</v>
      </c>
      <c r="C392" s="632">
        <v>2018</v>
      </c>
      <c r="D392" s="1023">
        <v>880860</v>
      </c>
      <c r="E392" s="63">
        <f>D392*'16-PlantAdditions'!$E$103</f>
        <v>66064.5</v>
      </c>
      <c r="F392" s="63">
        <f t="shared" si="83"/>
        <v>946924.5</v>
      </c>
      <c r="G392" s="1023">
        <v>0</v>
      </c>
      <c r="H392" s="1023">
        <v>0</v>
      </c>
      <c r="I392" s="63">
        <f>(G392-H392)*'16-PlantAdditions'!$E$103</f>
        <v>0</v>
      </c>
      <c r="J392" s="63">
        <f t="shared" si="81"/>
        <v>52036201.929499999</v>
      </c>
      <c r="K392" s="63">
        <f t="shared" si="82"/>
        <v>17043156.919499993</v>
      </c>
    </row>
    <row r="393" spans="1:11" s="669" customFormat="1">
      <c r="A393" s="111">
        <f t="shared" si="80"/>
        <v>297</v>
      </c>
      <c r="B393" s="634" t="s">
        <v>187</v>
      </c>
      <c r="C393" s="632">
        <v>2018</v>
      </c>
      <c r="D393" s="1023">
        <v>882860</v>
      </c>
      <c r="E393" s="63">
        <f>D393*'16-PlantAdditions'!$E$103</f>
        <v>66214.5</v>
      </c>
      <c r="F393" s="63">
        <f t="shared" si="83"/>
        <v>949074.5</v>
      </c>
      <c r="G393" s="1023">
        <v>0</v>
      </c>
      <c r="H393" s="1023">
        <v>0</v>
      </c>
      <c r="I393" s="63">
        <f>(G393-H393)*'16-PlantAdditions'!$E$103</f>
        <v>0</v>
      </c>
      <c r="J393" s="63">
        <f t="shared" si="81"/>
        <v>52985276.429499999</v>
      </c>
      <c r="K393" s="63">
        <f t="shared" si="82"/>
        <v>17992231.419499993</v>
      </c>
    </row>
    <row r="394" spans="1:11" s="669" customFormat="1">
      <c r="A394" s="111">
        <f t="shared" si="80"/>
        <v>298</v>
      </c>
      <c r="B394" s="634" t="s">
        <v>188</v>
      </c>
      <c r="C394" s="632">
        <v>2018</v>
      </c>
      <c r="D394" s="1023">
        <v>945860</v>
      </c>
      <c r="E394" s="63">
        <f>D394*'16-PlantAdditions'!$E$103</f>
        <v>70939.5</v>
      </c>
      <c r="F394" s="63">
        <f t="shared" si="83"/>
        <v>1016799.5</v>
      </c>
      <c r="G394" s="1023">
        <v>0</v>
      </c>
      <c r="H394" s="1023">
        <v>0</v>
      </c>
      <c r="I394" s="63">
        <f>(G394-H394)*'16-PlantAdditions'!$E$103</f>
        <v>0</v>
      </c>
      <c r="J394" s="63">
        <f t="shared" si="81"/>
        <v>54002075.929499999</v>
      </c>
      <c r="K394" s="63">
        <f t="shared" si="82"/>
        <v>19009030.919499993</v>
      </c>
    </row>
    <row r="395" spans="1:11" s="669" customFormat="1">
      <c r="A395" s="111">
        <f t="shared" si="80"/>
        <v>299</v>
      </c>
      <c r="B395" s="631" t="s">
        <v>191</v>
      </c>
      <c r="C395" s="632">
        <v>2018</v>
      </c>
      <c r="D395" s="1023">
        <v>598790</v>
      </c>
      <c r="E395" s="63">
        <f>D395*'16-PlantAdditions'!$E$103</f>
        <v>44909.25</v>
      </c>
      <c r="F395" s="63">
        <f t="shared" si="83"/>
        <v>643699.25</v>
      </c>
      <c r="G395" s="1023">
        <v>0</v>
      </c>
      <c r="H395" s="1023">
        <v>0</v>
      </c>
      <c r="I395" s="63">
        <f>(G395-H395)*'16-PlantAdditions'!$E$103</f>
        <v>0</v>
      </c>
      <c r="J395" s="63">
        <f t="shared" si="81"/>
        <v>54645775.179499999</v>
      </c>
      <c r="K395" s="63">
        <f t="shared" si="82"/>
        <v>19652730.169499993</v>
      </c>
    </row>
    <row r="396" spans="1:11" s="669" customFormat="1">
      <c r="A396" s="111">
        <f t="shared" si="80"/>
        <v>300</v>
      </c>
      <c r="B396" s="631" t="s">
        <v>190</v>
      </c>
      <c r="C396" s="632">
        <v>2018</v>
      </c>
      <c r="D396" s="1023">
        <v>304720</v>
      </c>
      <c r="E396" s="63">
        <f>D396*'16-PlantAdditions'!$E$103</f>
        <v>22854</v>
      </c>
      <c r="F396" s="63">
        <f t="shared" si="83"/>
        <v>327574</v>
      </c>
      <c r="G396" s="1023">
        <v>0</v>
      </c>
      <c r="H396" s="1023">
        <v>0</v>
      </c>
      <c r="I396" s="63">
        <f>(G396-H396)*'16-PlantAdditions'!$E$103</f>
        <v>0</v>
      </c>
      <c r="J396" s="63">
        <f t="shared" si="81"/>
        <v>54973349.179499999</v>
      </c>
      <c r="K396" s="63">
        <f t="shared" si="82"/>
        <v>19980304.169499993</v>
      </c>
    </row>
    <row r="397" spans="1:11" s="669" customFormat="1">
      <c r="A397" s="111">
        <f t="shared" si="80"/>
        <v>301</v>
      </c>
      <c r="B397" s="631" t="s">
        <v>180</v>
      </c>
      <c r="C397" s="632">
        <v>2018</v>
      </c>
      <c r="D397" s="1023">
        <v>846161</v>
      </c>
      <c r="E397" s="63">
        <f>D397*'16-PlantAdditions'!$E$103</f>
        <v>63462.074999999997</v>
      </c>
      <c r="F397" s="63">
        <f t="shared" si="83"/>
        <v>909623.07499999995</v>
      </c>
      <c r="G397" s="1023">
        <v>36717.159999999996</v>
      </c>
      <c r="H397" s="1023">
        <v>15957.7</v>
      </c>
      <c r="I397" s="63">
        <f>(G397-H397)*'16-PlantAdditions'!$E$103</f>
        <v>1556.9594999999997</v>
      </c>
      <c r="J397" s="63">
        <f t="shared" si="81"/>
        <v>55844698.135000005</v>
      </c>
      <c r="K397" s="63">
        <f t="shared" si="82"/>
        <v>20851653.125</v>
      </c>
    </row>
    <row r="398" spans="1:11" s="669" customFormat="1">
      <c r="A398" s="111">
        <f t="shared" si="80"/>
        <v>302</v>
      </c>
      <c r="B398" s="631" t="s">
        <v>181</v>
      </c>
      <c r="C398" s="632">
        <v>2019</v>
      </c>
      <c r="D398" s="1023">
        <v>467930</v>
      </c>
      <c r="E398" s="63">
        <f>D398*'16-PlantAdditions'!$E$103</f>
        <v>35094.75</v>
      </c>
      <c r="F398" s="63">
        <f t="shared" si="83"/>
        <v>503024.75</v>
      </c>
      <c r="G398" s="1023">
        <v>930</v>
      </c>
      <c r="H398" s="1023">
        <v>0</v>
      </c>
      <c r="I398" s="63">
        <f>(G398-H398)*'16-PlantAdditions'!$E$103</f>
        <v>69.75</v>
      </c>
      <c r="J398" s="63">
        <f t="shared" si="81"/>
        <v>56346723.135000005</v>
      </c>
      <c r="K398" s="63">
        <f t="shared" si="82"/>
        <v>21353678.125</v>
      </c>
    </row>
    <row r="399" spans="1:11" s="669" customFormat="1">
      <c r="A399" s="111">
        <f t="shared" si="80"/>
        <v>303</v>
      </c>
      <c r="B399" s="634" t="s">
        <v>182</v>
      </c>
      <c r="C399" s="632">
        <v>2019</v>
      </c>
      <c r="D399" s="1023">
        <v>1274860.0000000002</v>
      </c>
      <c r="E399" s="63">
        <f>D399*'16-PlantAdditions'!$E$103</f>
        <v>95614.500000000015</v>
      </c>
      <c r="F399" s="63">
        <f t="shared" si="83"/>
        <v>1370474.5000000002</v>
      </c>
      <c r="G399" s="1023">
        <v>1860</v>
      </c>
      <c r="H399" s="1023">
        <v>0</v>
      </c>
      <c r="I399" s="63">
        <f>(G399-H399)*'16-PlantAdditions'!$E$103</f>
        <v>139.5</v>
      </c>
      <c r="J399" s="63">
        <f t="shared" si="81"/>
        <v>57715198.135000005</v>
      </c>
      <c r="K399" s="63">
        <f t="shared" si="82"/>
        <v>22722153.125</v>
      </c>
    </row>
    <row r="400" spans="1:11" s="669" customFormat="1">
      <c r="A400" s="111">
        <f t="shared" si="80"/>
        <v>304</v>
      </c>
      <c r="B400" s="634" t="s">
        <v>195</v>
      </c>
      <c r="C400" s="632">
        <v>2019</v>
      </c>
      <c r="D400" s="1023">
        <v>1280860.0000000002</v>
      </c>
      <c r="E400" s="63">
        <f>D400*'16-PlantAdditions'!$E$103</f>
        <v>96064.500000000015</v>
      </c>
      <c r="F400" s="63">
        <f t="shared" si="83"/>
        <v>1376924.5000000002</v>
      </c>
      <c r="G400" s="1023">
        <v>1860</v>
      </c>
      <c r="H400" s="1023">
        <v>0</v>
      </c>
      <c r="I400" s="63">
        <f>(G400-H400)*'16-PlantAdditions'!$E$103</f>
        <v>139.5</v>
      </c>
      <c r="J400" s="63">
        <f t="shared" si="81"/>
        <v>59090123.135000005</v>
      </c>
      <c r="K400" s="63">
        <f t="shared" si="82"/>
        <v>24097078.125</v>
      </c>
    </row>
    <row r="401" spans="1:11" s="669" customFormat="1">
      <c r="A401" s="111">
        <f t="shared" si="80"/>
        <v>305</v>
      </c>
      <c r="B401" s="631" t="s">
        <v>183</v>
      </c>
      <c r="C401" s="632">
        <v>2019</v>
      </c>
      <c r="D401" s="1023">
        <v>1268860.0000000002</v>
      </c>
      <c r="E401" s="63">
        <f>D401*'16-PlantAdditions'!$E$103</f>
        <v>95164.500000000015</v>
      </c>
      <c r="F401" s="63">
        <f t="shared" si="83"/>
        <v>1364024.5000000002</v>
      </c>
      <c r="G401" s="1023">
        <v>1860</v>
      </c>
      <c r="H401" s="1023">
        <v>0</v>
      </c>
      <c r="I401" s="63">
        <f>(G401-H401)*'16-PlantAdditions'!$E$103</f>
        <v>139.5</v>
      </c>
      <c r="J401" s="63">
        <f t="shared" si="81"/>
        <v>60452148.135000005</v>
      </c>
      <c r="K401" s="63">
        <f t="shared" si="82"/>
        <v>25459103.125</v>
      </c>
    </row>
    <row r="402" spans="1:11" s="669" customFormat="1">
      <c r="A402" s="111">
        <f t="shared" si="80"/>
        <v>306</v>
      </c>
      <c r="B402" s="634" t="s">
        <v>184</v>
      </c>
      <c r="C402" s="632">
        <v>2019</v>
      </c>
      <c r="D402" s="1023">
        <v>1337300</v>
      </c>
      <c r="E402" s="63">
        <f>D402*'16-PlantAdditions'!$E$103</f>
        <v>100297.5</v>
      </c>
      <c r="F402" s="63">
        <f t="shared" si="83"/>
        <v>1437597.5</v>
      </c>
      <c r="G402" s="1023">
        <v>9300</v>
      </c>
      <c r="H402" s="1023">
        <v>0</v>
      </c>
      <c r="I402" s="63">
        <f>(G402-H402)*'16-PlantAdditions'!$E$103</f>
        <v>697.5</v>
      </c>
      <c r="J402" s="63">
        <f t="shared" si="81"/>
        <v>61879748.135000005</v>
      </c>
      <c r="K402" s="63">
        <f t="shared" si="82"/>
        <v>26886703.125</v>
      </c>
    </row>
    <row r="403" spans="1:11" s="669" customFormat="1">
      <c r="A403" s="111">
        <f t="shared" si="80"/>
        <v>307</v>
      </c>
      <c r="B403" s="634" t="s">
        <v>1477</v>
      </c>
      <c r="C403" s="632">
        <v>2019</v>
      </c>
      <c r="D403" s="1023">
        <v>15335150</v>
      </c>
      <c r="E403" s="63">
        <f>D403*'16-PlantAdditions'!$E$103</f>
        <v>1150136.25</v>
      </c>
      <c r="F403" s="63">
        <f t="shared" si="83"/>
        <v>16485286.25</v>
      </c>
      <c r="G403" s="1023">
        <v>9300</v>
      </c>
      <c r="H403" s="1023">
        <v>0</v>
      </c>
      <c r="I403" s="63">
        <f>(G403-H403)*'16-PlantAdditions'!$E$103</f>
        <v>697.5</v>
      </c>
      <c r="J403" s="63">
        <f t="shared" si="81"/>
        <v>78355036.885000005</v>
      </c>
      <c r="K403" s="63">
        <f t="shared" si="82"/>
        <v>43361991.875</v>
      </c>
    </row>
    <row r="404" spans="1:11" s="669" customFormat="1">
      <c r="A404" s="111">
        <f t="shared" si="80"/>
        <v>308</v>
      </c>
      <c r="B404" s="631" t="s">
        <v>186</v>
      </c>
      <c r="C404" s="632">
        <v>2019</v>
      </c>
      <c r="D404" s="1023">
        <v>698300</v>
      </c>
      <c r="E404" s="63">
        <f>D404*'16-PlantAdditions'!$E$103</f>
        <v>52372.5</v>
      </c>
      <c r="F404" s="63">
        <f t="shared" si="83"/>
        <v>750672.5</v>
      </c>
      <c r="G404" s="1023">
        <v>9300</v>
      </c>
      <c r="H404" s="1023">
        <v>0</v>
      </c>
      <c r="I404" s="63">
        <f>(G404-H404)*'16-PlantAdditions'!$E$103</f>
        <v>697.5</v>
      </c>
      <c r="J404" s="63">
        <f t="shared" si="81"/>
        <v>79095711.885000005</v>
      </c>
      <c r="K404" s="63">
        <f t="shared" si="82"/>
        <v>44102666.875</v>
      </c>
    </row>
    <row r="405" spans="1:11" s="669" customFormat="1">
      <c r="A405" s="111">
        <f t="shared" si="80"/>
        <v>309</v>
      </c>
      <c r="B405" s="634" t="s">
        <v>187</v>
      </c>
      <c r="C405" s="632">
        <v>2019</v>
      </c>
      <c r="D405" s="1023">
        <v>634300</v>
      </c>
      <c r="E405" s="63">
        <f>D405*'16-PlantAdditions'!$E$103</f>
        <v>47572.5</v>
      </c>
      <c r="F405" s="63">
        <f t="shared" si="83"/>
        <v>681872.5</v>
      </c>
      <c r="G405" s="1023">
        <v>13998455.939999999</v>
      </c>
      <c r="H405" s="1023">
        <v>8470082.9399999995</v>
      </c>
      <c r="I405" s="63">
        <f>(G405-H405)*'16-PlantAdditions'!$E$103</f>
        <v>414627.97499999998</v>
      </c>
      <c r="J405" s="63">
        <f t="shared" si="81"/>
        <v>65364500.470000006</v>
      </c>
      <c r="K405" s="63">
        <f t="shared" si="82"/>
        <v>30371455.460000001</v>
      </c>
    </row>
    <row r="406" spans="1:11" s="669" customFormat="1">
      <c r="A406" s="111">
        <f t="shared" si="80"/>
        <v>310</v>
      </c>
      <c r="B406" s="634" t="s">
        <v>188</v>
      </c>
      <c r="C406" s="632">
        <v>2019</v>
      </c>
      <c r="D406" s="1023">
        <v>475600</v>
      </c>
      <c r="E406" s="63">
        <f>D406*'16-PlantAdditions'!$E$103</f>
        <v>35670</v>
      </c>
      <c r="F406" s="63">
        <f t="shared" si="83"/>
        <v>511270</v>
      </c>
      <c r="G406" s="1023">
        <v>23600</v>
      </c>
      <c r="H406" s="1023">
        <v>0</v>
      </c>
      <c r="I406" s="63">
        <f>(G406-H406)*'16-PlantAdditions'!$E$103</f>
        <v>1770</v>
      </c>
      <c r="J406" s="63">
        <f t="shared" si="81"/>
        <v>65850400.470000006</v>
      </c>
      <c r="K406" s="63">
        <f t="shared" si="82"/>
        <v>30857355.460000001</v>
      </c>
    </row>
    <row r="407" spans="1:11" s="669" customFormat="1">
      <c r="A407" s="111">
        <f t="shared" si="80"/>
        <v>311</v>
      </c>
      <c r="B407" s="634" t="s">
        <v>191</v>
      </c>
      <c r="C407" s="632">
        <v>2019</v>
      </c>
      <c r="D407" s="1023">
        <v>15244900</v>
      </c>
      <c r="E407" s="63">
        <f>D407*'16-PlantAdditions'!$E$103</f>
        <v>1143367.5</v>
      </c>
      <c r="F407" s="63">
        <f t="shared" ref="F407:F409" si="84">E407+D407</f>
        <v>16388267.5</v>
      </c>
      <c r="G407" s="1023">
        <v>14191373.269999998</v>
      </c>
      <c r="H407" s="1023">
        <v>6167259.2699999996</v>
      </c>
      <c r="I407" s="63">
        <f>(G407-H407)*'16-PlantAdditions'!$E$103</f>
        <v>601808.54999999981</v>
      </c>
      <c r="J407" s="63">
        <f t="shared" ref="J407:J409" si="85">J406+F407-G407-I407</f>
        <v>67445486.150000006</v>
      </c>
      <c r="K407" s="63">
        <f t="shared" si="82"/>
        <v>32452441.140000001</v>
      </c>
    </row>
    <row r="408" spans="1:11" s="669" customFormat="1">
      <c r="A408" s="111">
        <f t="shared" si="80"/>
        <v>312</v>
      </c>
      <c r="B408" s="634" t="s">
        <v>190</v>
      </c>
      <c r="C408" s="632">
        <v>2019</v>
      </c>
      <c r="D408" s="1023">
        <v>4581991</v>
      </c>
      <c r="E408" s="63">
        <f>D408*'16-PlantAdditions'!$E$103</f>
        <v>343649.32500000001</v>
      </c>
      <c r="F408" s="63">
        <f t="shared" si="84"/>
        <v>4925640.3250000002</v>
      </c>
      <c r="G408" s="1023">
        <v>16164858.359999998</v>
      </c>
      <c r="H408" s="1023">
        <v>6140181.3599999994</v>
      </c>
      <c r="I408" s="63">
        <f>(G408-H408)*'16-PlantAdditions'!$E$103</f>
        <v>751850.77499999979</v>
      </c>
      <c r="J408" s="63">
        <f t="shared" si="85"/>
        <v>55454417.340000011</v>
      </c>
      <c r="K408" s="63">
        <f t="shared" si="82"/>
        <v>20461372.330000006</v>
      </c>
    </row>
    <row r="409" spans="1:11" s="669" customFormat="1">
      <c r="A409" s="111">
        <f t="shared" si="80"/>
        <v>313</v>
      </c>
      <c r="B409" s="634" t="s">
        <v>180</v>
      </c>
      <c r="C409" s="632">
        <v>2019</v>
      </c>
      <c r="D409" s="1023">
        <v>4343830.0000000019</v>
      </c>
      <c r="E409" s="63">
        <f>D409*'16-PlantAdditions'!$E$103</f>
        <v>325787.25000000012</v>
      </c>
      <c r="F409" s="63">
        <f t="shared" si="84"/>
        <v>4669617.2500000019</v>
      </c>
      <c r="G409" s="1023">
        <v>1285159.9999999998</v>
      </c>
      <c r="H409" s="1023">
        <v>0</v>
      </c>
      <c r="I409" s="63">
        <f>(G409-H409)*'16-PlantAdditions'!$E$103</f>
        <v>96386.999999999985</v>
      </c>
      <c r="J409" s="63">
        <f t="shared" si="85"/>
        <v>58742487.590000011</v>
      </c>
      <c r="K409" s="112">
        <f t="shared" si="82"/>
        <v>23749442.580000006</v>
      </c>
    </row>
    <row r="410" spans="1:11" s="669" customFormat="1">
      <c r="A410" s="111">
        <f t="shared" si="80"/>
        <v>314</v>
      </c>
      <c r="B410"/>
      <c r="C410" s="668" t="s">
        <v>1625</v>
      </c>
      <c r="H410" s="673"/>
      <c r="I410" s="673"/>
      <c r="K410" s="73">
        <f>AVERAGE(K397:K409)</f>
        <v>28209776.497692306</v>
      </c>
    </row>
    <row r="411" spans="1:11" s="669" customFormat="1">
      <c r="A411" s="111"/>
      <c r="B411"/>
      <c r="C411" s="668"/>
      <c r="H411" s="673"/>
      <c r="I411" s="673"/>
      <c r="K411" s="73"/>
    </row>
    <row r="412" spans="1:11" s="669" customFormat="1">
      <c r="B412" s="670" t="s">
        <v>2605</v>
      </c>
      <c r="D412" s="1094" t="s">
        <v>2606</v>
      </c>
      <c r="E412" s="1094"/>
      <c r="F412" s="97"/>
      <c r="G412" s="97"/>
    </row>
    <row r="413" spans="1:11" s="669" customFormat="1">
      <c r="A413" s="664"/>
      <c r="B413" s="664"/>
      <c r="C413" s="664"/>
      <c r="D413" s="664" t="s">
        <v>360</v>
      </c>
      <c r="E413" s="664" t="s">
        <v>344</v>
      </c>
      <c r="F413" s="664" t="s">
        <v>345</v>
      </c>
      <c r="G413" s="664" t="s">
        <v>346</v>
      </c>
      <c r="H413" s="664" t="s">
        <v>347</v>
      </c>
      <c r="I413" s="664" t="s">
        <v>348</v>
      </c>
      <c r="J413" s="664" t="s">
        <v>349</v>
      </c>
      <c r="K413" s="664" t="s">
        <v>541</v>
      </c>
    </row>
    <row r="414" spans="1:11" s="669" customFormat="1" ht="26.4">
      <c r="D414" s="671"/>
      <c r="E414" s="672" t="s">
        <v>2091</v>
      </c>
      <c r="F414" s="673" t="s">
        <v>1950</v>
      </c>
      <c r="G414" s="486"/>
      <c r="H414" s="671"/>
      <c r="I414" s="672" t="s">
        <v>2092</v>
      </c>
      <c r="J414" s="672" t="s">
        <v>1951</v>
      </c>
      <c r="K414" s="672" t="s">
        <v>1952</v>
      </c>
    </row>
    <row r="415" spans="1:11" s="669" customFormat="1">
      <c r="D415" s="671"/>
      <c r="E415" s="672"/>
      <c r="F415" s="673"/>
      <c r="G415" s="4" t="str">
        <f>G85</f>
        <v>Unloaded</v>
      </c>
      <c r="H415" s="671"/>
      <c r="I415" s="672"/>
      <c r="J415" s="672"/>
      <c r="K415" s="672"/>
    </row>
    <row r="416" spans="1:11" s="669" customFormat="1">
      <c r="A416" s="666"/>
      <c r="B416" s="666"/>
      <c r="C416" s="666"/>
      <c r="D416" s="666" t="str">
        <f>D$52</f>
        <v>Forecast</v>
      </c>
      <c r="E416" s="666" t="str">
        <f t="shared" ref="E416:J416" si="86">E$52</f>
        <v>Corporate</v>
      </c>
      <c r="F416" s="666" t="str">
        <f t="shared" si="86"/>
        <v xml:space="preserve">Total </v>
      </c>
      <c r="G416" s="4" t="str">
        <f>G86</f>
        <v>Total</v>
      </c>
      <c r="H416" s="666" t="str">
        <f t="shared" si="86"/>
        <v>Prior Period</v>
      </c>
      <c r="I416" s="666" t="str">
        <f t="shared" si="86"/>
        <v>Over Heads</v>
      </c>
      <c r="J416" s="666" t="str">
        <f t="shared" si="86"/>
        <v>Forecast</v>
      </c>
      <c r="K416" s="666" t="str">
        <f>K$52</f>
        <v>Forecast Period</v>
      </c>
    </row>
    <row r="417" spans="1:11" s="669" customFormat="1">
      <c r="A417" s="865" t="s">
        <v>331</v>
      </c>
      <c r="B417" s="630" t="s">
        <v>192</v>
      </c>
      <c r="C417" s="630" t="s">
        <v>193</v>
      </c>
      <c r="D417" s="664" t="str">
        <f>D$53</f>
        <v>Expenditures</v>
      </c>
      <c r="E417" s="664" t="str">
        <f t="shared" ref="E417:J417" si="87">E$53</f>
        <v>Overheads</v>
      </c>
      <c r="F417" s="664" t="str">
        <f t="shared" si="87"/>
        <v>CWIP Exp</v>
      </c>
      <c r="G417" s="84" t="str">
        <f>G87</f>
        <v>Plant Adds</v>
      </c>
      <c r="H417" s="664" t="str">
        <f t="shared" si="87"/>
        <v>CWIP Closed</v>
      </c>
      <c r="I417" s="664" t="str">
        <f t="shared" si="87"/>
        <v>Closed to PIS</v>
      </c>
      <c r="J417" s="664" t="str">
        <f t="shared" si="87"/>
        <v>Period CWIP</v>
      </c>
      <c r="K417" s="664" t="str">
        <f>K$53</f>
        <v>Incremental CWIP</v>
      </c>
    </row>
    <row r="418" spans="1:11" s="669" customFormat="1">
      <c r="A418" s="111">
        <f>A410+1</f>
        <v>315</v>
      </c>
      <c r="B418" s="631" t="s">
        <v>180</v>
      </c>
      <c r="C418" s="632">
        <v>2017</v>
      </c>
      <c r="D418" s="673" t="s">
        <v>76</v>
      </c>
      <c r="E418" s="673" t="s">
        <v>76</v>
      </c>
      <c r="F418" s="673" t="s">
        <v>76</v>
      </c>
      <c r="G418" s="673" t="s">
        <v>76</v>
      </c>
      <c r="H418" s="673" t="s">
        <v>76</v>
      </c>
      <c r="I418" s="673" t="s">
        <v>76</v>
      </c>
      <c r="J418" s="63">
        <v>0</v>
      </c>
      <c r="K418" s="673" t="s">
        <v>76</v>
      </c>
    </row>
    <row r="419" spans="1:11" s="669" customFormat="1">
      <c r="A419" s="111">
        <f>A418+1</f>
        <v>316</v>
      </c>
      <c r="B419" s="631" t="s">
        <v>181</v>
      </c>
      <c r="C419" s="632">
        <v>2018</v>
      </c>
      <c r="D419" s="1023"/>
      <c r="E419" s="63">
        <f>D419*'16-PlantAdditions'!$E$103</f>
        <v>0</v>
      </c>
      <c r="F419" s="63">
        <f>E419+D419</f>
        <v>0</v>
      </c>
      <c r="G419" s="1023"/>
      <c r="H419" s="1023"/>
      <c r="I419" s="63">
        <f>(G419-H419)*'16-PlantAdditions'!$E$103</f>
        <v>0</v>
      </c>
      <c r="J419" s="63">
        <f>J418+F419-G419-I419</f>
        <v>0</v>
      </c>
      <c r="K419" s="63">
        <f>J419-$J$418</f>
        <v>0</v>
      </c>
    </row>
    <row r="420" spans="1:11" s="669" customFormat="1">
      <c r="A420" s="111">
        <f t="shared" ref="A420:A443" si="88">A419+1</f>
        <v>317</v>
      </c>
      <c r="B420" s="634" t="s">
        <v>182</v>
      </c>
      <c r="C420" s="632">
        <v>2018</v>
      </c>
      <c r="D420" s="1023"/>
      <c r="E420" s="63">
        <f>D420*'16-PlantAdditions'!$E$103</f>
        <v>0</v>
      </c>
      <c r="F420" s="63">
        <f t="shared" ref="F420:F442" si="89">E420+D420</f>
        <v>0</v>
      </c>
      <c r="G420" s="1023"/>
      <c r="H420" s="1023"/>
      <c r="I420" s="63">
        <f>(G420-H420)*'16-PlantAdditions'!$E$103</f>
        <v>0</v>
      </c>
      <c r="J420" s="63">
        <f t="shared" ref="J420:J442" si="90">J419+F420-G420-I420</f>
        <v>0</v>
      </c>
      <c r="K420" s="63">
        <f t="shared" ref="K420:K442" si="91">J420-$J$418</f>
        <v>0</v>
      </c>
    </row>
    <row r="421" spans="1:11" s="669" customFormat="1">
      <c r="A421" s="111">
        <f t="shared" si="88"/>
        <v>318</v>
      </c>
      <c r="B421" s="634" t="s">
        <v>195</v>
      </c>
      <c r="C421" s="632">
        <v>2018</v>
      </c>
      <c r="D421" s="1023"/>
      <c r="E421" s="63">
        <f>D421*'16-PlantAdditions'!$E$103</f>
        <v>0</v>
      </c>
      <c r="F421" s="63">
        <f t="shared" si="89"/>
        <v>0</v>
      </c>
      <c r="G421" s="1023"/>
      <c r="H421" s="1023"/>
      <c r="I421" s="63">
        <f>(G421-H421)*'16-PlantAdditions'!$E$103</f>
        <v>0</v>
      </c>
      <c r="J421" s="63">
        <f t="shared" si="90"/>
        <v>0</v>
      </c>
      <c r="K421" s="63">
        <f t="shared" si="91"/>
        <v>0</v>
      </c>
    </row>
    <row r="422" spans="1:11" s="669" customFormat="1">
      <c r="A422" s="111">
        <f t="shared" si="88"/>
        <v>319</v>
      </c>
      <c r="B422" s="631" t="s">
        <v>183</v>
      </c>
      <c r="C422" s="632">
        <v>2018</v>
      </c>
      <c r="D422" s="1023"/>
      <c r="E422" s="63">
        <f>D422*'16-PlantAdditions'!$E$103</f>
        <v>0</v>
      </c>
      <c r="F422" s="63">
        <f t="shared" si="89"/>
        <v>0</v>
      </c>
      <c r="G422" s="1023"/>
      <c r="H422" s="1023"/>
      <c r="I422" s="63">
        <f>(G422-H422)*'16-PlantAdditions'!$E$103</f>
        <v>0</v>
      </c>
      <c r="J422" s="63">
        <f t="shared" si="90"/>
        <v>0</v>
      </c>
      <c r="K422" s="63">
        <f t="shared" si="91"/>
        <v>0</v>
      </c>
    </row>
    <row r="423" spans="1:11" s="669" customFormat="1">
      <c r="A423" s="111">
        <f t="shared" si="88"/>
        <v>320</v>
      </c>
      <c r="B423" s="634" t="s">
        <v>184</v>
      </c>
      <c r="C423" s="632">
        <v>2018</v>
      </c>
      <c r="D423" s="1023"/>
      <c r="E423" s="63">
        <f>D423*'16-PlantAdditions'!$E$103</f>
        <v>0</v>
      </c>
      <c r="F423" s="63">
        <f t="shared" si="89"/>
        <v>0</v>
      </c>
      <c r="G423" s="1023"/>
      <c r="H423" s="1023"/>
      <c r="I423" s="63">
        <f>(G423-H423)*'16-PlantAdditions'!$E$103</f>
        <v>0</v>
      </c>
      <c r="J423" s="63">
        <f t="shared" si="90"/>
        <v>0</v>
      </c>
      <c r="K423" s="63">
        <f t="shared" si="91"/>
        <v>0</v>
      </c>
    </row>
    <row r="424" spans="1:11" s="669" customFormat="1">
      <c r="A424" s="111">
        <f t="shared" si="88"/>
        <v>321</v>
      </c>
      <c r="B424" s="634" t="s">
        <v>1477</v>
      </c>
      <c r="C424" s="632">
        <v>2018</v>
      </c>
      <c r="D424" s="1023"/>
      <c r="E424" s="63">
        <f>D424*'16-PlantAdditions'!$E$103</f>
        <v>0</v>
      </c>
      <c r="F424" s="63">
        <f t="shared" si="89"/>
        <v>0</v>
      </c>
      <c r="G424" s="1023"/>
      <c r="H424" s="1023"/>
      <c r="I424" s="63">
        <f>(G424-H424)*'16-PlantAdditions'!$E$103</f>
        <v>0</v>
      </c>
      <c r="J424" s="63">
        <f t="shared" si="90"/>
        <v>0</v>
      </c>
      <c r="K424" s="63">
        <f t="shared" si="91"/>
        <v>0</v>
      </c>
    </row>
    <row r="425" spans="1:11" s="669" customFormat="1">
      <c r="A425" s="111">
        <f t="shared" si="88"/>
        <v>322</v>
      </c>
      <c r="B425" s="631" t="s">
        <v>186</v>
      </c>
      <c r="C425" s="632">
        <v>2018</v>
      </c>
      <c r="D425" s="1023"/>
      <c r="E425" s="63">
        <f>D425*'16-PlantAdditions'!$E$103</f>
        <v>0</v>
      </c>
      <c r="F425" s="63">
        <f t="shared" si="89"/>
        <v>0</v>
      </c>
      <c r="G425" s="1023"/>
      <c r="H425" s="1023"/>
      <c r="I425" s="63">
        <f>(G425-H425)*'16-PlantAdditions'!$E$103</f>
        <v>0</v>
      </c>
      <c r="J425" s="63">
        <f t="shared" si="90"/>
        <v>0</v>
      </c>
      <c r="K425" s="63">
        <f t="shared" si="91"/>
        <v>0</v>
      </c>
    </row>
    <row r="426" spans="1:11" s="669" customFormat="1">
      <c r="A426" s="111">
        <f t="shared" si="88"/>
        <v>323</v>
      </c>
      <c r="B426" s="634" t="s">
        <v>187</v>
      </c>
      <c r="C426" s="632">
        <v>2018</v>
      </c>
      <c r="D426" s="1023"/>
      <c r="E426" s="63">
        <f>D426*'16-PlantAdditions'!$E$103</f>
        <v>0</v>
      </c>
      <c r="F426" s="63">
        <f t="shared" si="89"/>
        <v>0</v>
      </c>
      <c r="G426" s="1023"/>
      <c r="H426" s="1023"/>
      <c r="I426" s="63">
        <f>(G426-H426)*'16-PlantAdditions'!$E$103</f>
        <v>0</v>
      </c>
      <c r="J426" s="63">
        <f t="shared" si="90"/>
        <v>0</v>
      </c>
      <c r="K426" s="63">
        <f t="shared" si="91"/>
        <v>0</v>
      </c>
    </row>
    <row r="427" spans="1:11" s="669" customFormat="1">
      <c r="A427" s="111">
        <f t="shared" si="88"/>
        <v>324</v>
      </c>
      <c r="B427" s="634" t="s">
        <v>188</v>
      </c>
      <c r="C427" s="632">
        <v>2018</v>
      </c>
      <c r="D427" s="1023"/>
      <c r="E427" s="63">
        <f>D427*'16-PlantAdditions'!$E$103</f>
        <v>0</v>
      </c>
      <c r="F427" s="63">
        <f t="shared" si="89"/>
        <v>0</v>
      </c>
      <c r="G427" s="1023"/>
      <c r="H427" s="1023"/>
      <c r="I427" s="63">
        <f>(G427-H427)*'16-PlantAdditions'!$E$103</f>
        <v>0</v>
      </c>
      <c r="J427" s="63">
        <f t="shared" si="90"/>
        <v>0</v>
      </c>
      <c r="K427" s="63">
        <f t="shared" si="91"/>
        <v>0</v>
      </c>
    </row>
    <row r="428" spans="1:11" s="669" customFormat="1">
      <c r="A428" s="111">
        <f t="shared" si="88"/>
        <v>325</v>
      </c>
      <c r="B428" s="631" t="s">
        <v>191</v>
      </c>
      <c r="C428" s="632">
        <v>2018</v>
      </c>
      <c r="D428" s="1023"/>
      <c r="E428" s="63">
        <f>D428*'16-PlantAdditions'!$E$103</f>
        <v>0</v>
      </c>
      <c r="F428" s="63">
        <f t="shared" si="89"/>
        <v>0</v>
      </c>
      <c r="G428" s="1023"/>
      <c r="H428" s="1023"/>
      <c r="I428" s="63">
        <f>(G428-H428)*'16-PlantAdditions'!$E$103</f>
        <v>0</v>
      </c>
      <c r="J428" s="63">
        <f t="shared" si="90"/>
        <v>0</v>
      </c>
      <c r="K428" s="63">
        <f t="shared" si="91"/>
        <v>0</v>
      </c>
    </row>
    <row r="429" spans="1:11" s="669" customFormat="1">
      <c r="A429" s="111">
        <f t="shared" si="88"/>
        <v>326</v>
      </c>
      <c r="B429" s="631" t="s">
        <v>190</v>
      </c>
      <c r="C429" s="632">
        <v>2018</v>
      </c>
      <c r="D429" s="1023"/>
      <c r="E429" s="63">
        <f>D429*'16-PlantAdditions'!$E$103</f>
        <v>0</v>
      </c>
      <c r="F429" s="63">
        <f t="shared" si="89"/>
        <v>0</v>
      </c>
      <c r="G429" s="1023"/>
      <c r="H429" s="1023"/>
      <c r="I429" s="63">
        <f>(G429-H429)*'16-PlantAdditions'!$E$103</f>
        <v>0</v>
      </c>
      <c r="J429" s="63">
        <f t="shared" si="90"/>
        <v>0</v>
      </c>
      <c r="K429" s="63">
        <f t="shared" si="91"/>
        <v>0</v>
      </c>
    </row>
    <row r="430" spans="1:11" s="669" customFormat="1">
      <c r="A430" s="111">
        <f t="shared" si="88"/>
        <v>327</v>
      </c>
      <c r="B430" s="631" t="s">
        <v>180</v>
      </c>
      <c r="C430" s="632">
        <v>2018</v>
      </c>
      <c r="D430" s="1023"/>
      <c r="E430" s="63">
        <f>D430*'16-PlantAdditions'!$E$103</f>
        <v>0</v>
      </c>
      <c r="F430" s="63">
        <f t="shared" si="89"/>
        <v>0</v>
      </c>
      <c r="G430" s="1023"/>
      <c r="H430" s="1023"/>
      <c r="I430" s="63">
        <f>(G430-H430)*'16-PlantAdditions'!$E$103</f>
        <v>0</v>
      </c>
      <c r="J430" s="63">
        <f t="shared" si="90"/>
        <v>0</v>
      </c>
      <c r="K430" s="63">
        <f t="shared" si="91"/>
        <v>0</v>
      </c>
    </row>
    <row r="431" spans="1:11" s="669" customFormat="1">
      <c r="A431" s="111">
        <f t="shared" si="88"/>
        <v>328</v>
      </c>
      <c r="B431" s="631" t="s">
        <v>181</v>
      </c>
      <c r="C431" s="632">
        <v>2019</v>
      </c>
      <c r="D431" s="1023"/>
      <c r="E431" s="63">
        <f>D431*'16-PlantAdditions'!$E$103</f>
        <v>0</v>
      </c>
      <c r="F431" s="63">
        <f t="shared" si="89"/>
        <v>0</v>
      </c>
      <c r="G431" s="1023"/>
      <c r="H431" s="1023"/>
      <c r="I431" s="63">
        <f>(G431-H431)*'16-PlantAdditions'!$E$103</f>
        <v>0</v>
      </c>
      <c r="J431" s="63">
        <f t="shared" si="90"/>
        <v>0</v>
      </c>
      <c r="K431" s="63">
        <f t="shared" si="91"/>
        <v>0</v>
      </c>
    </row>
    <row r="432" spans="1:11" s="669" customFormat="1">
      <c r="A432" s="111">
        <f t="shared" si="88"/>
        <v>329</v>
      </c>
      <c r="B432" s="634" t="s">
        <v>182</v>
      </c>
      <c r="C432" s="632">
        <v>2019</v>
      </c>
      <c r="D432" s="1023"/>
      <c r="E432" s="63">
        <f>D432*'16-PlantAdditions'!$E$103</f>
        <v>0</v>
      </c>
      <c r="F432" s="63">
        <f t="shared" si="89"/>
        <v>0</v>
      </c>
      <c r="G432" s="1023"/>
      <c r="H432" s="1023"/>
      <c r="I432" s="63">
        <f>(G432-H432)*'16-PlantAdditions'!$E$103</f>
        <v>0</v>
      </c>
      <c r="J432" s="63">
        <f t="shared" si="90"/>
        <v>0</v>
      </c>
      <c r="K432" s="63">
        <f t="shared" si="91"/>
        <v>0</v>
      </c>
    </row>
    <row r="433" spans="1:11" s="669" customFormat="1">
      <c r="A433" s="111">
        <f t="shared" si="88"/>
        <v>330</v>
      </c>
      <c r="B433" s="634" t="s">
        <v>195</v>
      </c>
      <c r="C433" s="632">
        <v>2019</v>
      </c>
      <c r="D433" s="1023"/>
      <c r="E433" s="63">
        <f>D433*'16-PlantAdditions'!$E$103</f>
        <v>0</v>
      </c>
      <c r="F433" s="63">
        <f t="shared" si="89"/>
        <v>0</v>
      </c>
      <c r="G433" s="1023"/>
      <c r="H433" s="1023"/>
      <c r="I433" s="63">
        <f>(G433-H433)*'16-PlantAdditions'!$E$103</f>
        <v>0</v>
      </c>
      <c r="J433" s="63">
        <f t="shared" si="90"/>
        <v>0</v>
      </c>
      <c r="K433" s="63">
        <f t="shared" si="91"/>
        <v>0</v>
      </c>
    </row>
    <row r="434" spans="1:11" s="669" customFormat="1">
      <c r="A434" s="111">
        <f t="shared" si="88"/>
        <v>331</v>
      </c>
      <c r="B434" s="631" t="s">
        <v>183</v>
      </c>
      <c r="C434" s="632">
        <v>2019</v>
      </c>
      <c r="D434" s="1023"/>
      <c r="E434" s="63">
        <f>D434*'16-PlantAdditions'!$E$103</f>
        <v>0</v>
      </c>
      <c r="F434" s="63">
        <f t="shared" si="89"/>
        <v>0</v>
      </c>
      <c r="G434" s="1023"/>
      <c r="H434" s="1023"/>
      <c r="I434" s="63">
        <f>(G434-H434)*'16-PlantAdditions'!$E$103</f>
        <v>0</v>
      </c>
      <c r="J434" s="63">
        <f t="shared" si="90"/>
        <v>0</v>
      </c>
      <c r="K434" s="63">
        <f t="shared" si="91"/>
        <v>0</v>
      </c>
    </row>
    <row r="435" spans="1:11" s="669" customFormat="1">
      <c r="A435" s="111">
        <f t="shared" si="88"/>
        <v>332</v>
      </c>
      <c r="B435" s="634" t="s">
        <v>184</v>
      </c>
      <c r="C435" s="632">
        <v>2019</v>
      </c>
      <c r="D435" s="1023"/>
      <c r="E435" s="63">
        <f>D435*'16-PlantAdditions'!$E$103</f>
        <v>0</v>
      </c>
      <c r="F435" s="63">
        <f t="shared" si="89"/>
        <v>0</v>
      </c>
      <c r="G435" s="1023"/>
      <c r="H435" s="1023"/>
      <c r="I435" s="63">
        <f>(G435-H435)*'16-PlantAdditions'!$E$103</f>
        <v>0</v>
      </c>
      <c r="J435" s="63">
        <f t="shared" si="90"/>
        <v>0</v>
      </c>
      <c r="K435" s="63">
        <f t="shared" si="91"/>
        <v>0</v>
      </c>
    </row>
    <row r="436" spans="1:11" s="669" customFormat="1">
      <c r="A436" s="111">
        <f t="shared" si="88"/>
        <v>333</v>
      </c>
      <c r="B436" s="634" t="s">
        <v>1477</v>
      </c>
      <c r="C436" s="632">
        <v>2019</v>
      </c>
      <c r="D436" s="1023"/>
      <c r="E436" s="63">
        <f>D436*'16-PlantAdditions'!$E$103</f>
        <v>0</v>
      </c>
      <c r="F436" s="63">
        <f t="shared" si="89"/>
        <v>0</v>
      </c>
      <c r="G436" s="1023"/>
      <c r="H436" s="1023"/>
      <c r="I436" s="63">
        <f>(G436-H436)*'16-PlantAdditions'!$E$103</f>
        <v>0</v>
      </c>
      <c r="J436" s="63">
        <f t="shared" si="90"/>
        <v>0</v>
      </c>
      <c r="K436" s="63">
        <f t="shared" si="91"/>
        <v>0</v>
      </c>
    </row>
    <row r="437" spans="1:11" s="669" customFormat="1">
      <c r="A437" s="111">
        <f t="shared" si="88"/>
        <v>334</v>
      </c>
      <c r="B437" s="631" t="s">
        <v>186</v>
      </c>
      <c r="C437" s="632">
        <v>2019</v>
      </c>
      <c r="D437" s="1023"/>
      <c r="E437" s="63">
        <f>D437*'16-PlantAdditions'!$E$103</f>
        <v>0</v>
      </c>
      <c r="F437" s="63">
        <f t="shared" si="89"/>
        <v>0</v>
      </c>
      <c r="G437" s="1023"/>
      <c r="H437" s="1023"/>
      <c r="I437" s="63">
        <f>(G437-H437)*'16-PlantAdditions'!$E$103</f>
        <v>0</v>
      </c>
      <c r="J437" s="63">
        <f t="shared" si="90"/>
        <v>0</v>
      </c>
      <c r="K437" s="63">
        <f t="shared" si="91"/>
        <v>0</v>
      </c>
    </row>
    <row r="438" spans="1:11" s="669" customFormat="1">
      <c r="A438" s="111">
        <f t="shared" si="88"/>
        <v>335</v>
      </c>
      <c r="B438" s="634" t="s">
        <v>187</v>
      </c>
      <c r="C438" s="632">
        <v>2019</v>
      </c>
      <c r="D438" s="1023"/>
      <c r="E438" s="63">
        <f>D438*'16-PlantAdditions'!$E$103</f>
        <v>0</v>
      </c>
      <c r="F438" s="63">
        <f t="shared" si="89"/>
        <v>0</v>
      </c>
      <c r="G438" s="1023"/>
      <c r="H438" s="1023"/>
      <c r="I438" s="63">
        <f>(G438-H438)*'16-PlantAdditions'!$E$103</f>
        <v>0</v>
      </c>
      <c r="J438" s="63">
        <f t="shared" si="90"/>
        <v>0</v>
      </c>
      <c r="K438" s="63">
        <f t="shared" si="91"/>
        <v>0</v>
      </c>
    </row>
    <row r="439" spans="1:11" s="669" customFormat="1">
      <c r="A439" s="111">
        <f t="shared" si="88"/>
        <v>336</v>
      </c>
      <c r="B439" s="634" t="s">
        <v>188</v>
      </c>
      <c r="C439" s="632">
        <v>2019</v>
      </c>
      <c r="D439" s="1023"/>
      <c r="E439" s="63">
        <f>D439*'16-PlantAdditions'!$E$103</f>
        <v>0</v>
      </c>
      <c r="F439" s="63">
        <f t="shared" si="89"/>
        <v>0</v>
      </c>
      <c r="G439" s="1023"/>
      <c r="H439" s="1023"/>
      <c r="I439" s="63">
        <f>(G439-H439)*'16-PlantAdditions'!$E$103</f>
        <v>0</v>
      </c>
      <c r="J439" s="63">
        <f t="shared" si="90"/>
        <v>0</v>
      </c>
      <c r="K439" s="63">
        <f t="shared" si="91"/>
        <v>0</v>
      </c>
    </row>
    <row r="440" spans="1:11" s="669" customFormat="1">
      <c r="A440" s="111">
        <f t="shared" si="88"/>
        <v>337</v>
      </c>
      <c r="B440" s="634" t="s">
        <v>191</v>
      </c>
      <c r="C440" s="632">
        <v>2019</v>
      </c>
      <c r="D440" s="1023"/>
      <c r="E440" s="63">
        <f>D440*'16-PlantAdditions'!$E$103</f>
        <v>0</v>
      </c>
      <c r="F440" s="63">
        <f t="shared" si="89"/>
        <v>0</v>
      </c>
      <c r="G440" s="1023"/>
      <c r="H440" s="1023"/>
      <c r="I440" s="63">
        <f>(G440-H440)*'16-PlantAdditions'!$E$103</f>
        <v>0</v>
      </c>
      <c r="J440" s="63">
        <f t="shared" si="90"/>
        <v>0</v>
      </c>
      <c r="K440" s="63">
        <f t="shared" si="91"/>
        <v>0</v>
      </c>
    </row>
    <row r="441" spans="1:11" s="669" customFormat="1">
      <c r="A441" s="111">
        <f t="shared" si="88"/>
        <v>338</v>
      </c>
      <c r="B441" s="634" t="s">
        <v>190</v>
      </c>
      <c r="C441" s="632">
        <v>2019</v>
      </c>
      <c r="D441" s="1023"/>
      <c r="E441" s="63">
        <f>D441*'16-PlantAdditions'!$E$103</f>
        <v>0</v>
      </c>
      <c r="F441" s="63">
        <f t="shared" si="89"/>
        <v>0</v>
      </c>
      <c r="G441" s="1023"/>
      <c r="H441" s="1023"/>
      <c r="I441" s="63">
        <f>(G441-H441)*'16-PlantAdditions'!$E$103</f>
        <v>0</v>
      </c>
      <c r="J441" s="63">
        <f t="shared" si="90"/>
        <v>0</v>
      </c>
      <c r="K441" s="63">
        <f t="shared" si="91"/>
        <v>0</v>
      </c>
    </row>
    <row r="442" spans="1:11" s="669" customFormat="1">
      <c r="A442" s="111">
        <f t="shared" si="88"/>
        <v>339</v>
      </c>
      <c r="B442" s="634" t="s">
        <v>180</v>
      </c>
      <c r="C442" s="632">
        <v>2019</v>
      </c>
      <c r="D442" s="1023"/>
      <c r="E442" s="63">
        <f>D442*'16-PlantAdditions'!$E$103</f>
        <v>0</v>
      </c>
      <c r="F442" s="63">
        <f t="shared" si="89"/>
        <v>0</v>
      </c>
      <c r="G442" s="1023"/>
      <c r="H442" s="1023"/>
      <c r="I442" s="63">
        <f>(G442-H442)*'16-PlantAdditions'!$E$103</f>
        <v>0</v>
      </c>
      <c r="J442" s="63">
        <f t="shared" si="90"/>
        <v>0</v>
      </c>
      <c r="K442" s="63">
        <f t="shared" si="91"/>
        <v>0</v>
      </c>
    </row>
    <row r="443" spans="1:11" s="669" customFormat="1">
      <c r="A443" s="111">
        <f t="shared" si="88"/>
        <v>340</v>
      </c>
      <c r="B443" s="999"/>
      <c r="C443" s="668" t="s">
        <v>1625</v>
      </c>
      <c r="H443" s="673"/>
      <c r="I443" s="673"/>
      <c r="K443" s="73">
        <f>AVERAGE(K430:K442)</f>
        <v>0</v>
      </c>
    </row>
    <row r="445" spans="1:11">
      <c r="B445" s="639" t="s">
        <v>232</v>
      </c>
    </row>
    <row r="446" spans="1:11">
      <c r="B446" s="634" t="s">
        <v>2088</v>
      </c>
    </row>
    <row r="447" spans="1:11">
      <c r="B447" s="634" t="s">
        <v>2089</v>
      </c>
      <c r="H447" s="14"/>
      <c r="I447" s="14"/>
    </row>
    <row r="449" spans="2:9">
      <c r="B449" s="1" t="s">
        <v>379</v>
      </c>
    </row>
    <row r="450" spans="2:9">
      <c r="B450" s="477" t="s">
        <v>999</v>
      </c>
    </row>
    <row r="451" spans="2:9">
      <c r="B451" s="477" t="s">
        <v>2090</v>
      </c>
      <c r="H451" s="14"/>
      <c r="I451" s="14"/>
    </row>
    <row r="452" spans="2:9">
      <c r="B452" s="479" t="s">
        <v>1968</v>
      </c>
    </row>
  </sheetData>
  <mergeCells count="11">
    <mergeCell ref="F379:G379"/>
    <mergeCell ref="D280:E280"/>
    <mergeCell ref="D313:E313"/>
    <mergeCell ref="D346:E346"/>
    <mergeCell ref="D82:E82"/>
    <mergeCell ref="D115:E115"/>
    <mergeCell ref="D148:E148"/>
    <mergeCell ref="D181:E181"/>
    <mergeCell ref="D214:E214"/>
    <mergeCell ref="D247:E247"/>
    <mergeCell ref="D379:E379"/>
  </mergeCells>
  <pageMargins left="0.7" right="0.7" top="0.75" bottom="0.75" header="0.3" footer="0.3"/>
  <pageSetup scale="50" fitToHeight="0" orientation="landscape" cellComments="asDisplayed" r:id="rId1"/>
  <headerFooter>
    <oddHeader>&amp;CSchedule 10
CWIP
&amp;RExhibit SCE-4
TO2019A Formula Rate Spreadsheet</oddHeader>
    <oddFooter>&amp;R&amp;A</oddFooter>
  </headerFooter>
  <rowBreaks count="6" manualBreakCount="6">
    <brk id="47" max="16383" man="1"/>
    <brk id="113" max="10" man="1"/>
    <brk id="179" max="10" man="1"/>
    <brk id="245" max="10" man="1"/>
    <brk id="311" max="10" man="1"/>
    <brk id="377"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110" zoomScaleNormal="110" workbookViewId="0"/>
  </sheetViews>
  <sheetFormatPr defaultRowHeight="13.2"/>
  <cols>
    <col min="1" max="1" width="4.6640625" customWidth="1"/>
    <col min="2" max="2" width="22.6640625" customWidth="1"/>
    <col min="3" max="3" width="8.6640625" customWidth="1"/>
    <col min="4" max="5" width="25.6640625" customWidth="1"/>
    <col min="6" max="6" width="22.6640625" customWidth="1"/>
  </cols>
  <sheetData>
    <row r="1" spans="1:6">
      <c r="A1" s="38" t="s">
        <v>1212</v>
      </c>
      <c r="B1" s="121"/>
      <c r="C1" s="39"/>
      <c r="D1" s="39"/>
      <c r="E1" s="39"/>
      <c r="F1" s="39"/>
    </row>
    <row r="2" spans="1:6">
      <c r="A2" s="123"/>
      <c r="B2" s="14"/>
      <c r="C2" s="124"/>
      <c r="D2" s="124"/>
      <c r="F2" s="43" t="s">
        <v>17</v>
      </c>
    </row>
    <row r="3" spans="1:6">
      <c r="A3" s="123"/>
      <c r="B3" s="15" t="s">
        <v>499</v>
      </c>
      <c r="C3" s="124"/>
      <c r="D3" s="124"/>
      <c r="E3" s="124"/>
    </row>
    <row r="4" spans="1:6">
      <c r="A4" s="123"/>
      <c r="B4" s="15" t="s">
        <v>388</v>
      </c>
      <c r="C4" s="124"/>
      <c r="D4" s="124"/>
      <c r="E4" s="124"/>
    </row>
    <row r="5" spans="1:6">
      <c r="A5" s="123"/>
      <c r="B5" s="15" t="s">
        <v>393</v>
      </c>
      <c r="C5" s="124"/>
      <c r="D5" s="124"/>
      <c r="E5" s="124"/>
    </row>
    <row r="6" spans="1:6">
      <c r="A6" s="123"/>
    </row>
    <row r="7" spans="1:6">
      <c r="A7" s="51" t="s">
        <v>331</v>
      </c>
      <c r="B7" s="14"/>
      <c r="C7" s="124"/>
      <c r="D7" s="3" t="s">
        <v>391</v>
      </c>
      <c r="E7" s="122" t="s">
        <v>390</v>
      </c>
      <c r="F7" s="125" t="s">
        <v>179</v>
      </c>
    </row>
    <row r="8" spans="1:6">
      <c r="A8" s="2">
        <v>1</v>
      </c>
      <c r="B8" s="15" t="s">
        <v>402</v>
      </c>
      <c r="D8" s="6">
        <v>16261841</v>
      </c>
      <c r="E8" s="6">
        <v>15781292</v>
      </c>
      <c r="F8" s="13" t="s">
        <v>1225</v>
      </c>
    </row>
    <row r="9" spans="1:6">
      <c r="A9" s="2"/>
      <c r="B9" s="15"/>
      <c r="D9" s="14"/>
      <c r="E9" s="12"/>
    </row>
    <row r="10" spans="1:6">
      <c r="A10" s="2"/>
      <c r="B10" s="15" t="s">
        <v>396</v>
      </c>
      <c r="D10" s="14"/>
      <c r="E10" s="12"/>
    </row>
    <row r="11" spans="1:6">
      <c r="A11" s="2"/>
      <c r="B11" s="15"/>
      <c r="D11" s="14"/>
      <c r="E11" s="12"/>
    </row>
    <row r="12" spans="1:6">
      <c r="A12" s="2"/>
      <c r="B12" s="84" t="s">
        <v>360</v>
      </c>
      <c r="C12" s="84" t="s">
        <v>344</v>
      </c>
      <c r="D12" s="84" t="s">
        <v>345</v>
      </c>
      <c r="E12" s="84" t="s">
        <v>346</v>
      </c>
      <c r="F12" s="84" t="s">
        <v>347</v>
      </c>
    </row>
    <row r="13" spans="1:6">
      <c r="A13" s="2"/>
      <c r="B13" s="15"/>
      <c r="C13" s="2" t="s">
        <v>399</v>
      </c>
      <c r="D13" s="14"/>
      <c r="E13" s="12"/>
    </row>
    <row r="14" spans="1:6">
      <c r="A14" s="2"/>
      <c r="B14" s="51" t="s">
        <v>100</v>
      </c>
      <c r="C14" s="3" t="s">
        <v>398</v>
      </c>
      <c r="D14" s="3" t="s">
        <v>391</v>
      </c>
      <c r="E14" s="122" t="s">
        <v>390</v>
      </c>
      <c r="F14" s="122" t="s">
        <v>179</v>
      </c>
    </row>
    <row r="15" spans="1:6">
      <c r="A15" s="2" t="s">
        <v>513</v>
      </c>
      <c r="B15" s="1005" t="s">
        <v>2664</v>
      </c>
      <c r="C15" s="97" t="s">
        <v>2665</v>
      </c>
      <c r="D15" s="6">
        <v>9942155</v>
      </c>
      <c r="E15" s="6">
        <v>9942155</v>
      </c>
      <c r="F15" s="97" t="s">
        <v>2666</v>
      </c>
    </row>
    <row r="16" spans="1:6">
      <c r="A16" s="2" t="s">
        <v>514</v>
      </c>
      <c r="B16" s="116"/>
      <c r="C16" s="97"/>
      <c r="D16" s="6"/>
      <c r="E16" s="6"/>
      <c r="F16" s="97"/>
    </row>
    <row r="17" spans="1:6">
      <c r="A17" s="2" t="s">
        <v>515</v>
      </c>
      <c r="B17" s="116"/>
      <c r="C17" s="97"/>
      <c r="D17" s="6"/>
      <c r="E17" s="6"/>
      <c r="F17" s="97"/>
    </row>
    <row r="18" spans="1:6">
      <c r="A18" s="2" t="s">
        <v>516</v>
      </c>
      <c r="B18" s="116"/>
      <c r="C18" s="97"/>
      <c r="D18" s="6"/>
      <c r="E18" s="6"/>
      <c r="F18" s="97"/>
    </row>
    <row r="19" spans="1:6">
      <c r="A19" s="2" t="s">
        <v>517</v>
      </c>
      <c r="B19" s="116"/>
      <c r="C19" s="97"/>
      <c r="D19" s="6"/>
      <c r="E19" s="6"/>
      <c r="F19" s="97"/>
    </row>
    <row r="20" spans="1:6">
      <c r="A20" s="2" t="s">
        <v>518</v>
      </c>
      <c r="B20" s="116"/>
      <c r="C20" s="97"/>
      <c r="D20" s="6"/>
      <c r="E20" s="6"/>
      <c r="F20" s="97"/>
    </row>
    <row r="21" spans="1:6">
      <c r="A21" s="2" t="s">
        <v>519</v>
      </c>
      <c r="B21" s="116"/>
      <c r="C21" s="97"/>
      <c r="D21" s="6"/>
      <c r="E21" s="6"/>
      <c r="F21" s="97"/>
    </row>
    <row r="22" spans="1:6">
      <c r="A22" s="2" t="s">
        <v>520</v>
      </c>
      <c r="B22" s="116"/>
      <c r="C22" s="97"/>
      <c r="D22" s="6"/>
      <c r="E22" s="6"/>
      <c r="F22" s="97"/>
    </row>
    <row r="23" spans="1:6">
      <c r="A23" s="189"/>
      <c r="B23" s="400" t="s">
        <v>510</v>
      </c>
      <c r="C23" s="97"/>
      <c r="D23" s="401"/>
      <c r="E23" s="401"/>
      <c r="F23" s="97"/>
    </row>
    <row r="24" spans="1:6">
      <c r="A24" s="2">
        <v>3</v>
      </c>
      <c r="C24" s="12" t="s">
        <v>4</v>
      </c>
      <c r="D24" s="7">
        <f>SUM(D15:D22)</f>
        <v>9942155</v>
      </c>
      <c r="E24" s="7">
        <f>SUM(E15:E22)</f>
        <v>9942155</v>
      </c>
      <c r="F24" s="46" t="s">
        <v>522</v>
      </c>
    </row>
    <row r="25" spans="1:6">
      <c r="C25" s="12"/>
    </row>
    <row r="26" spans="1:6">
      <c r="C26" s="12"/>
      <c r="D26" s="3" t="s">
        <v>391</v>
      </c>
      <c r="E26" s="122" t="s">
        <v>390</v>
      </c>
      <c r="F26" s="125" t="s">
        <v>179</v>
      </c>
    </row>
    <row r="27" spans="1:6">
      <c r="A27" s="2">
        <v>4</v>
      </c>
      <c r="B27" s="12" t="s">
        <v>392</v>
      </c>
      <c r="C27" s="12"/>
      <c r="D27" s="6">
        <v>0</v>
      </c>
      <c r="E27" s="6">
        <v>0</v>
      </c>
      <c r="F27" s="46" t="s">
        <v>389</v>
      </c>
    </row>
    <row r="28" spans="1:6">
      <c r="A28" s="2">
        <v>5</v>
      </c>
      <c r="B28" s="12" t="s">
        <v>304</v>
      </c>
      <c r="D28" s="126">
        <f>'27-Allocators'!G14</f>
        <v>6.0143362776597958E-2</v>
      </c>
      <c r="E28" s="126">
        <f>'27-Allocators'!G14</f>
        <v>6.0143362776597958E-2</v>
      </c>
      <c r="F28" s="46" t="str">
        <f>"27-Allocators, L "&amp;'27-Allocators'!A14&amp;""</f>
        <v>27-Allocators, L 9</v>
      </c>
    </row>
    <row r="29" spans="1:6">
      <c r="A29" s="2">
        <v>6</v>
      </c>
      <c r="B29" s="12" t="s">
        <v>400</v>
      </c>
      <c r="C29" s="12"/>
      <c r="D29" s="63">
        <f>D27*D28</f>
        <v>0</v>
      </c>
      <c r="E29" s="63">
        <f>E27*E28</f>
        <v>0</v>
      </c>
      <c r="F29" s="46" t="str">
        <f>"L "&amp;A27&amp;" * L "&amp;A28&amp;""</f>
        <v>L 4 * L 5</v>
      </c>
    </row>
    <row r="30" spans="1:6">
      <c r="C30" s="12"/>
    </row>
    <row r="31" spans="1:6">
      <c r="B31" s="12" t="s">
        <v>397</v>
      </c>
    </row>
    <row r="32" spans="1:6">
      <c r="C32" s="32"/>
      <c r="D32" s="33"/>
      <c r="E32" s="35"/>
    </row>
    <row r="33" spans="1:6">
      <c r="D33" s="3" t="s">
        <v>391</v>
      </c>
      <c r="E33" s="122" t="s">
        <v>390</v>
      </c>
      <c r="F33" s="125" t="s">
        <v>179</v>
      </c>
    </row>
    <row r="34" spans="1:6">
      <c r="A34" s="2">
        <v>7</v>
      </c>
      <c r="C34" s="12"/>
      <c r="D34" s="6">
        <v>6319686</v>
      </c>
      <c r="E34" s="6">
        <v>5839137</v>
      </c>
      <c r="F34" s="13" t="s">
        <v>361</v>
      </c>
    </row>
    <row r="37" spans="1:6">
      <c r="B37" s="12" t="s">
        <v>401</v>
      </c>
      <c r="D37" s="3" t="s">
        <v>391</v>
      </c>
      <c r="E37" s="122" t="s">
        <v>390</v>
      </c>
      <c r="F37" s="125" t="s">
        <v>179</v>
      </c>
    </row>
    <row r="38" spans="1:6">
      <c r="A38" s="2">
        <v>8</v>
      </c>
      <c r="D38" s="101">
        <f>D24+D29</f>
        <v>9942155</v>
      </c>
      <c r="E38" s="101">
        <f>E24+E29</f>
        <v>9942155</v>
      </c>
      <c r="F38" s="46" t="str">
        <f>"L "&amp;A24&amp;" + L "&amp;A29&amp;""</f>
        <v>L 3 + L 6</v>
      </c>
    </row>
    <row r="39" spans="1:6">
      <c r="A39" s="2"/>
      <c r="D39" s="101"/>
      <c r="E39" s="101"/>
      <c r="F39" s="13"/>
    </row>
    <row r="40" spans="1:6">
      <c r="B40" t="s">
        <v>403</v>
      </c>
    </row>
    <row r="41" spans="1:6">
      <c r="A41" s="2">
        <v>9</v>
      </c>
      <c r="B41" s="12" t="s">
        <v>401</v>
      </c>
      <c r="D41" s="47">
        <f>(D38+E38)/2</f>
        <v>9942155</v>
      </c>
      <c r="E41" s="101"/>
      <c r="F41" s="46" t="str">
        <f>"Sum of Line "&amp;A38&amp;" / 2"</f>
        <v>Sum of Line 8 / 2</v>
      </c>
    </row>
    <row r="42" spans="1:6">
      <c r="B42" s="12"/>
    </row>
    <row r="43" spans="1:6">
      <c r="B43" s="1" t="s">
        <v>501</v>
      </c>
      <c r="C43" s="12"/>
    </row>
    <row r="44" spans="1:6">
      <c r="C44" s="12"/>
    </row>
    <row r="45" spans="1:6">
      <c r="A45" s="2"/>
      <c r="F45" s="125" t="s">
        <v>179</v>
      </c>
    </row>
    <row r="46" spans="1:6">
      <c r="A46" s="2">
        <v>10</v>
      </c>
      <c r="B46" s="12" t="s">
        <v>500</v>
      </c>
      <c r="E46" s="1016">
        <v>0</v>
      </c>
      <c r="F46" s="13" t="s">
        <v>33</v>
      </c>
    </row>
    <row r="49" spans="2:2">
      <c r="B49" s="1" t="s">
        <v>379</v>
      </c>
    </row>
    <row r="50" spans="2:2">
      <c r="B50" s="12" t="s">
        <v>394</v>
      </c>
    </row>
    <row r="51" spans="2:2">
      <c r="B51" s="15" t="s">
        <v>1216</v>
      </c>
    </row>
    <row r="52" spans="2:2">
      <c r="B52" s="12" t="s">
        <v>1217</v>
      </c>
    </row>
    <row r="53" spans="2:2">
      <c r="B53" s="12" t="s">
        <v>521</v>
      </c>
    </row>
    <row r="54" spans="2:2">
      <c r="B54" s="12" t="str">
        <f>"2) For any Electric Plant Held for Future Use classified as General note amount on Line "&amp;A27&amp;"."</f>
        <v>2) For any Electric Plant Held for Future Use classified as General note amount on Line 4.</v>
      </c>
    </row>
    <row r="55" spans="2:2">
      <c r="B55" s="15" t="s">
        <v>1218</v>
      </c>
    </row>
    <row r="56" spans="2:2">
      <c r="B56" s="12" t="s">
        <v>395</v>
      </c>
    </row>
    <row r="57" spans="2:2">
      <c r="B57" s="477" t="s">
        <v>1664</v>
      </c>
    </row>
    <row r="58" spans="2:2">
      <c r="B58" s="12" t="s">
        <v>1215</v>
      </c>
    </row>
    <row r="59" spans="2:2">
      <c r="B59" s="12"/>
    </row>
    <row r="60" spans="2:2">
      <c r="B60" s="1" t="s">
        <v>232</v>
      </c>
    </row>
    <row r="61" spans="2:2">
      <c r="B61" s="15" t="s">
        <v>1226</v>
      </c>
    </row>
  </sheetData>
  <pageMargins left="0.7" right="0.7" top="0.75" bottom="0.75" header="0.3" footer="0.3"/>
  <pageSetup scale="80" orientation="portrait" cellComments="asDisplayed" r:id="rId1"/>
  <headerFooter>
    <oddHeader>&amp;CSchedule 11
Plant Held for Future Use
&amp;RExhibit SCE-4
TO2019A Formula Rate Spreadsheet</oddHeader>
    <oddFooter>&amp;R11-PHFU</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110" zoomScaleNormal="110" workbookViewId="0"/>
  </sheetViews>
  <sheetFormatPr defaultRowHeight="13.2"/>
  <cols>
    <col min="1" max="1" width="4.6640625" customWidth="1"/>
    <col min="2" max="2" width="5.6640625" customWidth="1"/>
    <col min="3" max="10" width="12.6640625" customWidth="1"/>
    <col min="12" max="12" width="9.109375" style="14"/>
  </cols>
  <sheetData>
    <row r="1" spans="1:10">
      <c r="A1" s="1" t="s">
        <v>292</v>
      </c>
    </row>
    <row r="2" spans="1:10">
      <c r="I2" s="529" t="s">
        <v>248</v>
      </c>
      <c r="J2" s="529"/>
    </row>
    <row r="3" spans="1:10">
      <c r="B3" t="s">
        <v>317</v>
      </c>
    </row>
    <row r="5" spans="1:10">
      <c r="B5" t="s">
        <v>312</v>
      </c>
    </row>
    <row r="6" spans="1:10">
      <c r="B6" t="s">
        <v>318</v>
      </c>
    </row>
    <row r="7" spans="1:10">
      <c r="F7" s="75" t="s">
        <v>226</v>
      </c>
      <c r="H7" s="75" t="s">
        <v>1826</v>
      </c>
    </row>
    <row r="8" spans="1:10">
      <c r="B8" s="14" t="s">
        <v>1825</v>
      </c>
      <c r="C8" s="14"/>
      <c r="D8" s="14"/>
      <c r="E8" s="14"/>
      <c r="F8" s="1005"/>
      <c r="G8" s="97"/>
      <c r="H8" s="1005"/>
      <c r="I8" s="97"/>
      <c r="J8" s="97"/>
    </row>
    <row r="9" spans="1:10">
      <c r="B9" s="14"/>
      <c r="C9" s="14"/>
      <c r="D9" s="14"/>
      <c r="E9" s="14"/>
      <c r="F9" s="1005"/>
      <c r="G9" s="97"/>
      <c r="H9" s="97"/>
      <c r="I9" s="97"/>
      <c r="J9" s="97"/>
    </row>
    <row r="10" spans="1:10">
      <c r="B10" s="14"/>
      <c r="C10" s="14"/>
      <c r="D10" s="14"/>
      <c r="E10" s="14"/>
      <c r="F10" s="901" t="s">
        <v>510</v>
      </c>
      <c r="G10" s="14"/>
      <c r="H10" s="901" t="s">
        <v>510</v>
      </c>
      <c r="I10" s="14"/>
    </row>
    <row r="12" spans="1:10">
      <c r="B12" s="477" t="s">
        <v>377</v>
      </c>
    </row>
    <row r="13" spans="1:10">
      <c r="B13" s="477"/>
    </row>
    <row r="14" spans="1:10">
      <c r="B14" s="477" t="s">
        <v>375</v>
      </c>
    </row>
    <row r="15" spans="1:10">
      <c r="B15" s="477" t="s">
        <v>376</v>
      </c>
    </row>
    <row r="16" spans="1:10">
      <c r="B16" s="477"/>
      <c r="G16" s="571" t="s">
        <v>378</v>
      </c>
    </row>
    <row r="17" spans="1:12">
      <c r="A17" s="51" t="s">
        <v>331</v>
      </c>
      <c r="G17" s="3" t="s">
        <v>63</v>
      </c>
      <c r="I17" s="51" t="s">
        <v>238</v>
      </c>
    </row>
    <row r="18" spans="1:12">
      <c r="A18" s="571">
        <v>1</v>
      </c>
      <c r="F18" s="37" t="s">
        <v>313</v>
      </c>
      <c r="G18" s="63">
        <f>SUM(IF(B31='1-BaseTRR'!$K$4,E31+I31,0),IF(B32='1-BaseTRR'!$K$4,E32+I32,0),IF(B33='1-BaseTRR'!$K$4,E33+I33,0),IF(B34='1-BaseTRR'!$K$4,E34+I34,0),IF(B35='1-BaseTRR'!$K$4,E35+I35,0),IF(B36='1-BaseTRR'!$K$4,E36+I36,0),IF(B37='1-BaseTRR'!$K$4,E37+I37,0),IF(B38='1-BaseTRR'!$K$4,E38+I38,0),IF(B39='1-BaseTRR'!$K$4,E39+I39,0),IF(B40='1-BaseTRR'!$K$4,E40+I40,0),IF(B41='1-BaseTRR'!$K$4,E41+I41,0))</f>
        <v>0</v>
      </c>
      <c r="I18" s="477" t="s">
        <v>387</v>
      </c>
    </row>
    <row r="19" spans="1:12">
      <c r="A19" s="571">
        <v>2</v>
      </c>
      <c r="F19" s="475" t="s">
        <v>381</v>
      </c>
      <c r="G19" s="63">
        <f>SUM(IF(B31='1-BaseTRR'!$K$4-1,C31+G31,0),IF(B32='1-BaseTRR'!$K$4-1,C32+G32,0),IF(B33='1-BaseTRR'!$K$4-1,C33+G33,0),IF(B34='1-BaseTRR'!$K$4-1,C34+G34,0),IF(B35='1-BaseTRR'!$K$4-1,C35+G35,0),IF(B36='1-BaseTRR'!$K$4-1,C36+G36,0),IF(B37='1-BaseTRR'!$K$4-1,C37+G37,0),IF(B38='1-BaseTRR'!$K$4-1,C38+G38,0),IF(B39='1-BaseTRR'!$K$4-1,C39+G39,0),IF(B40='1-BaseTRR'!$K$4-1,C40+G40,0),IF(B41='1-BaseTRR'!$K$4-1,C41+G41,0))</f>
        <v>0</v>
      </c>
      <c r="I19" s="477" t="s">
        <v>387</v>
      </c>
    </row>
    <row r="20" spans="1:12">
      <c r="A20" s="571">
        <v>3</v>
      </c>
      <c r="F20" s="37" t="s">
        <v>315</v>
      </c>
      <c r="G20" s="63">
        <f>SUM(IF(B31='1-BaseTRR'!$K$4,C31+G31,0),IF(B32='1-BaseTRR'!$K$4,C32+G32,0),IF(B33='1-BaseTRR'!$K$4,C33+G33,0),IF(B34='1-BaseTRR'!$K$4,C34+G34,0),IF(B35='1-BaseTRR'!$K$4,C35+G35,0),IF(B36='1-BaseTRR'!$K$4,C36+G36,0),IF(B37='1-BaseTRR'!$K$4,C37+G37,0),IF(B38='1-BaseTRR'!$K$4,C38+G38,0),IF(B39='1-BaseTRR'!$K$4,C39+G39,0),IF(B40='1-BaseTRR'!$K$4,C40+G40,0),IF(B41='1-BaseTRR'!$K$4,C41+G41,0))</f>
        <v>0</v>
      </c>
      <c r="I20" s="477" t="s">
        <v>387</v>
      </c>
    </row>
    <row r="21" spans="1:12">
      <c r="A21" s="571">
        <v>4</v>
      </c>
      <c r="F21" s="37" t="s">
        <v>316</v>
      </c>
      <c r="G21" s="63">
        <f>(G19+G20)/2</f>
        <v>0</v>
      </c>
      <c r="I21" s="479" t="str">
        <f>"Average of Lines "&amp;A19&amp;" and "&amp;A20&amp;"."</f>
        <v>Average of Lines 2 and 3.</v>
      </c>
    </row>
    <row r="22" spans="1:12" s="999" customFormat="1">
      <c r="A22" s="571">
        <v>5</v>
      </c>
      <c r="E22" s="479"/>
      <c r="F22" s="874" t="s">
        <v>2348</v>
      </c>
      <c r="G22" s="63">
        <f>SUM(IF(B31='1-BaseTRR'!$K$4-1,D31+H31,0),IF(B32='1-BaseTRR'!$K$4-1,D32+H32,0),IF(B33='1-BaseTRR'!$K$4-1,D33+H33,0),IF(B34='1-BaseTRR'!$K$4-1,D34+H34,0),IF(B35='1-BaseTRR'!$K$4-1,D35+H35,0),IF(B36='1-BaseTRR'!$K$4-1,D36+H36,0),IF(B37='1-BaseTRR'!$K$4-1,D37+H37,0),IF(B38='1-BaseTRR'!$K$4-1,D38+H38,0),IF(B39='1-BaseTRR'!$K$4-1,D39+H39,0),IF(B40='1-BaseTRR'!$K$4-1,D40+H40,0),IF(B41='1-BaseTRR'!$K$4-1,D41+H41,0))</f>
        <v>0</v>
      </c>
      <c r="H22" s="479"/>
      <c r="I22" s="479" t="s">
        <v>387</v>
      </c>
      <c r="J22" s="479"/>
      <c r="L22" s="14"/>
    </row>
    <row r="23" spans="1:12">
      <c r="I23" s="477"/>
    </row>
    <row r="25" spans="1:12">
      <c r="A25" s="571">
        <v>6</v>
      </c>
      <c r="C25" s="1" t="s">
        <v>508</v>
      </c>
      <c r="D25" s="1005" t="s">
        <v>509</v>
      </c>
      <c r="G25" s="152" t="s">
        <v>511</v>
      </c>
      <c r="H25" s="487" t="s">
        <v>509</v>
      </c>
      <c r="I25" s="573"/>
      <c r="J25" s="479"/>
    </row>
    <row r="26" spans="1:12">
      <c r="A26" s="571"/>
      <c r="C26" s="1"/>
      <c r="D26" s="479"/>
      <c r="E26" s="14"/>
      <c r="G26" s="573"/>
      <c r="H26" s="479"/>
      <c r="I26" s="573"/>
      <c r="J26" s="479"/>
    </row>
    <row r="27" spans="1:12">
      <c r="D27" s="111" t="s">
        <v>1699</v>
      </c>
      <c r="E27" s="111" t="s">
        <v>372</v>
      </c>
      <c r="F27" s="14"/>
      <c r="G27" s="14"/>
      <c r="H27" s="111" t="s">
        <v>1699</v>
      </c>
      <c r="I27" s="571" t="s">
        <v>372</v>
      </c>
      <c r="J27" s="111"/>
    </row>
    <row r="28" spans="1:12">
      <c r="C28" s="571" t="s">
        <v>301</v>
      </c>
      <c r="D28" s="111" t="s">
        <v>372</v>
      </c>
      <c r="E28" s="111" t="s">
        <v>373</v>
      </c>
      <c r="F28" s="14"/>
      <c r="G28" s="111" t="s">
        <v>301</v>
      </c>
      <c r="H28" s="111" t="s">
        <v>372</v>
      </c>
      <c r="I28" s="571" t="s">
        <v>373</v>
      </c>
      <c r="J28" s="111"/>
    </row>
    <row r="29" spans="1:12">
      <c r="C29" s="571" t="s">
        <v>372</v>
      </c>
      <c r="D29" s="111" t="s">
        <v>373</v>
      </c>
      <c r="E29" s="111" t="s">
        <v>374</v>
      </c>
      <c r="F29" s="14"/>
      <c r="G29" s="111" t="s">
        <v>372</v>
      </c>
      <c r="H29" s="111" t="s">
        <v>373</v>
      </c>
      <c r="I29" s="571" t="s">
        <v>374</v>
      </c>
      <c r="J29" s="111"/>
    </row>
    <row r="30" spans="1:12">
      <c r="A30" s="571"/>
      <c r="B30" s="3" t="s">
        <v>193</v>
      </c>
      <c r="C30" s="3" t="s">
        <v>373</v>
      </c>
      <c r="D30" s="125" t="s">
        <v>1700</v>
      </c>
      <c r="E30" s="125" t="s">
        <v>325</v>
      </c>
      <c r="F30" s="14"/>
      <c r="G30" s="125" t="s">
        <v>373</v>
      </c>
      <c r="H30" s="125" t="s">
        <v>1700</v>
      </c>
      <c r="I30" s="3" t="s">
        <v>325</v>
      </c>
      <c r="J30" s="125"/>
    </row>
    <row r="31" spans="1:12">
      <c r="A31" s="571">
        <v>7</v>
      </c>
      <c r="B31">
        <v>2015</v>
      </c>
      <c r="C31" s="1089"/>
      <c r="D31" s="1089"/>
      <c r="E31" s="1089"/>
      <c r="G31" s="97"/>
      <c r="H31" s="97"/>
      <c r="I31" s="97"/>
      <c r="J31" s="14"/>
    </row>
    <row r="32" spans="1:12">
      <c r="A32" s="571">
        <v>8</v>
      </c>
      <c r="B32">
        <v>2016</v>
      </c>
      <c r="C32" s="1089"/>
      <c r="D32" s="1089"/>
      <c r="E32" s="1089"/>
      <c r="G32" s="97"/>
      <c r="H32" s="97"/>
      <c r="I32" s="97"/>
      <c r="J32" s="14"/>
    </row>
    <row r="33" spans="1:10">
      <c r="A33" s="571">
        <v>9</v>
      </c>
      <c r="B33">
        <v>2017</v>
      </c>
      <c r="C33" s="97"/>
      <c r="D33" s="97"/>
      <c r="E33" s="97"/>
      <c r="G33" s="97"/>
      <c r="H33" s="97"/>
      <c r="I33" s="97"/>
      <c r="J33" s="14"/>
    </row>
    <row r="34" spans="1:10">
      <c r="A34" s="571">
        <v>10</v>
      </c>
      <c r="B34">
        <v>2018</v>
      </c>
      <c r="C34" s="97"/>
      <c r="D34" s="97"/>
      <c r="E34" s="97"/>
      <c r="G34" s="97"/>
      <c r="H34" s="97"/>
      <c r="I34" s="97"/>
      <c r="J34" s="14"/>
    </row>
    <row r="35" spans="1:10">
      <c r="A35" s="571">
        <v>11</v>
      </c>
      <c r="B35">
        <v>2019</v>
      </c>
      <c r="C35" s="97"/>
      <c r="D35" s="97"/>
      <c r="E35" s="97"/>
      <c r="G35" s="97"/>
      <c r="H35" s="97"/>
      <c r="I35" s="97"/>
      <c r="J35" s="14"/>
    </row>
    <row r="36" spans="1:10">
      <c r="A36" s="571">
        <v>12</v>
      </c>
      <c r="B36">
        <v>2020</v>
      </c>
      <c r="C36" s="97"/>
      <c r="D36" s="97"/>
      <c r="E36" s="97"/>
      <c r="G36" s="97"/>
      <c r="H36" s="97"/>
      <c r="I36" s="97"/>
      <c r="J36" s="14"/>
    </row>
    <row r="37" spans="1:10">
      <c r="A37" s="571">
        <v>13</v>
      </c>
      <c r="B37">
        <v>2021</v>
      </c>
      <c r="C37" s="97"/>
      <c r="D37" s="97"/>
      <c r="E37" s="97"/>
      <c r="G37" s="97"/>
      <c r="H37" s="97"/>
      <c r="I37" s="97"/>
      <c r="J37" s="14"/>
    </row>
    <row r="38" spans="1:10">
      <c r="A38" s="571">
        <v>14</v>
      </c>
      <c r="B38">
        <v>2022</v>
      </c>
      <c r="C38" s="97"/>
      <c r="D38" s="97"/>
      <c r="E38" s="97"/>
      <c r="G38" s="97"/>
      <c r="H38" s="97"/>
      <c r="I38" s="97"/>
      <c r="J38" s="14"/>
    </row>
    <row r="39" spans="1:10">
      <c r="A39" s="571">
        <v>15</v>
      </c>
      <c r="B39">
        <v>2023</v>
      </c>
      <c r="C39" s="97"/>
      <c r="D39" s="97"/>
      <c r="E39" s="97"/>
      <c r="G39" s="97"/>
      <c r="H39" s="97"/>
      <c r="I39" s="97"/>
      <c r="J39" s="14"/>
    </row>
    <row r="40" spans="1:10">
      <c r="A40" s="571">
        <v>16</v>
      </c>
      <c r="B40">
        <v>2024</v>
      </c>
      <c r="C40" s="97"/>
      <c r="D40" s="97"/>
      <c r="E40" s="97"/>
      <c r="G40" s="97"/>
      <c r="H40" s="97"/>
      <c r="I40" s="97"/>
      <c r="J40" s="14"/>
    </row>
    <row r="41" spans="1:10">
      <c r="A41" s="571">
        <v>17</v>
      </c>
      <c r="B41">
        <v>2025</v>
      </c>
      <c r="C41" s="97"/>
      <c r="D41" s="97"/>
      <c r="E41" s="97"/>
      <c r="G41" s="97"/>
      <c r="H41" s="97"/>
      <c r="I41" s="97"/>
      <c r="J41" s="14"/>
    </row>
    <row r="42" spans="1:10">
      <c r="A42" s="571">
        <v>18</v>
      </c>
      <c r="B42" s="574" t="s">
        <v>510</v>
      </c>
    </row>
    <row r="43" spans="1:10">
      <c r="A43" s="571"/>
      <c r="B43" s="574"/>
    </row>
    <row r="44" spans="1:10">
      <c r="A44" s="571"/>
      <c r="B44" s="44" t="s">
        <v>232</v>
      </c>
      <c r="C44" s="14"/>
      <c r="D44" s="14"/>
      <c r="E44" s="14"/>
      <c r="F44" s="14"/>
      <c r="G44" s="14"/>
      <c r="H44" s="14"/>
      <c r="I44" s="14"/>
      <c r="J44" s="14"/>
    </row>
    <row r="45" spans="1:10">
      <c r="A45" s="571"/>
      <c r="B45" s="479" t="s">
        <v>1701</v>
      </c>
      <c r="C45" s="14"/>
      <c r="D45" s="14"/>
      <c r="E45" s="14"/>
      <c r="F45" s="14"/>
      <c r="G45" s="14"/>
      <c r="H45" s="14"/>
      <c r="I45" s="14"/>
      <c r="J45" s="14"/>
    </row>
    <row r="46" spans="1:10">
      <c r="A46" s="571"/>
      <c r="B46" s="14"/>
      <c r="C46" s="14"/>
      <c r="D46" s="14"/>
      <c r="E46" s="14"/>
      <c r="F46" s="14"/>
      <c r="G46" s="14"/>
      <c r="H46" s="14"/>
      <c r="I46" s="14"/>
      <c r="J46" s="14"/>
    </row>
    <row r="47" spans="1:10">
      <c r="A47" s="571"/>
      <c r="B47" s="44" t="s">
        <v>379</v>
      </c>
      <c r="C47" s="14"/>
      <c r="D47" s="14"/>
      <c r="E47" s="14"/>
      <c r="F47" s="14"/>
      <c r="G47" s="14"/>
      <c r="H47" s="14"/>
      <c r="I47" s="14"/>
      <c r="J47" s="14"/>
    </row>
    <row r="48" spans="1:10">
      <c r="A48" s="571"/>
      <c r="B48" s="479" t="s">
        <v>380</v>
      </c>
      <c r="C48" s="14"/>
      <c r="D48" s="14"/>
      <c r="E48" s="14"/>
      <c r="F48" s="14"/>
      <c r="G48" s="14"/>
      <c r="H48" s="14"/>
      <c r="I48" s="14"/>
      <c r="J48" s="14"/>
    </row>
    <row r="49" spans="1:10">
      <c r="A49" s="571"/>
      <c r="B49" s="476" t="s">
        <v>1702</v>
      </c>
      <c r="C49" s="14"/>
      <c r="D49" s="14"/>
      <c r="E49" s="14"/>
      <c r="F49" s="14"/>
      <c r="G49" s="14"/>
      <c r="H49" s="14"/>
      <c r="I49" s="14"/>
      <c r="J49" s="14"/>
    </row>
    <row r="50" spans="1:10">
      <c r="A50" s="571"/>
      <c r="B50" s="476" t="s">
        <v>1703</v>
      </c>
      <c r="C50" s="14"/>
      <c r="D50" s="14"/>
      <c r="E50" s="14"/>
      <c r="F50" s="14"/>
      <c r="G50" s="14"/>
      <c r="H50" s="14"/>
      <c r="I50" s="14"/>
      <c r="J50" s="14"/>
    </row>
    <row r="51" spans="1:10">
      <c r="A51" s="571"/>
      <c r="B51" s="476" t="s">
        <v>385</v>
      </c>
      <c r="C51" s="14"/>
      <c r="D51" s="14"/>
      <c r="E51" s="14"/>
      <c r="F51" s="14"/>
      <c r="G51" s="14"/>
      <c r="H51" s="14"/>
      <c r="I51" s="14"/>
      <c r="J51" s="14"/>
    </row>
    <row r="52" spans="1:10">
      <c r="A52" s="571"/>
      <c r="B52" s="476" t="s">
        <v>386</v>
      </c>
      <c r="C52" s="14"/>
      <c r="D52" s="14"/>
      <c r="E52" s="14"/>
      <c r="F52" s="14"/>
      <c r="G52" s="14"/>
      <c r="H52" s="14"/>
      <c r="I52" s="14"/>
      <c r="J52" s="14"/>
    </row>
    <row r="53" spans="1:10">
      <c r="B53" s="476" t="s">
        <v>383</v>
      </c>
      <c r="C53" s="14"/>
      <c r="D53" s="14"/>
      <c r="E53" s="14"/>
      <c r="F53" s="14"/>
      <c r="G53" s="14"/>
      <c r="H53" s="14"/>
      <c r="I53" s="14"/>
      <c r="J53" s="14"/>
    </row>
    <row r="54" spans="1:10">
      <c r="B54" s="881" t="s">
        <v>512</v>
      </c>
      <c r="C54" s="14"/>
      <c r="D54" s="14"/>
      <c r="E54" s="14"/>
      <c r="F54" s="14"/>
      <c r="G54" s="14"/>
      <c r="H54" s="14"/>
      <c r="I54" s="14"/>
      <c r="J54" s="14"/>
    </row>
    <row r="55" spans="1:10">
      <c r="B55" s="479" t="s">
        <v>384</v>
      </c>
      <c r="C55" s="14"/>
      <c r="D55" s="14"/>
      <c r="E55" s="14"/>
      <c r="F55" s="14"/>
      <c r="G55" s="14"/>
      <c r="H55" s="14"/>
      <c r="I55" s="14"/>
      <c r="J55" s="14"/>
    </row>
    <row r="56" spans="1:10">
      <c r="B56" s="479" t="s">
        <v>2347</v>
      </c>
      <c r="C56" s="14"/>
      <c r="D56" s="14"/>
      <c r="E56" s="14"/>
      <c r="F56" s="14"/>
      <c r="G56" s="14"/>
      <c r="H56" s="14"/>
      <c r="I56" s="14"/>
      <c r="J56" s="14"/>
    </row>
  </sheetData>
  <pageMargins left="0.7" right="0.7" top="0.75" bottom="0.75" header="0.3" footer="0.3"/>
  <pageSetup scale="80" orientation="portrait" cellComments="asDisplayed" r:id="rId1"/>
  <headerFooter>
    <oddHeader>&amp;CSchedule 12
Abandoned Plant
&amp;RExhibit SCE-4
TO2019A Formula Rate Spreadsheet</oddHead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heetViews>
  <sheetFormatPr defaultRowHeight="13.2"/>
  <cols>
    <col min="1" max="1" width="4.6640625" customWidth="1"/>
    <col min="2" max="2" width="3.6640625" customWidth="1"/>
    <col min="3" max="3" width="14.6640625" customWidth="1"/>
    <col min="4" max="4" width="8.6640625" customWidth="1"/>
    <col min="5" max="5" width="15.33203125" customWidth="1"/>
    <col min="6" max="6" width="24.6640625" customWidth="1"/>
    <col min="7" max="7" width="35.6640625" customWidth="1"/>
    <col min="11" max="11" width="11.109375" bestFit="1" customWidth="1"/>
  </cols>
  <sheetData>
    <row r="1" spans="1:7">
      <c r="A1" s="1" t="s">
        <v>6</v>
      </c>
    </row>
    <row r="2" spans="1:7">
      <c r="F2" s="43" t="s">
        <v>17</v>
      </c>
    </row>
    <row r="3" spans="1:7">
      <c r="B3" s="1" t="s">
        <v>159</v>
      </c>
    </row>
    <row r="4" spans="1:7">
      <c r="C4" s="12" t="s">
        <v>556</v>
      </c>
      <c r="E4" s="18"/>
      <c r="F4" s="28"/>
      <c r="G4" s="27"/>
    </row>
    <row r="5" spans="1:7">
      <c r="C5" s="12" t="s">
        <v>557</v>
      </c>
      <c r="E5" s="18"/>
      <c r="F5" s="28"/>
      <c r="G5" s="27"/>
    </row>
    <row r="6" spans="1:7">
      <c r="E6" s="18"/>
      <c r="F6" s="74"/>
      <c r="G6" s="27"/>
    </row>
    <row r="7" spans="1:7">
      <c r="C7" s="21"/>
      <c r="D7" s="17"/>
      <c r="E7" s="26" t="s">
        <v>194</v>
      </c>
      <c r="F7" s="26" t="s">
        <v>1687</v>
      </c>
      <c r="G7" s="26"/>
    </row>
    <row r="8" spans="1:7">
      <c r="A8" s="53" t="s">
        <v>321</v>
      </c>
      <c r="C8" s="25" t="s">
        <v>192</v>
      </c>
      <c r="D8" s="25" t="s">
        <v>193</v>
      </c>
      <c r="E8" s="25" t="s">
        <v>179</v>
      </c>
      <c r="F8" s="31" t="s">
        <v>1686</v>
      </c>
      <c r="G8" s="29" t="s">
        <v>168</v>
      </c>
    </row>
    <row r="9" spans="1:7">
      <c r="A9" s="2">
        <v>1</v>
      </c>
      <c r="C9" s="19" t="s">
        <v>180</v>
      </c>
      <c r="D9" s="148">
        <v>2016</v>
      </c>
      <c r="E9" s="30" t="s">
        <v>555</v>
      </c>
      <c r="F9" s="1100">
        <v>237798844</v>
      </c>
      <c r="G9" s="30" t="s">
        <v>85</v>
      </c>
    </row>
    <row r="10" spans="1:7">
      <c r="A10" s="111">
        <f>A9+1</f>
        <v>2</v>
      </c>
      <c r="B10" s="14"/>
      <c r="C10" s="829" t="s">
        <v>181</v>
      </c>
      <c r="D10" s="148">
        <v>2017</v>
      </c>
      <c r="E10" s="515" t="s">
        <v>33</v>
      </c>
      <c r="F10" s="1023">
        <v>236701406.31</v>
      </c>
      <c r="G10" s="30"/>
    </row>
    <row r="11" spans="1:7">
      <c r="A11" s="111">
        <f t="shared" ref="A11:A21" si="0">A10+1</f>
        <v>3</v>
      </c>
      <c r="B11" s="14"/>
      <c r="C11" s="829" t="s">
        <v>182</v>
      </c>
      <c r="D11" s="148">
        <v>2017</v>
      </c>
      <c r="E11" s="515" t="s">
        <v>33</v>
      </c>
      <c r="F11" s="1023">
        <v>235215053.5</v>
      </c>
      <c r="G11" s="30"/>
    </row>
    <row r="12" spans="1:7">
      <c r="A12" s="111">
        <f t="shared" si="0"/>
        <v>4</v>
      </c>
      <c r="B12" s="14"/>
      <c r="C12" s="829" t="s">
        <v>195</v>
      </c>
      <c r="D12" s="148">
        <v>2017</v>
      </c>
      <c r="E12" s="515" t="s">
        <v>33</v>
      </c>
      <c r="F12" s="1023">
        <v>234227485.83000001</v>
      </c>
      <c r="G12" s="30"/>
    </row>
    <row r="13" spans="1:7">
      <c r="A13" s="111">
        <f t="shared" si="0"/>
        <v>5</v>
      </c>
      <c r="B13" s="14"/>
      <c r="C13" s="829" t="s">
        <v>183</v>
      </c>
      <c r="D13" s="148">
        <v>2017</v>
      </c>
      <c r="E13" s="515" t="s">
        <v>33</v>
      </c>
      <c r="F13" s="1023">
        <v>229290189.47999999</v>
      </c>
      <c r="G13" s="30"/>
    </row>
    <row r="14" spans="1:7">
      <c r="A14" s="111">
        <f t="shared" si="0"/>
        <v>6</v>
      </c>
      <c r="B14" s="14"/>
      <c r="C14" s="829" t="s">
        <v>184</v>
      </c>
      <c r="D14" s="148">
        <v>2017</v>
      </c>
      <c r="E14" s="515" t="s">
        <v>33</v>
      </c>
      <c r="F14" s="1023">
        <v>227387008.77000001</v>
      </c>
      <c r="G14" s="30"/>
    </row>
    <row r="15" spans="1:7">
      <c r="A15" s="111">
        <f t="shared" si="0"/>
        <v>7</v>
      </c>
      <c r="B15" s="14"/>
      <c r="C15" s="829" t="s">
        <v>1477</v>
      </c>
      <c r="D15" s="148">
        <v>2017</v>
      </c>
      <c r="E15" s="515" t="s">
        <v>33</v>
      </c>
      <c r="F15" s="1023">
        <v>229834302.22</v>
      </c>
      <c r="G15" s="30"/>
    </row>
    <row r="16" spans="1:7">
      <c r="A16" s="111">
        <f t="shared" si="0"/>
        <v>8</v>
      </c>
      <c r="B16" s="14"/>
      <c r="C16" s="829" t="s">
        <v>186</v>
      </c>
      <c r="D16" s="148">
        <v>2017</v>
      </c>
      <c r="E16" s="515" t="s">
        <v>33</v>
      </c>
      <c r="F16" s="1023">
        <v>231240887.40000001</v>
      </c>
      <c r="G16" s="30"/>
    </row>
    <row r="17" spans="1:7">
      <c r="A17" s="111">
        <f t="shared" si="0"/>
        <v>9</v>
      </c>
      <c r="B17" s="14"/>
      <c r="C17" s="829" t="s">
        <v>187</v>
      </c>
      <c r="D17" s="148">
        <v>2017</v>
      </c>
      <c r="E17" s="515" t="s">
        <v>33</v>
      </c>
      <c r="F17" s="1023">
        <v>229531352.55000001</v>
      </c>
      <c r="G17" s="30"/>
    </row>
    <row r="18" spans="1:7">
      <c r="A18" s="111">
        <f t="shared" si="0"/>
        <v>10</v>
      </c>
      <c r="B18" s="14"/>
      <c r="C18" s="829" t="s">
        <v>188</v>
      </c>
      <c r="D18" s="148">
        <v>2017</v>
      </c>
      <c r="E18" s="515" t="s">
        <v>33</v>
      </c>
      <c r="F18" s="1023">
        <v>226308482.90000001</v>
      </c>
      <c r="G18" s="30"/>
    </row>
    <row r="19" spans="1:7">
      <c r="A19" s="111">
        <f t="shared" si="0"/>
        <v>11</v>
      </c>
      <c r="B19" s="14"/>
      <c r="C19" s="829" t="s">
        <v>191</v>
      </c>
      <c r="D19" s="148">
        <v>2017</v>
      </c>
      <c r="E19" s="515" t="s">
        <v>33</v>
      </c>
      <c r="F19" s="1023">
        <v>229185237.25</v>
      </c>
      <c r="G19" s="30"/>
    </row>
    <row r="20" spans="1:7">
      <c r="A20" s="111">
        <f t="shared" si="0"/>
        <v>12</v>
      </c>
      <c r="B20" s="14"/>
      <c r="C20" s="829" t="s">
        <v>190</v>
      </c>
      <c r="D20" s="148">
        <v>2017</v>
      </c>
      <c r="E20" s="515" t="s">
        <v>33</v>
      </c>
      <c r="F20" s="511">
        <v>230757405.63999999</v>
      </c>
      <c r="G20" s="30"/>
    </row>
    <row r="21" spans="1:7">
      <c r="A21" s="111">
        <f t="shared" si="0"/>
        <v>13</v>
      </c>
      <c r="B21" s="14"/>
      <c r="C21" s="21" t="s">
        <v>180</v>
      </c>
      <c r="D21" s="148">
        <v>2017</v>
      </c>
      <c r="E21" s="30" t="s">
        <v>554</v>
      </c>
      <c r="F21" s="1100">
        <v>238006741</v>
      </c>
      <c r="G21" s="16" t="s">
        <v>89</v>
      </c>
    </row>
    <row r="22" spans="1:7">
      <c r="A22" s="14"/>
      <c r="B22" s="14"/>
      <c r="C22" s="22"/>
      <c r="D22" s="22"/>
      <c r="E22" s="18"/>
      <c r="G22" s="30"/>
    </row>
    <row r="23" spans="1:7">
      <c r="A23" s="111">
        <f>A21+1</f>
        <v>14</v>
      </c>
      <c r="B23" s="14"/>
      <c r="C23" s="22"/>
      <c r="D23" s="22"/>
      <c r="E23" s="513" t="s">
        <v>1836</v>
      </c>
      <c r="F23" s="33">
        <f>SUM(F9:F21)/13</f>
        <v>231960338.21923077</v>
      </c>
      <c r="G23" s="114" t="str">
        <f>"(Sum Line "&amp;A9&amp;" to Line "&amp;A21&amp;") / 13"</f>
        <v>(Sum Line 1 to Line 13) / 13</v>
      </c>
    </row>
    <row r="24" spans="1:7">
      <c r="A24" s="111">
        <f>A23+1</f>
        <v>15</v>
      </c>
      <c r="B24" s="14"/>
      <c r="C24" s="22"/>
      <c r="D24" s="22"/>
      <c r="E24" s="34" t="s">
        <v>311</v>
      </c>
      <c r="F24" s="109">
        <f>'27-Allocators'!G14</f>
        <v>6.0143362776597958E-2</v>
      </c>
      <c r="G24" s="114" t="str">
        <f>"27-Allocators, Line "&amp;'27-Allocators'!A14&amp;""</f>
        <v>27-Allocators, Line 9</v>
      </c>
    </row>
    <row r="25" spans="1:7">
      <c r="A25" s="14"/>
      <c r="B25" s="14"/>
      <c r="C25" s="14"/>
      <c r="D25" s="22"/>
      <c r="E25" s="34"/>
      <c r="F25" s="33"/>
      <c r="G25" s="114"/>
    </row>
    <row r="26" spans="1:7">
      <c r="A26" s="111">
        <f>A24+1</f>
        <v>16</v>
      </c>
      <c r="B26" s="14"/>
      <c r="C26" s="22" t="s">
        <v>91</v>
      </c>
      <c r="D26" s="22"/>
      <c r="E26" s="364" t="s">
        <v>156</v>
      </c>
      <c r="F26" s="33">
        <f>F21*F24</f>
        <v>14314525.767238792</v>
      </c>
      <c r="G26" s="46" t="str">
        <f>"Line "&amp;A21&amp;" * Line "&amp;A24&amp;""</f>
        <v>Line 13 * Line 15</v>
      </c>
    </row>
    <row r="27" spans="1:7">
      <c r="A27" s="111">
        <f>A26+1</f>
        <v>17</v>
      </c>
      <c r="B27" s="14"/>
      <c r="C27" s="22"/>
      <c r="D27" s="22"/>
      <c r="E27" s="513" t="s">
        <v>1837</v>
      </c>
      <c r="F27" s="33">
        <f>F23*F24</f>
        <v>13950874.771301556</v>
      </c>
      <c r="G27" s="46" t="str">
        <f>"Line "&amp;A23&amp;" * Line "&amp;A24&amp;""</f>
        <v>Line 14 * Line 15</v>
      </c>
    </row>
    <row r="28" spans="1:7">
      <c r="A28" s="14"/>
      <c r="B28" s="14"/>
      <c r="C28" s="14"/>
      <c r="D28" s="14"/>
      <c r="E28" s="14"/>
      <c r="F28" s="14"/>
    </row>
    <row r="29" spans="1:7">
      <c r="A29" s="14"/>
      <c r="B29" s="44" t="s">
        <v>158</v>
      </c>
      <c r="C29" s="14"/>
      <c r="D29" s="14"/>
      <c r="E29" s="14"/>
      <c r="F29" s="14"/>
    </row>
    <row r="30" spans="1:7">
      <c r="A30" s="14"/>
      <c r="B30" s="14"/>
      <c r="C30" s="14" t="s">
        <v>7</v>
      </c>
      <c r="D30" s="14"/>
      <c r="E30" s="522"/>
      <c r="F30" s="28"/>
      <c r="G30" s="27"/>
    </row>
    <row r="31" spans="1:7">
      <c r="A31" s="14"/>
      <c r="B31" s="14"/>
      <c r="C31" s="14" t="s">
        <v>1774</v>
      </c>
      <c r="D31" s="14"/>
      <c r="E31" s="522"/>
      <c r="F31" s="28"/>
      <c r="G31" s="27"/>
    </row>
    <row r="32" spans="1:7">
      <c r="C32" s="21"/>
      <c r="D32" s="17"/>
      <c r="E32" s="26" t="s">
        <v>194</v>
      </c>
      <c r="F32" s="74" t="s">
        <v>244</v>
      </c>
      <c r="G32" s="26"/>
    </row>
    <row r="33" spans="1:11">
      <c r="C33" s="25" t="s">
        <v>192</v>
      </c>
      <c r="D33" s="25" t="s">
        <v>193</v>
      </c>
      <c r="E33" s="25" t="s">
        <v>179</v>
      </c>
      <c r="F33" s="31" t="s">
        <v>2</v>
      </c>
      <c r="G33" s="29" t="s">
        <v>168</v>
      </c>
    </row>
    <row r="34" spans="1:11">
      <c r="A34" s="111">
        <f>A27+1</f>
        <v>18</v>
      </c>
      <c r="B34" s="14"/>
      <c r="C34" s="288" t="s">
        <v>180</v>
      </c>
      <c r="D34" s="148">
        <v>2016</v>
      </c>
      <c r="E34" s="1090" t="s">
        <v>2357</v>
      </c>
      <c r="F34" s="63">
        <f>F63</f>
        <v>99369093</v>
      </c>
      <c r="G34" s="1090" t="s">
        <v>2355</v>
      </c>
    </row>
    <row r="35" spans="1:11">
      <c r="A35" s="111">
        <f>A34+1</f>
        <v>19</v>
      </c>
      <c r="B35" s="14"/>
      <c r="C35" s="829" t="s">
        <v>181</v>
      </c>
      <c r="D35" s="148">
        <v>2017</v>
      </c>
      <c r="E35" s="515" t="s">
        <v>33</v>
      </c>
      <c r="F35" s="1023">
        <v>120656390.95999999</v>
      </c>
      <c r="G35" s="1090"/>
      <c r="J35" s="7"/>
      <c r="K35" s="7"/>
    </row>
    <row r="36" spans="1:11">
      <c r="A36" s="111">
        <f t="shared" ref="A36:A46" si="1">A35+1</f>
        <v>20</v>
      </c>
      <c r="B36" s="14"/>
      <c r="C36" s="829" t="s">
        <v>182</v>
      </c>
      <c r="D36" s="148">
        <v>2017</v>
      </c>
      <c r="E36" s="515" t="s">
        <v>33</v>
      </c>
      <c r="F36" s="1023">
        <v>110804400.62</v>
      </c>
      <c r="G36" s="1090"/>
      <c r="J36" s="7"/>
      <c r="K36" s="7"/>
    </row>
    <row r="37" spans="1:11">
      <c r="A37" s="111">
        <f t="shared" si="1"/>
        <v>21</v>
      </c>
      <c r="B37" s="14"/>
      <c r="C37" s="829" t="s">
        <v>195</v>
      </c>
      <c r="D37" s="148">
        <v>2017</v>
      </c>
      <c r="E37" s="515" t="s">
        <v>33</v>
      </c>
      <c r="F37" s="1023">
        <v>169364348.41</v>
      </c>
      <c r="G37" s="1090"/>
      <c r="J37" s="7"/>
      <c r="K37" s="7"/>
    </row>
    <row r="38" spans="1:11">
      <c r="A38" s="111">
        <f t="shared" si="1"/>
        <v>22</v>
      </c>
      <c r="B38" s="14"/>
      <c r="C38" s="829" t="s">
        <v>183</v>
      </c>
      <c r="D38" s="148">
        <v>2017</v>
      </c>
      <c r="E38" s="515" t="s">
        <v>33</v>
      </c>
      <c r="F38" s="1023">
        <v>230958816.71000001</v>
      </c>
      <c r="G38" s="1090"/>
      <c r="J38" s="7"/>
      <c r="K38" s="7"/>
    </row>
    <row r="39" spans="1:11">
      <c r="A39" s="111">
        <f t="shared" si="1"/>
        <v>23</v>
      </c>
      <c r="B39" s="14"/>
      <c r="C39" s="829" t="s">
        <v>184</v>
      </c>
      <c r="D39" s="148">
        <v>2017</v>
      </c>
      <c r="E39" s="515" t="s">
        <v>33</v>
      </c>
      <c r="F39" s="1023">
        <v>190396525.66999999</v>
      </c>
      <c r="G39" s="1090"/>
      <c r="J39" s="7"/>
      <c r="K39" s="7"/>
    </row>
    <row r="40" spans="1:11">
      <c r="A40" s="111">
        <f t="shared" si="1"/>
        <v>24</v>
      </c>
      <c r="B40" s="14"/>
      <c r="C40" s="829" t="s">
        <v>1477</v>
      </c>
      <c r="D40" s="148">
        <v>2017</v>
      </c>
      <c r="E40" s="515" t="s">
        <v>33</v>
      </c>
      <c r="F40" s="1023">
        <v>135529209.09</v>
      </c>
      <c r="G40" s="1090"/>
      <c r="J40" s="7"/>
      <c r="K40" s="7"/>
    </row>
    <row r="41" spans="1:11">
      <c r="A41" s="111">
        <f t="shared" si="1"/>
        <v>25</v>
      </c>
      <c r="B41" s="14"/>
      <c r="C41" s="829" t="s">
        <v>186</v>
      </c>
      <c r="D41" s="148">
        <v>2017</v>
      </c>
      <c r="E41" s="515" t="s">
        <v>33</v>
      </c>
      <c r="F41" s="1023">
        <v>144680436.28</v>
      </c>
      <c r="G41" s="1090"/>
      <c r="J41" s="7"/>
      <c r="K41" s="7"/>
    </row>
    <row r="42" spans="1:11">
      <c r="A42" s="111">
        <f t="shared" si="1"/>
        <v>26</v>
      </c>
      <c r="B42" s="14"/>
      <c r="C42" s="829" t="s">
        <v>187</v>
      </c>
      <c r="D42" s="148">
        <v>2017</v>
      </c>
      <c r="E42" s="515" t="s">
        <v>33</v>
      </c>
      <c r="F42" s="1023">
        <v>136252208.72</v>
      </c>
      <c r="G42" s="1090"/>
      <c r="J42" s="7"/>
      <c r="K42" s="7"/>
    </row>
    <row r="43" spans="1:11">
      <c r="A43" s="111">
        <f t="shared" si="1"/>
        <v>27</v>
      </c>
      <c r="B43" s="14"/>
      <c r="C43" s="829" t="s">
        <v>188</v>
      </c>
      <c r="D43" s="148">
        <v>2017</v>
      </c>
      <c r="E43" s="515" t="s">
        <v>33</v>
      </c>
      <c r="F43" s="1023">
        <v>306743337.38999999</v>
      </c>
      <c r="G43" s="1090"/>
      <c r="J43" s="7"/>
      <c r="K43" s="7"/>
    </row>
    <row r="44" spans="1:11">
      <c r="A44" s="111">
        <f t="shared" si="1"/>
        <v>28</v>
      </c>
      <c r="B44" s="14"/>
      <c r="C44" s="829" t="s">
        <v>191</v>
      </c>
      <c r="D44" s="148">
        <v>2017</v>
      </c>
      <c r="E44" s="515" t="s">
        <v>33</v>
      </c>
      <c r="F44" s="1023">
        <v>290763947.26999998</v>
      </c>
      <c r="G44" s="1090"/>
      <c r="J44" s="7"/>
      <c r="K44" s="7"/>
    </row>
    <row r="45" spans="1:11">
      <c r="A45" s="111">
        <f t="shared" si="1"/>
        <v>29</v>
      </c>
      <c r="B45" s="14"/>
      <c r="C45" s="829" t="s">
        <v>190</v>
      </c>
      <c r="D45" s="148">
        <v>2017</v>
      </c>
      <c r="E45" s="515" t="s">
        <v>33</v>
      </c>
      <c r="F45" s="117">
        <v>295532250.55000001</v>
      </c>
      <c r="G45" s="1090"/>
      <c r="J45" s="7"/>
      <c r="K45" s="7"/>
    </row>
    <row r="46" spans="1:11">
      <c r="A46" s="111">
        <f t="shared" si="1"/>
        <v>30</v>
      </c>
      <c r="B46" s="14"/>
      <c r="C46" s="21" t="s">
        <v>180</v>
      </c>
      <c r="D46" s="148">
        <v>2017</v>
      </c>
      <c r="E46" s="1090" t="s">
        <v>2358</v>
      </c>
      <c r="F46" s="63">
        <f>F69</f>
        <v>227852643</v>
      </c>
      <c r="G46" s="1090" t="s">
        <v>2356</v>
      </c>
    </row>
    <row r="47" spans="1:11">
      <c r="A47" s="14"/>
      <c r="B47" s="14"/>
      <c r="C47" s="21"/>
      <c r="D47" s="24"/>
      <c r="E47" s="23"/>
      <c r="F47" s="33"/>
      <c r="G47" s="16"/>
    </row>
    <row r="48" spans="1:11">
      <c r="A48" s="14"/>
      <c r="B48" s="14"/>
      <c r="C48" s="639" t="s">
        <v>1773</v>
      </c>
      <c r="D48" s="639"/>
      <c r="E48" s="902"/>
      <c r="F48" s="14"/>
      <c r="G48" s="30"/>
    </row>
    <row r="49" spans="1:8">
      <c r="A49" s="111">
        <f>A46+1</f>
        <v>31</v>
      </c>
      <c r="B49" s="14"/>
      <c r="C49" s="22"/>
      <c r="D49" s="22"/>
      <c r="E49" s="675" t="s">
        <v>1837</v>
      </c>
      <c r="F49" s="33">
        <f>SUM(F34:F46)/13</f>
        <v>189146431.35923079</v>
      </c>
      <c r="G49" s="114" t="str">
        <f>"(Sum Line "&amp;A34&amp;" to Line "&amp;A46&amp;") / 13"</f>
        <v>(Sum Line 18 to Line 30) / 13</v>
      </c>
    </row>
    <row r="50" spans="1:8">
      <c r="A50" s="111">
        <f>A49+1</f>
        <v>32</v>
      </c>
      <c r="B50" s="14"/>
      <c r="C50" s="22"/>
      <c r="D50" s="22"/>
      <c r="E50" s="513" t="s">
        <v>311</v>
      </c>
      <c r="F50" s="36">
        <f>'27-Allocators'!G14</f>
        <v>6.0143362776597958E-2</v>
      </c>
      <c r="G50" s="114" t="str">
        <f>"27-Allocators, Line "&amp;'27-Allocators'!A14&amp;""</f>
        <v>27-Allocators, Line 9</v>
      </c>
    </row>
    <row r="51" spans="1:8">
      <c r="A51" s="111">
        <f>A50+1</f>
        <v>33</v>
      </c>
      <c r="B51" s="14"/>
      <c r="C51" s="22"/>
      <c r="D51" s="22"/>
      <c r="E51" s="903" t="s">
        <v>162</v>
      </c>
      <c r="F51" s="33">
        <f>F49*F50</f>
        <v>11375902.439137101</v>
      </c>
      <c r="G51" s="46" t="str">
        <f>"Line "&amp;A49&amp;" * Line "&amp;A50&amp;""</f>
        <v>Line 31 * Line 32</v>
      </c>
    </row>
    <row r="52" spans="1:8">
      <c r="A52" s="14"/>
      <c r="B52" s="14"/>
      <c r="C52" s="22" t="s">
        <v>243</v>
      </c>
      <c r="D52" s="22"/>
      <c r="E52" s="522"/>
      <c r="F52" s="14"/>
      <c r="G52" s="35"/>
    </row>
    <row r="53" spans="1:8">
      <c r="A53" s="111">
        <f>A51+1</f>
        <v>34</v>
      </c>
      <c r="B53" s="14"/>
      <c r="C53" s="22"/>
      <c r="D53" s="22"/>
      <c r="E53" s="34" t="s">
        <v>156</v>
      </c>
      <c r="F53" s="33">
        <f>F46</f>
        <v>227852643</v>
      </c>
      <c r="G53" s="35" t="str">
        <f>"Line "&amp;A46&amp;""</f>
        <v>Line 30</v>
      </c>
    </row>
    <row r="54" spans="1:8">
      <c r="A54" s="111">
        <f>A53+1</f>
        <v>35</v>
      </c>
      <c r="B54" s="14"/>
      <c r="C54" s="22"/>
      <c r="D54" s="22"/>
      <c r="E54" s="34" t="s">
        <v>311</v>
      </c>
      <c r="F54" s="36">
        <f>'27-Allocators'!G14</f>
        <v>6.0143362776597958E-2</v>
      </c>
      <c r="G54" s="114" t="str">
        <f>"27-Allocators, Line "&amp;'27-Allocators'!A14&amp;""</f>
        <v>27-Allocators, Line 9</v>
      </c>
    </row>
    <row r="55" spans="1:8">
      <c r="A55" s="111">
        <f>A54+1</f>
        <v>36</v>
      </c>
      <c r="B55" s="14"/>
      <c r="C55" s="22"/>
      <c r="D55" s="22"/>
      <c r="E55" s="32" t="s">
        <v>162</v>
      </c>
      <c r="F55" s="33">
        <f>F53*F54</f>
        <v>13703824.167555664</v>
      </c>
      <c r="G55" s="46" t="str">
        <f>"Line "&amp;A53&amp;" * Line "&amp;A54&amp;""</f>
        <v>Line 34 * Line 35</v>
      </c>
    </row>
    <row r="56" spans="1:8">
      <c r="B56" s="51" t="s">
        <v>232</v>
      </c>
      <c r="C56" s="479"/>
      <c r="D56" s="477"/>
      <c r="E56" s="479"/>
      <c r="F56" s="477"/>
      <c r="G56" s="477"/>
    </row>
    <row r="57" spans="1:8">
      <c r="B57" s="477" t="s">
        <v>2359</v>
      </c>
      <c r="C57" s="479" t="str">
        <f>"Remove any amounts related to years prior to 2012 on "&amp;B62&amp;" and "&amp;B68&amp;" below."</f>
        <v>Remove any amounts related to years prior to 2012 on b and e below.</v>
      </c>
      <c r="D57" s="477"/>
      <c r="E57" s="479"/>
      <c r="F57" s="477"/>
      <c r="G57" s="477"/>
    </row>
    <row r="58" spans="1:8">
      <c r="A58" s="2"/>
      <c r="B58" s="477"/>
      <c r="C58" s="479"/>
      <c r="D58" s="477"/>
      <c r="E58" s="874"/>
      <c r="F58" s="484"/>
      <c r="G58" s="481"/>
      <c r="H58" s="1"/>
    </row>
    <row r="59" spans="1:8">
      <c r="A59" s="2"/>
      <c r="B59" s="477"/>
      <c r="C59" s="479" t="s">
        <v>2360</v>
      </c>
      <c r="D59" s="477"/>
      <c r="E59" s="874"/>
      <c r="F59" s="1091" t="s">
        <v>92</v>
      </c>
      <c r="G59" s="476"/>
    </row>
    <row r="60" spans="1:8">
      <c r="A60" s="2"/>
      <c r="B60" s="477"/>
      <c r="C60" s="479"/>
      <c r="D60" s="477"/>
      <c r="E60" s="874"/>
      <c r="F60" s="643" t="s">
        <v>2</v>
      </c>
      <c r="G60" s="389" t="s">
        <v>179</v>
      </c>
    </row>
    <row r="61" spans="1:8">
      <c r="A61" s="569"/>
      <c r="B61" s="571" t="s">
        <v>1690</v>
      </c>
      <c r="C61" s="1092"/>
      <c r="D61" s="477"/>
      <c r="E61" s="874" t="s">
        <v>2361</v>
      </c>
      <c r="F61" s="1100">
        <v>114171737</v>
      </c>
      <c r="G61" s="1090" t="s">
        <v>160</v>
      </c>
    </row>
    <row r="62" spans="1:8">
      <c r="A62" s="569"/>
      <c r="B62" s="571" t="s">
        <v>1691</v>
      </c>
      <c r="C62" s="479"/>
      <c r="D62" s="477"/>
      <c r="E62" s="874" t="s">
        <v>2362</v>
      </c>
      <c r="F62" s="117">
        <v>14802644</v>
      </c>
      <c r="G62" s="481" t="s">
        <v>361</v>
      </c>
    </row>
    <row r="63" spans="1:8">
      <c r="A63" s="569"/>
      <c r="B63" s="571" t="s">
        <v>1692</v>
      </c>
      <c r="C63" s="479"/>
      <c r="D63" s="477"/>
      <c r="E63" s="874" t="s">
        <v>2363</v>
      </c>
      <c r="F63" s="491">
        <f>F61-F62</f>
        <v>99369093</v>
      </c>
      <c r="G63" s="476" t="str">
        <f>""&amp;B61&amp;" - "&amp;B62&amp;""</f>
        <v>a - b</v>
      </c>
    </row>
    <row r="64" spans="1:8">
      <c r="A64" s="569"/>
      <c r="B64" s="477"/>
      <c r="C64" s="479"/>
      <c r="D64" s="477"/>
      <c r="E64" s="479"/>
      <c r="F64" s="477"/>
      <c r="G64" s="477"/>
    </row>
    <row r="65" spans="1:7">
      <c r="A65" s="569"/>
      <c r="B65" s="477"/>
      <c r="C65" s="479" t="s">
        <v>2364</v>
      </c>
      <c r="D65" s="477"/>
      <c r="E65" s="874"/>
      <c r="F65" s="1091" t="s">
        <v>92</v>
      </c>
      <c r="G65" s="476"/>
    </row>
    <row r="66" spans="1:7">
      <c r="A66" s="569"/>
      <c r="B66" s="477"/>
      <c r="C66" s="479"/>
      <c r="D66" s="477"/>
      <c r="E66" s="874"/>
      <c r="F66" s="643" t="s">
        <v>2</v>
      </c>
      <c r="G66" s="389" t="s">
        <v>179</v>
      </c>
    </row>
    <row r="67" spans="1:7">
      <c r="A67" s="569"/>
      <c r="B67" s="571" t="s">
        <v>1693</v>
      </c>
      <c r="C67" s="1092"/>
      <c r="D67" s="477"/>
      <c r="E67" s="874" t="s">
        <v>2361</v>
      </c>
      <c r="F67" s="1100">
        <v>227852643</v>
      </c>
      <c r="G67" s="1090" t="s">
        <v>161</v>
      </c>
    </row>
    <row r="68" spans="1:7">
      <c r="A68" s="569"/>
      <c r="B68" s="571" t="s">
        <v>1694</v>
      </c>
      <c r="C68" s="479"/>
      <c r="D68" s="477"/>
      <c r="E68" s="874" t="s">
        <v>2362</v>
      </c>
      <c r="F68" s="117">
        <v>0</v>
      </c>
      <c r="G68" s="481" t="s">
        <v>361</v>
      </c>
    </row>
    <row r="69" spans="1:7">
      <c r="A69" s="569"/>
      <c r="B69" s="571" t="s">
        <v>1695</v>
      </c>
      <c r="C69" s="479"/>
      <c r="D69" s="479"/>
      <c r="E69" s="874" t="s">
        <v>2365</v>
      </c>
      <c r="F69" s="491">
        <f>F67-F68</f>
        <v>227852643</v>
      </c>
      <c r="G69" s="476" t="str">
        <f>""&amp;B67&amp;" - "&amp;B68&amp;""</f>
        <v>d - e</v>
      </c>
    </row>
    <row r="73" spans="1:7">
      <c r="F73" s="570"/>
    </row>
  </sheetData>
  <phoneticPr fontId="22" type="noConversion"/>
  <pageMargins left="0.75" right="0.75" top="1" bottom="1" header="0.5" footer="0.5"/>
  <pageSetup scale="73" orientation="portrait" cellComments="asDisplayed" r:id="rId1"/>
  <headerFooter alignWithMargins="0">
    <oddHeader>&amp;CSchedule 13
Working Capital
&amp;RExhibit SCE-4
TO2019A Formula Rate Spreadsheet</oddHead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6"/>
  <sheetViews>
    <sheetView zoomScaleNormal="100" workbookViewId="0"/>
  </sheetViews>
  <sheetFormatPr defaultRowHeight="13.2"/>
  <cols>
    <col min="1" max="1" width="4.6640625" customWidth="1"/>
    <col min="2" max="2" width="3.6640625" customWidth="1"/>
    <col min="3" max="3" width="16.6640625" customWidth="1"/>
    <col min="4" max="4" width="9.6640625" customWidth="1"/>
    <col min="5" max="8" width="15.6640625" customWidth="1"/>
    <col min="9" max="11" width="14.6640625" customWidth="1"/>
  </cols>
  <sheetData>
    <row r="1" spans="1:10">
      <c r="A1" s="1" t="s">
        <v>246</v>
      </c>
    </row>
    <row r="2" spans="1:10">
      <c r="A2" s="1" t="s">
        <v>247</v>
      </c>
    </row>
    <row r="3" spans="1:10">
      <c r="B3" s="1"/>
      <c r="H3" s="187" t="s">
        <v>248</v>
      </c>
      <c r="I3" s="97"/>
      <c r="J3" s="56"/>
    </row>
    <row r="4" spans="1:10">
      <c r="B4" s="1" t="s">
        <v>249</v>
      </c>
    </row>
    <row r="5" spans="1:10">
      <c r="B5" s="55" t="s">
        <v>250</v>
      </c>
    </row>
    <row r="6" spans="1:10">
      <c r="B6" s="55" t="s">
        <v>299</v>
      </c>
    </row>
    <row r="7" spans="1:10">
      <c r="B7" s="103" t="s">
        <v>1001</v>
      </c>
    </row>
    <row r="8" spans="1:10">
      <c r="B8" s="103" t="s">
        <v>1502</v>
      </c>
    </row>
    <row r="9" spans="1:10">
      <c r="B9" s="103" t="s">
        <v>1503</v>
      </c>
      <c r="D9" s="1"/>
      <c r="E9" s="1"/>
    </row>
    <row r="10" spans="1:10">
      <c r="B10" s="55"/>
    </row>
    <row r="11" spans="1:10">
      <c r="B11" s="55"/>
      <c r="C11" s="12" t="s">
        <v>357</v>
      </c>
    </row>
    <row r="12" spans="1:10">
      <c r="B12" s="55"/>
      <c r="C12" s="481" t="s">
        <v>1505</v>
      </c>
    </row>
    <row r="13" spans="1:10">
      <c r="B13" s="55"/>
      <c r="C13" s="476" t="s">
        <v>1787</v>
      </c>
      <c r="D13" s="14"/>
      <c r="E13" s="14"/>
      <c r="F13" s="14"/>
      <c r="G13" s="14"/>
      <c r="H13" s="14"/>
      <c r="I13" s="14"/>
    </row>
    <row r="14" spans="1:10">
      <c r="B14" s="55"/>
      <c r="C14" s="476" t="s">
        <v>1506</v>
      </c>
      <c r="D14" s="14"/>
      <c r="E14" s="14"/>
      <c r="F14" s="14"/>
      <c r="G14" s="14"/>
      <c r="H14" s="14"/>
      <c r="I14" s="14"/>
    </row>
    <row r="15" spans="1:10">
      <c r="B15" s="55"/>
      <c r="C15" s="877" t="s">
        <v>1507</v>
      </c>
      <c r="D15" s="14"/>
      <c r="E15" s="14"/>
      <c r="F15" s="14"/>
      <c r="G15" s="14"/>
      <c r="H15" s="14"/>
      <c r="I15" s="14"/>
    </row>
    <row r="16" spans="1:10">
      <c r="B16" s="55"/>
      <c r="C16" s="476" t="s">
        <v>1509</v>
      </c>
      <c r="D16" s="14"/>
      <c r="E16" s="14"/>
      <c r="F16" s="14"/>
      <c r="G16" s="14"/>
      <c r="H16" s="14"/>
      <c r="I16" s="14"/>
    </row>
    <row r="17" spans="1:10">
      <c r="B17" s="55"/>
      <c r="C17" s="476" t="s">
        <v>1508</v>
      </c>
      <c r="D17" s="14"/>
      <c r="E17" s="14"/>
      <c r="F17" s="14"/>
      <c r="G17" s="14"/>
      <c r="H17" s="14"/>
      <c r="I17" s="14"/>
    </row>
    <row r="18" spans="1:10">
      <c r="B18" s="55"/>
      <c r="C18" s="46"/>
      <c r="D18" s="14"/>
      <c r="E18" s="14"/>
      <c r="F18" s="14"/>
      <c r="G18" s="14"/>
      <c r="H18" s="14"/>
      <c r="I18" s="14"/>
    </row>
    <row r="19" spans="1:10">
      <c r="C19" s="44" t="s">
        <v>1000</v>
      </c>
      <c r="D19" s="14"/>
      <c r="E19" s="14"/>
      <c r="F19" s="14"/>
      <c r="G19" s="14"/>
      <c r="H19" s="14"/>
      <c r="I19" s="14"/>
    </row>
    <row r="20" spans="1:10">
      <c r="C20" s="44"/>
      <c r="D20" s="14"/>
      <c r="E20" s="125" t="s">
        <v>360</v>
      </c>
      <c r="F20" s="125" t="s">
        <v>344</v>
      </c>
      <c r="G20" s="125" t="s">
        <v>345</v>
      </c>
      <c r="H20" s="14"/>
      <c r="I20" s="14"/>
    </row>
    <row r="21" spans="1:10">
      <c r="B21" s="1"/>
      <c r="C21" s="14"/>
      <c r="D21" s="14"/>
      <c r="E21" s="14"/>
      <c r="F21" s="111" t="s">
        <v>63</v>
      </c>
      <c r="G21" s="111" t="s">
        <v>18</v>
      </c>
      <c r="H21" s="14"/>
      <c r="I21" s="14"/>
    </row>
    <row r="22" spans="1:10">
      <c r="B22" s="1"/>
      <c r="C22" s="14"/>
      <c r="D22" s="14"/>
      <c r="E22" s="111" t="s">
        <v>63</v>
      </c>
      <c r="F22" s="886" t="s">
        <v>230</v>
      </c>
      <c r="G22" s="111" t="s">
        <v>298</v>
      </c>
      <c r="H22" s="14"/>
      <c r="I22" s="14"/>
    </row>
    <row r="23" spans="1:10">
      <c r="B23" s="1"/>
      <c r="C23" s="15"/>
      <c r="D23" s="14"/>
      <c r="E23" s="111" t="s">
        <v>229</v>
      </c>
      <c r="F23" s="111" t="s">
        <v>231</v>
      </c>
      <c r="G23" s="111" t="s">
        <v>1</v>
      </c>
      <c r="H23" s="14"/>
      <c r="I23" s="14"/>
    </row>
    <row r="24" spans="1:10">
      <c r="B24" s="1"/>
      <c r="C24" s="111" t="s">
        <v>8</v>
      </c>
      <c r="D24" s="14"/>
      <c r="E24" s="111" t="s">
        <v>242</v>
      </c>
      <c r="F24" s="111" t="s">
        <v>242</v>
      </c>
      <c r="G24" s="886" t="s">
        <v>10</v>
      </c>
      <c r="H24" s="14"/>
      <c r="I24" s="14"/>
    </row>
    <row r="25" spans="1:10">
      <c r="A25" s="51" t="s">
        <v>331</v>
      </c>
      <c r="B25" s="1"/>
      <c r="C25" s="125" t="s">
        <v>226</v>
      </c>
      <c r="D25" s="14"/>
      <c r="E25" s="125" t="s">
        <v>175</v>
      </c>
      <c r="F25" s="125" t="s">
        <v>175</v>
      </c>
      <c r="G25" s="125" t="s">
        <v>175</v>
      </c>
      <c r="H25" s="125" t="s">
        <v>232</v>
      </c>
      <c r="I25" s="110"/>
      <c r="J25" s="50"/>
    </row>
    <row r="26" spans="1:10">
      <c r="A26" s="2">
        <v>1</v>
      </c>
      <c r="B26" s="1"/>
      <c r="C26" s="15" t="s">
        <v>338</v>
      </c>
      <c r="D26" s="14"/>
      <c r="E26" s="63">
        <f>'10-CWIP'!E25</f>
        <v>150976.49</v>
      </c>
      <c r="F26" s="63">
        <f>'10-CWIP'!E26</f>
        <v>5894761.7546153832</v>
      </c>
      <c r="G26" s="63">
        <f>'10-CWIP'!K113</f>
        <v>-150976.49</v>
      </c>
      <c r="H26" s="46" t="str">
        <f>"10-CWIP Lines "&amp;'10-CWIP'!A25&amp;", "&amp;'10-CWIP'!A26&amp;", and "&amp;'10-CWIP'!A113&amp;""</f>
        <v>10-CWIP Lines 13, 14, and 80</v>
      </c>
      <c r="I26" s="14"/>
    </row>
    <row r="27" spans="1:10">
      <c r="A27" s="2">
        <f t="shared" ref="A27:A37" si="0">A26+1</f>
        <v>2</v>
      </c>
      <c r="B27" s="1"/>
      <c r="C27" s="15" t="s">
        <v>339</v>
      </c>
      <c r="D27" s="14"/>
      <c r="E27" s="63">
        <f>'10-CWIP'!F25</f>
        <v>0</v>
      </c>
      <c r="F27" s="63">
        <f>'10-CWIP'!F26</f>
        <v>0</v>
      </c>
      <c r="G27" s="63">
        <f>'10-CWIP'!K146</f>
        <v>0</v>
      </c>
      <c r="H27" s="46" t="str">
        <f>"10-CWIP Lines "&amp;'10-CWIP'!A25&amp;", "&amp;'10-CWIP'!A26&amp;", and "&amp;'10-CWIP'!A146&amp;""</f>
        <v>10-CWIP Lines 13, 14, and 106</v>
      </c>
      <c r="I27" s="14"/>
    </row>
    <row r="28" spans="1:10">
      <c r="A28" s="2">
        <f t="shared" si="0"/>
        <v>3</v>
      </c>
      <c r="B28" s="1"/>
      <c r="C28" s="479" t="s">
        <v>2390</v>
      </c>
      <c r="D28" s="14"/>
      <c r="E28" s="63">
        <f>'10-CWIP'!G25</f>
        <v>4884727.96</v>
      </c>
      <c r="F28" s="63">
        <f>'10-CWIP'!G26</f>
        <v>4594011.3792307694</v>
      </c>
      <c r="G28" s="63">
        <f>'10-CWIP'!K179</f>
        <v>628048.07692307688</v>
      </c>
      <c r="H28" s="46" t="str">
        <f>"10-CWIP Lines "&amp;'10-CWIP'!A25&amp;", "&amp;'10-CWIP'!A26&amp;", and "&amp;'10-CWIP'!A179&amp;""</f>
        <v>10-CWIP Lines 13, 14, and 132</v>
      </c>
      <c r="I28" s="14"/>
    </row>
    <row r="29" spans="1:10">
      <c r="A29" s="2">
        <f t="shared" si="0"/>
        <v>4</v>
      </c>
      <c r="B29" s="1"/>
      <c r="C29" s="479" t="s">
        <v>2391</v>
      </c>
      <c r="D29" s="14"/>
      <c r="E29" s="63">
        <f>'10-CWIP'!H25</f>
        <v>98805811.510000005</v>
      </c>
      <c r="F29" s="63">
        <f>'10-CWIP'!H26</f>
        <v>80157512.240769237</v>
      </c>
      <c r="G29" s="63">
        <f>'10-CWIP'!K212</f>
        <v>158421232.23461542</v>
      </c>
      <c r="H29" s="46" t="str">
        <f>"10-CWIP Lines "&amp;'10-CWIP'!A25&amp;", "&amp;'10-CWIP'!A26&amp;", and "&amp;'10-CWIP'!A212&amp;""</f>
        <v>10-CWIP Lines 13, 14, and 158</v>
      </c>
      <c r="I29" s="14"/>
    </row>
    <row r="30" spans="1:10">
      <c r="A30" s="2">
        <f t="shared" si="0"/>
        <v>5</v>
      </c>
      <c r="B30" s="1"/>
      <c r="C30" s="15" t="s">
        <v>1006</v>
      </c>
      <c r="D30" s="14"/>
      <c r="E30" s="63">
        <f>'10-CWIP'!I25</f>
        <v>0</v>
      </c>
      <c r="F30" s="63">
        <f>'10-CWIP'!I26</f>
        <v>0</v>
      </c>
      <c r="G30" s="63">
        <f>'10-CWIP'!K245</f>
        <v>0</v>
      </c>
      <c r="H30" s="46" t="str">
        <f>"10-CWIP Lines "&amp;'10-CWIP'!A25&amp;", "&amp;'10-CWIP'!A26&amp;", and "&amp;'10-CWIP'!A245&amp;""</f>
        <v>10-CWIP Lines 13, 14, and 184</v>
      </c>
      <c r="I30" s="14"/>
    </row>
    <row r="31" spans="1:10">
      <c r="A31" s="2">
        <f t="shared" si="0"/>
        <v>6</v>
      </c>
      <c r="B31" s="1"/>
      <c r="C31" s="15" t="s">
        <v>1007</v>
      </c>
      <c r="D31" s="14"/>
      <c r="E31" s="63">
        <f>'10-CWIP'!D45</f>
        <v>0</v>
      </c>
      <c r="F31" s="63">
        <f>'10-CWIP'!D46</f>
        <v>9253542.2723076921</v>
      </c>
      <c r="G31" s="63">
        <f>'10-CWIP'!K278</f>
        <v>0</v>
      </c>
      <c r="H31" s="46" t="str">
        <f>"10-CWIP Lines "&amp;'10-CWIP'!A45&amp;", "&amp;'10-CWIP'!A46&amp;", and "&amp;'10-CWIP'!A278&amp;""</f>
        <v>10-CWIP Lines 27, 28, and 210</v>
      </c>
      <c r="I31" s="14"/>
    </row>
    <row r="32" spans="1:10">
      <c r="A32" s="2">
        <f t="shared" si="0"/>
        <v>7</v>
      </c>
      <c r="B32" s="1"/>
      <c r="C32" s="15" t="s">
        <v>1008</v>
      </c>
      <c r="D32" s="14"/>
      <c r="E32" s="63">
        <f>'10-CWIP'!E45</f>
        <v>0</v>
      </c>
      <c r="F32" s="63">
        <f>'10-CWIP'!E46</f>
        <v>0</v>
      </c>
      <c r="G32" s="63">
        <f>'10-CWIP'!K311</f>
        <v>0</v>
      </c>
      <c r="H32" s="46" t="str">
        <f>"10-CWIP Lines "&amp;'10-CWIP'!A45&amp;", "&amp;'10-CWIP'!A46&amp;", and "&amp;'10-CWIP'!A311&amp;""</f>
        <v>10-CWIP Lines 27, 28, and 236</v>
      </c>
      <c r="I32" s="14"/>
    </row>
    <row r="33" spans="1:10">
      <c r="A33" s="2">
        <f t="shared" si="0"/>
        <v>8</v>
      </c>
      <c r="B33" s="1"/>
      <c r="C33" s="1005" t="s">
        <v>2601</v>
      </c>
      <c r="D33" s="14"/>
      <c r="E33" s="63">
        <f>'10-CWIP'!F45</f>
        <v>46788115.939999998</v>
      </c>
      <c r="F33" s="63">
        <f>'10-CWIP'!F46</f>
        <v>6541655.1407692302</v>
      </c>
      <c r="G33" s="63">
        <f>'10-CWIP'!K344</f>
        <v>110990870.81971005</v>
      </c>
      <c r="H33" s="46" t="str">
        <f>"10-CWIP Lines "&amp;'10-CWIP'!A45&amp;", "&amp;'10-CWIP'!A46&amp;", and "&amp;'10-CWIP'!A344&amp;""</f>
        <v>10-CWIP Lines 27, 28, and 262</v>
      </c>
      <c r="I33" s="14"/>
    </row>
    <row r="34" spans="1:10">
      <c r="A34" s="2">
        <f t="shared" si="0"/>
        <v>9</v>
      </c>
      <c r="B34" s="1"/>
      <c r="C34" s="1005" t="s">
        <v>2602</v>
      </c>
      <c r="D34" s="14"/>
      <c r="E34" s="63">
        <f>'10-CWIP'!G45</f>
        <v>36155802.810000002</v>
      </c>
      <c r="F34" s="63">
        <f>'10-CWIP'!G46</f>
        <v>2781215.6007692311</v>
      </c>
      <c r="G34" s="63">
        <f>'10-CWIP'!K377</f>
        <v>3359285.5114230635</v>
      </c>
      <c r="H34" s="46" t="str">
        <f>"10-CWIP Lines "&amp;'10-CWIP'!A45&amp;", "&amp;'10-CWIP'!A46&amp;", and "&amp;'10-CWIP'!A377&amp;""</f>
        <v>10-CWIP Lines 27, 28, and 288</v>
      </c>
      <c r="I34" s="14"/>
    </row>
    <row r="35" spans="1:10">
      <c r="A35" s="2">
        <f t="shared" si="0"/>
        <v>10</v>
      </c>
      <c r="B35" s="1"/>
      <c r="C35" s="1005" t="s">
        <v>2603</v>
      </c>
      <c r="E35" s="63">
        <f>'10-CWIP'!H45</f>
        <v>34993045.010000005</v>
      </c>
      <c r="F35" s="63">
        <f>'10-CWIP'!H46</f>
        <v>2691772.6930769235</v>
      </c>
      <c r="G35" s="63">
        <f>'10-CWIP'!K410</f>
        <v>28209776.497692306</v>
      </c>
      <c r="H35" s="46" t="str">
        <f>"10-CWIP Lines "&amp;'10-CWIP'!A45&amp;", "&amp;'10-CWIP'!A46&amp;", and "&amp;'10-CWIP'!A410&amp;""</f>
        <v>10-CWIP Lines 27, 28, and 314</v>
      </c>
      <c r="I35" s="14"/>
      <c r="J35" s="14"/>
    </row>
    <row r="36" spans="1:10">
      <c r="A36" s="2">
        <f t="shared" si="0"/>
        <v>11</v>
      </c>
      <c r="B36" s="1"/>
      <c r="C36" s="543" t="s">
        <v>510</v>
      </c>
      <c r="E36" s="192" t="s">
        <v>76</v>
      </c>
      <c r="F36" s="192" t="s">
        <v>76</v>
      </c>
      <c r="G36" s="192" t="s">
        <v>76</v>
      </c>
      <c r="H36" s="543" t="s">
        <v>510</v>
      </c>
    </row>
    <row r="37" spans="1:10">
      <c r="A37" s="2">
        <f t="shared" si="0"/>
        <v>12</v>
      </c>
      <c r="B37" s="1"/>
      <c r="D37" s="79" t="s">
        <v>197</v>
      </c>
      <c r="E37" s="7">
        <f>SUM(E26:E35)</f>
        <v>221778479.72000003</v>
      </c>
      <c r="F37" s="7">
        <f>SUM(F26:F35)</f>
        <v>111914471.08153847</v>
      </c>
      <c r="G37" s="7">
        <f>SUM(G26:G35)</f>
        <v>301458236.65036386</v>
      </c>
      <c r="H37" s="52"/>
    </row>
    <row r="38" spans="1:10">
      <c r="B38" s="1"/>
    </row>
    <row r="39" spans="1:10">
      <c r="B39" s="1"/>
      <c r="C39" s="1" t="s">
        <v>1258</v>
      </c>
    </row>
    <row r="40" spans="1:10">
      <c r="B40" s="1"/>
      <c r="C40" s="1"/>
    </row>
    <row r="41" spans="1:10">
      <c r="B41" s="1"/>
      <c r="E41" s="3" t="s">
        <v>360</v>
      </c>
      <c r="F41" s="3" t="s">
        <v>344</v>
      </c>
      <c r="G41" s="3" t="s">
        <v>345</v>
      </c>
    </row>
    <row r="42" spans="1:10">
      <c r="B42" s="1"/>
      <c r="E42" s="543" t="s">
        <v>1480</v>
      </c>
      <c r="F42" s="3"/>
      <c r="G42" s="3"/>
    </row>
    <row r="43" spans="1:10">
      <c r="B43" s="1"/>
      <c r="E43" s="2" t="s">
        <v>63</v>
      </c>
      <c r="F43" s="2" t="s">
        <v>301</v>
      </c>
      <c r="G43" s="2" t="s">
        <v>301</v>
      </c>
    </row>
    <row r="44" spans="1:10">
      <c r="B44" s="1"/>
      <c r="E44" s="2" t="s">
        <v>8</v>
      </c>
      <c r="F44" s="2" t="s">
        <v>1</v>
      </c>
      <c r="G44" s="2" t="s">
        <v>300</v>
      </c>
    </row>
    <row r="45" spans="1:10">
      <c r="B45" s="1"/>
      <c r="E45" s="3" t="s">
        <v>173</v>
      </c>
      <c r="F45" s="3" t="s">
        <v>251</v>
      </c>
      <c r="G45" s="3" t="s">
        <v>3</v>
      </c>
      <c r="H45" s="3" t="s">
        <v>232</v>
      </c>
    </row>
    <row r="46" spans="1:10">
      <c r="A46" s="2">
        <f>A37+1</f>
        <v>13</v>
      </c>
      <c r="B46" s="1"/>
      <c r="C46" t="s">
        <v>227</v>
      </c>
      <c r="E46" s="101">
        <f>F46+G46</f>
        <v>150232042.80208787</v>
      </c>
      <c r="F46" s="63">
        <v>0</v>
      </c>
      <c r="G46" s="63">
        <f>H84</f>
        <v>150232042.80208787</v>
      </c>
      <c r="H46" s="46" t="str">
        <f>"Line "&amp;A84&amp;", C4"</f>
        <v>Line 37, C4</v>
      </c>
      <c r="I46" s="14"/>
    </row>
    <row r="47" spans="1:10">
      <c r="A47" s="2">
        <f>A46+1</f>
        <v>14</v>
      </c>
      <c r="B47" s="1"/>
      <c r="C47" t="s">
        <v>228</v>
      </c>
      <c r="E47" s="101">
        <f>F47+G47</f>
        <v>2728701252.9784455</v>
      </c>
      <c r="F47" s="63">
        <f>E26</f>
        <v>150976.49</v>
      </c>
      <c r="G47" s="63">
        <f>F84</f>
        <v>2728550276.4884458</v>
      </c>
      <c r="H47" s="46" t="str">
        <f>"Line "&amp;A26&amp;", C1, and Line "&amp;A84&amp;", C2"</f>
        <v>Line 1, C1, and Line 37, C2</v>
      </c>
      <c r="I47" s="14"/>
    </row>
    <row r="48" spans="1:10">
      <c r="A48" s="2">
        <f>A47+1</f>
        <v>15</v>
      </c>
      <c r="B48" s="1"/>
      <c r="C48" s="477" t="s">
        <v>1665</v>
      </c>
      <c r="E48" s="101">
        <f>F48+G48</f>
        <v>687752339.98307264</v>
      </c>
      <c r="F48" s="63">
        <f>E27</f>
        <v>0</v>
      </c>
      <c r="G48" s="63">
        <f>G84</f>
        <v>687752339.98307264</v>
      </c>
      <c r="H48" s="46" t="str">
        <f>"Line "&amp;A27&amp;", C1, and Line "&amp;A84&amp;", C3"</f>
        <v>Line 2, C1, and Line 37, C3</v>
      </c>
      <c r="I48" s="14"/>
    </row>
    <row r="49" spans="1:9">
      <c r="A49" s="2">
        <f>A48+1</f>
        <v>16</v>
      </c>
      <c r="B49" s="1"/>
      <c r="C49" s="543" t="s">
        <v>510</v>
      </c>
      <c r="E49" s="96" t="s">
        <v>76</v>
      </c>
      <c r="F49" s="96" t="s">
        <v>76</v>
      </c>
      <c r="G49" s="96" t="s">
        <v>76</v>
      </c>
      <c r="H49" s="543" t="s">
        <v>510</v>
      </c>
    </row>
    <row r="50" spans="1:9">
      <c r="A50" s="2">
        <f>A49+1</f>
        <v>17</v>
      </c>
      <c r="B50" s="1"/>
      <c r="C50" s="188"/>
      <c r="E50" s="96"/>
      <c r="F50" s="96"/>
      <c r="G50" s="96"/>
      <c r="H50" s="13"/>
    </row>
    <row r="51" spans="1:9">
      <c r="A51" s="2">
        <f>A50+1</f>
        <v>18</v>
      </c>
      <c r="B51" s="1"/>
      <c r="D51" s="475" t="s">
        <v>1669</v>
      </c>
      <c r="E51" s="7">
        <f>SUM(E46:E48)</f>
        <v>3566685635.7636061</v>
      </c>
      <c r="F51" s="96"/>
      <c r="G51" s="96"/>
      <c r="H51" s="481" t="s">
        <v>1670</v>
      </c>
    </row>
    <row r="52" spans="1:9">
      <c r="B52" s="1"/>
    </row>
    <row r="53" spans="1:9">
      <c r="B53" s="1"/>
      <c r="C53" s="1" t="s">
        <v>1504</v>
      </c>
    </row>
    <row r="54" spans="1:9">
      <c r="B54" s="1"/>
      <c r="C54" s="1"/>
    </row>
    <row r="55" spans="1:9">
      <c r="B55" s="1"/>
      <c r="C55" s="1"/>
      <c r="E55" s="3" t="s">
        <v>360</v>
      </c>
      <c r="F55" s="3" t="s">
        <v>344</v>
      </c>
      <c r="G55" s="3" t="s">
        <v>345</v>
      </c>
    </row>
    <row r="56" spans="1:9">
      <c r="B56" s="1"/>
      <c r="E56" s="543" t="s">
        <v>1480</v>
      </c>
      <c r="G56" s="2" t="s">
        <v>10</v>
      </c>
    </row>
    <row r="57" spans="1:9">
      <c r="B57" s="1"/>
      <c r="E57" s="2" t="s">
        <v>63</v>
      </c>
      <c r="F57" s="2" t="s">
        <v>10</v>
      </c>
      <c r="G57" s="2" t="s">
        <v>300</v>
      </c>
    </row>
    <row r="58" spans="1:9">
      <c r="B58" s="1"/>
      <c r="C58" s="2" t="s">
        <v>8</v>
      </c>
      <c r="E58" s="2" t="s">
        <v>8</v>
      </c>
      <c r="F58" s="2" t="s">
        <v>1</v>
      </c>
      <c r="G58" s="2" t="s">
        <v>3</v>
      </c>
    </row>
    <row r="59" spans="1:9" ht="12.75" customHeight="1">
      <c r="B59" s="1"/>
      <c r="C59" s="3" t="s">
        <v>226</v>
      </c>
      <c r="E59" s="3" t="s">
        <v>173</v>
      </c>
      <c r="F59" s="3" t="s">
        <v>251</v>
      </c>
      <c r="G59" s="3" t="s">
        <v>251</v>
      </c>
      <c r="H59" s="3" t="s">
        <v>232</v>
      </c>
    </row>
    <row r="60" spans="1:9">
      <c r="A60" s="2">
        <f>A51+1</f>
        <v>19</v>
      </c>
      <c r="B60" s="1"/>
      <c r="C60" t="s">
        <v>227</v>
      </c>
      <c r="E60" s="101">
        <f>F60+G60</f>
        <v>152604253.61173245</v>
      </c>
      <c r="F60" s="63">
        <v>0</v>
      </c>
      <c r="G60" s="104">
        <f>H85</f>
        <v>152604253.61173245</v>
      </c>
      <c r="H60" s="46" t="str">
        <f>"Line "&amp;A85&amp;", C4"</f>
        <v>Line 38, C4</v>
      </c>
      <c r="I60" s="14"/>
    </row>
    <row r="61" spans="1:9">
      <c r="A61" s="2">
        <f>A60+1</f>
        <v>20</v>
      </c>
      <c r="B61" s="1"/>
      <c r="C61" t="s">
        <v>228</v>
      </c>
      <c r="E61" s="101">
        <f>F61+G61</f>
        <v>2756592235.1223397</v>
      </c>
      <c r="F61" s="63">
        <f>F26</f>
        <v>5894761.7546153832</v>
      </c>
      <c r="G61" s="104">
        <f>F85</f>
        <v>2750697473.3677244</v>
      </c>
      <c r="H61" s="46" t="str">
        <f>"Line "&amp;A26&amp;", C2, and Line "&amp;A85&amp;", C2"</f>
        <v>Line 1, C2, and Line 38, C2</v>
      </c>
      <c r="I61" s="14"/>
    </row>
    <row r="62" spans="1:9">
      <c r="A62" s="2">
        <f>A61+1</f>
        <v>21</v>
      </c>
      <c r="B62" s="1"/>
      <c r="C62" s="12" t="s">
        <v>546</v>
      </c>
      <c r="E62" s="101">
        <f>F62+G62</f>
        <v>697660501.26822519</v>
      </c>
      <c r="F62" s="63">
        <f>F27</f>
        <v>0</v>
      </c>
      <c r="G62" s="104">
        <f>G85</f>
        <v>697660501.26822519</v>
      </c>
      <c r="H62" s="46" t="str">
        <f>"Line "&amp;A27&amp;", C2, and Line "&amp;A85&amp;", C3"</f>
        <v>Line 2, C2, and Line 38, C3</v>
      </c>
      <c r="I62" s="14"/>
    </row>
    <row r="63" spans="1:9">
      <c r="A63" s="2">
        <f>A62+1</f>
        <v>22</v>
      </c>
      <c r="B63" s="1"/>
      <c r="C63" s="543" t="s">
        <v>510</v>
      </c>
      <c r="E63" s="96" t="s">
        <v>76</v>
      </c>
      <c r="F63" s="96" t="s">
        <v>76</v>
      </c>
      <c r="G63" s="96" t="s">
        <v>76</v>
      </c>
      <c r="H63" s="543" t="s">
        <v>510</v>
      </c>
    </row>
    <row r="64" spans="1:9">
      <c r="A64" s="2">
        <f>A63+1</f>
        <v>23</v>
      </c>
      <c r="B64" s="1"/>
      <c r="C64" s="188"/>
      <c r="E64" s="96"/>
      <c r="F64" s="96"/>
      <c r="G64" s="96"/>
      <c r="H64" s="13"/>
    </row>
    <row r="65" spans="1:11">
      <c r="A65" s="2">
        <f>A64+1</f>
        <v>24</v>
      </c>
      <c r="B65" s="1"/>
      <c r="D65" s="475" t="s">
        <v>1669</v>
      </c>
      <c r="E65" s="7">
        <f>SUM(E60:E62)</f>
        <v>3606856990.0022974</v>
      </c>
      <c r="H65" s="562" t="s">
        <v>1671</v>
      </c>
    </row>
    <row r="66" spans="1:11">
      <c r="A66" s="523"/>
      <c r="B66" s="1"/>
      <c r="D66" s="94"/>
      <c r="E66" s="7"/>
    </row>
    <row r="67" spans="1:11">
      <c r="C67" s="1" t="s">
        <v>1009</v>
      </c>
    </row>
    <row r="68" spans="1:11">
      <c r="E68" s="84" t="s">
        <v>360</v>
      </c>
      <c r="F68" s="84" t="s">
        <v>344</v>
      </c>
      <c r="G68" s="84" t="s">
        <v>345</v>
      </c>
      <c r="H68" s="84" t="s">
        <v>346</v>
      </c>
      <c r="I68" s="84" t="s">
        <v>347</v>
      </c>
      <c r="J68" s="84"/>
    </row>
    <row r="69" spans="1:11">
      <c r="C69" s="2" t="s">
        <v>535</v>
      </c>
      <c r="E69" s="2" t="s">
        <v>538</v>
      </c>
      <c r="F69" s="870" t="str">
        <f>"L "&amp;A117&amp;" to L "&amp;A129&amp;", C3"</f>
        <v>L 53 to L 65, C3</v>
      </c>
      <c r="G69" s="870" t="str">
        <f>"L "&amp;A157&amp;" to L "&amp;A169&amp;", C3"</f>
        <v>L 79 to L 91, C3</v>
      </c>
      <c r="H69" s="870" t="str">
        <f>"L "&amp;A137&amp;" to L "&amp;A149&amp;", C3"</f>
        <v>L 66 to L 78, C3</v>
      </c>
      <c r="I69" s="97"/>
      <c r="K69" s="2"/>
    </row>
    <row r="70" spans="1:11">
      <c r="C70" s="2" t="s">
        <v>193</v>
      </c>
      <c r="E70" s="2" t="s">
        <v>539</v>
      </c>
      <c r="F70" s="14"/>
      <c r="G70" s="111" t="s">
        <v>342</v>
      </c>
      <c r="H70" s="111" t="s">
        <v>536</v>
      </c>
      <c r="I70" s="189"/>
      <c r="J70" s="363"/>
      <c r="K70" s="2"/>
    </row>
    <row r="71" spans="1:11">
      <c r="A71" s="51"/>
      <c r="C71" s="25" t="s">
        <v>192</v>
      </c>
      <c r="D71" s="25" t="s">
        <v>193</v>
      </c>
      <c r="E71" s="3" t="s">
        <v>3</v>
      </c>
      <c r="F71" s="125" t="s">
        <v>225</v>
      </c>
      <c r="G71" s="125" t="s">
        <v>343</v>
      </c>
      <c r="H71" s="125" t="s">
        <v>537</v>
      </c>
      <c r="I71" s="190"/>
      <c r="J71" s="3" t="s">
        <v>168</v>
      </c>
    </row>
    <row r="72" spans="1:11">
      <c r="A72" s="2">
        <f>A65+1</f>
        <v>25</v>
      </c>
      <c r="C72" s="20" t="s">
        <v>180</v>
      </c>
      <c r="D72" s="1101">
        <v>2016</v>
      </c>
      <c r="E72" s="59">
        <f>SUM(F72:H72)</f>
        <v>3623644583.4649796</v>
      </c>
      <c r="F72" s="904">
        <f>G117</f>
        <v>2761096353.8102016</v>
      </c>
      <c r="G72" s="904">
        <f>G157</f>
        <v>707569233.3452605</v>
      </c>
      <c r="H72" s="904">
        <f>G137</f>
        <v>154978996.30951726</v>
      </c>
      <c r="I72" s="363" t="s">
        <v>76</v>
      </c>
      <c r="J72" s="50" t="s">
        <v>1013</v>
      </c>
    </row>
    <row r="73" spans="1:11">
      <c r="A73" s="2">
        <f>A72+1</f>
        <v>26</v>
      </c>
      <c r="C73" s="20" t="s">
        <v>181</v>
      </c>
      <c r="D73" s="632">
        <v>2017</v>
      </c>
      <c r="E73" s="59">
        <f t="shared" ref="E73:E84" si="1">SUM(F73:H73)</f>
        <v>3615880494.7592592</v>
      </c>
      <c r="F73" s="904">
        <f t="shared" ref="F73:F84" si="2">G118</f>
        <v>2755369096.2820368</v>
      </c>
      <c r="G73" s="904">
        <f t="shared" ref="G73:G84" si="3">G158</f>
        <v>705927339.04713356</v>
      </c>
      <c r="H73" s="904">
        <f t="shared" ref="H73:H84" si="4">G138</f>
        <v>154584059.43008918</v>
      </c>
      <c r="I73" s="363" t="s">
        <v>76</v>
      </c>
      <c r="J73" s="13" t="s">
        <v>1012</v>
      </c>
    </row>
    <row r="74" spans="1:11">
      <c r="A74" s="2">
        <f t="shared" ref="A74:A85" si="5">A73+1</f>
        <v>27</v>
      </c>
      <c r="C74" s="21" t="s">
        <v>182</v>
      </c>
      <c r="D74" s="632">
        <v>2017</v>
      </c>
      <c r="E74" s="59">
        <f t="shared" si="1"/>
        <v>3614032507.8598137</v>
      </c>
      <c r="F74" s="904">
        <f t="shared" si="2"/>
        <v>2755580398.2908025</v>
      </c>
      <c r="G74" s="904">
        <f t="shared" si="3"/>
        <v>704262987.01835036</v>
      </c>
      <c r="H74" s="904">
        <f t="shared" si="4"/>
        <v>154189122.55066112</v>
      </c>
      <c r="I74" s="363" t="s">
        <v>76</v>
      </c>
      <c r="J74" s="363" t="s">
        <v>1011</v>
      </c>
      <c r="K74" s="2"/>
    </row>
    <row r="75" spans="1:11">
      <c r="A75" s="2">
        <f t="shared" si="5"/>
        <v>28</v>
      </c>
      <c r="C75" s="21" t="s">
        <v>195</v>
      </c>
      <c r="D75" s="632">
        <v>2017</v>
      </c>
      <c r="E75" s="59">
        <f t="shared" si="1"/>
        <v>3610703590.121047</v>
      </c>
      <c r="F75" s="904">
        <f t="shared" si="2"/>
        <v>2754293880.9851642</v>
      </c>
      <c r="G75" s="904">
        <f t="shared" si="3"/>
        <v>702621119.58465004</v>
      </c>
      <c r="H75" s="904">
        <f t="shared" si="4"/>
        <v>153788589.55123302</v>
      </c>
      <c r="I75" s="363" t="s">
        <v>76</v>
      </c>
      <c r="J75" s="363"/>
      <c r="K75" s="2"/>
    </row>
    <row r="76" spans="1:11">
      <c r="A76" s="2">
        <f t="shared" si="5"/>
        <v>29</v>
      </c>
      <c r="C76" s="20" t="s">
        <v>183</v>
      </c>
      <c r="D76" s="632">
        <v>2017</v>
      </c>
      <c r="E76" s="59">
        <f t="shared" si="1"/>
        <v>3603732187.2109303</v>
      </c>
      <c r="F76" s="904">
        <f t="shared" si="2"/>
        <v>2749366950.1302528</v>
      </c>
      <c r="G76" s="904">
        <f t="shared" si="3"/>
        <v>700971572.61038721</v>
      </c>
      <c r="H76" s="904">
        <f t="shared" si="4"/>
        <v>153393664.47029027</v>
      </c>
      <c r="I76" s="363" t="s">
        <v>76</v>
      </c>
      <c r="J76" s="363"/>
      <c r="K76" s="2"/>
    </row>
    <row r="77" spans="1:11">
      <c r="A77" s="2">
        <f t="shared" si="5"/>
        <v>30</v>
      </c>
      <c r="C77" s="21" t="s">
        <v>184</v>
      </c>
      <c r="D77" s="632">
        <v>2017</v>
      </c>
      <c r="E77" s="59">
        <f t="shared" si="1"/>
        <v>3617080146.8861885</v>
      </c>
      <c r="F77" s="904">
        <f t="shared" si="2"/>
        <v>2764751667.296186</v>
      </c>
      <c r="G77" s="904">
        <f t="shared" si="3"/>
        <v>699329740.20065498</v>
      </c>
      <c r="H77" s="904">
        <f t="shared" si="4"/>
        <v>152998739.38934752</v>
      </c>
      <c r="I77" s="363" t="s">
        <v>76</v>
      </c>
      <c r="J77" s="363"/>
      <c r="K77" s="2"/>
    </row>
    <row r="78" spans="1:11">
      <c r="A78" s="2">
        <f t="shared" si="5"/>
        <v>31</v>
      </c>
      <c r="C78" s="21" t="s">
        <v>185</v>
      </c>
      <c r="D78" s="632">
        <v>2017</v>
      </c>
      <c r="E78" s="59">
        <f t="shared" si="1"/>
        <v>3611530160.2316108</v>
      </c>
      <c r="F78" s="904">
        <f t="shared" si="2"/>
        <v>2761235317.0400362</v>
      </c>
      <c r="G78" s="904">
        <f t="shared" si="3"/>
        <v>697691028.82316971</v>
      </c>
      <c r="H78" s="904">
        <f t="shared" si="4"/>
        <v>152603814.36840478</v>
      </c>
      <c r="I78" s="363" t="s">
        <v>76</v>
      </c>
      <c r="J78" s="363"/>
      <c r="K78" s="2"/>
    </row>
    <row r="79" spans="1:11">
      <c r="A79" s="2">
        <f t="shared" si="5"/>
        <v>32</v>
      </c>
      <c r="C79" s="20" t="s">
        <v>186</v>
      </c>
      <c r="D79" s="632">
        <v>2017</v>
      </c>
      <c r="E79" s="59">
        <f t="shared" si="1"/>
        <v>3604314876.9233866</v>
      </c>
      <c r="F79" s="904">
        <f t="shared" si="2"/>
        <v>2756061325.125977</v>
      </c>
      <c r="G79" s="904">
        <f t="shared" si="3"/>
        <v>696044662.47007406</v>
      </c>
      <c r="H79" s="904">
        <f t="shared" si="4"/>
        <v>152208889.32733521</v>
      </c>
      <c r="I79" s="363" t="s">
        <v>76</v>
      </c>
      <c r="J79" s="363"/>
      <c r="K79" s="83"/>
    </row>
    <row r="80" spans="1:11">
      <c r="A80" s="2">
        <f t="shared" si="5"/>
        <v>33</v>
      </c>
      <c r="C80" s="21" t="s">
        <v>187</v>
      </c>
      <c r="D80" s="632">
        <v>2017</v>
      </c>
      <c r="E80" s="59">
        <f t="shared" si="1"/>
        <v>3597373680.8535147</v>
      </c>
      <c r="F80" s="904">
        <f t="shared" si="2"/>
        <v>2751250376.9770298</v>
      </c>
      <c r="G80" s="904">
        <f t="shared" si="3"/>
        <v>694311578.05030334</v>
      </c>
      <c r="H80" s="904">
        <f t="shared" si="4"/>
        <v>151811725.82618162</v>
      </c>
      <c r="I80" s="363" t="s">
        <v>76</v>
      </c>
      <c r="J80" s="363"/>
      <c r="K80" s="2"/>
    </row>
    <row r="81" spans="1:11">
      <c r="A81" s="2">
        <f t="shared" si="5"/>
        <v>34</v>
      </c>
      <c r="C81" s="21" t="s">
        <v>188</v>
      </c>
      <c r="D81" s="632">
        <v>2017</v>
      </c>
      <c r="E81" s="59">
        <f t="shared" si="1"/>
        <v>3590313709.990726</v>
      </c>
      <c r="F81" s="904">
        <f t="shared" si="2"/>
        <v>2746221604.1963224</v>
      </c>
      <c r="G81" s="904">
        <f t="shared" si="3"/>
        <v>692675300.7317611</v>
      </c>
      <c r="H81" s="904">
        <f t="shared" si="4"/>
        <v>151416805.06264254</v>
      </c>
      <c r="I81" s="363" t="s">
        <v>76</v>
      </c>
      <c r="J81" s="363"/>
      <c r="K81" s="2"/>
    </row>
    <row r="82" spans="1:11">
      <c r="A82" s="2">
        <f t="shared" si="5"/>
        <v>35</v>
      </c>
      <c r="C82" s="20" t="s">
        <v>189</v>
      </c>
      <c r="D82" s="632">
        <v>2017</v>
      </c>
      <c r="E82" s="59">
        <f t="shared" si="1"/>
        <v>3584010798.5742407</v>
      </c>
      <c r="F82" s="904">
        <f t="shared" si="2"/>
        <v>2741953296.3629708</v>
      </c>
      <c r="G82" s="904">
        <f t="shared" si="3"/>
        <v>691035617.90214503</v>
      </c>
      <c r="H82" s="904">
        <f t="shared" si="4"/>
        <v>151021884.30912489</v>
      </c>
      <c r="I82" s="363" t="s">
        <v>76</v>
      </c>
      <c r="J82" s="363"/>
      <c r="K82" s="2"/>
    </row>
    <row r="83" spans="1:11">
      <c r="A83" s="2">
        <f t="shared" si="5"/>
        <v>36</v>
      </c>
      <c r="C83" s="20" t="s">
        <v>190</v>
      </c>
      <c r="D83" s="632">
        <v>2017</v>
      </c>
      <c r="E83" s="59">
        <f t="shared" si="1"/>
        <v>3573357571.0705538</v>
      </c>
      <c r="F83" s="904">
        <f t="shared" si="2"/>
        <v>2733336610.7949824</v>
      </c>
      <c r="G83" s="904">
        <f t="shared" si="3"/>
        <v>689393996.71996498</v>
      </c>
      <c r="H83" s="904">
        <f t="shared" si="4"/>
        <v>150626963.55560637</v>
      </c>
      <c r="I83" s="363" t="s">
        <v>76</v>
      </c>
      <c r="J83" s="363"/>
      <c r="K83" s="2"/>
    </row>
    <row r="84" spans="1:11">
      <c r="A84" s="2">
        <f t="shared" si="5"/>
        <v>37</v>
      </c>
      <c r="C84" s="20" t="s">
        <v>180</v>
      </c>
      <c r="D84" s="632">
        <v>2017</v>
      </c>
      <c r="E84" s="58">
        <f t="shared" si="1"/>
        <v>3566534659.2736063</v>
      </c>
      <c r="F84" s="365">
        <f t="shared" si="2"/>
        <v>2728550276.4884458</v>
      </c>
      <c r="G84" s="365">
        <f t="shared" si="3"/>
        <v>687752339.98307264</v>
      </c>
      <c r="H84" s="365">
        <f t="shared" si="4"/>
        <v>150232042.80208787</v>
      </c>
      <c r="I84" s="363" t="s">
        <v>76</v>
      </c>
      <c r="J84" s="363"/>
      <c r="K84" s="2"/>
    </row>
    <row r="85" spans="1:11">
      <c r="A85" s="2">
        <f t="shared" si="5"/>
        <v>38</v>
      </c>
      <c r="C85" s="20"/>
      <c r="D85" s="1288" t="s">
        <v>543</v>
      </c>
      <c r="E85" s="105">
        <f>SUM(E72:E84)/13</f>
        <v>3600962228.2476811</v>
      </c>
      <c r="F85" s="105">
        <f>SUM(F72:F84)/13</f>
        <v>2750697473.3677244</v>
      </c>
      <c r="G85" s="105">
        <f>SUM(G72:G84)/13</f>
        <v>697660501.26822519</v>
      </c>
      <c r="H85" s="105">
        <f>SUM(H72:H84)/13</f>
        <v>152604253.61173245</v>
      </c>
      <c r="I85" s="44"/>
      <c r="J85" s="1"/>
      <c r="K85" s="2"/>
    </row>
    <row r="87" spans="1:11">
      <c r="A87" s="523"/>
      <c r="C87" s="524" t="s">
        <v>1551</v>
      </c>
      <c r="D87" s="525"/>
      <c r="E87" s="526"/>
      <c r="F87" s="526"/>
      <c r="G87" s="526"/>
      <c r="H87" s="526"/>
      <c r="I87" s="1"/>
      <c r="J87" s="1"/>
    </row>
    <row r="88" spans="1:11">
      <c r="A88" s="523"/>
      <c r="C88" s="524"/>
      <c r="D88" s="525"/>
      <c r="E88" s="84" t="s">
        <v>360</v>
      </c>
      <c r="F88" s="84" t="s">
        <v>344</v>
      </c>
      <c r="G88" s="84" t="s">
        <v>345</v>
      </c>
      <c r="H88" s="526"/>
      <c r="I88" s="1"/>
      <c r="J88" s="1"/>
    </row>
    <row r="89" spans="1:11">
      <c r="A89" s="523"/>
      <c r="C89" s="512"/>
      <c r="D89" s="525"/>
      <c r="G89" s="486" t="s">
        <v>1666</v>
      </c>
      <c r="H89" s="526"/>
      <c r="I89" s="1"/>
      <c r="J89" s="1"/>
    </row>
    <row r="90" spans="1:11">
      <c r="A90" s="523"/>
      <c r="C90" s="512"/>
      <c r="D90" s="525"/>
      <c r="E90" s="360" t="s">
        <v>436</v>
      </c>
      <c r="F90" s="526"/>
      <c r="G90" s="527" t="s">
        <v>1552</v>
      </c>
      <c r="H90" s="526"/>
      <c r="I90" s="1"/>
      <c r="J90" s="1"/>
    </row>
    <row r="91" spans="1:11">
      <c r="A91" s="523"/>
      <c r="C91" s="523" t="s">
        <v>535</v>
      </c>
      <c r="E91" s="360" t="s">
        <v>1553</v>
      </c>
      <c r="F91" s="360" t="s">
        <v>99</v>
      </c>
      <c r="G91" s="360" t="s">
        <v>1553</v>
      </c>
      <c r="H91" s="526"/>
      <c r="I91" s="1"/>
      <c r="J91" s="1"/>
    </row>
    <row r="92" spans="1:11">
      <c r="A92" s="523"/>
      <c r="C92" s="523" t="s">
        <v>193</v>
      </c>
      <c r="E92" s="360" t="s">
        <v>8</v>
      </c>
      <c r="F92" s="4" t="s">
        <v>1554</v>
      </c>
      <c r="G92" s="360" t="s">
        <v>8</v>
      </c>
      <c r="H92" s="526"/>
      <c r="I92" s="1"/>
      <c r="J92" s="1"/>
    </row>
    <row r="93" spans="1:11">
      <c r="A93" s="523"/>
      <c r="C93" s="25" t="s">
        <v>192</v>
      </c>
      <c r="D93" s="25" t="s">
        <v>193</v>
      </c>
      <c r="E93" s="361" t="s">
        <v>1555</v>
      </c>
      <c r="F93" s="3" t="s">
        <v>1556</v>
      </c>
      <c r="G93" s="361" t="s">
        <v>1555</v>
      </c>
      <c r="H93" s="361" t="s">
        <v>1557</v>
      </c>
      <c r="I93" s="1"/>
      <c r="J93" s="1"/>
    </row>
    <row r="94" spans="1:11" ht="12.75" customHeight="1">
      <c r="A94" s="523">
        <f>A85+1</f>
        <v>39</v>
      </c>
      <c r="C94" s="512" t="s">
        <v>180</v>
      </c>
      <c r="D94" s="1101">
        <v>2016</v>
      </c>
      <c r="E94" s="7">
        <f t="shared" ref="E94:E106" si="6">H117+H137+H157+H176+H195+H214+H233+H252+H271+H290+H309</f>
        <v>0</v>
      </c>
      <c r="F94" s="528">
        <v>0</v>
      </c>
      <c r="G94" s="526">
        <f>E94-F94</f>
        <v>0</v>
      </c>
      <c r="H94" s="533" t="s">
        <v>1567</v>
      </c>
      <c r="I94" s="1"/>
      <c r="J94" s="7"/>
    </row>
    <row r="95" spans="1:11">
      <c r="A95" s="523">
        <f>A94+1</f>
        <v>40</v>
      </c>
      <c r="C95" s="512" t="s">
        <v>181</v>
      </c>
      <c r="D95" s="632">
        <v>2017</v>
      </c>
      <c r="E95" s="7">
        <f t="shared" si="6"/>
        <v>637077.46000011265</v>
      </c>
      <c r="F95" s="528">
        <v>0</v>
      </c>
      <c r="G95" s="526">
        <f t="shared" ref="G95:G106" si="7">E95-F95</f>
        <v>637077.46000011265</v>
      </c>
      <c r="H95" s="533" t="s">
        <v>1566</v>
      </c>
      <c r="I95" s="73"/>
      <c r="J95" s="7"/>
    </row>
    <row r="96" spans="1:11">
      <c r="A96" s="523">
        <f t="shared" ref="A96:A107" si="8">A95+1</f>
        <v>41</v>
      </c>
      <c r="C96" s="510" t="s">
        <v>182</v>
      </c>
      <c r="D96" s="632">
        <v>2017</v>
      </c>
      <c r="E96" s="7">
        <f t="shared" si="6"/>
        <v>6682963.3300002217</v>
      </c>
      <c r="F96" s="528">
        <v>0</v>
      </c>
      <c r="G96" s="526">
        <f t="shared" si="7"/>
        <v>6682963.3300002217</v>
      </c>
      <c r="H96" s="533"/>
      <c r="I96" s="73"/>
      <c r="J96" s="7"/>
    </row>
    <row r="97" spans="1:10">
      <c r="A97" s="523">
        <f t="shared" si="8"/>
        <v>42</v>
      </c>
      <c r="C97" s="510" t="s">
        <v>195</v>
      </c>
      <c r="D97" s="632">
        <v>2017</v>
      </c>
      <c r="E97" s="7">
        <f t="shared" si="6"/>
        <v>5178669.0300000012</v>
      </c>
      <c r="F97" s="528">
        <v>0</v>
      </c>
      <c r="G97" s="526">
        <f t="shared" si="7"/>
        <v>5178669.0300000012</v>
      </c>
      <c r="H97" s="526"/>
      <c r="I97" s="73"/>
      <c r="J97" s="7"/>
    </row>
    <row r="98" spans="1:10">
      <c r="A98" s="523">
        <f t="shared" si="8"/>
        <v>43</v>
      </c>
      <c r="C98" s="512" t="s">
        <v>183</v>
      </c>
      <c r="D98" s="632">
        <v>2017</v>
      </c>
      <c r="E98" s="7">
        <f t="shared" si="6"/>
        <v>34083657.500000045</v>
      </c>
      <c r="F98" s="528">
        <v>0</v>
      </c>
      <c r="G98" s="526">
        <f t="shared" si="7"/>
        <v>34083657.500000045</v>
      </c>
      <c r="H98" s="526"/>
      <c r="I98" s="73"/>
      <c r="J98" s="7"/>
    </row>
    <row r="99" spans="1:10">
      <c r="A99" s="523">
        <f t="shared" si="8"/>
        <v>44</v>
      </c>
      <c r="C99" s="510" t="s">
        <v>184</v>
      </c>
      <c r="D99" s="632">
        <v>2017</v>
      </c>
      <c r="E99" s="7">
        <f t="shared" si="6"/>
        <v>21945098.959999681</v>
      </c>
      <c r="F99" s="528">
        <v>0</v>
      </c>
      <c r="G99" s="526">
        <f t="shared" si="7"/>
        <v>21945098.959999681</v>
      </c>
      <c r="H99" s="526"/>
      <c r="I99" s="73"/>
      <c r="J99" s="7"/>
    </row>
    <row r="100" spans="1:10">
      <c r="A100" s="523">
        <f t="shared" si="8"/>
        <v>45</v>
      </c>
      <c r="C100" s="510" t="s">
        <v>185</v>
      </c>
      <c r="D100" s="632">
        <v>2017</v>
      </c>
      <c r="E100" s="7">
        <f t="shared" si="6"/>
        <v>2931169.269999817</v>
      </c>
      <c r="F100" s="528">
        <v>0</v>
      </c>
      <c r="G100" s="526">
        <f t="shared" si="7"/>
        <v>2931169.269999817</v>
      </c>
      <c r="H100" s="526"/>
      <c r="I100" s="73"/>
      <c r="J100" s="7"/>
    </row>
    <row r="101" spans="1:10">
      <c r="A101" s="523">
        <f t="shared" si="8"/>
        <v>46</v>
      </c>
      <c r="C101" s="512" t="s">
        <v>186</v>
      </c>
      <c r="D101" s="632">
        <v>2017</v>
      </c>
      <c r="E101" s="7">
        <f t="shared" si="6"/>
        <v>1250328.3899995685</v>
      </c>
      <c r="F101" s="528">
        <v>0</v>
      </c>
      <c r="G101" s="526">
        <f t="shared" si="7"/>
        <v>1250328.3899995685</v>
      </c>
      <c r="H101" s="526"/>
      <c r="I101" s="73"/>
      <c r="J101" s="7"/>
    </row>
    <row r="102" spans="1:10">
      <c r="A102" s="523">
        <f t="shared" si="8"/>
        <v>47</v>
      </c>
      <c r="C102" s="510" t="s">
        <v>187</v>
      </c>
      <c r="D102" s="632">
        <v>2017</v>
      </c>
      <c r="E102" s="7">
        <f t="shared" si="6"/>
        <v>1528249.1200005263</v>
      </c>
      <c r="F102" s="528">
        <v>0</v>
      </c>
      <c r="G102" s="526">
        <f t="shared" si="7"/>
        <v>1528249.1200005263</v>
      </c>
      <c r="H102" s="526"/>
      <c r="I102" s="73"/>
      <c r="J102" s="7"/>
    </row>
    <row r="103" spans="1:10">
      <c r="A103" s="523">
        <f t="shared" si="8"/>
        <v>48</v>
      </c>
      <c r="C103" s="510" t="s">
        <v>188</v>
      </c>
      <c r="D103" s="632">
        <v>2017</v>
      </c>
      <c r="E103" s="7">
        <f t="shared" si="6"/>
        <v>1390223.3499999493</v>
      </c>
      <c r="F103" s="528">
        <v>0</v>
      </c>
      <c r="G103" s="526">
        <f t="shared" si="7"/>
        <v>1390223.3499999493</v>
      </c>
      <c r="H103" s="526"/>
      <c r="I103" s="73"/>
      <c r="J103" s="7"/>
    </row>
    <row r="104" spans="1:10">
      <c r="A104" s="523">
        <f t="shared" si="8"/>
        <v>49</v>
      </c>
      <c r="C104" s="512" t="s">
        <v>189</v>
      </c>
      <c r="D104" s="632">
        <v>2017</v>
      </c>
      <c r="E104" s="7">
        <f t="shared" si="6"/>
        <v>2916673.340000242</v>
      </c>
      <c r="F104" s="528">
        <v>0</v>
      </c>
      <c r="G104" s="526">
        <f t="shared" si="7"/>
        <v>2916673.340000242</v>
      </c>
      <c r="H104" s="526"/>
      <c r="I104" s="73"/>
      <c r="J104" s="7"/>
    </row>
    <row r="105" spans="1:10">
      <c r="A105" s="523">
        <f t="shared" si="8"/>
        <v>50</v>
      </c>
      <c r="C105" s="512" t="s">
        <v>190</v>
      </c>
      <c r="D105" s="632">
        <v>2017</v>
      </c>
      <c r="E105" s="7">
        <f t="shared" si="6"/>
        <v>-517602.32250000839</v>
      </c>
      <c r="F105" s="528">
        <v>0</v>
      </c>
      <c r="G105" s="526">
        <f t="shared" si="7"/>
        <v>-517602.32250000839</v>
      </c>
      <c r="H105" s="526"/>
      <c r="I105" s="73"/>
      <c r="J105" s="7"/>
    </row>
    <row r="106" spans="1:10">
      <c r="A106" s="523">
        <f t="shared" si="8"/>
        <v>51</v>
      </c>
      <c r="C106" s="512" t="s">
        <v>180</v>
      </c>
      <c r="D106" s="632">
        <v>2017</v>
      </c>
      <c r="E106" s="91">
        <f t="shared" si="6"/>
        <v>1650013.2699999809</v>
      </c>
      <c r="F106" s="409">
        <v>0</v>
      </c>
      <c r="G106" s="365">
        <f t="shared" si="7"/>
        <v>1650013.2699999809</v>
      </c>
      <c r="H106" s="526"/>
      <c r="I106" s="73"/>
      <c r="J106" s="7"/>
    </row>
    <row r="107" spans="1:10">
      <c r="A107" s="523">
        <f t="shared" si="8"/>
        <v>52</v>
      </c>
      <c r="C107" s="512" t="s">
        <v>196</v>
      </c>
      <c r="D107" s="516"/>
      <c r="E107" s="63">
        <f>SUM(E94:E106)</f>
        <v>79676520.697500139</v>
      </c>
      <c r="F107" s="63">
        <f t="shared" ref="F107:G107" si="9">SUM(F94:F106)</f>
        <v>0</v>
      </c>
      <c r="G107" s="63">
        <f t="shared" si="9"/>
        <v>79676520.697500139</v>
      </c>
      <c r="H107" s="526"/>
      <c r="I107" s="73"/>
      <c r="J107" s="1"/>
    </row>
    <row r="108" spans="1:10">
      <c r="A108" s="523"/>
      <c r="C108" s="512"/>
      <c r="D108" s="516"/>
      <c r="E108" s="63"/>
      <c r="F108" s="526"/>
      <c r="G108" s="526"/>
      <c r="H108" s="526"/>
      <c r="I108" s="73"/>
      <c r="J108" s="1"/>
    </row>
    <row r="110" spans="1:10">
      <c r="C110" s="191" t="s">
        <v>1558</v>
      </c>
    </row>
    <row r="112" spans="1:10">
      <c r="C112" s="1" t="s">
        <v>1559</v>
      </c>
      <c r="E112" s="84" t="s">
        <v>360</v>
      </c>
      <c r="F112" s="84" t="s">
        <v>344</v>
      </c>
      <c r="G112" s="84" t="s">
        <v>345</v>
      </c>
      <c r="H112" s="84" t="s">
        <v>346</v>
      </c>
    </row>
    <row r="113" spans="1:9">
      <c r="G113" s="543" t="s">
        <v>1666</v>
      </c>
      <c r="H113" s="543" t="s">
        <v>1667</v>
      </c>
    </row>
    <row r="114" spans="1:9">
      <c r="C114" s="523" t="s">
        <v>535</v>
      </c>
      <c r="G114" s="14"/>
      <c r="H114" s="1289" t="s">
        <v>1668</v>
      </c>
    </row>
    <row r="115" spans="1:9">
      <c r="C115" s="523" t="s">
        <v>193</v>
      </c>
      <c r="E115" s="523" t="s">
        <v>373</v>
      </c>
      <c r="F115" s="523" t="s">
        <v>1560</v>
      </c>
      <c r="G115" s="523" t="s">
        <v>1002</v>
      </c>
      <c r="H115" s="523" t="s">
        <v>1135</v>
      </c>
    </row>
    <row r="116" spans="1:9">
      <c r="C116" s="25" t="s">
        <v>192</v>
      </c>
      <c r="D116" s="25" t="s">
        <v>193</v>
      </c>
      <c r="E116" s="3" t="s">
        <v>1561</v>
      </c>
      <c r="F116" s="3" t="s">
        <v>1090</v>
      </c>
      <c r="G116" s="3" t="s">
        <v>3</v>
      </c>
      <c r="H116" s="3" t="s">
        <v>1556</v>
      </c>
    </row>
    <row r="117" spans="1:9">
      <c r="A117" s="523">
        <f>A107+1</f>
        <v>53</v>
      </c>
      <c r="C117" s="512" t="s">
        <v>180</v>
      </c>
      <c r="D117" s="1101">
        <v>2016</v>
      </c>
      <c r="E117" s="1023">
        <v>2998641929.7072148</v>
      </c>
      <c r="F117" s="1023">
        <v>237545575.89701298</v>
      </c>
      <c r="G117" s="7">
        <f t="shared" ref="G117:G129" si="10">E117-F117</f>
        <v>2761096353.8102016</v>
      </c>
      <c r="H117" s="7">
        <f>E117-E117</f>
        <v>0</v>
      </c>
      <c r="I117" s="572"/>
    </row>
    <row r="118" spans="1:9">
      <c r="A118" s="523">
        <f>A117+1</f>
        <v>54</v>
      </c>
      <c r="C118" s="512" t="s">
        <v>181</v>
      </c>
      <c r="D118" s="632">
        <v>2017</v>
      </c>
      <c r="E118" s="1023">
        <v>2999220786.6472149</v>
      </c>
      <c r="F118" s="1023">
        <v>243851690.36517799</v>
      </c>
      <c r="G118" s="7">
        <f t="shared" si="10"/>
        <v>2755369096.2820368</v>
      </c>
      <c r="H118" s="7">
        <f>E118-E117</f>
        <v>578856.94000005722</v>
      </c>
    </row>
    <row r="119" spans="1:9">
      <c r="A119" s="523">
        <f t="shared" ref="A119:A129" si="11">A118+1</f>
        <v>55</v>
      </c>
      <c r="C119" s="510" t="s">
        <v>182</v>
      </c>
      <c r="D119" s="632">
        <v>2017</v>
      </c>
      <c r="E119" s="1023">
        <v>3005739539.3072152</v>
      </c>
      <c r="F119" s="1023">
        <v>250159141.01641271</v>
      </c>
      <c r="G119" s="7">
        <f t="shared" si="10"/>
        <v>2755580398.2908025</v>
      </c>
      <c r="H119" s="7">
        <f t="shared" ref="H119:H129" si="12">E119-E118</f>
        <v>6518752.6600003242</v>
      </c>
    </row>
    <row r="120" spans="1:9">
      <c r="A120" s="523">
        <f t="shared" si="11"/>
        <v>56</v>
      </c>
      <c r="C120" s="510" t="s">
        <v>195</v>
      </c>
      <c r="D120" s="632">
        <v>2017</v>
      </c>
      <c r="E120" s="1023">
        <v>3010773105.487215</v>
      </c>
      <c r="F120" s="1023">
        <v>256479224.50205076</v>
      </c>
      <c r="G120" s="7">
        <f t="shared" si="10"/>
        <v>2754293880.9851642</v>
      </c>
      <c r="H120" s="7">
        <f t="shared" si="12"/>
        <v>5033566.1799998283</v>
      </c>
    </row>
    <row r="121" spans="1:9">
      <c r="A121" s="523">
        <f t="shared" si="11"/>
        <v>57</v>
      </c>
      <c r="C121" s="512" t="s">
        <v>183</v>
      </c>
      <c r="D121" s="632">
        <v>2017</v>
      </c>
      <c r="E121" s="1023">
        <v>3012180174.9272151</v>
      </c>
      <c r="F121" s="1023">
        <v>262813224.79696241</v>
      </c>
      <c r="G121" s="7">
        <f t="shared" si="10"/>
        <v>2749366950.1302528</v>
      </c>
      <c r="H121" s="7">
        <f t="shared" si="12"/>
        <v>1407069.4400000572</v>
      </c>
    </row>
    <row r="122" spans="1:9">
      <c r="A122" s="523">
        <f t="shared" si="11"/>
        <v>58</v>
      </c>
      <c r="C122" s="510" t="s">
        <v>184</v>
      </c>
      <c r="D122" s="632">
        <v>2017</v>
      </c>
      <c r="E122" s="1023">
        <v>3033901664.4172149</v>
      </c>
      <c r="F122" s="1023">
        <v>269149997.12102902</v>
      </c>
      <c r="G122" s="7">
        <f t="shared" si="10"/>
        <v>2764751667.296186</v>
      </c>
      <c r="H122" s="7">
        <f t="shared" si="12"/>
        <v>21721489.489999771</v>
      </c>
    </row>
    <row r="123" spans="1:9">
      <c r="A123" s="523">
        <f t="shared" si="11"/>
        <v>59</v>
      </c>
      <c r="C123" s="510" t="s">
        <v>185</v>
      </c>
      <c r="D123" s="632">
        <v>2017</v>
      </c>
      <c r="E123" s="1023">
        <v>3036761061.5772147</v>
      </c>
      <c r="F123" s="1023">
        <v>275525744.53717864</v>
      </c>
      <c r="G123" s="7">
        <f t="shared" si="10"/>
        <v>2761235317.0400362</v>
      </c>
      <c r="H123" s="7">
        <f t="shared" si="12"/>
        <v>2859397.1599998474</v>
      </c>
    </row>
    <row r="124" spans="1:9">
      <c r="A124" s="523">
        <f t="shared" si="11"/>
        <v>60</v>
      </c>
      <c r="C124" s="512" t="s">
        <v>186</v>
      </c>
      <c r="D124" s="632">
        <v>2017</v>
      </c>
      <c r="E124" s="1023">
        <v>3037969274.8272142</v>
      </c>
      <c r="F124" s="1023">
        <v>281907949.70123726</v>
      </c>
      <c r="G124" s="7">
        <f t="shared" si="10"/>
        <v>2756061325.125977</v>
      </c>
      <c r="H124" s="7">
        <f t="shared" si="12"/>
        <v>1208213.2499995232</v>
      </c>
    </row>
    <row r="125" spans="1:9">
      <c r="A125" s="523">
        <f t="shared" si="11"/>
        <v>61</v>
      </c>
      <c r="C125" s="510" t="s">
        <v>187</v>
      </c>
      <c r="D125" s="632">
        <v>2017</v>
      </c>
      <c r="E125" s="1023">
        <v>3039542946.4772148</v>
      </c>
      <c r="F125" s="1023">
        <v>288292569.50018525</v>
      </c>
      <c r="G125" s="7">
        <f t="shared" si="10"/>
        <v>2751250376.9770298</v>
      </c>
      <c r="H125" s="7">
        <f t="shared" si="12"/>
        <v>1573671.6500005722</v>
      </c>
    </row>
    <row r="126" spans="1:9">
      <c r="A126" s="523">
        <f t="shared" si="11"/>
        <v>62</v>
      </c>
      <c r="C126" s="510" t="s">
        <v>188</v>
      </c>
      <c r="D126" s="632">
        <v>2017</v>
      </c>
      <c r="E126" s="1023">
        <v>3040901421.0572147</v>
      </c>
      <c r="F126" s="1023">
        <v>294679816.86089212</v>
      </c>
      <c r="G126" s="7">
        <f t="shared" si="10"/>
        <v>2746221604.1963224</v>
      </c>
      <c r="H126" s="7">
        <f t="shared" si="12"/>
        <v>1358474.5799999237</v>
      </c>
    </row>
    <row r="127" spans="1:9">
      <c r="A127" s="523">
        <f t="shared" si="11"/>
        <v>63</v>
      </c>
      <c r="C127" s="512" t="s">
        <v>189</v>
      </c>
      <c r="D127" s="632">
        <v>2017</v>
      </c>
      <c r="E127" s="1023">
        <v>3043025002.1272149</v>
      </c>
      <c r="F127" s="1023">
        <v>301071705.76424426</v>
      </c>
      <c r="G127" s="7">
        <f t="shared" si="10"/>
        <v>2741953296.3629708</v>
      </c>
      <c r="H127" s="7">
        <f t="shared" si="12"/>
        <v>2123581.0700001717</v>
      </c>
    </row>
    <row r="128" spans="1:9">
      <c r="A128" s="523">
        <f t="shared" si="11"/>
        <v>64</v>
      </c>
      <c r="C128" s="512" t="s">
        <v>190</v>
      </c>
      <c r="D128" s="632">
        <v>2017</v>
      </c>
      <c r="E128" s="1023">
        <v>3040804626.797215</v>
      </c>
      <c r="F128" s="1023">
        <v>307468016.00223261</v>
      </c>
      <c r="G128" s="7">
        <f t="shared" si="10"/>
        <v>2733336610.7949824</v>
      </c>
      <c r="H128" s="7">
        <f t="shared" si="12"/>
        <v>-2220375.3299999237</v>
      </c>
    </row>
    <row r="129" spans="1:8">
      <c r="A129" s="523">
        <f t="shared" si="11"/>
        <v>65</v>
      </c>
      <c r="C129" s="512" t="s">
        <v>180</v>
      </c>
      <c r="D129" s="632">
        <v>2017</v>
      </c>
      <c r="E129" s="1023">
        <v>3042408307.8372149</v>
      </c>
      <c r="F129" s="1023">
        <v>313858031.34876937</v>
      </c>
      <c r="G129" s="7">
        <f t="shared" si="10"/>
        <v>2728550276.4884458</v>
      </c>
      <c r="H129" s="7">
        <f t="shared" si="12"/>
        <v>1603681.0399999619</v>
      </c>
    </row>
    <row r="130" spans="1:8">
      <c r="A130" s="523"/>
      <c r="C130" s="512"/>
      <c r="D130" s="516"/>
    </row>
    <row r="132" spans="1:8">
      <c r="C132" s="191" t="s">
        <v>1562</v>
      </c>
      <c r="E132" s="84" t="s">
        <v>360</v>
      </c>
      <c r="F132" s="84" t="s">
        <v>344</v>
      </c>
      <c r="G132" s="84" t="s">
        <v>345</v>
      </c>
      <c r="H132" s="84" t="s">
        <v>346</v>
      </c>
    </row>
    <row r="133" spans="1:8">
      <c r="G133" s="543" t="s">
        <v>1666</v>
      </c>
      <c r="H133" s="543" t="s">
        <v>1667</v>
      </c>
    </row>
    <row r="134" spans="1:8">
      <c r="C134" s="523" t="s">
        <v>535</v>
      </c>
      <c r="G134" s="14"/>
      <c r="H134" s="1289" t="s">
        <v>1668</v>
      </c>
    </row>
    <row r="135" spans="1:8">
      <c r="C135" s="523" t="s">
        <v>193</v>
      </c>
      <c r="E135" s="523" t="s">
        <v>373</v>
      </c>
      <c r="F135" s="523" t="s">
        <v>1560</v>
      </c>
      <c r="G135" s="111" t="s">
        <v>1002</v>
      </c>
      <c r="H135" s="111" t="s">
        <v>1135</v>
      </c>
    </row>
    <row r="136" spans="1:8">
      <c r="C136" s="25" t="s">
        <v>192</v>
      </c>
      <c r="D136" s="25" t="s">
        <v>193</v>
      </c>
      <c r="E136" s="3" t="s">
        <v>1561</v>
      </c>
      <c r="F136" s="3" t="s">
        <v>1090</v>
      </c>
      <c r="G136" s="3" t="s">
        <v>3</v>
      </c>
      <c r="H136" s="3" t="s">
        <v>1556</v>
      </c>
    </row>
    <row r="137" spans="1:8">
      <c r="A137" s="523">
        <f>A129+1</f>
        <v>66</v>
      </c>
      <c r="C137" s="512" t="s">
        <v>180</v>
      </c>
      <c r="D137" s="1101">
        <v>2016</v>
      </c>
      <c r="E137" s="1023">
        <v>191508708.01999995</v>
      </c>
      <c r="F137" s="1023">
        <v>36529711.710482672</v>
      </c>
      <c r="G137" s="7">
        <f>E137-F137</f>
        <v>154978996.30951726</v>
      </c>
      <c r="H137" s="7">
        <f>E137-E137</f>
        <v>0</v>
      </c>
    </row>
    <row r="138" spans="1:8">
      <c r="A138" s="523">
        <f>A137+1</f>
        <v>67</v>
      </c>
      <c r="C138" s="512" t="s">
        <v>181</v>
      </c>
      <c r="D138" s="632">
        <v>2017</v>
      </c>
      <c r="E138" s="1023">
        <v>191508708.01999995</v>
      </c>
      <c r="F138" s="1023">
        <v>36924648.589910761</v>
      </c>
      <c r="G138" s="7">
        <f t="shared" ref="G138:G149" si="13">E138-F138</f>
        <v>154584059.43008918</v>
      </c>
      <c r="H138" s="7">
        <f>E138-E137</f>
        <v>0</v>
      </c>
    </row>
    <row r="139" spans="1:8">
      <c r="A139" s="523">
        <f t="shared" ref="A139:A149" si="14">A138+1</f>
        <v>68</v>
      </c>
      <c r="C139" s="510" t="s">
        <v>182</v>
      </c>
      <c r="D139" s="632">
        <v>2017</v>
      </c>
      <c r="E139" s="1023">
        <v>191508708.01999995</v>
      </c>
      <c r="F139" s="1023">
        <v>37319585.469338842</v>
      </c>
      <c r="G139" s="7">
        <f t="shared" si="13"/>
        <v>154189122.55066112</v>
      </c>
      <c r="H139" s="7">
        <f t="shared" ref="H139:H149" si="15">E139-E138</f>
        <v>0</v>
      </c>
    </row>
    <row r="140" spans="1:8">
      <c r="A140" s="523">
        <f t="shared" si="14"/>
        <v>69</v>
      </c>
      <c r="C140" s="510" t="s">
        <v>195</v>
      </c>
      <c r="D140" s="632">
        <v>2017</v>
      </c>
      <c r="E140" s="1023">
        <v>191503111.89999995</v>
      </c>
      <c r="F140" s="1023">
        <v>37714522.348766923</v>
      </c>
      <c r="G140" s="7">
        <f t="shared" si="13"/>
        <v>153788589.55123302</v>
      </c>
      <c r="H140" s="7">
        <f t="shared" si="15"/>
        <v>-5596.1200000047684</v>
      </c>
    </row>
    <row r="141" spans="1:8">
      <c r="A141" s="523">
        <f t="shared" si="14"/>
        <v>70</v>
      </c>
      <c r="C141" s="512" t="s">
        <v>183</v>
      </c>
      <c r="D141" s="632">
        <v>2017</v>
      </c>
      <c r="E141" s="1023">
        <v>191503111.89999995</v>
      </c>
      <c r="F141" s="1023">
        <v>38109447.429709665</v>
      </c>
      <c r="G141" s="7">
        <f t="shared" si="13"/>
        <v>153393664.47029027</v>
      </c>
      <c r="H141" s="7">
        <f t="shared" si="15"/>
        <v>0</v>
      </c>
    </row>
    <row r="142" spans="1:8">
      <c r="A142" s="523">
        <f t="shared" si="14"/>
        <v>71</v>
      </c>
      <c r="C142" s="510" t="s">
        <v>184</v>
      </c>
      <c r="D142" s="632">
        <v>2017</v>
      </c>
      <c r="E142" s="1023">
        <v>191503111.89999995</v>
      </c>
      <c r="F142" s="1023">
        <v>38504372.510652423</v>
      </c>
      <c r="G142" s="7">
        <f t="shared" si="13"/>
        <v>152998739.38934752</v>
      </c>
      <c r="H142" s="7">
        <f t="shared" si="15"/>
        <v>0</v>
      </c>
    </row>
    <row r="143" spans="1:8">
      <c r="A143" s="523">
        <f t="shared" si="14"/>
        <v>72</v>
      </c>
      <c r="C143" s="510" t="s">
        <v>185</v>
      </c>
      <c r="D143" s="632">
        <v>2017</v>
      </c>
      <c r="E143" s="1023">
        <v>191503111.95999995</v>
      </c>
      <c r="F143" s="1023">
        <v>38899297.59159518</v>
      </c>
      <c r="G143" s="7">
        <f t="shared" si="13"/>
        <v>152603814.36840478</v>
      </c>
      <c r="H143" s="7">
        <f t="shared" si="15"/>
        <v>6.0000002384185791E-2</v>
      </c>
    </row>
    <row r="144" spans="1:8">
      <c r="A144" s="523">
        <f t="shared" si="14"/>
        <v>73</v>
      </c>
      <c r="C144" s="512" t="s">
        <v>186</v>
      </c>
      <c r="D144" s="632">
        <v>2017</v>
      </c>
      <c r="E144" s="1023">
        <v>191503111.99999997</v>
      </c>
      <c r="F144" s="1023">
        <v>39294222.672664762</v>
      </c>
      <c r="G144" s="7">
        <f t="shared" si="13"/>
        <v>152208889.32733521</v>
      </c>
      <c r="H144" s="7">
        <f t="shared" si="15"/>
        <v>4.0000021457672119E-2</v>
      </c>
    </row>
    <row r="145" spans="1:8">
      <c r="A145" s="523">
        <f t="shared" si="14"/>
        <v>74</v>
      </c>
      <c r="C145" s="510" t="s">
        <v>187</v>
      </c>
      <c r="D145" s="632">
        <v>2017</v>
      </c>
      <c r="E145" s="1023">
        <v>191500873.57999995</v>
      </c>
      <c r="F145" s="1023">
        <v>39689147.753818341</v>
      </c>
      <c r="G145" s="7">
        <f t="shared" si="13"/>
        <v>151811725.82618162</v>
      </c>
      <c r="H145" s="7">
        <f t="shared" si="15"/>
        <v>-2238.4200000166893</v>
      </c>
    </row>
    <row r="146" spans="1:8">
      <c r="A146" s="523">
        <f t="shared" si="14"/>
        <v>75</v>
      </c>
      <c r="C146" s="510" t="s">
        <v>188</v>
      </c>
      <c r="D146" s="632">
        <v>2017</v>
      </c>
      <c r="E146" s="1023">
        <v>191500873.56999996</v>
      </c>
      <c r="F146" s="1023">
        <v>40084068.507357426</v>
      </c>
      <c r="G146" s="7">
        <f t="shared" si="13"/>
        <v>151416805.06264254</v>
      </c>
      <c r="H146" s="7">
        <f t="shared" si="15"/>
        <v>-9.9999904632568359E-3</v>
      </c>
    </row>
    <row r="147" spans="1:8">
      <c r="A147" s="523">
        <f t="shared" si="14"/>
        <v>76</v>
      </c>
      <c r="C147" s="512" t="s">
        <v>189</v>
      </c>
      <c r="D147" s="632">
        <v>2017</v>
      </c>
      <c r="E147" s="1023">
        <v>191500873.56999996</v>
      </c>
      <c r="F147" s="1023">
        <v>40478989.260875091</v>
      </c>
      <c r="G147" s="7">
        <f t="shared" si="13"/>
        <v>151021884.30912489</v>
      </c>
      <c r="H147" s="7">
        <f t="shared" si="15"/>
        <v>0</v>
      </c>
    </row>
    <row r="148" spans="1:8">
      <c r="A148" s="523">
        <f t="shared" si="14"/>
        <v>77</v>
      </c>
      <c r="C148" s="512" t="s">
        <v>190</v>
      </c>
      <c r="D148" s="632">
        <v>2017</v>
      </c>
      <c r="E148" s="1023">
        <v>191500873.56999996</v>
      </c>
      <c r="F148" s="1023">
        <v>40873910.01439359</v>
      </c>
      <c r="G148" s="7">
        <f t="shared" si="13"/>
        <v>150626963.55560637</v>
      </c>
      <c r="H148" s="7">
        <f t="shared" si="15"/>
        <v>0</v>
      </c>
    </row>
    <row r="149" spans="1:8">
      <c r="A149" s="523">
        <f t="shared" si="14"/>
        <v>78</v>
      </c>
      <c r="C149" s="512" t="s">
        <v>180</v>
      </c>
      <c r="D149" s="632">
        <v>2017</v>
      </c>
      <c r="E149" s="1023">
        <v>191500873.56999996</v>
      </c>
      <c r="F149" s="1023">
        <v>41268830.76791209</v>
      </c>
      <c r="G149" s="7">
        <f t="shared" si="13"/>
        <v>150232042.80208787</v>
      </c>
      <c r="H149" s="7">
        <f t="shared" si="15"/>
        <v>0</v>
      </c>
    </row>
    <row r="150" spans="1:8">
      <c r="A150" s="523"/>
    </row>
    <row r="151" spans="1:8" ht="12.75" customHeight="1"/>
    <row r="152" spans="1:8">
      <c r="C152" s="191" t="s">
        <v>1563</v>
      </c>
      <c r="E152" s="84" t="s">
        <v>360</v>
      </c>
      <c r="F152" s="84" t="s">
        <v>344</v>
      </c>
      <c r="G152" s="84" t="s">
        <v>345</v>
      </c>
      <c r="H152" s="84" t="s">
        <v>346</v>
      </c>
    </row>
    <row r="153" spans="1:8">
      <c r="G153" s="543" t="s">
        <v>1666</v>
      </c>
      <c r="H153" s="486" t="s">
        <v>1667</v>
      </c>
    </row>
    <row r="154" spans="1:8">
      <c r="C154" s="523" t="s">
        <v>535</v>
      </c>
      <c r="H154" s="478" t="s">
        <v>1668</v>
      </c>
    </row>
    <row r="155" spans="1:8">
      <c r="C155" s="523" t="s">
        <v>193</v>
      </c>
      <c r="E155" s="523" t="s">
        <v>373</v>
      </c>
      <c r="F155" s="523" t="s">
        <v>1560</v>
      </c>
      <c r="G155" s="523" t="s">
        <v>1002</v>
      </c>
      <c r="H155" s="523" t="s">
        <v>1135</v>
      </c>
    </row>
    <row r="156" spans="1:8">
      <c r="C156" s="25" t="s">
        <v>192</v>
      </c>
      <c r="D156" s="25" t="s">
        <v>193</v>
      </c>
      <c r="E156" s="3" t="s">
        <v>1561</v>
      </c>
      <c r="F156" s="3" t="s">
        <v>1090</v>
      </c>
      <c r="G156" s="3" t="s">
        <v>3</v>
      </c>
      <c r="H156" s="3" t="s">
        <v>1556</v>
      </c>
    </row>
    <row r="157" spans="1:8">
      <c r="A157" s="523">
        <f>A149+1</f>
        <v>79</v>
      </c>
      <c r="C157" s="512" t="s">
        <v>180</v>
      </c>
      <c r="D157" s="1101">
        <v>2016</v>
      </c>
      <c r="E157" s="1023">
        <v>773686036.61000001</v>
      </c>
      <c r="F157" s="1023">
        <v>66116803.264739498</v>
      </c>
      <c r="G157" s="7">
        <f t="shared" ref="G157:G169" si="16">E157-F157</f>
        <v>707569233.3452605</v>
      </c>
      <c r="H157" s="7">
        <f>E157-E157</f>
        <v>0</v>
      </c>
    </row>
    <row r="158" spans="1:8">
      <c r="A158" s="523">
        <f>A157+1</f>
        <v>80</v>
      </c>
      <c r="C158" s="512" t="s">
        <v>181</v>
      </c>
      <c r="D158" s="632">
        <v>2017</v>
      </c>
      <c r="E158" s="1023">
        <v>773686036.81000006</v>
      </c>
      <c r="F158" s="1023">
        <v>67758697.762866497</v>
      </c>
      <c r="G158" s="7">
        <f t="shared" si="16"/>
        <v>705927339.04713356</v>
      </c>
      <c r="H158" s="7">
        <f>E158-E157</f>
        <v>0.20000004768371582</v>
      </c>
    </row>
    <row r="159" spans="1:8">
      <c r="A159" s="523">
        <f t="shared" ref="A159:A169" si="17">A158+1</f>
        <v>81</v>
      </c>
      <c r="C159" s="510" t="s">
        <v>182</v>
      </c>
      <c r="D159" s="632">
        <v>2017</v>
      </c>
      <c r="E159" s="1023">
        <v>773663579.27999997</v>
      </c>
      <c r="F159" s="1023">
        <v>69400592.261649579</v>
      </c>
      <c r="G159" s="7">
        <f t="shared" si="16"/>
        <v>704262987.01835036</v>
      </c>
      <c r="H159" s="7">
        <f t="shared" ref="H159:H169" si="18">E159-E158</f>
        <v>-22457.530000090599</v>
      </c>
    </row>
    <row r="160" spans="1:8">
      <c r="A160" s="523">
        <f t="shared" si="17"/>
        <v>82</v>
      </c>
      <c r="C160" s="510" t="s">
        <v>195</v>
      </c>
      <c r="D160" s="632">
        <v>2017</v>
      </c>
      <c r="E160" s="1023">
        <v>773663560.12000012</v>
      </c>
      <c r="F160" s="1023">
        <v>71042440.535350055</v>
      </c>
      <c r="G160" s="7">
        <f t="shared" si="16"/>
        <v>702621119.58465004</v>
      </c>
      <c r="H160" s="7">
        <f t="shared" si="18"/>
        <v>-19.159999847412109</v>
      </c>
    </row>
    <row r="161" spans="1:8">
      <c r="A161" s="523">
        <f t="shared" si="17"/>
        <v>83</v>
      </c>
      <c r="C161" s="512" t="s">
        <v>183</v>
      </c>
      <c r="D161" s="632">
        <v>2017</v>
      </c>
      <c r="E161" s="1023">
        <v>773655861.38000011</v>
      </c>
      <c r="F161" s="1023">
        <v>72684288.769612908</v>
      </c>
      <c r="G161" s="7">
        <f t="shared" si="16"/>
        <v>700971572.61038721</v>
      </c>
      <c r="H161" s="7">
        <f t="shared" si="18"/>
        <v>-7698.7400000095367</v>
      </c>
    </row>
    <row r="162" spans="1:8">
      <c r="A162" s="523">
        <f t="shared" si="17"/>
        <v>84</v>
      </c>
      <c r="C162" s="510" t="s">
        <v>184</v>
      </c>
      <c r="D162" s="632">
        <v>2017</v>
      </c>
      <c r="E162" s="1023">
        <v>773655861.36000001</v>
      </c>
      <c r="F162" s="1023">
        <v>74326121.159345075</v>
      </c>
      <c r="G162" s="7">
        <f t="shared" si="16"/>
        <v>699329740.20065498</v>
      </c>
      <c r="H162" s="7">
        <f t="shared" si="18"/>
        <v>-2.0000100135803223E-2</v>
      </c>
    </row>
    <row r="163" spans="1:8">
      <c r="A163" s="523">
        <f t="shared" si="17"/>
        <v>85</v>
      </c>
      <c r="C163" s="510" t="s">
        <v>185</v>
      </c>
      <c r="D163" s="632">
        <v>2017</v>
      </c>
      <c r="E163" s="1023">
        <v>773658982.37</v>
      </c>
      <c r="F163" s="1023">
        <v>75967953.546830252</v>
      </c>
      <c r="G163" s="7">
        <f t="shared" si="16"/>
        <v>697691028.82316971</v>
      </c>
      <c r="H163" s="7">
        <f t="shared" si="18"/>
        <v>3121.0099999904633</v>
      </c>
    </row>
    <row r="164" spans="1:8">
      <c r="A164" s="523">
        <f t="shared" si="17"/>
        <v>86</v>
      </c>
      <c r="C164" s="512" t="s">
        <v>186</v>
      </c>
      <c r="D164" s="632">
        <v>2017</v>
      </c>
      <c r="E164" s="1023">
        <v>773654454.84000003</v>
      </c>
      <c r="F164" s="1023">
        <v>77609792.369925976</v>
      </c>
      <c r="G164" s="7">
        <f t="shared" si="16"/>
        <v>696044662.47007406</v>
      </c>
      <c r="H164" s="7">
        <f t="shared" si="18"/>
        <v>-4527.5299999713898</v>
      </c>
    </row>
    <row r="165" spans="1:8">
      <c r="A165" s="523">
        <f t="shared" si="17"/>
        <v>87</v>
      </c>
      <c r="C165" s="510" t="s">
        <v>187</v>
      </c>
      <c r="D165" s="632">
        <v>2017</v>
      </c>
      <c r="E165" s="1023">
        <v>773563195.36000001</v>
      </c>
      <c r="F165" s="1023">
        <v>79251617.30969663</v>
      </c>
      <c r="G165" s="7">
        <f t="shared" si="16"/>
        <v>694311578.05030334</v>
      </c>
      <c r="H165" s="7">
        <f t="shared" si="18"/>
        <v>-91259.480000019073</v>
      </c>
    </row>
    <row r="166" spans="1:8">
      <c r="A166" s="523">
        <f t="shared" si="17"/>
        <v>88</v>
      </c>
      <c r="C166" s="510" t="s">
        <v>188</v>
      </c>
      <c r="D166" s="632">
        <v>2017</v>
      </c>
      <c r="E166" s="1023">
        <v>773568549</v>
      </c>
      <c r="F166" s="1023">
        <v>80893248.268238902</v>
      </c>
      <c r="G166" s="7">
        <f t="shared" si="16"/>
        <v>692675300.7317611</v>
      </c>
      <c r="H166" s="7">
        <f t="shared" si="18"/>
        <v>5353.6399999856949</v>
      </c>
    </row>
    <row r="167" spans="1:8">
      <c r="A167" s="523">
        <f t="shared" si="17"/>
        <v>89</v>
      </c>
      <c r="C167" s="512" t="s">
        <v>189</v>
      </c>
      <c r="D167" s="632">
        <v>2017</v>
      </c>
      <c r="E167" s="1023">
        <v>773570518.29000008</v>
      </c>
      <c r="F167" s="1023">
        <v>82534900.387855068</v>
      </c>
      <c r="G167" s="7">
        <f t="shared" si="16"/>
        <v>691035617.90214503</v>
      </c>
      <c r="H167" s="7">
        <f t="shared" si="18"/>
        <v>1969.2900000810623</v>
      </c>
    </row>
    <row r="168" spans="1:8">
      <c r="A168" s="523">
        <f t="shared" si="17"/>
        <v>90</v>
      </c>
      <c r="C168" s="512" t="s">
        <v>190</v>
      </c>
      <c r="D168" s="632">
        <v>2017</v>
      </c>
      <c r="E168" s="1023">
        <v>773570553.75</v>
      </c>
      <c r="F168" s="1023">
        <v>84176557.030034974</v>
      </c>
      <c r="G168" s="7">
        <f t="shared" si="16"/>
        <v>689393996.71996498</v>
      </c>
      <c r="H168" s="7">
        <f t="shared" si="18"/>
        <v>35.459999918937683</v>
      </c>
    </row>
    <row r="169" spans="1:8">
      <c r="A169" s="523">
        <f t="shared" si="17"/>
        <v>91</v>
      </c>
      <c r="C169" s="512" t="s">
        <v>180</v>
      </c>
      <c r="D169" s="632">
        <v>2017</v>
      </c>
      <c r="E169" s="1023">
        <v>773570553.75</v>
      </c>
      <c r="F169" s="1023">
        <v>85818213.766927391</v>
      </c>
      <c r="G169" s="7">
        <f t="shared" si="16"/>
        <v>687752339.98307264</v>
      </c>
      <c r="H169" s="7">
        <f t="shared" si="18"/>
        <v>0</v>
      </c>
    </row>
    <row r="171" spans="1:8">
      <c r="C171" s="191" t="s">
        <v>2392</v>
      </c>
      <c r="E171" s="84" t="s">
        <v>360</v>
      </c>
      <c r="F171" s="84" t="s">
        <v>344</v>
      </c>
      <c r="G171" s="84" t="s">
        <v>345</v>
      </c>
      <c r="H171" s="84" t="s">
        <v>346</v>
      </c>
    </row>
    <row r="172" spans="1:8">
      <c r="G172" s="543" t="s">
        <v>1666</v>
      </c>
      <c r="H172" s="543" t="s">
        <v>1667</v>
      </c>
    </row>
    <row r="173" spans="1:8">
      <c r="C173" s="523" t="s">
        <v>535</v>
      </c>
      <c r="G173" s="14"/>
      <c r="H173" s="1289" t="s">
        <v>1668</v>
      </c>
    </row>
    <row r="174" spans="1:8">
      <c r="C174" s="523" t="s">
        <v>193</v>
      </c>
      <c r="E174" s="523" t="s">
        <v>373</v>
      </c>
      <c r="F174" s="523" t="s">
        <v>1560</v>
      </c>
      <c r="G174" s="523" t="s">
        <v>1002</v>
      </c>
      <c r="H174" s="523" t="s">
        <v>1135</v>
      </c>
    </row>
    <row r="175" spans="1:8">
      <c r="C175" s="25" t="s">
        <v>192</v>
      </c>
      <c r="D175" s="25" t="s">
        <v>193</v>
      </c>
      <c r="E175" s="3" t="s">
        <v>1561</v>
      </c>
      <c r="F175" s="3" t="s">
        <v>1090</v>
      </c>
      <c r="G175" s="3" t="s">
        <v>3</v>
      </c>
      <c r="H175" s="3" t="s">
        <v>1556</v>
      </c>
    </row>
    <row r="176" spans="1:8">
      <c r="A176" s="523">
        <f>A169+1</f>
        <v>92</v>
      </c>
      <c r="C176" s="512" t="s">
        <v>180</v>
      </c>
      <c r="D176" s="1101">
        <v>2016</v>
      </c>
      <c r="E176" s="1023">
        <v>0</v>
      </c>
      <c r="F176" s="1023">
        <v>0</v>
      </c>
      <c r="G176" s="7">
        <f t="shared" ref="G176:G188" si="19">E176-F176</f>
        <v>0</v>
      </c>
      <c r="H176" s="7">
        <f>E176-E176</f>
        <v>0</v>
      </c>
    </row>
    <row r="177" spans="1:8">
      <c r="A177" s="523">
        <f>A176+1</f>
        <v>93</v>
      </c>
      <c r="C177" s="512" t="s">
        <v>181</v>
      </c>
      <c r="D177" s="632">
        <v>2017</v>
      </c>
      <c r="E177" s="1023">
        <v>0</v>
      </c>
      <c r="F177" s="1023">
        <v>0</v>
      </c>
      <c r="G177" s="7">
        <f t="shared" si="19"/>
        <v>0</v>
      </c>
      <c r="H177" s="7">
        <f>E177-E176</f>
        <v>0</v>
      </c>
    </row>
    <row r="178" spans="1:8">
      <c r="A178" s="523">
        <f t="shared" ref="A178:A188" si="20">A177+1</f>
        <v>94</v>
      </c>
      <c r="C178" s="510" t="s">
        <v>182</v>
      </c>
      <c r="D178" s="632">
        <v>2017</v>
      </c>
      <c r="E178" s="1023">
        <v>0</v>
      </c>
      <c r="F178" s="1023">
        <v>0</v>
      </c>
      <c r="G178" s="7">
        <f t="shared" si="19"/>
        <v>0</v>
      </c>
      <c r="H178" s="7">
        <f t="shared" ref="H178:H188" si="21">E178-E177</f>
        <v>0</v>
      </c>
    </row>
    <row r="179" spans="1:8">
      <c r="A179" s="523">
        <f t="shared" si="20"/>
        <v>95</v>
      </c>
      <c r="C179" s="510" t="s">
        <v>195</v>
      </c>
      <c r="D179" s="632">
        <v>2017</v>
      </c>
      <c r="E179" s="1023">
        <v>0</v>
      </c>
      <c r="F179" s="1023">
        <v>0</v>
      </c>
      <c r="G179" s="7">
        <f t="shared" si="19"/>
        <v>0</v>
      </c>
      <c r="H179" s="7">
        <f t="shared" si="21"/>
        <v>0</v>
      </c>
    </row>
    <row r="180" spans="1:8">
      <c r="A180" s="523">
        <f t="shared" si="20"/>
        <v>96</v>
      </c>
      <c r="C180" s="512" t="s">
        <v>183</v>
      </c>
      <c r="D180" s="632">
        <v>2017</v>
      </c>
      <c r="E180" s="1023">
        <v>0</v>
      </c>
      <c r="F180" s="1023">
        <v>0</v>
      </c>
      <c r="G180" s="7">
        <f t="shared" si="19"/>
        <v>0</v>
      </c>
      <c r="H180" s="7">
        <f t="shared" si="21"/>
        <v>0</v>
      </c>
    </row>
    <row r="181" spans="1:8">
      <c r="A181" s="523">
        <f t="shared" si="20"/>
        <v>97</v>
      </c>
      <c r="C181" s="510" t="s">
        <v>184</v>
      </c>
      <c r="D181" s="632">
        <v>2017</v>
      </c>
      <c r="E181" s="1023">
        <v>0</v>
      </c>
      <c r="F181" s="1023">
        <v>0</v>
      </c>
      <c r="G181" s="7">
        <f t="shared" si="19"/>
        <v>0</v>
      </c>
      <c r="H181" s="7">
        <f t="shared" si="21"/>
        <v>0</v>
      </c>
    </row>
    <row r="182" spans="1:8">
      <c r="A182" s="523">
        <f t="shared" si="20"/>
        <v>98</v>
      </c>
      <c r="C182" s="510" t="s">
        <v>185</v>
      </c>
      <c r="D182" s="632">
        <v>2017</v>
      </c>
      <c r="E182" s="1023">
        <v>0</v>
      </c>
      <c r="F182" s="1023">
        <v>0</v>
      </c>
      <c r="G182" s="7">
        <f t="shared" si="19"/>
        <v>0</v>
      </c>
      <c r="H182" s="7">
        <f t="shared" si="21"/>
        <v>0</v>
      </c>
    </row>
    <row r="183" spans="1:8">
      <c r="A183" s="523">
        <f t="shared" si="20"/>
        <v>99</v>
      </c>
      <c r="C183" s="512" t="s">
        <v>186</v>
      </c>
      <c r="D183" s="632">
        <v>2017</v>
      </c>
      <c r="E183" s="1023">
        <v>0</v>
      </c>
      <c r="F183" s="1023">
        <v>0</v>
      </c>
      <c r="G183" s="7">
        <f t="shared" si="19"/>
        <v>0</v>
      </c>
      <c r="H183" s="7">
        <f t="shared" si="21"/>
        <v>0</v>
      </c>
    </row>
    <row r="184" spans="1:8">
      <c r="A184" s="523">
        <f t="shared" si="20"/>
        <v>100</v>
      </c>
      <c r="C184" s="510" t="s">
        <v>187</v>
      </c>
      <c r="D184" s="632">
        <v>2017</v>
      </c>
      <c r="E184" s="1023">
        <v>0</v>
      </c>
      <c r="F184" s="1023">
        <v>0</v>
      </c>
      <c r="G184" s="7">
        <f t="shared" si="19"/>
        <v>0</v>
      </c>
      <c r="H184" s="7">
        <f t="shared" si="21"/>
        <v>0</v>
      </c>
    </row>
    <row r="185" spans="1:8">
      <c r="A185" s="523">
        <f t="shared" si="20"/>
        <v>101</v>
      </c>
      <c r="C185" s="510" t="s">
        <v>188</v>
      </c>
      <c r="D185" s="632">
        <v>2017</v>
      </c>
      <c r="E185" s="1023">
        <v>0</v>
      </c>
      <c r="F185" s="1023">
        <v>0</v>
      </c>
      <c r="G185" s="7">
        <f t="shared" si="19"/>
        <v>0</v>
      </c>
      <c r="H185" s="7">
        <f t="shared" si="21"/>
        <v>0</v>
      </c>
    </row>
    <row r="186" spans="1:8">
      <c r="A186" s="523">
        <f t="shared" si="20"/>
        <v>102</v>
      </c>
      <c r="C186" s="512" t="s">
        <v>189</v>
      </c>
      <c r="D186" s="632">
        <v>2017</v>
      </c>
      <c r="E186" s="1023">
        <v>0</v>
      </c>
      <c r="F186" s="1023">
        <v>0</v>
      </c>
      <c r="G186" s="7">
        <f t="shared" si="19"/>
        <v>0</v>
      </c>
      <c r="H186" s="7">
        <f t="shared" si="21"/>
        <v>0</v>
      </c>
    </row>
    <row r="187" spans="1:8">
      <c r="A187" s="523">
        <f t="shared" si="20"/>
        <v>103</v>
      </c>
      <c r="C187" s="512" t="s">
        <v>190</v>
      </c>
      <c r="D187" s="632">
        <v>2017</v>
      </c>
      <c r="E187" s="1023">
        <v>0</v>
      </c>
      <c r="F187" s="1023">
        <v>0</v>
      </c>
      <c r="G187" s="7">
        <f t="shared" si="19"/>
        <v>0</v>
      </c>
      <c r="H187" s="7">
        <f t="shared" si="21"/>
        <v>0</v>
      </c>
    </row>
    <row r="188" spans="1:8">
      <c r="A188" s="523">
        <f t="shared" si="20"/>
        <v>104</v>
      </c>
      <c r="C188" s="512" t="s">
        <v>180</v>
      </c>
      <c r="D188" s="632">
        <v>2017</v>
      </c>
      <c r="E188" s="1023">
        <v>0</v>
      </c>
      <c r="F188" s="1023">
        <v>0</v>
      </c>
      <c r="G188" s="7">
        <f t="shared" si="19"/>
        <v>0</v>
      </c>
      <c r="H188" s="7">
        <f t="shared" si="21"/>
        <v>0</v>
      </c>
    </row>
    <row r="190" spans="1:8">
      <c r="C190" s="191" t="s">
        <v>2393</v>
      </c>
      <c r="E190" s="84" t="s">
        <v>360</v>
      </c>
      <c r="F190" s="84" t="s">
        <v>344</v>
      </c>
      <c r="G190" s="84" t="s">
        <v>345</v>
      </c>
      <c r="H190" s="84" t="s">
        <v>346</v>
      </c>
    </row>
    <row r="191" spans="1:8">
      <c r="G191" s="543" t="s">
        <v>1666</v>
      </c>
      <c r="H191" s="543" t="s">
        <v>1667</v>
      </c>
    </row>
    <row r="192" spans="1:8">
      <c r="C192" s="523" t="s">
        <v>535</v>
      </c>
      <c r="G192" s="14"/>
      <c r="H192" s="1289" t="s">
        <v>1668</v>
      </c>
    </row>
    <row r="193" spans="1:8">
      <c r="C193" s="523" t="s">
        <v>193</v>
      </c>
      <c r="E193" s="523" t="s">
        <v>373</v>
      </c>
      <c r="F193" s="523" t="s">
        <v>1560</v>
      </c>
      <c r="G193" s="523" t="s">
        <v>1002</v>
      </c>
      <c r="H193" s="523" t="s">
        <v>1135</v>
      </c>
    </row>
    <row r="194" spans="1:8">
      <c r="C194" s="25" t="s">
        <v>192</v>
      </c>
      <c r="D194" s="25" t="s">
        <v>193</v>
      </c>
      <c r="E194" s="3" t="s">
        <v>1561</v>
      </c>
      <c r="F194" s="3" t="s">
        <v>1090</v>
      </c>
      <c r="G194" s="3" t="s">
        <v>3</v>
      </c>
      <c r="H194" s="3" t="s">
        <v>1556</v>
      </c>
    </row>
    <row r="195" spans="1:8">
      <c r="A195" s="523">
        <f>A188+1</f>
        <v>105</v>
      </c>
      <c r="C195" s="512" t="s">
        <v>180</v>
      </c>
      <c r="D195" s="1101">
        <v>2016</v>
      </c>
      <c r="E195" s="1023">
        <v>0</v>
      </c>
      <c r="F195" s="1023">
        <v>0</v>
      </c>
      <c r="G195" s="7">
        <f t="shared" ref="G195:G207" si="22">E195-F195</f>
        <v>0</v>
      </c>
      <c r="H195" s="7">
        <f>E195-E195</f>
        <v>0</v>
      </c>
    </row>
    <row r="196" spans="1:8">
      <c r="A196" s="523">
        <f>A195+1</f>
        <v>106</v>
      </c>
      <c r="C196" s="512" t="s">
        <v>181</v>
      </c>
      <c r="D196" s="632">
        <v>2017</v>
      </c>
      <c r="E196" s="1023">
        <v>0</v>
      </c>
      <c r="F196" s="1023">
        <v>0</v>
      </c>
      <c r="G196" s="7">
        <f t="shared" si="22"/>
        <v>0</v>
      </c>
      <c r="H196" s="7">
        <f>E196-E195</f>
        <v>0</v>
      </c>
    </row>
    <row r="197" spans="1:8">
      <c r="A197" s="523">
        <f t="shared" ref="A197:A207" si="23">A196+1</f>
        <v>107</v>
      </c>
      <c r="C197" s="510" t="s">
        <v>182</v>
      </c>
      <c r="D197" s="632">
        <v>2017</v>
      </c>
      <c r="E197" s="1023">
        <v>0</v>
      </c>
      <c r="F197" s="1023">
        <v>0</v>
      </c>
      <c r="G197" s="7">
        <f t="shared" si="22"/>
        <v>0</v>
      </c>
      <c r="H197" s="7">
        <f t="shared" ref="H197:H207" si="24">E197-E196</f>
        <v>0</v>
      </c>
    </row>
    <row r="198" spans="1:8">
      <c r="A198" s="523">
        <f t="shared" si="23"/>
        <v>108</v>
      </c>
      <c r="C198" s="510" t="s">
        <v>195</v>
      </c>
      <c r="D198" s="632">
        <v>2017</v>
      </c>
      <c r="E198" s="1023">
        <v>0</v>
      </c>
      <c r="F198" s="1023">
        <v>0</v>
      </c>
      <c r="G198" s="7">
        <f t="shared" si="22"/>
        <v>0</v>
      </c>
      <c r="H198" s="7">
        <f t="shared" si="24"/>
        <v>0</v>
      </c>
    </row>
    <row r="199" spans="1:8">
      <c r="A199" s="523">
        <f t="shared" si="23"/>
        <v>109</v>
      </c>
      <c r="C199" s="512" t="s">
        <v>183</v>
      </c>
      <c r="D199" s="632">
        <v>2017</v>
      </c>
      <c r="E199" s="1023">
        <v>0</v>
      </c>
      <c r="F199" s="1023">
        <v>0</v>
      </c>
      <c r="G199" s="7">
        <f t="shared" si="22"/>
        <v>0</v>
      </c>
      <c r="H199" s="7">
        <f t="shared" si="24"/>
        <v>0</v>
      </c>
    </row>
    <row r="200" spans="1:8">
      <c r="A200" s="523">
        <f t="shared" si="23"/>
        <v>110</v>
      </c>
      <c r="C200" s="510" t="s">
        <v>184</v>
      </c>
      <c r="D200" s="632">
        <v>2017</v>
      </c>
      <c r="E200" s="1023">
        <v>0</v>
      </c>
      <c r="F200" s="1023">
        <v>0</v>
      </c>
      <c r="G200" s="7">
        <f t="shared" si="22"/>
        <v>0</v>
      </c>
      <c r="H200" s="7">
        <f t="shared" si="24"/>
        <v>0</v>
      </c>
    </row>
    <row r="201" spans="1:8">
      <c r="A201" s="523">
        <f t="shared" si="23"/>
        <v>111</v>
      </c>
      <c r="C201" s="510" t="s">
        <v>185</v>
      </c>
      <c r="D201" s="632">
        <v>2017</v>
      </c>
      <c r="E201" s="1023">
        <v>0</v>
      </c>
      <c r="F201" s="1023">
        <v>0</v>
      </c>
      <c r="G201" s="7">
        <f t="shared" si="22"/>
        <v>0</v>
      </c>
      <c r="H201" s="7">
        <f t="shared" si="24"/>
        <v>0</v>
      </c>
    </row>
    <row r="202" spans="1:8">
      <c r="A202" s="523">
        <f t="shared" si="23"/>
        <v>112</v>
      </c>
      <c r="C202" s="512" t="s">
        <v>186</v>
      </c>
      <c r="D202" s="632">
        <v>2017</v>
      </c>
      <c r="E202" s="1023">
        <v>0</v>
      </c>
      <c r="F202" s="1023">
        <v>0</v>
      </c>
      <c r="G202" s="7">
        <f t="shared" si="22"/>
        <v>0</v>
      </c>
      <c r="H202" s="7">
        <f t="shared" si="24"/>
        <v>0</v>
      </c>
    </row>
    <row r="203" spans="1:8">
      <c r="A203" s="523">
        <f t="shared" si="23"/>
        <v>113</v>
      </c>
      <c r="C203" s="510" t="s">
        <v>187</v>
      </c>
      <c r="D203" s="632">
        <v>2017</v>
      </c>
      <c r="E203" s="1023">
        <v>0</v>
      </c>
      <c r="F203" s="1023">
        <v>0</v>
      </c>
      <c r="G203" s="7">
        <f t="shared" si="22"/>
        <v>0</v>
      </c>
      <c r="H203" s="7">
        <f t="shared" si="24"/>
        <v>0</v>
      </c>
    </row>
    <row r="204" spans="1:8">
      <c r="A204" s="523">
        <f t="shared" si="23"/>
        <v>114</v>
      </c>
      <c r="C204" s="510" t="s">
        <v>188</v>
      </c>
      <c r="D204" s="632">
        <v>2017</v>
      </c>
      <c r="E204" s="1023">
        <v>0</v>
      </c>
      <c r="F204" s="1023">
        <v>0</v>
      </c>
      <c r="G204" s="7">
        <f t="shared" si="22"/>
        <v>0</v>
      </c>
      <c r="H204" s="7">
        <f t="shared" si="24"/>
        <v>0</v>
      </c>
    </row>
    <row r="205" spans="1:8">
      <c r="A205" s="523">
        <f t="shared" si="23"/>
        <v>115</v>
      </c>
      <c r="C205" s="512" t="s">
        <v>189</v>
      </c>
      <c r="D205" s="632">
        <v>2017</v>
      </c>
      <c r="E205" s="1023">
        <v>0</v>
      </c>
      <c r="F205" s="1023">
        <v>0</v>
      </c>
      <c r="G205" s="7">
        <f t="shared" si="22"/>
        <v>0</v>
      </c>
      <c r="H205" s="7">
        <f t="shared" si="24"/>
        <v>0</v>
      </c>
    </row>
    <row r="206" spans="1:8">
      <c r="A206" s="523">
        <f t="shared" si="23"/>
        <v>116</v>
      </c>
      <c r="C206" s="512" t="s">
        <v>190</v>
      </c>
      <c r="D206" s="632">
        <v>2017</v>
      </c>
      <c r="E206" s="1023">
        <v>0</v>
      </c>
      <c r="F206" s="1023">
        <v>0</v>
      </c>
      <c r="G206" s="7">
        <f t="shared" si="22"/>
        <v>0</v>
      </c>
      <c r="H206" s="7">
        <f t="shared" si="24"/>
        <v>0</v>
      </c>
    </row>
    <row r="207" spans="1:8">
      <c r="A207" s="523">
        <f t="shared" si="23"/>
        <v>117</v>
      </c>
      <c r="C207" s="512" t="s">
        <v>180</v>
      </c>
      <c r="D207" s="632">
        <v>2017</v>
      </c>
      <c r="E207" s="1023">
        <v>0</v>
      </c>
      <c r="F207" s="1023">
        <v>0</v>
      </c>
      <c r="G207" s="7">
        <f t="shared" si="22"/>
        <v>0</v>
      </c>
      <c r="H207" s="7">
        <f t="shared" si="24"/>
        <v>0</v>
      </c>
    </row>
    <row r="209" spans="1:8">
      <c r="C209" s="191" t="s">
        <v>1564</v>
      </c>
      <c r="E209" s="84" t="s">
        <v>360</v>
      </c>
      <c r="F209" s="84" t="s">
        <v>344</v>
      </c>
      <c r="G209" s="84" t="s">
        <v>345</v>
      </c>
      <c r="H209" s="84" t="s">
        <v>346</v>
      </c>
    </row>
    <row r="210" spans="1:8">
      <c r="G210" s="543" t="s">
        <v>1666</v>
      </c>
      <c r="H210" s="543" t="s">
        <v>1667</v>
      </c>
    </row>
    <row r="211" spans="1:8">
      <c r="C211" s="523" t="s">
        <v>535</v>
      </c>
      <c r="G211" s="14"/>
      <c r="H211" s="1289" t="s">
        <v>1668</v>
      </c>
    </row>
    <row r="212" spans="1:8">
      <c r="C212" s="523" t="s">
        <v>193</v>
      </c>
      <c r="E212" s="523" t="s">
        <v>373</v>
      </c>
      <c r="F212" s="523" t="s">
        <v>1560</v>
      </c>
      <c r="G212" s="523" t="s">
        <v>1002</v>
      </c>
      <c r="H212" s="523" t="s">
        <v>1135</v>
      </c>
    </row>
    <row r="213" spans="1:8">
      <c r="C213" s="25" t="s">
        <v>192</v>
      </c>
      <c r="D213" s="25" t="s">
        <v>193</v>
      </c>
      <c r="E213" s="3" t="s">
        <v>1561</v>
      </c>
      <c r="F213" s="3" t="s">
        <v>1090</v>
      </c>
      <c r="G213" s="3" t="s">
        <v>3</v>
      </c>
      <c r="H213" s="3" t="s">
        <v>1556</v>
      </c>
    </row>
    <row r="214" spans="1:8">
      <c r="A214" s="523">
        <f>A207+1</f>
        <v>118</v>
      </c>
      <c r="C214" s="512" t="s">
        <v>180</v>
      </c>
      <c r="D214" s="1101">
        <v>2016</v>
      </c>
      <c r="E214" s="1023">
        <v>235590583.02999994</v>
      </c>
      <c r="F214" s="1023">
        <v>19587100.488371003</v>
      </c>
      <c r="G214" s="7">
        <f t="shared" ref="G214:G226" si="25">E214-F214</f>
        <v>216003482.54162893</v>
      </c>
      <c r="H214" s="7">
        <f>E214-E214</f>
        <v>0</v>
      </c>
    </row>
    <row r="215" spans="1:8">
      <c r="A215" s="523">
        <f>A214+1</f>
        <v>119</v>
      </c>
      <c r="C215" s="512" t="s">
        <v>181</v>
      </c>
      <c r="D215" s="632">
        <v>2017</v>
      </c>
      <c r="E215" s="1023">
        <v>235590583.02999994</v>
      </c>
      <c r="F215" s="1023">
        <v>20083715.634848166</v>
      </c>
      <c r="G215" s="7">
        <f t="shared" si="25"/>
        <v>215506867.39515176</v>
      </c>
      <c r="H215" s="7">
        <f>E215-E214</f>
        <v>0</v>
      </c>
    </row>
    <row r="216" spans="1:8">
      <c r="A216" s="523">
        <f t="shared" ref="A216:A226" si="26">A215+1</f>
        <v>120</v>
      </c>
      <c r="C216" s="510" t="s">
        <v>182</v>
      </c>
      <c r="D216" s="632">
        <v>2017</v>
      </c>
      <c r="E216" s="1023">
        <v>235596527.09999993</v>
      </c>
      <c r="F216" s="1023">
        <v>20580330.98648617</v>
      </c>
      <c r="G216" s="7">
        <f t="shared" si="25"/>
        <v>215016196.11351377</v>
      </c>
      <c r="H216" s="7">
        <f t="shared" ref="H216:H226" si="27">E216-E215</f>
        <v>5944.0699999928474</v>
      </c>
    </row>
    <row r="217" spans="1:8">
      <c r="A217" s="523">
        <f t="shared" si="26"/>
        <v>121</v>
      </c>
      <c r="C217" s="510" t="s">
        <v>195</v>
      </c>
      <c r="D217" s="632">
        <v>2017</v>
      </c>
      <c r="E217" s="1023">
        <v>235599878.20999995</v>
      </c>
      <c r="F217" s="1023">
        <v>21076959.068340749</v>
      </c>
      <c r="G217" s="7">
        <f t="shared" si="25"/>
        <v>214522919.1416592</v>
      </c>
      <c r="H217" s="7">
        <f t="shared" si="27"/>
        <v>3351.1100000143051</v>
      </c>
    </row>
    <row r="218" spans="1:8">
      <c r="A218" s="523">
        <f t="shared" si="26"/>
        <v>122</v>
      </c>
      <c r="C218" s="512" t="s">
        <v>183</v>
      </c>
      <c r="D218" s="632">
        <v>2017</v>
      </c>
      <c r="E218" s="1023">
        <v>235602997.14999995</v>
      </c>
      <c r="F218" s="1023">
        <v>21573594.327155914</v>
      </c>
      <c r="G218" s="7">
        <f t="shared" si="25"/>
        <v>214029402.82284403</v>
      </c>
      <c r="H218" s="7">
        <f t="shared" si="27"/>
        <v>3118.9399999976158</v>
      </c>
    </row>
    <row r="219" spans="1:8">
      <c r="A219" s="523">
        <f t="shared" si="26"/>
        <v>123</v>
      </c>
      <c r="C219" s="510" t="s">
        <v>184</v>
      </c>
      <c r="D219" s="632">
        <v>2017</v>
      </c>
      <c r="E219" s="1023">
        <v>235602997.14999995</v>
      </c>
      <c r="F219" s="1023">
        <v>22070236.265700914</v>
      </c>
      <c r="G219" s="7">
        <f t="shared" si="25"/>
        <v>213532760.88429904</v>
      </c>
      <c r="H219" s="7">
        <f t="shared" si="27"/>
        <v>0</v>
      </c>
    </row>
    <row r="220" spans="1:8">
      <c r="A220" s="523">
        <f t="shared" si="26"/>
        <v>124</v>
      </c>
      <c r="C220" s="510" t="s">
        <v>185</v>
      </c>
      <c r="D220" s="632">
        <v>2017</v>
      </c>
      <c r="E220" s="1023">
        <v>235604617.73999992</v>
      </c>
      <c r="F220" s="1023">
        <v>22566878.204245914</v>
      </c>
      <c r="G220" s="7">
        <f t="shared" si="25"/>
        <v>213037739.535754</v>
      </c>
      <c r="H220" s="7">
        <f t="shared" si="27"/>
        <v>1620.589999973774</v>
      </c>
    </row>
    <row r="221" spans="1:8">
      <c r="A221" s="523">
        <f t="shared" si="26"/>
        <v>125</v>
      </c>
      <c r="C221" s="512" t="s">
        <v>186</v>
      </c>
      <c r="D221" s="632">
        <v>2017</v>
      </c>
      <c r="E221" s="1023">
        <v>235604617.67999992</v>
      </c>
      <c r="F221" s="1023">
        <v>23063523.568534493</v>
      </c>
      <c r="G221" s="7">
        <f t="shared" si="25"/>
        <v>212541094.11146542</v>
      </c>
      <c r="H221" s="7">
        <f t="shared" si="27"/>
        <v>-6.0000002384185791E-2</v>
      </c>
    </row>
    <row r="222" spans="1:8">
      <c r="A222" s="523">
        <f t="shared" si="26"/>
        <v>126</v>
      </c>
      <c r="C222" s="510" t="s">
        <v>187</v>
      </c>
      <c r="D222" s="632">
        <v>2017</v>
      </c>
      <c r="E222" s="1023">
        <v>235604617.67999992</v>
      </c>
      <c r="F222" s="1023">
        <v>23560168.97771458</v>
      </c>
      <c r="G222" s="7">
        <f t="shared" si="25"/>
        <v>212044448.70228535</v>
      </c>
      <c r="H222" s="7">
        <f t="shared" si="27"/>
        <v>0</v>
      </c>
    </row>
    <row r="223" spans="1:8">
      <c r="A223" s="523">
        <f t="shared" si="26"/>
        <v>127</v>
      </c>
      <c r="C223" s="510" t="s">
        <v>188</v>
      </c>
      <c r="D223" s="632">
        <v>2017</v>
      </c>
      <c r="E223" s="1023">
        <v>235604617.68999994</v>
      </c>
      <c r="F223" s="1023">
        <v>24056814.386894658</v>
      </c>
      <c r="G223" s="7">
        <f t="shared" si="25"/>
        <v>211547803.30310529</v>
      </c>
      <c r="H223" s="7">
        <f t="shared" si="27"/>
        <v>1.0000020265579224E-2</v>
      </c>
    </row>
    <row r="224" spans="1:8">
      <c r="A224" s="523">
        <f t="shared" si="26"/>
        <v>128</v>
      </c>
      <c r="C224" s="512" t="s">
        <v>189</v>
      </c>
      <c r="D224" s="632">
        <v>2017</v>
      </c>
      <c r="E224" s="1023">
        <v>235604617.68999994</v>
      </c>
      <c r="F224" s="1023">
        <v>24553459.796096165</v>
      </c>
      <c r="G224" s="7">
        <f t="shared" si="25"/>
        <v>211051157.89390376</v>
      </c>
      <c r="H224" s="7">
        <f t="shared" si="27"/>
        <v>0</v>
      </c>
    </row>
    <row r="225" spans="1:8">
      <c r="A225" s="523">
        <f t="shared" si="26"/>
        <v>129</v>
      </c>
      <c r="C225" s="512" t="s">
        <v>190</v>
      </c>
      <c r="D225" s="632">
        <v>2017</v>
      </c>
      <c r="E225" s="1023">
        <v>235653735.35999992</v>
      </c>
      <c r="F225" s="1023">
        <v>25050105.20529766</v>
      </c>
      <c r="G225" s="7">
        <f t="shared" si="25"/>
        <v>210603630.15470228</v>
      </c>
      <c r="H225" s="7">
        <f t="shared" si="27"/>
        <v>49117.669999986887</v>
      </c>
    </row>
    <row r="226" spans="1:8">
      <c r="A226" s="523">
        <f t="shared" si="26"/>
        <v>130</v>
      </c>
      <c r="C226" s="512" t="s">
        <v>180</v>
      </c>
      <c r="D226" s="632">
        <v>2017</v>
      </c>
      <c r="E226" s="1023">
        <v>235653723.16999993</v>
      </c>
      <c r="F226" s="1023">
        <v>25546854.443795744</v>
      </c>
      <c r="G226" s="7">
        <f t="shared" si="25"/>
        <v>210106868.72620419</v>
      </c>
      <c r="H226" s="7">
        <f t="shared" si="27"/>
        <v>-12.189999997615814</v>
      </c>
    </row>
    <row r="228" spans="1:8">
      <c r="C228" s="191" t="s">
        <v>1598</v>
      </c>
      <c r="H228" s="84" t="s">
        <v>346</v>
      </c>
    </row>
    <row r="229" spans="1:8">
      <c r="E229" s="84" t="s">
        <v>360</v>
      </c>
      <c r="F229" s="84" t="s">
        <v>344</v>
      </c>
      <c r="G229" s="359" t="s">
        <v>345</v>
      </c>
      <c r="H229" s="543" t="s">
        <v>1667</v>
      </c>
    </row>
    <row r="230" spans="1:8">
      <c r="C230" s="523" t="s">
        <v>535</v>
      </c>
      <c r="G230" s="543" t="s">
        <v>1666</v>
      </c>
      <c r="H230" s="1289" t="s">
        <v>1668</v>
      </c>
    </row>
    <row r="231" spans="1:8">
      <c r="C231" s="523" t="s">
        <v>193</v>
      </c>
      <c r="E231" s="523" t="s">
        <v>373</v>
      </c>
      <c r="F231" s="523" t="s">
        <v>1560</v>
      </c>
      <c r="G231" s="523" t="s">
        <v>1002</v>
      </c>
      <c r="H231" s="523" t="s">
        <v>1135</v>
      </c>
    </row>
    <row r="232" spans="1:8">
      <c r="C232" s="25" t="s">
        <v>192</v>
      </c>
      <c r="D232" s="25" t="s">
        <v>193</v>
      </c>
      <c r="E232" s="3" t="s">
        <v>1561</v>
      </c>
      <c r="F232" s="3" t="s">
        <v>1090</v>
      </c>
      <c r="G232" s="3" t="s">
        <v>3</v>
      </c>
      <c r="H232" s="3" t="s">
        <v>1556</v>
      </c>
    </row>
    <row r="233" spans="1:8">
      <c r="A233" s="523">
        <f>A226+1</f>
        <v>131</v>
      </c>
      <c r="C233" s="512" t="s">
        <v>180</v>
      </c>
      <c r="D233" s="1101">
        <v>2016</v>
      </c>
      <c r="E233" s="1023">
        <v>53627431.310000017</v>
      </c>
      <c r="F233" s="1023">
        <v>3026415.3137713335</v>
      </c>
      <c r="G233" s="7">
        <f t="shared" ref="G233:G245" si="28">E233-F233</f>
        <v>50601015.99622868</v>
      </c>
      <c r="H233" s="7">
        <f>E233-E233</f>
        <v>0</v>
      </c>
    </row>
    <row r="234" spans="1:8">
      <c r="A234" s="523">
        <f>A233+1</f>
        <v>132</v>
      </c>
      <c r="C234" s="512" t="s">
        <v>181</v>
      </c>
      <c r="D234" s="632">
        <v>2017</v>
      </c>
      <c r="E234" s="1023">
        <v>53627431.310000017</v>
      </c>
      <c r="F234" s="1023">
        <v>3136881.4796327502</v>
      </c>
      <c r="G234" s="7">
        <f t="shared" si="28"/>
        <v>50490549.830367267</v>
      </c>
      <c r="H234" s="7">
        <f>E234-E233</f>
        <v>0</v>
      </c>
    </row>
    <row r="235" spans="1:8">
      <c r="A235" s="523">
        <f t="shared" ref="A235:A245" si="29">A234+1</f>
        <v>133</v>
      </c>
      <c r="C235" s="510" t="s">
        <v>182</v>
      </c>
      <c r="D235" s="632">
        <v>2017</v>
      </c>
      <c r="E235" s="1023">
        <v>53627431.310000017</v>
      </c>
      <c r="F235" s="1023">
        <v>3247347.7555716671</v>
      </c>
      <c r="G235" s="7">
        <f t="shared" si="28"/>
        <v>50380083.554428354</v>
      </c>
      <c r="H235" s="7">
        <f t="shared" ref="H235:H245" si="30">E235-E234</f>
        <v>0</v>
      </c>
    </row>
    <row r="236" spans="1:8">
      <c r="A236" s="523">
        <f t="shared" si="29"/>
        <v>134</v>
      </c>
      <c r="C236" s="510" t="s">
        <v>195</v>
      </c>
      <c r="D236" s="632">
        <v>2017</v>
      </c>
      <c r="E236" s="1023">
        <v>53627431.310000017</v>
      </c>
      <c r="F236" s="1023">
        <v>3357814.0315105836</v>
      </c>
      <c r="G236" s="7">
        <f t="shared" si="28"/>
        <v>50269617.278489433</v>
      </c>
      <c r="H236" s="7">
        <f t="shared" si="30"/>
        <v>0</v>
      </c>
    </row>
    <row r="237" spans="1:8">
      <c r="A237" s="523">
        <f t="shared" si="29"/>
        <v>135</v>
      </c>
      <c r="C237" s="512" t="s">
        <v>183</v>
      </c>
      <c r="D237" s="632">
        <v>2017</v>
      </c>
      <c r="E237" s="1023">
        <v>86255712.190000027</v>
      </c>
      <c r="F237" s="1023">
        <v>3468280.3074495001</v>
      </c>
      <c r="G237" s="7">
        <f t="shared" si="28"/>
        <v>82787431.882550523</v>
      </c>
      <c r="H237" s="7">
        <f t="shared" si="30"/>
        <v>32628280.88000001</v>
      </c>
    </row>
    <row r="238" spans="1:8">
      <c r="A238" s="523">
        <f t="shared" si="29"/>
        <v>136</v>
      </c>
      <c r="C238" s="510" t="s">
        <v>184</v>
      </c>
      <c r="D238" s="632">
        <v>2017</v>
      </c>
      <c r="E238" s="1023">
        <v>86423086.630000025</v>
      </c>
      <c r="F238" s="1023">
        <v>3645923.8967847503</v>
      </c>
      <c r="G238" s="7">
        <f t="shared" si="28"/>
        <v>82777162.733215272</v>
      </c>
      <c r="H238" s="7">
        <f t="shared" si="30"/>
        <v>167374.43999999762</v>
      </c>
    </row>
    <row r="239" spans="1:8">
      <c r="A239" s="523">
        <f t="shared" si="29"/>
        <v>137</v>
      </c>
      <c r="C239" s="510" t="s">
        <v>185</v>
      </c>
      <c r="D239" s="632">
        <v>2017</v>
      </c>
      <c r="E239" s="1023">
        <v>86465217.470000029</v>
      </c>
      <c r="F239" s="1023">
        <v>3823912.0879473337</v>
      </c>
      <c r="G239" s="7">
        <f t="shared" si="28"/>
        <v>82641305.38205269</v>
      </c>
      <c r="H239" s="7">
        <f t="shared" si="30"/>
        <v>42130.840000003576</v>
      </c>
    </row>
    <row r="240" spans="1:8">
      <c r="A240" s="523">
        <f t="shared" si="29"/>
        <v>138</v>
      </c>
      <c r="C240" s="512" t="s">
        <v>186</v>
      </c>
      <c r="D240" s="632">
        <v>2017</v>
      </c>
      <c r="E240" s="1023">
        <v>86496127.450000033</v>
      </c>
      <c r="F240" s="1023">
        <v>4001987.0209347503</v>
      </c>
      <c r="G240" s="7">
        <f t="shared" si="28"/>
        <v>82494140.429065287</v>
      </c>
      <c r="H240" s="7">
        <f t="shared" si="30"/>
        <v>30909.980000004172</v>
      </c>
    </row>
    <row r="241" spans="1:8">
      <c r="A241" s="523">
        <f t="shared" si="29"/>
        <v>139</v>
      </c>
      <c r="C241" s="510" t="s">
        <v>187</v>
      </c>
      <c r="D241" s="632">
        <v>2017</v>
      </c>
      <c r="E241" s="1023">
        <v>86531254.020000026</v>
      </c>
      <c r="F241" s="1023">
        <v>4180125.5934810005</v>
      </c>
      <c r="G241" s="7">
        <f t="shared" si="28"/>
        <v>82351128.426519021</v>
      </c>
      <c r="H241" s="7">
        <f t="shared" si="30"/>
        <v>35126.569999992847</v>
      </c>
    </row>
    <row r="242" spans="1:8">
      <c r="A242" s="523">
        <f t="shared" si="29"/>
        <v>140</v>
      </c>
      <c r="C242" s="510" t="s">
        <v>188</v>
      </c>
      <c r="D242" s="632">
        <v>2017</v>
      </c>
      <c r="E242" s="1023">
        <v>86558719.780000031</v>
      </c>
      <c r="F242" s="1023">
        <v>4358336.486987168</v>
      </c>
      <c r="G242" s="7">
        <f t="shared" si="28"/>
        <v>82200383.293012857</v>
      </c>
      <c r="H242" s="7">
        <f t="shared" si="30"/>
        <v>27465.760000005364</v>
      </c>
    </row>
    <row r="243" spans="1:8">
      <c r="A243" s="523">
        <f t="shared" si="29"/>
        <v>141</v>
      </c>
      <c r="C243" s="512" t="s">
        <v>189</v>
      </c>
      <c r="D243" s="632">
        <v>2017</v>
      </c>
      <c r="E243" s="1023">
        <v>87524370.780000031</v>
      </c>
      <c r="F243" s="1023">
        <v>4536603.9288593344</v>
      </c>
      <c r="G243" s="7">
        <f t="shared" si="28"/>
        <v>82987766.851140693</v>
      </c>
      <c r="H243" s="7">
        <f t="shared" si="30"/>
        <v>965651</v>
      </c>
    </row>
    <row r="244" spans="1:8">
      <c r="A244" s="523">
        <f t="shared" si="29"/>
        <v>142</v>
      </c>
      <c r="C244" s="512" t="s">
        <v>190</v>
      </c>
      <c r="D244" s="632">
        <v>2017</v>
      </c>
      <c r="E244" s="1023">
        <v>87519888.160000026</v>
      </c>
      <c r="F244" s="1023">
        <v>4716859.0158306677</v>
      </c>
      <c r="G244" s="7">
        <f t="shared" si="28"/>
        <v>82803029.14416936</v>
      </c>
      <c r="H244" s="7">
        <f t="shared" si="30"/>
        <v>-4482.6200000047684</v>
      </c>
    </row>
    <row r="245" spans="1:8">
      <c r="A245" s="523">
        <f t="shared" si="29"/>
        <v>143</v>
      </c>
      <c r="C245" s="512" t="s">
        <v>180</v>
      </c>
      <c r="D245" s="632">
        <v>2017</v>
      </c>
      <c r="E245" s="1023">
        <v>87531655.490000039</v>
      </c>
      <c r="F245" s="1023">
        <v>4897104.8798991675</v>
      </c>
      <c r="G245" s="7">
        <f t="shared" si="28"/>
        <v>82634550.610100865</v>
      </c>
      <c r="H245" s="7">
        <f t="shared" si="30"/>
        <v>11767.330000013113</v>
      </c>
    </row>
    <row r="247" spans="1:8">
      <c r="C247" s="191" t="s">
        <v>1599</v>
      </c>
      <c r="H247" s="84" t="s">
        <v>346</v>
      </c>
    </row>
    <row r="248" spans="1:8">
      <c r="E248" s="84" t="s">
        <v>360</v>
      </c>
      <c r="F248" s="84" t="s">
        <v>344</v>
      </c>
      <c r="G248" s="359" t="s">
        <v>345</v>
      </c>
      <c r="H248" s="543" t="s">
        <v>1667</v>
      </c>
    </row>
    <row r="249" spans="1:8">
      <c r="C249" s="523" t="s">
        <v>535</v>
      </c>
      <c r="G249" s="543" t="s">
        <v>1666</v>
      </c>
      <c r="H249" s="1289" t="s">
        <v>1668</v>
      </c>
    </row>
    <row r="250" spans="1:8">
      <c r="C250" s="523" t="s">
        <v>193</v>
      </c>
      <c r="E250" s="523" t="s">
        <v>373</v>
      </c>
      <c r="F250" s="523" t="s">
        <v>1560</v>
      </c>
      <c r="G250" s="523" t="s">
        <v>1002</v>
      </c>
      <c r="H250" s="523" t="s">
        <v>1135</v>
      </c>
    </row>
    <row r="251" spans="1:8">
      <c r="C251" s="25" t="s">
        <v>192</v>
      </c>
      <c r="D251" s="25" t="s">
        <v>193</v>
      </c>
      <c r="E251" s="3" t="s">
        <v>1561</v>
      </c>
      <c r="F251" s="3" t="s">
        <v>1090</v>
      </c>
      <c r="G251" s="3" t="s">
        <v>3</v>
      </c>
      <c r="H251" s="3" t="s">
        <v>1556</v>
      </c>
    </row>
    <row r="252" spans="1:8">
      <c r="A252" s="523">
        <f>A245+1</f>
        <v>144</v>
      </c>
      <c r="C252" s="512" t="s">
        <v>180</v>
      </c>
      <c r="D252" s="1101">
        <v>2016</v>
      </c>
      <c r="E252" s="1023">
        <v>71091079.070000023</v>
      </c>
      <c r="F252" s="1023">
        <v>5992602.1445063334</v>
      </c>
      <c r="G252" s="7">
        <f t="shared" ref="G252:G264" si="31">E252-F252</f>
        <v>65098476.925493687</v>
      </c>
      <c r="H252" s="7">
        <f>E252-E252</f>
        <v>0</v>
      </c>
    </row>
    <row r="253" spans="1:8">
      <c r="A253" s="523">
        <f>A252+1</f>
        <v>145</v>
      </c>
      <c r="C253" s="512" t="s">
        <v>181</v>
      </c>
      <c r="D253" s="632">
        <v>2017</v>
      </c>
      <c r="E253" s="1023">
        <v>71149299.39000003</v>
      </c>
      <c r="F253" s="1023">
        <v>6139911.5234520845</v>
      </c>
      <c r="G253" s="7">
        <f t="shared" si="31"/>
        <v>65009387.866547942</v>
      </c>
      <c r="H253" s="7">
        <f>E253-E252</f>
        <v>58220.320000007749</v>
      </c>
    </row>
    <row r="254" spans="1:8">
      <c r="A254" s="523">
        <f t="shared" ref="A254:A264" si="32">A253+1</f>
        <v>146</v>
      </c>
      <c r="C254" s="510" t="s">
        <v>182</v>
      </c>
      <c r="D254" s="632">
        <v>2017</v>
      </c>
      <c r="E254" s="1023">
        <v>71330023.520000026</v>
      </c>
      <c r="F254" s="1023">
        <v>6287340.7392231673</v>
      </c>
      <c r="G254" s="7">
        <f t="shared" si="31"/>
        <v>65042682.780776858</v>
      </c>
      <c r="H254" s="7">
        <f t="shared" ref="H254:H264" si="33">E254-E253</f>
        <v>180724.12999999523</v>
      </c>
    </row>
    <row r="255" spans="1:8">
      <c r="A255" s="523">
        <f t="shared" si="32"/>
        <v>147</v>
      </c>
      <c r="C255" s="510" t="s">
        <v>195</v>
      </c>
      <c r="D255" s="632">
        <v>2017</v>
      </c>
      <c r="E255" s="1023">
        <v>71477390.540000036</v>
      </c>
      <c r="F255" s="1023">
        <v>6435141.9454593342</v>
      </c>
      <c r="G255" s="7">
        <f t="shared" si="31"/>
        <v>65042248.5945407</v>
      </c>
      <c r="H255" s="7">
        <f t="shared" si="33"/>
        <v>147367.02000001073</v>
      </c>
    </row>
    <row r="256" spans="1:8">
      <c r="A256" s="523">
        <f t="shared" si="32"/>
        <v>148</v>
      </c>
      <c r="C256" s="512" t="s">
        <v>183</v>
      </c>
      <c r="D256" s="632">
        <v>2017</v>
      </c>
      <c r="E256" s="1023">
        <v>71530277.520000026</v>
      </c>
      <c r="F256" s="1023">
        <v>6583246.4798025014</v>
      </c>
      <c r="G256" s="7">
        <f t="shared" si="31"/>
        <v>64947031.040197521</v>
      </c>
      <c r="H256" s="7">
        <f t="shared" si="33"/>
        <v>52886.979999989271</v>
      </c>
    </row>
    <row r="257" spans="1:8">
      <c r="A257" s="523">
        <f t="shared" si="32"/>
        <v>149</v>
      </c>
      <c r="C257" s="510" t="s">
        <v>184</v>
      </c>
      <c r="D257" s="632">
        <v>2017</v>
      </c>
      <c r="E257" s="1023">
        <v>71586512.570000038</v>
      </c>
      <c r="F257" s="1023">
        <v>6731459.8731803345</v>
      </c>
      <c r="G257" s="7">
        <f t="shared" si="31"/>
        <v>64855052.6968197</v>
      </c>
      <c r="H257" s="7">
        <f t="shared" si="33"/>
        <v>56235.050000011921</v>
      </c>
    </row>
    <row r="258" spans="1:8">
      <c r="A258" s="523">
        <f t="shared" si="32"/>
        <v>150</v>
      </c>
      <c r="C258" s="510" t="s">
        <v>185</v>
      </c>
      <c r="D258" s="632">
        <v>2017</v>
      </c>
      <c r="E258" s="1023">
        <v>71611412.180000037</v>
      </c>
      <c r="F258" s="1023">
        <v>6879789.0170352515</v>
      </c>
      <c r="G258" s="7">
        <f t="shared" si="31"/>
        <v>64731623.162964784</v>
      </c>
      <c r="H258" s="7">
        <f t="shared" si="33"/>
        <v>24899.609999999404</v>
      </c>
    </row>
    <row r="259" spans="1:8">
      <c r="A259" s="523">
        <f t="shared" si="32"/>
        <v>151</v>
      </c>
      <c r="C259" s="512" t="s">
        <v>186</v>
      </c>
      <c r="D259" s="632">
        <v>2017</v>
      </c>
      <c r="E259" s="1023">
        <v>71627144.89000003</v>
      </c>
      <c r="F259" s="1023">
        <v>7028169.4127015844</v>
      </c>
      <c r="G259" s="7">
        <f t="shared" si="31"/>
        <v>64598975.477298446</v>
      </c>
      <c r="H259" s="7">
        <f t="shared" si="33"/>
        <v>15732.709999993443</v>
      </c>
    </row>
    <row r="260" spans="1:8">
      <c r="A260" s="523">
        <f t="shared" si="32"/>
        <v>152</v>
      </c>
      <c r="C260" s="510" t="s">
        <v>187</v>
      </c>
      <c r="D260" s="632">
        <v>2017</v>
      </c>
      <c r="E260" s="1023">
        <v>71640093.690000027</v>
      </c>
      <c r="F260" s="1023">
        <v>7176582.1916110013</v>
      </c>
      <c r="G260" s="7">
        <f t="shared" si="31"/>
        <v>64463511.498389028</v>
      </c>
      <c r="H260" s="7">
        <f t="shared" si="33"/>
        <v>12948.79999999702</v>
      </c>
    </row>
    <row r="261" spans="1:8">
      <c r="A261" s="523">
        <f t="shared" si="32"/>
        <v>153</v>
      </c>
      <c r="C261" s="510" t="s">
        <v>188</v>
      </c>
      <c r="D261" s="632">
        <v>2017</v>
      </c>
      <c r="E261" s="1023">
        <v>71639023.060000032</v>
      </c>
      <c r="F261" s="1023">
        <v>7325021.6234637508</v>
      </c>
      <c r="G261" s="7">
        <f t="shared" si="31"/>
        <v>64314001.436536282</v>
      </c>
      <c r="H261" s="7">
        <f t="shared" si="33"/>
        <v>-1070.6299999952316</v>
      </c>
    </row>
    <row r="262" spans="1:8">
      <c r="A262" s="523">
        <f t="shared" si="32"/>
        <v>154</v>
      </c>
      <c r="C262" s="512" t="s">
        <v>189</v>
      </c>
      <c r="D262" s="632">
        <v>2017</v>
      </c>
      <c r="E262" s="1023">
        <v>71464495.040000021</v>
      </c>
      <c r="F262" s="1023">
        <v>7473458.8515880853</v>
      </c>
      <c r="G262" s="7">
        <f t="shared" si="31"/>
        <v>63991036.188411936</v>
      </c>
      <c r="H262" s="7">
        <f t="shared" si="33"/>
        <v>-174528.02000001073</v>
      </c>
    </row>
    <row r="263" spans="1:8">
      <c r="A263" s="523">
        <f t="shared" si="32"/>
        <v>155</v>
      </c>
      <c r="C263" s="512" t="s">
        <v>190</v>
      </c>
      <c r="D263" s="632">
        <v>2017</v>
      </c>
      <c r="E263" s="1023">
        <v>71465329.650000036</v>
      </c>
      <c r="F263" s="1023">
        <v>7621547.2439162508</v>
      </c>
      <c r="G263" s="7">
        <f t="shared" si="31"/>
        <v>63843782.406083785</v>
      </c>
      <c r="H263" s="7">
        <f t="shared" si="33"/>
        <v>834.61000001430511</v>
      </c>
    </row>
    <row r="264" spans="1:8">
      <c r="A264" s="523">
        <f t="shared" si="32"/>
        <v>156</v>
      </c>
      <c r="C264" s="512" t="s">
        <v>180</v>
      </c>
      <c r="D264" s="632">
        <v>2017</v>
      </c>
      <c r="E264" s="1023">
        <v>71499906.740000039</v>
      </c>
      <c r="F264" s="1023">
        <v>7769637.3541483358</v>
      </c>
      <c r="G264" s="7">
        <f t="shared" si="31"/>
        <v>63730269.385851704</v>
      </c>
      <c r="H264" s="7">
        <f t="shared" si="33"/>
        <v>34577.090000003576</v>
      </c>
    </row>
    <row r="266" spans="1:8">
      <c r="C266" s="1093" t="s">
        <v>2607</v>
      </c>
      <c r="E266" s="84" t="s">
        <v>360</v>
      </c>
      <c r="F266" s="84" t="s">
        <v>344</v>
      </c>
      <c r="G266" s="84" t="s">
        <v>345</v>
      </c>
      <c r="H266" s="84" t="s">
        <v>346</v>
      </c>
    </row>
    <row r="267" spans="1:8">
      <c r="G267" s="543" t="s">
        <v>1666</v>
      </c>
      <c r="H267" s="543" t="s">
        <v>1667</v>
      </c>
    </row>
    <row r="268" spans="1:8">
      <c r="C268" s="523" t="s">
        <v>535</v>
      </c>
      <c r="G268" s="14"/>
      <c r="H268" s="1289" t="s">
        <v>1668</v>
      </c>
    </row>
    <row r="269" spans="1:8">
      <c r="C269" s="523" t="s">
        <v>193</v>
      </c>
      <c r="E269" s="523" t="s">
        <v>373</v>
      </c>
      <c r="F269" s="523" t="s">
        <v>1560</v>
      </c>
      <c r="G269" s="523" t="s">
        <v>1002</v>
      </c>
      <c r="H269" s="523" t="s">
        <v>1135</v>
      </c>
    </row>
    <row r="270" spans="1:8">
      <c r="C270" s="25" t="s">
        <v>192</v>
      </c>
      <c r="D270" s="25" t="s">
        <v>193</v>
      </c>
      <c r="E270" s="3" t="s">
        <v>1561</v>
      </c>
      <c r="F270" s="3" t="s">
        <v>1090</v>
      </c>
      <c r="G270" s="3" t="s">
        <v>3</v>
      </c>
      <c r="H270" s="3" t="s">
        <v>1556</v>
      </c>
    </row>
    <row r="271" spans="1:8">
      <c r="A271" s="523">
        <f>A264+1</f>
        <v>157</v>
      </c>
      <c r="C271" s="512" t="s">
        <v>180</v>
      </c>
      <c r="D271" s="1101">
        <v>2016</v>
      </c>
      <c r="E271" s="107">
        <v>0</v>
      </c>
      <c r="F271" s="107">
        <v>0</v>
      </c>
      <c r="G271" s="7">
        <f t="shared" ref="G271:G283" si="34">E271-F271</f>
        <v>0</v>
      </c>
      <c r="H271" s="7">
        <f>E271-E271</f>
        <v>0</v>
      </c>
    </row>
    <row r="272" spans="1:8">
      <c r="A272" s="523">
        <f>A271+1</f>
        <v>158</v>
      </c>
      <c r="C272" s="512" t="s">
        <v>181</v>
      </c>
      <c r="D272" s="632">
        <v>2017</v>
      </c>
      <c r="E272" s="107">
        <v>0</v>
      </c>
      <c r="F272" s="107">
        <v>0</v>
      </c>
      <c r="G272" s="7">
        <f t="shared" si="34"/>
        <v>0</v>
      </c>
      <c r="H272" s="7">
        <f>E272-E271</f>
        <v>0</v>
      </c>
    </row>
    <row r="273" spans="1:8">
      <c r="A273" s="523">
        <f t="shared" ref="A273:A283" si="35">A272+1</f>
        <v>159</v>
      </c>
      <c r="C273" s="510" t="s">
        <v>182</v>
      </c>
      <c r="D273" s="632">
        <v>2017</v>
      </c>
      <c r="E273" s="107">
        <v>0</v>
      </c>
      <c r="F273" s="107">
        <v>0</v>
      </c>
      <c r="G273" s="7">
        <f t="shared" si="34"/>
        <v>0</v>
      </c>
      <c r="H273" s="7">
        <f t="shared" ref="H273:H283" si="36">E273-E272</f>
        <v>0</v>
      </c>
    </row>
    <row r="274" spans="1:8">
      <c r="A274" s="523">
        <f t="shared" si="35"/>
        <v>160</v>
      </c>
      <c r="C274" s="510" t="s">
        <v>195</v>
      </c>
      <c r="D274" s="632">
        <v>2017</v>
      </c>
      <c r="E274" s="107">
        <v>0</v>
      </c>
      <c r="F274" s="107">
        <v>0</v>
      </c>
      <c r="G274" s="7">
        <f t="shared" si="34"/>
        <v>0</v>
      </c>
      <c r="H274" s="7">
        <f t="shared" si="36"/>
        <v>0</v>
      </c>
    </row>
    <row r="275" spans="1:8">
      <c r="A275" s="523">
        <f t="shared" si="35"/>
        <v>161</v>
      </c>
      <c r="C275" s="512" t="s">
        <v>183</v>
      </c>
      <c r="D275" s="632">
        <v>2017</v>
      </c>
      <c r="E275" s="107">
        <v>0</v>
      </c>
      <c r="F275" s="107">
        <v>0</v>
      </c>
      <c r="G275" s="7">
        <f t="shared" si="34"/>
        <v>0</v>
      </c>
      <c r="H275" s="7">
        <f t="shared" si="36"/>
        <v>0</v>
      </c>
    </row>
    <row r="276" spans="1:8">
      <c r="A276" s="523">
        <f t="shared" si="35"/>
        <v>162</v>
      </c>
      <c r="C276" s="510" t="s">
        <v>184</v>
      </c>
      <c r="D276" s="632">
        <v>2017</v>
      </c>
      <c r="E276" s="107">
        <v>0</v>
      </c>
      <c r="F276" s="107">
        <v>0</v>
      </c>
      <c r="G276" s="7">
        <f t="shared" si="34"/>
        <v>0</v>
      </c>
      <c r="H276" s="7">
        <f t="shared" si="36"/>
        <v>0</v>
      </c>
    </row>
    <row r="277" spans="1:8">
      <c r="A277" s="523">
        <f t="shared" si="35"/>
        <v>163</v>
      </c>
      <c r="C277" s="510" t="s">
        <v>185</v>
      </c>
      <c r="D277" s="632">
        <v>2017</v>
      </c>
      <c r="E277" s="107">
        <v>0</v>
      </c>
      <c r="F277" s="107">
        <v>0</v>
      </c>
      <c r="G277" s="7">
        <f t="shared" si="34"/>
        <v>0</v>
      </c>
      <c r="H277" s="7">
        <f t="shared" si="36"/>
        <v>0</v>
      </c>
    </row>
    <row r="278" spans="1:8">
      <c r="A278" s="523">
        <f t="shared" si="35"/>
        <v>164</v>
      </c>
      <c r="C278" s="512" t="s">
        <v>186</v>
      </c>
      <c r="D278" s="632">
        <v>2017</v>
      </c>
      <c r="E278" s="107">
        <v>0</v>
      </c>
      <c r="F278" s="107">
        <v>0</v>
      </c>
      <c r="G278" s="7">
        <f t="shared" si="34"/>
        <v>0</v>
      </c>
      <c r="H278" s="7">
        <f t="shared" si="36"/>
        <v>0</v>
      </c>
    </row>
    <row r="279" spans="1:8">
      <c r="A279" s="523">
        <f t="shared" si="35"/>
        <v>165</v>
      </c>
      <c r="C279" s="510" t="s">
        <v>187</v>
      </c>
      <c r="D279" s="632">
        <v>2017</v>
      </c>
      <c r="E279" s="107">
        <v>0</v>
      </c>
      <c r="F279" s="107">
        <v>0</v>
      </c>
      <c r="G279" s="7">
        <f t="shared" si="34"/>
        <v>0</v>
      </c>
      <c r="H279" s="7">
        <f t="shared" si="36"/>
        <v>0</v>
      </c>
    </row>
    <row r="280" spans="1:8">
      <c r="A280" s="523">
        <f t="shared" si="35"/>
        <v>166</v>
      </c>
      <c r="C280" s="510" t="s">
        <v>188</v>
      </c>
      <c r="D280" s="632">
        <v>2017</v>
      </c>
      <c r="E280" s="107">
        <v>0</v>
      </c>
      <c r="F280" s="107">
        <v>0</v>
      </c>
      <c r="G280" s="7">
        <f t="shared" si="34"/>
        <v>0</v>
      </c>
      <c r="H280" s="7">
        <f t="shared" si="36"/>
        <v>0</v>
      </c>
    </row>
    <row r="281" spans="1:8">
      <c r="A281" s="523">
        <f t="shared" si="35"/>
        <v>167</v>
      </c>
      <c r="C281" s="512" t="s">
        <v>189</v>
      </c>
      <c r="D281" s="632">
        <v>2017</v>
      </c>
      <c r="E281" s="107">
        <v>0</v>
      </c>
      <c r="F281" s="107">
        <v>0</v>
      </c>
      <c r="G281" s="7">
        <f t="shared" si="34"/>
        <v>0</v>
      </c>
      <c r="H281" s="7">
        <f t="shared" si="36"/>
        <v>0</v>
      </c>
    </row>
    <row r="282" spans="1:8">
      <c r="A282" s="523">
        <f t="shared" si="35"/>
        <v>168</v>
      </c>
      <c r="C282" s="512" t="s">
        <v>190</v>
      </c>
      <c r="D282" s="632">
        <v>2017</v>
      </c>
      <c r="E282" s="107">
        <v>1657267.8875</v>
      </c>
      <c r="F282" s="107">
        <v>0</v>
      </c>
      <c r="G282" s="7">
        <f t="shared" si="34"/>
        <v>1657267.8875</v>
      </c>
      <c r="H282" s="7">
        <f t="shared" si="36"/>
        <v>1657267.8875</v>
      </c>
    </row>
    <row r="283" spans="1:8">
      <c r="A283" s="523">
        <f t="shared" si="35"/>
        <v>169</v>
      </c>
      <c r="C283" s="512" t="s">
        <v>180</v>
      </c>
      <c r="D283" s="632">
        <v>2017</v>
      </c>
      <c r="E283" s="107">
        <v>1657267.8875</v>
      </c>
      <c r="F283" s="107">
        <v>0</v>
      </c>
      <c r="G283" s="7">
        <f t="shared" si="34"/>
        <v>1657267.8875</v>
      </c>
      <c r="H283" s="7">
        <f t="shared" si="36"/>
        <v>0</v>
      </c>
    </row>
    <row r="285" spans="1:8">
      <c r="C285" s="1093" t="s">
        <v>2608</v>
      </c>
      <c r="E285" s="84" t="s">
        <v>360</v>
      </c>
      <c r="F285" s="84" t="s">
        <v>344</v>
      </c>
      <c r="G285" s="84" t="s">
        <v>345</v>
      </c>
      <c r="H285" s="84" t="s">
        <v>346</v>
      </c>
    </row>
    <row r="286" spans="1:8">
      <c r="G286" s="543" t="s">
        <v>1666</v>
      </c>
      <c r="H286" s="543" t="s">
        <v>1667</v>
      </c>
    </row>
    <row r="287" spans="1:8">
      <c r="C287" s="523" t="s">
        <v>535</v>
      </c>
      <c r="G287" s="14"/>
      <c r="H287" s="1289" t="s">
        <v>1668</v>
      </c>
    </row>
    <row r="288" spans="1:8">
      <c r="C288" s="523" t="s">
        <v>193</v>
      </c>
      <c r="E288" s="523" t="s">
        <v>373</v>
      </c>
      <c r="F288" s="523" t="s">
        <v>1560</v>
      </c>
      <c r="G288" s="111" t="s">
        <v>1002</v>
      </c>
      <c r="H288" s="111" t="s">
        <v>1135</v>
      </c>
    </row>
    <row r="289" spans="1:8">
      <c r="C289" s="25" t="s">
        <v>192</v>
      </c>
      <c r="D289" s="25" t="s">
        <v>193</v>
      </c>
      <c r="E289" s="3" t="s">
        <v>1561</v>
      </c>
      <c r="F289" s="3" t="s">
        <v>1090</v>
      </c>
      <c r="G289" s="3" t="s">
        <v>3</v>
      </c>
      <c r="H289" s="3" t="s">
        <v>1556</v>
      </c>
    </row>
    <row r="290" spans="1:8">
      <c r="A290" s="523">
        <f>A283+1</f>
        <v>170</v>
      </c>
      <c r="C290" s="512" t="s">
        <v>180</v>
      </c>
      <c r="D290" s="1101">
        <v>2016</v>
      </c>
      <c r="E290" s="107">
        <v>0</v>
      </c>
      <c r="F290" s="107">
        <v>0</v>
      </c>
      <c r="G290" s="7">
        <f t="shared" ref="G290:G302" si="37">E290-F290</f>
        <v>0</v>
      </c>
      <c r="H290" s="7">
        <f>E290-E290</f>
        <v>0</v>
      </c>
    </row>
    <row r="291" spans="1:8">
      <c r="A291" s="523">
        <f>A290+1</f>
        <v>171</v>
      </c>
      <c r="C291" s="512" t="s">
        <v>181</v>
      </c>
      <c r="D291" s="632">
        <v>2017</v>
      </c>
      <c r="E291" s="107">
        <v>0</v>
      </c>
      <c r="F291" s="107">
        <v>0</v>
      </c>
      <c r="G291" s="7">
        <f t="shared" si="37"/>
        <v>0</v>
      </c>
      <c r="H291" s="7">
        <f>E291-E290</f>
        <v>0</v>
      </c>
    </row>
    <row r="292" spans="1:8">
      <c r="A292" s="523">
        <f t="shared" ref="A292:A302" si="38">A291+1</f>
        <v>172</v>
      </c>
      <c r="C292" s="510" t="s">
        <v>182</v>
      </c>
      <c r="D292" s="632">
        <v>2017</v>
      </c>
      <c r="E292" s="107">
        <v>0</v>
      </c>
      <c r="F292" s="107">
        <v>0</v>
      </c>
      <c r="G292" s="7">
        <f t="shared" si="37"/>
        <v>0</v>
      </c>
      <c r="H292" s="7">
        <f t="shared" ref="H292:H302" si="39">E292-E291</f>
        <v>0</v>
      </c>
    </row>
    <row r="293" spans="1:8">
      <c r="A293" s="523">
        <f t="shared" si="38"/>
        <v>173</v>
      </c>
      <c r="C293" s="510" t="s">
        <v>195</v>
      </c>
      <c r="D293" s="632">
        <v>2017</v>
      </c>
      <c r="E293" s="107">
        <v>0</v>
      </c>
      <c r="F293" s="107">
        <v>0</v>
      </c>
      <c r="G293" s="7">
        <f t="shared" si="37"/>
        <v>0</v>
      </c>
      <c r="H293" s="7">
        <f t="shared" si="39"/>
        <v>0</v>
      </c>
    </row>
    <row r="294" spans="1:8">
      <c r="A294" s="523">
        <f t="shared" si="38"/>
        <v>174</v>
      </c>
      <c r="C294" s="512" t="s">
        <v>183</v>
      </c>
      <c r="D294" s="632">
        <v>2017</v>
      </c>
      <c r="E294" s="107">
        <v>0</v>
      </c>
      <c r="F294" s="107">
        <v>0</v>
      </c>
      <c r="G294" s="7">
        <f t="shared" si="37"/>
        <v>0</v>
      </c>
      <c r="H294" s="7">
        <f t="shared" si="39"/>
        <v>0</v>
      </c>
    </row>
    <row r="295" spans="1:8">
      <c r="A295" s="523">
        <f t="shared" si="38"/>
        <v>175</v>
      </c>
      <c r="C295" s="510" t="s">
        <v>184</v>
      </c>
      <c r="D295" s="632">
        <v>2017</v>
      </c>
      <c r="E295" s="107">
        <v>0</v>
      </c>
      <c r="F295" s="107">
        <v>0</v>
      </c>
      <c r="G295" s="7">
        <f t="shared" si="37"/>
        <v>0</v>
      </c>
      <c r="H295" s="7">
        <f t="shared" si="39"/>
        <v>0</v>
      </c>
    </row>
    <row r="296" spans="1:8">
      <c r="A296" s="523">
        <f t="shared" si="38"/>
        <v>176</v>
      </c>
      <c r="C296" s="510" t="s">
        <v>185</v>
      </c>
      <c r="D296" s="632">
        <v>2017</v>
      </c>
      <c r="E296" s="107">
        <v>0</v>
      </c>
      <c r="F296" s="107">
        <v>0</v>
      </c>
      <c r="G296" s="7">
        <f t="shared" si="37"/>
        <v>0</v>
      </c>
      <c r="H296" s="7">
        <f t="shared" si="39"/>
        <v>0</v>
      </c>
    </row>
    <row r="297" spans="1:8">
      <c r="A297" s="523">
        <f t="shared" si="38"/>
        <v>177</v>
      </c>
      <c r="C297" s="512" t="s">
        <v>186</v>
      </c>
      <c r="D297" s="632">
        <v>2017</v>
      </c>
      <c r="E297" s="107">
        <v>0</v>
      </c>
      <c r="F297" s="107">
        <v>0</v>
      </c>
      <c r="G297" s="7">
        <f t="shared" si="37"/>
        <v>0</v>
      </c>
      <c r="H297" s="7">
        <f t="shared" si="39"/>
        <v>0</v>
      </c>
    </row>
    <row r="298" spans="1:8">
      <c r="A298" s="523">
        <f t="shared" si="38"/>
        <v>178</v>
      </c>
      <c r="C298" s="510" t="s">
        <v>187</v>
      </c>
      <c r="D298" s="632">
        <v>2017</v>
      </c>
      <c r="E298" s="107">
        <v>0</v>
      </c>
      <c r="F298" s="107">
        <v>0</v>
      </c>
      <c r="G298" s="7">
        <f t="shared" si="37"/>
        <v>0</v>
      </c>
      <c r="H298" s="7">
        <f t="shared" si="39"/>
        <v>0</v>
      </c>
    </row>
    <row r="299" spans="1:8">
      <c r="A299" s="523">
        <f t="shared" si="38"/>
        <v>179</v>
      </c>
      <c r="C299" s="510" t="s">
        <v>188</v>
      </c>
      <c r="D299" s="632">
        <v>2017</v>
      </c>
      <c r="E299" s="107">
        <v>0</v>
      </c>
      <c r="F299" s="107">
        <v>0</v>
      </c>
      <c r="G299" s="7">
        <f t="shared" si="37"/>
        <v>0</v>
      </c>
      <c r="H299" s="7">
        <f t="shared" si="39"/>
        <v>0</v>
      </c>
    </row>
    <row r="300" spans="1:8">
      <c r="A300" s="523">
        <f t="shared" si="38"/>
        <v>180</v>
      </c>
      <c r="C300" s="512" t="s">
        <v>189</v>
      </c>
      <c r="D300" s="632">
        <v>2017</v>
      </c>
      <c r="E300" s="107">
        <v>0</v>
      </c>
      <c r="F300" s="107">
        <v>0</v>
      </c>
      <c r="G300" s="7">
        <f t="shared" si="37"/>
        <v>0</v>
      </c>
      <c r="H300" s="7">
        <f t="shared" si="39"/>
        <v>0</v>
      </c>
    </row>
    <row r="301" spans="1:8">
      <c r="A301" s="523">
        <f t="shared" si="38"/>
        <v>181</v>
      </c>
      <c r="C301" s="512" t="s">
        <v>190</v>
      </c>
      <c r="D301" s="632">
        <v>2017</v>
      </c>
      <c r="E301" s="107">
        <v>0</v>
      </c>
      <c r="F301" s="107">
        <v>0</v>
      </c>
      <c r="G301" s="7">
        <f t="shared" si="37"/>
        <v>0</v>
      </c>
      <c r="H301" s="7">
        <f t="shared" si="39"/>
        <v>0</v>
      </c>
    </row>
    <row r="302" spans="1:8">
      <c r="A302" s="523">
        <f t="shared" si="38"/>
        <v>182</v>
      </c>
      <c r="C302" s="512" t="s">
        <v>180</v>
      </c>
      <c r="D302" s="632">
        <v>2017</v>
      </c>
      <c r="E302" s="107">
        <v>0</v>
      </c>
      <c r="F302" s="107">
        <v>0</v>
      </c>
      <c r="G302" s="7">
        <f t="shared" si="37"/>
        <v>0</v>
      </c>
      <c r="H302" s="7">
        <f t="shared" si="39"/>
        <v>0</v>
      </c>
    </row>
    <row r="304" spans="1:8">
      <c r="A304" s="999"/>
      <c r="B304" s="999"/>
      <c r="C304" s="1093" t="s">
        <v>2660</v>
      </c>
      <c r="D304" s="999"/>
      <c r="E304" s="84" t="s">
        <v>360</v>
      </c>
      <c r="F304" s="84" t="s">
        <v>344</v>
      </c>
      <c r="G304" s="84" t="s">
        <v>345</v>
      </c>
      <c r="H304" s="84" t="s">
        <v>346</v>
      </c>
    </row>
    <row r="305" spans="1:8">
      <c r="A305" s="999"/>
      <c r="B305" s="999"/>
      <c r="C305" s="999"/>
      <c r="D305" s="999"/>
      <c r="E305" s="999"/>
      <c r="F305" s="999"/>
      <c r="G305" s="543" t="s">
        <v>1666</v>
      </c>
      <c r="H305" s="543" t="s">
        <v>1667</v>
      </c>
    </row>
    <row r="306" spans="1:8">
      <c r="A306" s="999"/>
      <c r="B306" s="999"/>
      <c r="C306" s="571" t="s">
        <v>535</v>
      </c>
      <c r="D306" s="999"/>
      <c r="E306" s="999"/>
      <c r="F306" s="999"/>
      <c r="G306" s="14"/>
      <c r="H306" s="1289" t="s">
        <v>1668</v>
      </c>
    </row>
    <row r="307" spans="1:8">
      <c r="A307" s="999"/>
      <c r="B307" s="999"/>
      <c r="C307" s="571" t="s">
        <v>193</v>
      </c>
      <c r="D307" s="999"/>
      <c r="E307" s="571" t="s">
        <v>373</v>
      </c>
      <c r="F307" s="571" t="s">
        <v>1560</v>
      </c>
      <c r="G307" s="571" t="s">
        <v>1002</v>
      </c>
      <c r="H307" s="571" t="s">
        <v>1135</v>
      </c>
    </row>
    <row r="308" spans="1:8">
      <c r="A308" s="999"/>
      <c r="B308" s="999"/>
      <c r="C308" s="25" t="s">
        <v>192</v>
      </c>
      <c r="D308" s="25" t="s">
        <v>193</v>
      </c>
      <c r="E308" s="3" t="s">
        <v>1561</v>
      </c>
      <c r="F308" s="3" t="s">
        <v>1090</v>
      </c>
      <c r="G308" s="3" t="s">
        <v>3</v>
      </c>
      <c r="H308" s="3" t="s">
        <v>1556</v>
      </c>
    </row>
    <row r="309" spans="1:8">
      <c r="A309" s="571">
        <f>A302+1</f>
        <v>183</v>
      </c>
      <c r="B309" s="999"/>
      <c r="C309" s="512" t="s">
        <v>180</v>
      </c>
      <c r="D309" s="1101">
        <v>2016</v>
      </c>
      <c r="E309" s="1023">
        <v>0</v>
      </c>
      <c r="F309" s="1023">
        <v>0</v>
      </c>
      <c r="G309" s="7">
        <f t="shared" ref="G309:G321" si="40">E309-F309</f>
        <v>0</v>
      </c>
      <c r="H309" s="7">
        <f>E309-E309</f>
        <v>0</v>
      </c>
    </row>
    <row r="310" spans="1:8">
      <c r="A310" s="571">
        <f>A309+1</f>
        <v>184</v>
      </c>
      <c r="B310" s="999"/>
      <c r="C310" s="512" t="s">
        <v>181</v>
      </c>
      <c r="D310" s="632">
        <v>2017</v>
      </c>
      <c r="E310" s="1023">
        <v>0</v>
      </c>
      <c r="F310" s="1023">
        <v>0</v>
      </c>
      <c r="G310" s="7">
        <f t="shared" si="40"/>
        <v>0</v>
      </c>
      <c r="H310" s="7">
        <f>E310-E309</f>
        <v>0</v>
      </c>
    </row>
    <row r="311" spans="1:8">
      <c r="A311" s="571">
        <f t="shared" ref="A311:A321" si="41">A310+1</f>
        <v>185</v>
      </c>
      <c r="B311" s="999"/>
      <c r="C311" s="510" t="s">
        <v>182</v>
      </c>
      <c r="D311" s="632">
        <v>2017</v>
      </c>
      <c r="E311" s="1023">
        <v>0</v>
      </c>
      <c r="F311" s="1023">
        <v>0</v>
      </c>
      <c r="G311" s="7">
        <f t="shared" si="40"/>
        <v>0</v>
      </c>
      <c r="H311" s="7">
        <f t="shared" ref="H311:H321" si="42">E311-E310</f>
        <v>0</v>
      </c>
    </row>
    <row r="312" spans="1:8">
      <c r="A312" s="571">
        <f t="shared" si="41"/>
        <v>186</v>
      </c>
      <c r="B312" s="999"/>
      <c r="C312" s="510" t="s">
        <v>195</v>
      </c>
      <c r="D312" s="632">
        <v>2017</v>
      </c>
      <c r="E312" s="1023">
        <v>0</v>
      </c>
      <c r="F312" s="1023">
        <v>0</v>
      </c>
      <c r="G312" s="7">
        <f t="shared" si="40"/>
        <v>0</v>
      </c>
      <c r="H312" s="7">
        <f t="shared" si="42"/>
        <v>0</v>
      </c>
    </row>
    <row r="313" spans="1:8">
      <c r="A313" s="571">
        <f t="shared" si="41"/>
        <v>187</v>
      </c>
      <c r="B313" s="999"/>
      <c r="C313" s="512" t="s">
        <v>183</v>
      </c>
      <c r="D313" s="632">
        <v>2017</v>
      </c>
      <c r="E313" s="1023">
        <v>0</v>
      </c>
      <c r="F313" s="1023">
        <v>0</v>
      </c>
      <c r="G313" s="7">
        <f t="shared" si="40"/>
        <v>0</v>
      </c>
      <c r="H313" s="7">
        <f t="shared" si="42"/>
        <v>0</v>
      </c>
    </row>
    <row r="314" spans="1:8">
      <c r="A314" s="571">
        <f t="shared" si="41"/>
        <v>188</v>
      </c>
      <c r="B314" s="999"/>
      <c r="C314" s="510" t="s">
        <v>184</v>
      </c>
      <c r="D314" s="632">
        <v>2017</v>
      </c>
      <c r="E314" s="1023">
        <v>0</v>
      </c>
      <c r="F314" s="1023">
        <v>0</v>
      </c>
      <c r="G314" s="7">
        <f t="shared" si="40"/>
        <v>0</v>
      </c>
      <c r="H314" s="7">
        <f t="shared" si="42"/>
        <v>0</v>
      </c>
    </row>
    <row r="315" spans="1:8">
      <c r="A315" s="571">
        <f t="shared" si="41"/>
        <v>189</v>
      </c>
      <c r="B315" s="999"/>
      <c r="C315" s="510" t="s">
        <v>185</v>
      </c>
      <c r="D315" s="632">
        <v>2017</v>
      </c>
      <c r="E315" s="1023">
        <v>0</v>
      </c>
      <c r="F315" s="1023">
        <v>0</v>
      </c>
      <c r="G315" s="7">
        <f t="shared" si="40"/>
        <v>0</v>
      </c>
      <c r="H315" s="7">
        <f t="shared" si="42"/>
        <v>0</v>
      </c>
    </row>
    <row r="316" spans="1:8">
      <c r="A316" s="571">
        <f t="shared" si="41"/>
        <v>190</v>
      </c>
      <c r="B316" s="999"/>
      <c r="C316" s="512" t="s">
        <v>186</v>
      </c>
      <c r="D316" s="632">
        <v>2017</v>
      </c>
      <c r="E316" s="1023">
        <v>0</v>
      </c>
      <c r="F316" s="1023">
        <v>0</v>
      </c>
      <c r="G316" s="7">
        <f t="shared" si="40"/>
        <v>0</v>
      </c>
      <c r="H316" s="7">
        <f t="shared" si="42"/>
        <v>0</v>
      </c>
    </row>
    <row r="317" spans="1:8">
      <c r="A317" s="571">
        <f t="shared" si="41"/>
        <v>191</v>
      </c>
      <c r="B317" s="999"/>
      <c r="C317" s="510" t="s">
        <v>187</v>
      </c>
      <c r="D317" s="632">
        <v>2017</v>
      </c>
      <c r="E317" s="1023">
        <v>0</v>
      </c>
      <c r="F317" s="1023">
        <v>0</v>
      </c>
      <c r="G317" s="7">
        <f t="shared" si="40"/>
        <v>0</v>
      </c>
      <c r="H317" s="7">
        <f t="shared" si="42"/>
        <v>0</v>
      </c>
    </row>
    <row r="318" spans="1:8">
      <c r="A318" s="571">
        <f t="shared" si="41"/>
        <v>192</v>
      </c>
      <c r="B318" s="999"/>
      <c r="C318" s="510" t="s">
        <v>188</v>
      </c>
      <c r="D318" s="632">
        <v>2017</v>
      </c>
      <c r="E318" s="1023">
        <v>0</v>
      </c>
      <c r="F318" s="1023">
        <v>0</v>
      </c>
      <c r="G318" s="7">
        <f t="shared" si="40"/>
        <v>0</v>
      </c>
      <c r="H318" s="7">
        <f t="shared" si="42"/>
        <v>0</v>
      </c>
    </row>
    <row r="319" spans="1:8">
      <c r="A319" s="571">
        <f t="shared" si="41"/>
        <v>193</v>
      </c>
      <c r="B319" s="999"/>
      <c r="C319" s="512" t="s">
        <v>189</v>
      </c>
      <c r="D319" s="632">
        <v>2017</v>
      </c>
      <c r="E319" s="1023">
        <v>0</v>
      </c>
      <c r="F319" s="1023">
        <v>0</v>
      </c>
      <c r="G319" s="7">
        <f t="shared" si="40"/>
        <v>0</v>
      </c>
      <c r="H319" s="7">
        <f t="shared" si="42"/>
        <v>0</v>
      </c>
    </row>
    <row r="320" spans="1:8">
      <c r="A320" s="571">
        <f t="shared" si="41"/>
        <v>194</v>
      </c>
      <c r="B320" s="999"/>
      <c r="C320" s="512" t="s">
        <v>190</v>
      </c>
      <c r="D320" s="632">
        <v>2017</v>
      </c>
      <c r="E320" s="1023">
        <v>0</v>
      </c>
      <c r="F320" s="1023">
        <v>0</v>
      </c>
      <c r="G320" s="7">
        <f t="shared" si="40"/>
        <v>0</v>
      </c>
      <c r="H320" s="7">
        <f t="shared" si="42"/>
        <v>0</v>
      </c>
    </row>
    <row r="321" spans="1:10">
      <c r="A321" s="571">
        <f t="shared" si="41"/>
        <v>195</v>
      </c>
      <c r="B321" s="999"/>
      <c r="C321" s="512" t="s">
        <v>180</v>
      </c>
      <c r="D321" s="632">
        <v>2017</v>
      </c>
      <c r="E321" s="1023">
        <v>0</v>
      </c>
      <c r="F321" s="1023">
        <v>0</v>
      </c>
      <c r="G321" s="7">
        <f t="shared" si="40"/>
        <v>0</v>
      </c>
      <c r="H321" s="7">
        <f t="shared" si="42"/>
        <v>0</v>
      </c>
    </row>
    <row r="322" spans="1:10" s="14" customFormat="1">
      <c r="A322" s="111"/>
      <c r="C322" s="1225"/>
      <c r="D322" s="24"/>
      <c r="E322" s="63"/>
      <c r="F322" s="63"/>
      <c r="G322" s="63"/>
      <c r="H322" s="63"/>
    </row>
    <row r="323" spans="1:10">
      <c r="B323" s="1"/>
      <c r="C323" s="1" t="s">
        <v>1565</v>
      </c>
      <c r="D323" s="475"/>
      <c r="E323" s="7"/>
    </row>
    <row r="324" spans="1:10">
      <c r="B324" s="1"/>
    </row>
    <row r="325" spans="1:10">
      <c r="C325" s="390" t="s">
        <v>1112</v>
      </c>
      <c r="D325" s="97"/>
      <c r="E325" s="97"/>
      <c r="F325" s="97"/>
      <c r="G325" s="190" t="s">
        <v>1114</v>
      </c>
      <c r="H325" s="97"/>
      <c r="I325" s="97"/>
      <c r="J325" s="97"/>
    </row>
    <row r="326" spans="1:10">
      <c r="A326" s="523">
        <f>A321+1</f>
        <v>196</v>
      </c>
      <c r="C326" s="529" t="s">
        <v>221</v>
      </c>
      <c r="D326" s="97"/>
      <c r="E326" s="391"/>
      <c r="F326" s="384" t="s">
        <v>222</v>
      </c>
      <c r="G326" s="487" t="s">
        <v>2207</v>
      </c>
      <c r="H326" s="97"/>
      <c r="I326" s="97"/>
      <c r="J326" s="97"/>
    </row>
    <row r="327" spans="1:10">
      <c r="A327" s="523">
        <f>A326+1</f>
        <v>197</v>
      </c>
      <c r="C327" s="383" t="s">
        <v>223</v>
      </c>
      <c r="D327" s="97"/>
      <c r="E327" s="392"/>
      <c r="F327" s="385">
        <v>7.4999999999999997E-3</v>
      </c>
      <c r="G327" s="487" t="s">
        <v>2208</v>
      </c>
      <c r="H327" s="97"/>
      <c r="I327" s="97"/>
      <c r="J327" s="97"/>
    </row>
    <row r="328" spans="1:10">
      <c r="A328" s="523">
        <f>A327+1</f>
        <v>198</v>
      </c>
      <c r="C328" s="383" t="s">
        <v>1111</v>
      </c>
      <c r="D328" s="97"/>
      <c r="E328" s="391"/>
      <c r="F328" s="384" t="s">
        <v>224</v>
      </c>
      <c r="G328" s="150" t="s">
        <v>2209</v>
      </c>
      <c r="H328" s="97"/>
      <c r="I328" s="97"/>
      <c r="J328" s="97"/>
    </row>
    <row r="329" spans="1:10">
      <c r="C329" s="97"/>
      <c r="D329" s="97"/>
      <c r="E329" s="391"/>
      <c r="F329" s="386"/>
      <c r="G329" s="97"/>
      <c r="H329" s="97"/>
      <c r="I329" s="97"/>
      <c r="J329" s="97"/>
    </row>
    <row r="330" spans="1:10">
      <c r="C330" s="390" t="s">
        <v>1113</v>
      </c>
      <c r="D330" s="97"/>
      <c r="E330" s="97"/>
      <c r="F330" s="386"/>
      <c r="G330" s="190" t="s">
        <v>1114</v>
      </c>
      <c r="H330" s="97"/>
      <c r="I330" s="97"/>
      <c r="J330" s="97"/>
    </row>
    <row r="331" spans="1:10">
      <c r="A331" s="523">
        <f>A328+1</f>
        <v>199</v>
      </c>
      <c r="C331" s="529" t="s">
        <v>221</v>
      </c>
      <c r="D331" s="97"/>
      <c r="E331" s="391"/>
      <c r="F331" s="384" t="s">
        <v>222</v>
      </c>
      <c r="G331" s="487" t="s">
        <v>2207</v>
      </c>
      <c r="H331" s="97"/>
      <c r="I331" s="97"/>
      <c r="J331" s="97"/>
    </row>
    <row r="332" spans="1:10">
      <c r="A332" s="523">
        <f>A331+1</f>
        <v>200</v>
      </c>
      <c r="C332" s="383" t="s">
        <v>223</v>
      </c>
      <c r="D332" s="97"/>
      <c r="E332" s="392"/>
      <c r="F332" s="385">
        <v>1.2500000000000001E-2</v>
      </c>
      <c r="G332" s="487" t="s">
        <v>2208</v>
      </c>
      <c r="H332" s="97"/>
      <c r="I332" s="97"/>
      <c r="J332" s="97"/>
    </row>
    <row r="333" spans="1:10">
      <c r="A333" s="523">
        <f>A332+1</f>
        <v>201</v>
      </c>
      <c r="C333" s="383" t="s">
        <v>1111</v>
      </c>
      <c r="D333" s="97"/>
      <c r="E333" s="391"/>
      <c r="F333" s="384" t="s">
        <v>222</v>
      </c>
      <c r="G333" s="487" t="s">
        <v>2210</v>
      </c>
      <c r="H333" s="97"/>
      <c r="I333" s="97"/>
      <c r="J333" s="97"/>
    </row>
    <row r="334" spans="1:10">
      <c r="C334" s="383"/>
      <c r="D334" s="97"/>
      <c r="E334" s="391"/>
      <c r="F334" s="384"/>
      <c r="G334" s="97"/>
      <c r="H334" s="97"/>
      <c r="I334" s="97"/>
      <c r="J334" s="97"/>
    </row>
    <row r="335" spans="1:10">
      <c r="C335" s="390" t="s">
        <v>1115</v>
      </c>
      <c r="D335" s="97"/>
      <c r="E335" s="487"/>
      <c r="F335" s="530"/>
      <c r="G335" s="190" t="s">
        <v>1114</v>
      </c>
      <c r="H335" s="97"/>
      <c r="I335" s="97"/>
      <c r="J335" s="97"/>
    </row>
    <row r="336" spans="1:10">
      <c r="A336" s="523">
        <f>A333+1</f>
        <v>202</v>
      </c>
      <c r="C336" s="529" t="s">
        <v>221</v>
      </c>
      <c r="D336" s="97"/>
      <c r="E336" s="391"/>
      <c r="F336" s="384" t="s">
        <v>222</v>
      </c>
      <c r="G336" s="487" t="s">
        <v>2207</v>
      </c>
      <c r="H336" s="97"/>
      <c r="I336" s="97"/>
      <c r="J336" s="97"/>
    </row>
    <row r="337" spans="1:10">
      <c r="A337" s="523">
        <f>A336+1</f>
        <v>203</v>
      </c>
      <c r="C337" s="383" t="s">
        <v>223</v>
      </c>
      <c r="D337" s="97"/>
      <c r="E337" s="392"/>
      <c r="F337" s="385">
        <v>0.01</v>
      </c>
      <c r="G337" s="487" t="s">
        <v>2211</v>
      </c>
      <c r="H337" s="97"/>
      <c r="I337" s="97"/>
      <c r="J337" s="97"/>
    </row>
    <row r="338" spans="1:10">
      <c r="A338" s="523">
        <f>A337+1</f>
        <v>204</v>
      </c>
      <c r="C338" s="383"/>
      <c r="D338" s="97"/>
      <c r="E338" s="392"/>
      <c r="F338" s="385"/>
      <c r="G338" s="487" t="s">
        <v>2212</v>
      </c>
      <c r="H338" s="97"/>
      <c r="I338" s="97"/>
      <c r="J338" s="97"/>
    </row>
    <row r="339" spans="1:10">
      <c r="A339" s="523">
        <f>A338+1</f>
        <v>205</v>
      </c>
      <c r="C339" s="383" t="s">
        <v>1111</v>
      </c>
      <c r="D339" s="97"/>
      <c r="E339" s="391"/>
      <c r="F339" s="384" t="s">
        <v>222</v>
      </c>
      <c r="G339" s="487" t="s">
        <v>2210</v>
      </c>
      <c r="H339" s="97"/>
      <c r="I339" s="97"/>
      <c r="J339" s="97"/>
    </row>
    <row r="340" spans="1:10">
      <c r="C340" s="383"/>
      <c r="D340" s="97"/>
      <c r="E340" s="391"/>
      <c r="F340" s="384"/>
      <c r="G340" s="97"/>
      <c r="H340" s="97"/>
      <c r="I340" s="97"/>
      <c r="J340" s="97"/>
    </row>
    <row r="341" spans="1:10">
      <c r="C341" s="390" t="s">
        <v>1116</v>
      </c>
      <c r="D341" s="97"/>
      <c r="E341" s="487"/>
      <c r="F341" s="530"/>
      <c r="G341" s="190" t="s">
        <v>1114</v>
      </c>
      <c r="H341" s="97"/>
      <c r="I341" s="97"/>
      <c r="J341" s="97"/>
    </row>
    <row r="342" spans="1:10">
      <c r="A342" s="523">
        <f>A339+1</f>
        <v>206</v>
      </c>
      <c r="C342" s="529" t="s">
        <v>221</v>
      </c>
      <c r="D342" s="97"/>
      <c r="E342" s="391"/>
      <c r="F342" s="967" t="s">
        <v>224</v>
      </c>
      <c r="G342" s="487" t="s">
        <v>2213</v>
      </c>
      <c r="H342" s="97"/>
      <c r="I342" s="97"/>
      <c r="J342" s="97"/>
    </row>
    <row r="343" spans="1:10">
      <c r="A343" s="523">
        <f>A342+1</f>
        <v>207</v>
      </c>
      <c r="C343" s="529"/>
      <c r="D343" s="97"/>
      <c r="E343" s="391"/>
      <c r="F343" s="967"/>
      <c r="G343" s="97" t="s">
        <v>2212</v>
      </c>
      <c r="H343" s="97"/>
      <c r="I343" s="97"/>
      <c r="J343" s="97"/>
    </row>
    <row r="344" spans="1:10">
      <c r="A344" s="523">
        <f>A343+1</f>
        <v>208</v>
      </c>
      <c r="C344" s="383" t="s">
        <v>223</v>
      </c>
      <c r="D344" s="97"/>
      <c r="E344" s="392"/>
      <c r="F344" s="968">
        <v>0</v>
      </c>
      <c r="G344" s="487" t="s">
        <v>2214</v>
      </c>
      <c r="H344" s="97"/>
      <c r="I344" s="97"/>
      <c r="J344" s="97"/>
    </row>
    <row r="345" spans="1:10">
      <c r="A345" s="523">
        <f>A344+1</f>
        <v>209</v>
      </c>
      <c r="C345" s="383"/>
      <c r="D345" s="97"/>
      <c r="E345" s="392"/>
      <c r="F345" s="968"/>
      <c r="G345" s="487" t="s">
        <v>2215</v>
      </c>
      <c r="H345" s="97"/>
      <c r="I345" s="97"/>
      <c r="J345" s="97"/>
    </row>
    <row r="346" spans="1:10">
      <c r="A346" s="523">
        <f>A345+1</f>
        <v>210</v>
      </c>
      <c r="C346" s="383" t="s">
        <v>1111</v>
      </c>
      <c r="D346" s="97"/>
      <c r="E346" s="391"/>
      <c r="F346" s="967" t="s">
        <v>222</v>
      </c>
      <c r="G346" s="487" t="s">
        <v>2210</v>
      </c>
      <c r="H346" s="97"/>
      <c r="I346" s="97"/>
      <c r="J346" s="97"/>
    </row>
    <row r="347" spans="1:10">
      <c r="C347" s="383"/>
      <c r="D347" s="97"/>
      <c r="E347" s="391"/>
      <c r="F347" s="384"/>
      <c r="G347" s="97"/>
      <c r="H347" s="97"/>
      <c r="I347" s="97"/>
      <c r="J347" s="97"/>
    </row>
    <row r="348" spans="1:10">
      <c r="C348" s="390" t="s">
        <v>2394</v>
      </c>
      <c r="D348" s="97"/>
      <c r="E348" s="1005"/>
      <c r="F348" s="530"/>
      <c r="G348" s="190" t="s">
        <v>1114</v>
      </c>
      <c r="H348" s="97"/>
      <c r="I348" s="97"/>
      <c r="J348" s="97"/>
    </row>
    <row r="349" spans="1:10">
      <c r="A349" s="523">
        <f>A346+1</f>
        <v>211</v>
      </c>
      <c r="C349" s="529" t="s">
        <v>221</v>
      </c>
      <c r="D349" s="97"/>
      <c r="E349" s="391"/>
      <c r="F349" s="976" t="s">
        <v>222</v>
      </c>
      <c r="G349" s="531" t="s">
        <v>2219</v>
      </c>
      <c r="H349" s="97"/>
      <c r="I349" s="97"/>
      <c r="J349" s="97"/>
    </row>
    <row r="350" spans="1:10">
      <c r="A350" s="523">
        <f>A349+1</f>
        <v>212</v>
      </c>
      <c r="C350" s="383" t="s">
        <v>223</v>
      </c>
      <c r="D350" s="97"/>
      <c r="E350" s="392"/>
      <c r="F350" s="977">
        <v>0</v>
      </c>
      <c r="G350" s="973" t="s">
        <v>76</v>
      </c>
      <c r="H350" s="97"/>
      <c r="I350" s="97"/>
      <c r="J350" s="97"/>
    </row>
    <row r="351" spans="1:10">
      <c r="A351" s="523">
        <f>A350+1</f>
        <v>213</v>
      </c>
      <c r="C351" s="383" t="s">
        <v>1111</v>
      </c>
      <c r="D351" s="97"/>
      <c r="E351" s="391"/>
      <c r="F351" s="976" t="s">
        <v>222</v>
      </c>
      <c r="G351" s="531" t="s">
        <v>2219</v>
      </c>
      <c r="H351" s="97"/>
      <c r="I351" s="97"/>
      <c r="J351" s="97"/>
    </row>
    <row r="352" spans="1:10">
      <c r="C352" s="97"/>
      <c r="D352" s="97"/>
      <c r="E352" s="97"/>
      <c r="F352" s="976"/>
      <c r="G352" s="97"/>
      <c r="H352" s="97"/>
      <c r="I352" s="97"/>
      <c r="J352" s="97"/>
    </row>
    <row r="353" spans="1:10">
      <c r="C353" s="390" t="s">
        <v>2395</v>
      </c>
      <c r="D353" s="97"/>
      <c r="E353" s="1005"/>
      <c r="F353" s="530"/>
      <c r="G353" s="190" t="s">
        <v>1114</v>
      </c>
      <c r="H353" s="97"/>
      <c r="I353" s="97"/>
      <c r="J353" s="97"/>
    </row>
    <row r="354" spans="1:10">
      <c r="A354" s="523">
        <f>A351+1</f>
        <v>214</v>
      </c>
      <c r="C354" s="529" t="s">
        <v>221</v>
      </c>
      <c r="D354" s="97"/>
      <c r="E354" s="391"/>
      <c r="F354" s="976" t="s">
        <v>222</v>
      </c>
      <c r="G354" s="531" t="s">
        <v>2219</v>
      </c>
      <c r="H354" s="97"/>
      <c r="I354" s="487"/>
      <c r="J354" s="487"/>
    </row>
    <row r="355" spans="1:10">
      <c r="A355" s="523">
        <f>A354+1</f>
        <v>215</v>
      </c>
      <c r="C355" s="383" t="s">
        <v>223</v>
      </c>
      <c r="D355" s="97"/>
      <c r="E355" s="392"/>
      <c r="F355" s="977">
        <v>0</v>
      </c>
      <c r="G355" s="973" t="s">
        <v>76</v>
      </c>
      <c r="H355" s="97"/>
      <c r="I355" s="487"/>
      <c r="J355" s="487"/>
    </row>
    <row r="356" spans="1:10">
      <c r="A356" s="523">
        <f>A355+1</f>
        <v>216</v>
      </c>
      <c r="C356" s="383" t="s">
        <v>1111</v>
      </c>
      <c r="D356" s="97"/>
      <c r="E356" s="391"/>
      <c r="F356" s="976" t="s">
        <v>222</v>
      </c>
      <c r="G356" s="531" t="s">
        <v>2219</v>
      </c>
      <c r="H356" s="97"/>
      <c r="I356" s="487"/>
      <c r="J356" s="487"/>
    </row>
    <row r="357" spans="1:10">
      <c r="C357" s="383"/>
      <c r="D357" s="97"/>
      <c r="E357" s="392"/>
      <c r="F357" s="385"/>
      <c r="G357" s="487"/>
      <c r="H357" s="97"/>
      <c r="I357" s="487"/>
      <c r="J357" s="487"/>
    </row>
    <row r="358" spans="1:10">
      <c r="C358" s="390" t="s">
        <v>1117</v>
      </c>
      <c r="D358" s="97"/>
      <c r="E358" s="487"/>
      <c r="F358" s="530"/>
      <c r="G358" s="190" t="s">
        <v>1114</v>
      </c>
      <c r="H358" s="97"/>
      <c r="I358" s="487"/>
      <c r="J358" s="487"/>
    </row>
    <row r="359" spans="1:10">
      <c r="A359" s="523">
        <f>A356+1</f>
        <v>217</v>
      </c>
      <c r="C359" s="529" t="s">
        <v>221</v>
      </c>
      <c r="D359" s="97"/>
      <c r="E359" s="391"/>
      <c r="F359" s="969" t="s">
        <v>222</v>
      </c>
      <c r="G359" s="487" t="s">
        <v>2216</v>
      </c>
      <c r="H359" s="97"/>
      <c r="I359" s="487"/>
      <c r="J359" s="487"/>
    </row>
    <row r="360" spans="1:10">
      <c r="A360" s="523">
        <f>A359+1</f>
        <v>218</v>
      </c>
      <c r="C360" s="383" t="s">
        <v>223</v>
      </c>
      <c r="D360" s="97"/>
      <c r="E360" s="392"/>
      <c r="F360" s="970">
        <v>0</v>
      </c>
      <c r="G360" s="487" t="s">
        <v>2217</v>
      </c>
      <c r="H360" s="97"/>
      <c r="I360" s="487"/>
      <c r="J360" s="487"/>
    </row>
    <row r="361" spans="1:10">
      <c r="A361" s="523">
        <f>A360+1</f>
        <v>219</v>
      </c>
      <c r="C361" s="383" t="s">
        <v>1111</v>
      </c>
      <c r="D361" s="97"/>
      <c r="E361" s="391"/>
      <c r="F361" s="969" t="s">
        <v>222</v>
      </c>
      <c r="G361" s="487" t="s">
        <v>2218</v>
      </c>
      <c r="H361" s="97"/>
      <c r="I361" s="487"/>
      <c r="J361" s="487"/>
    </row>
    <row r="362" spans="1:10">
      <c r="C362" s="97"/>
      <c r="D362" s="97"/>
      <c r="E362" s="97"/>
      <c r="F362" s="384"/>
      <c r="G362" s="97"/>
      <c r="H362" s="97"/>
      <c r="I362" s="97"/>
      <c r="J362" s="97"/>
    </row>
    <row r="363" spans="1:10">
      <c r="C363" s="390" t="s">
        <v>1118</v>
      </c>
      <c r="D363" s="97"/>
      <c r="E363" s="487"/>
      <c r="F363" s="530"/>
      <c r="G363" s="190" t="s">
        <v>1114</v>
      </c>
      <c r="H363" s="97"/>
      <c r="I363" s="97"/>
      <c r="J363" s="97"/>
    </row>
    <row r="364" spans="1:10">
      <c r="A364" s="523">
        <f>A361+1</f>
        <v>220</v>
      </c>
      <c r="C364" s="529" t="s">
        <v>221</v>
      </c>
      <c r="D364" s="97"/>
      <c r="E364" s="391"/>
      <c r="F364" s="971" t="s">
        <v>222</v>
      </c>
      <c r="G364" s="531" t="s">
        <v>2219</v>
      </c>
      <c r="H364" s="97"/>
      <c r="I364" s="97"/>
      <c r="J364" s="97"/>
    </row>
    <row r="365" spans="1:10">
      <c r="A365" s="523">
        <f>A364+1</f>
        <v>221</v>
      </c>
      <c r="C365" s="383" t="s">
        <v>223</v>
      </c>
      <c r="D365" s="97"/>
      <c r="E365" s="392"/>
      <c r="F365" s="972">
        <v>0</v>
      </c>
      <c r="G365" s="973" t="s">
        <v>76</v>
      </c>
      <c r="H365" s="97"/>
      <c r="I365" s="97"/>
      <c r="J365" s="97"/>
    </row>
    <row r="366" spans="1:10">
      <c r="A366" s="523">
        <f>A365+1</f>
        <v>222</v>
      </c>
      <c r="C366" s="383" t="s">
        <v>1111</v>
      </c>
      <c r="D366" s="97"/>
      <c r="E366" s="391"/>
      <c r="F366" s="971" t="s">
        <v>222</v>
      </c>
      <c r="G366" s="531" t="s">
        <v>2219</v>
      </c>
      <c r="H366" s="97"/>
      <c r="I366" s="97"/>
      <c r="J366" s="97"/>
    </row>
    <row r="367" spans="1:10">
      <c r="C367" s="97"/>
      <c r="D367" s="97"/>
      <c r="E367" s="97"/>
      <c r="F367" s="384"/>
      <c r="G367" s="97"/>
      <c r="H367" s="97"/>
      <c r="I367" s="97"/>
      <c r="J367" s="97"/>
    </row>
    <row r="368" spans="1:10">
      <c r="C368" s="390" t="s">
        <v>1119</v>
      </c>
      <c r="D368" s="97"/>
      <c r="E368" s="487"/>
      <c r="F368" s="530"/>
      <c r="G368" s="190" t="s">
        <v>1114</v>
      </c>
      <c r="H368" s="97"/>
      <c r="I368" s="97"/>
      <c r="J368" s="97"/>
    </row>
    <row r="369" spans="1:10">
      <c r="A369" s="523">
        <f>A366+1</f>
        <v>223</v>
      </c>
      <c r="C369" s="529" t="s">
        <v>221</v>
      </c>
      <c r="D369" s="97"/>
      <c r="E369" s="391"/>
      <c r="F369" s="974" t="s">
        <v>222</v>
      </c>
      <c r="G369" s="531" t="s">
        <v>2219</v>
      </c>
      <c r="H369" s="97"/>
      <c r="I369" s="97"/>
      <c r="J369" s="97"/>
    </row>
    <row r="370" spans="1:10">
      <c r="A370" s="523">
        <f>A369+1</f>
        <v>224</v>
      </c>
      <c r="C370" s="383" t="s">
        <v>223</v>
      </c>
      <c r="D370" s="97"/>
      <c r="E370" s="392"/>
      <c r="F370" s="975">
        <v>0</v>
      </c>
      <c r="G370" s="973" t="s">
        <v>76</v>
      </c>
      <c r="H370" s="97"/>
      <c r="I370" s="97"/>
      <c r="J370" s="97"/>
    </row>
    <row r="371" spans="1:10">
      <c r="A371" s="523">
        <f>A370+1</f>
        <v>225</v>
      </c>
      <c r="C371" s="383" t="s">
        <v>1111</v>
      </c>
      <c r="D371" s="97"/>
      <c r="E371" s="391"/>
      <c r="F371" s="974" t="s">
        <v>222</v>
      </c>
      <c r="G371" s="531" t="s">
        <v>2219</v>
      </c>
      <c r="H371" s="97"/>
      <c r="I371" s="97"/>
      <c r="J371" s="97"/>
    </row>
    <row r="372" spans="1:10">
      <c r="C372" s="97"/>
      <c r="D372" s="97"/>
      <c r="E372" s="97"/>
      <c r="F372" s="384"/>
      <c r="G372" s="97"/>
      <c r="H372" s="97"/>
      <c r="I372" s="97"/>
      <c r="J372" s="97"/>
    </row>
    <row r="373" spans="1:10">
      <c r="C373" s="1221" t="s">
        <v>2598</v>
      </c>
      <c r="D373" s="97"/>
      <c r="E373" s="97"/>
      <c r="F373" s="97"/>
      <c r="G373" s="190" t="s">
        <v>1114</v>
      </c>
      <c r="H373" s="97"/>
      <c r="I373" s="97"/>
      <c r="J373" s="97"/>
    </row>
    <row r="374" spans="1:10">
      <c r="A374" s="523">
        <f>A371+1</f>
        <v>226</v>
      </c>
      <c r="C374" s="529" t="s">
        <v>221</v>
      </c>
      <c r="D374" s="97"/>
      <c r="E374" s="97"/>
      <c r="F374" s="1005" t="s">
        <v>222</v>
      </c>
      <c r="G374" s="1005" t="s">
        <v>2596</v>
      </c>
      <c r="H374" s="97"/>
      <c r="I374" s="97"/>
      <c r="J374" s="97"/>
    </row>
    <row r="375" spans="1:10">
      <c r="A375" s="523">
        <f>A374+1</f>
        <v>227</v>
      </c>
      <c r="C375" s="383" t="s">
        <v>223</v>
      </c>
      <c r="D375" s="97"/>
      <c r="E375" s="97"/>
      <c r="F375" s="977">
        <v>0</v>
      </c>
      <c r="G375" s="973" t="s">
        <v>76</v>
      </c>
      <c r="H375" s="97"/>
      <c r="I375" s="97"/>
      <c r="J375" s="97"/>
    </row>
    <row r="376" spans="1:10">
      <c r="A376" s="523">
        <f>A375+1</f>
        <v>228</v>
      </c>
      <c r="C376" s="383" t="s">
        <v>1111</v>
      </c>
      <c r="D376" s="97"/>
      <c r="E376" s="97"/>
      <c r="F376" s="1005" t="s">
        <v>224</v>
      </c>
      <c r="G376" s="973" t="s">
        <v>76</v>
      </c>
      <c r="H376" s="97"/>
      <c r="I376" s="97"/>
      <c r="J376" s="97"/>
    </row>
    <row r="377" spans="1:10">
      <c r="C377" s="97"/>
      <c r="D377" s="97"/>
      <c r="E377" s="97"/>
      <c r="F377" s="97"/>
      <c r="G377" s="97"/>
      <c r="H377" s="97"/>
      <c r="I377" s="97"/>
      <c r="J377" s="97"/>
    </row>
    <row r="378" spans="1:10">
      <c r="C378" s="1221" t="s">
        <v>2599</v>
      </c>
      <c r="D378" s="97"/>
      <c r="E378" s="97"/>
      <c r="F378" s="97"/>
      <c r="G378" s="190" t="s">
        <v>1114</v>
      </c>
      <c r="H378" s="97"/>
      <c r="I378" s="97"/>
      <c r="J378" s="97"/>
    </row>
    <row r="379" spans="1:10">
      <c r="A379" s="523">
        <f>A376+1</f>
        <v>229</v>
      </c>
      <c r="C379" s="529" t="s">
        <v>221</v>
      </c>
      <c r="D379" s="97"/>
      <c r="E379" s="97"/>
      <c r="F379" s="1005" t="s">
        <v>222</v>
      </c>
      <c r="G379" s="1005" t="s">
        <v>2596</v>
      </c>
      <c r="H379" s="97"/>
      <c r="I379" s="97"/>
      <c r="J379" s="97"/>
    </row>
    <row r="380" spans="1:10">
      <c r="A380" s="523">
        <f>A379+1</f>
        <v>230</v>
      </c>
      <c r="C380" s="383" t="s">
        <v>223</v>
      </c>
      <c r="D380" s="97"/>
      <c r="E380" s="97"/>
      <c r="F380" s="977">
        <v>0</v>
      </c>
      <c r="G380" s="973" t="s">
        <v>76</v>
      </c>
      <c r="H380" s="97"/>
      <c r="I380" s="97"/>
      <c r="J380" s="97"/>
    </row>
    <row r="381" spans="1:10">
      <c r="A381" s="523">
        <f>A380+1</f>
        <v>231</v>
      </c>
      <c r="C381" s="383" t="s">
        <v>1111</v>
      </c>
      <c r="D381" s="97"/>
      <c r="E381" s="97"/>
      <c r="F381" s="1005" t="s">
        <v>222</v>
      </c>
      <c r="G381" s="1005" t="s">
        <v>2597</v>
      </c>
      <c r="H381" s="97"/>
      <c r="I381" s="97"/>
      <c r="J381" s="97"/>
    </row>
    <row r="382" spans="1:10">
      <c r="C382" s="97"/>
      <c r="D382" s="97"/>
      <c r="E382" s="97"/>
      <c r="F382" s="97"/>
      <c r="G382" s="97"/>
      <c r="H382" s="97"/>
      <c r="I382" s="97"/>
      <c r="J382" s="97"/>
    </row>
    <row r="383" spans="1:10">
      <c r="C383" s="1221" t="s">
        <v>2600</v>
      </c>
      <c r="D383" s="97"/>
      <c r="E383" s="97"/>
      <c r="F383" s="97"/>
      <c r="G383" s="190" t="s">
        <v>1114</v>
      </c>
      <c r="H383" s="97"/>
      <c r="I383" s="97"/>
      <c r="J383" s="97"/>
    </row>
    <row r="384" spans="1:10">
      <c r="A384" s="523">
        <f>A381+1</f>
        <v>232</v>
      </c>
      <c r="C384" s="529" t="s">
        <v>221</v>
      </c>
      <c r="D384" s="97"/>
      <c r="E384" s="97"/>
      <c r="F384" s="1005" t="s">
        <v>222</v>
      </c>
      <c r="G384" s="1005" t="s">
        <v>2596</v>
      </c>
      <c r="H384" s="97"/>
      <c r="I384" s="97"/>
      <c r="J384" s="97"/>
    </row>
    <row r="385" spans="1:10">
      <c r="A385" s="523">
        <f>A384+1</f>
        <v>233</v>
      </c>
      <c r="C385" s="383" t="s">
        <v>223</v>
      </c>
      <c r="D385" s="97"/>
      <c r="E385" s="97"/>
      <c r="F385" s="977">
        <v>0</v>
      </c>
      <c r="G385" s="973" t="s">
        <v>76</v>
      </c>
      <c r="H385" s="97"/>
      <c r="I385" s="97"/>
      <c r="J385" s="97"/>
    </row>
    <row r="386" spans="1:10">
      <c r="A386" s="523">
        <f>A385+1</f>
        <v>234</v>
      </c>
      <c r="C386" s="383" t="s">
        <v>1111</v>
      </c>
      <c r="D386" s="97"/>
      <c r="E386" s="97"/>
      <c r="F386" s="1005" t="s">
        <v>222</v>
      </c>
      <c r="G386" s="1005" t="s">
        <v>2597</v>
      </c>
      <c r="H386" s="97"/>
      <c r="I386" s="97"/>
      <c r="J386" s="97"/>
    </row>
    <row r="387" spans="1:10">
      <c r="C387" s="1250"/>
      <c r="D387" s="97"/>
      <c r="E387" s="97"/>
      <c r="F387" s="97"/>
      <c r="G387" s="97"/>
      <c r="H387" s="97"/>
      <c r="I387" s="97"/>
      <c r="J387" s="97"/>
    </row>
    <row r="388" spans="1:10" s="999" customFormat="1">
      <c r="C388" s="1221" t="s">
        <v>2767</v>
      </c>
      <c r="D388" s="97"/>
      <c r="E388" s="97"/>
      <c r="F388" s="97"/>
      <c r="G388" s="190" t="s">
        <v>1114</v>
      </c>
      <c r="H388" s="97"/>
      <c r="I388" s="97"/>
      <c r="J388" s="97"/>
    </row>
    <row r="389" spans="1:10" s="999" customFormat="1">
      <c r="A389" s="571">
        <f>A386+1</f>
        <v>235</v>
      </c>
      <c r="C389" s="529" t="s">
        <v>221</v>
      </c>
      <c r="D389" s="97"/>
      <c r="E389" s="97"/>
      <c r="F389" s="1005"/>
      <c r="G389" s="1005"/>
      <c r="H389" s="97"/>
      <c r="I389" s="97"/>
      <c r="J389" s="97"/>
    </row>
    <row r="390" spans="1:10" s="999" customFormat="1">
      <c r="A390" s="571">
        <f>A389+1</f>
        <v>236</v>
      </c>
      <c r="C390" s="383" t="s">
        <v>223</v>
      </c>
      <c r="D390" s="97"/>
      <c r="E390" s="97"/>
      <c r="F390" s="977"/>
      <c r="G390" s="973"/>
      <c r="H390" s="97"/>
      <c r="I390" s="97"/>
      <c r="J390" s="97"/>
    </row>
    <row r="391" spans="1:10" s="999" customFormat="1">
      <c r="A391" s="571">
        <f>A390+1</f>
        <v>237</v>
      </c>
      <c r="C391" s="383" t="s">
        <v>1111</v>
      </c>
      <c r="D391" s="97"/>
      <c r="E391" s="97"/>
      <c r="F391" s="1005"/>
      <c r="G391" s="1005"/>
      <c r="H391" s="97"/>
      <c r="I391" s="97"/>
      <c r="J391" s="97"/>
    </row>
    <row r="392" spans="1:10" s="999" customFormat="1">
      <c r="C392" s="387" t="s">
        <v>510</v>
      </c>
    </row>
    <row r="394" spans="1:10">
      <c r="B394" s="388" t="s">
        <v>379</v>
      </c>
    </row>
    <row r="395" spans="1:10">
      <c r="C395" s="477" t="s">
        <v>1207</v>
      </c>
    </row>
    <row r="396" spans="1:10">
      <c r="C396" t="s">
        <v>1120</v>
      </c>
    </row>
  </sheetData>
  <phoneticPr fontId="22" type="noConversion"/>
  <pageMargins left="0.75" right="0.75" top="1" bottom="1" header="0.5" footer="0.5"/>
  <pageSetup scale="70" orientation="portrait" cellComments="asDisplayed" r:id="rId1"/>
  <headerFooter alignWithMargins="0">
    <oddHeader>&amp;CSchedule 14
Incentive Plant
&amp;RExhibit SCE-4
TO2019A Formula Rate Spreadsheet</oddHeader>
    <oddFooter>&amp;R&amp;A</oddFooter>
  </headerFooter>
  <rowBreaks count="5" manualBreakCount="5">
    <brk id="66" max="16383" man="1"/>
    <brk id="131" max="16383" man="1"/>
    <brk id="189" max="16383" man="1"/>
    <brk id="246" max="16383" man="1"/>
    <brk id="30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heetViews>
  <sheetFormatPr defaultRowHeight="13.2"/>
  <cols>
    <col min="1" max="2" width="4.6640625" customWidth="1"/>
    <col min="3" max="4" width="10.6640625" customWidth="1"/>
    <col min="5" max="9" width="15.6640625" customWidth="1"/>
  </cols>
  <sheetData>
    <row r="1" spans="1:9">
      <c r="A1" s="1" t="s">
        <v>150</v>
      </c>
      <c r="B1" s="1"/>
    </row>
    <row r="2" spans="1:9">
      <c r="A2" s="1"/>
      <c r="B2" s="1"/>
      <c r="G2" s="95" t="s">
        <v>248</v>
      </c>
      <c r="H2" s="95"/>
    </row>
    <row r="3" spans="1:9">
      <c r="A3" s="1"/>
      <c r="B3" s="12" t="s">
        <v>987</v>
      </c>
    </row>
    <row r="4" spans="1:9">
      <c r="A4" s="1"/>
      <c r="B4" s="13" t="s">
        <v>988</v>
      </c>
    </row>
    <row r="5" spans="1:9">
      <c r="A5" s="1"/>
      <c r="B5" s="481" t="s">
        <v>1510</v>
      </c>
    </row>
    <row r="7" spans="1:9" ht="13.5" customHeight="1">
      <c r="B7" s="1" t="s">
        <v>274</v>
      </c>
    </row>
    <row r="8" spans="1:9">
      <c r="A8" s="1"/>
      <c r="B8" s="1"/>
    </row>
    <row r="9" spans="1:9">
      <c r="A9" s="1"/>
      <c r="B9" s="1"/>
      <c r="C9" s="12" t="s">
        <v>297</v>
      </c>
    </row>
    <row r="10" spans="1:9">
      <c r="A10" s="1"/>
      <c r="B10" s="1"/>
      <c r="C10" s="12" t="s">
        <v>1132</v>
      </c>
    </row>
    <row r="11" spans="1:9">
      <c r="A11" s="1"/>
      <c r="B11" s="1"/>
      <c r="C11" s="12"/>
    </row>
    <row r="12" spans="1:9">
      <c r="A12" s="1"/>
      <c r="B12" s="1"/>
      <c r="C12" s="477" t="s">
        <v>1481</v>
      </c>
    </row>
    <row r="13" spans="1:9">
      <c r="A13" s="1"/>
      <c r="B13" s="1"/>
    </row>
    <row r="14" spans="1:9">
      <c r="A14" s="51" t="s">
        <v>331</v>
      </c>
      <c r="B14" s="1"/>
      <c r="C14" s="12" t="s">
        <v>365</v>
      </c>
      <c r="G14" s="119" t="s">
        <v>171</v>
      </c>
      <c r="I14" s="3" t="s">
        <v>179</v>
      </c>
    </row>
    <row r="15" spans="1:9">
      <c r="A15" s="111">
        <v>1</v>
      </c>
      <c r="B15" s="44"/>
      <c r="C15" s="46" t="s">
        <v>366</v>
      </c>
      <c r="D15" s="14"/>
      <c r="E15" s="14"/>
      <c r="F15" s="14"/>
      <c r="G15" s="67">
        <f>'1-BaseTRR'!K80</f>
        <v>0.49225008080784638</v>
      </c>
      <c r="H15" s="14"/>
      <c r="I15" s="15" t="str">
        <f>"1-BaseTRR, L "&amp;'1-BaseTRR'!A80&amp;""</f>
        <v>1-BaseTRR, L 47</v>
      </c>
    </row>
    <row r="16" spans="1:9">
      <c r="A16" s="111">
        <v>2</v>
      </c>
      <c r="B16" s="44"/>
      <c r="C16" s="46" t="s">
        <v>218</v>
      </c>
      <c r="D16" s="14"/>
      <c r="E16" s="14"/>
      <c r="F16" s="14"/>
      <c r="G16" s="67">
        <f>'1-BaseTRR'!K102</f>
        <v>0.27983599999999997</v>
      </c>
      <c r="H16" s="14"/>
      <c r="I16" s="15" t="str">
        <f>"1-BaseTRR, L "&amp;'1-BaseTRR'!A102&amp;""</f>
        <v>1-BaseTRR, L 59</v>
      </c>
    </row>
    <row r="17" spans="1:9">
      <c r="A17" s="111">
        <v>3</v>
      </c>
      <c r="B17" s="44"/>
      <c r="C17" s="14"/>
      <c r="D17" s="14"/>
      <c r="E17" s="14"/>
      <c r="F17" s="364" t="s">
        <v>495</v>
      </c>
      <c r="G17" s="63">
        <f>G15*(1/(1-G16))* 10000</f>
        <v>6835.2497598858918</v>
      </c>
      <c r="H17" s="14"/>
      <c r="I17" s="15" t="s">
        <v>367</v>
      </c>
    </row>
    <row r="18" spans="1:9">
      <c r="A18" s="14"/>
      <c r="B18" s="14"/>
      <c r="C18" s="14"/>
      <c r="D18" s="14"/>
      <c r="E18" s="14"/>
      <c r="F18" s="14"/>
      <c r="G18" s="14"/>
      <c r="H18" s="14"/>
      <c r="I18" s="14"/>
    </row>
    <row r="19" spans="1:9">
      <c r="A19" s="14"/>
      <c r="B19" s="44" t="s">
        <v>275</v>
      </c>
      <c r="C19" s="14"/>
      <c r="D19" s="14"/>
      <c r="E19" s="14"/>
      <c r="F19" s="14"/>
      <c r="G19" s="14"/>
      <c r="H19" s="14"/>
      <c r="I19" s="14"/>
    </row>
    <row r="20" spans="1:9">
      <c r="A20" s="44"/>
      <c r="B20" s="44"/>
      <c r="C20" s="15" t="s">
        <v>302</v>
      </c>
      <c r="D20" s="14"/>
      <c r="E20" s="14"/>
      <c r="F20" s="14"/>
      <c r="G20" s="14"/>
      <c r="H20" s="14"/>
      <c r="I20" s="14"/>
    </row>
    <row r="21" spans="1:9">
      <c r="A21" s="44"/>
      <c r="B21" s="44"/>
      <c r="C21" s="15" t="s">
        <v>496</v>
      </c>
      <c r="D21" s="14"/>
      <c r="E21" s="14"/>
      <c r="F21" s="14"/>
      <c r="G21" s="14"/>
      <c r="H21" s="14"/>
      <c r="I21" s="14"/>
    </row>
    <row r="22" spans="1:9">
      <c r="A22" s="44"/>
      <c r="B22" s="44"/>
      <c r="C22" s="14"/>
      <c r="D22" s="14"/>
      <c r="E22" s="14"/>
      <c r="F22" s="14"/>
      <c r="G22" s="14"/>
      <c r="H22" s="14"/>
      <c r="I22" s="14"/>
    </row>
    <row r="23" spans="1:9">
      <c r="A23" s="44"/>
      <c r="B23" s="44"/>
      <c r="C23" s="14"/>
      <c r="D23" s="14"/>
      <c r="E23" s="14"/>
      <c r="F23" s="111" t="s">
        <v>277</v>
      </c>
      <c r="G23" s="14"/>
      <c r="H23" s="14"/>
      <c r="I23" s="14"/>
    </row>
    <row r="24" spans="1:9">
      <c r="A24" s="865" t="s">
        <v>331</v>
      </c>
      <c r="B24" s="865"/>
      <c r="C24" s="14"/>
      <c r="D24" s="14"/>
      <c r="E24" s="125" t="s">
        <v>9</v>
      </c>
      <c r="F24" s="125" t="s">
        <v>35</v>
      </c>
      <c r="G24" s="125" t="s">
        <v>179</v>
      </c>
      <c r="H24" s="14"/>
      <c r="I24" s="14"/>
    </row>
    <row r="25" spans="1:9">
      <c r="A25" s="111">
        <f>A17+1</f>
        <v>4</v>
      </c>
      <c r="B25" s="111"/>
      <c r="C25" s="14" t="s">
        <v>227</v>
      </c>
      <c r="D25" s="14"/>
      <c r="E25" s="78">
        <f>'14-IncentivePlant'!F327</f>
        <v>7.4999999999999997E-3</v>
      </c>
      <c r="F25" s="905">
        <f>E25/0.01</f>
        <v>0.75</v>
      </c>
      <c r="G25" s="46" t="str">
        <f>"14-IncentivePlant, L "&amp;'14-IncentivePlant'!A327&amp;""</f>
        <v>14-IncentivePlant, L 197</v>
      </c>
      <c r="H25" s="14"/>
      <c r="I25" s="14"/>
    </row>
    <row r="26" spans="1:9">
      <c r="A26" s="111">
        <f>A25+1</f>
        <v>5</v>
      </c>
      <c r="B26" s="111"/>
      <c r="C26" s="14" t="s">
        <v>228</v>
      </c>
      <c r="D26" s="14"/>
      <c r="E26" s="78">
        <f>'14-IncentivePlant'!F332</f>
        <v>1.2500000000000001E-2</v>
      </c>
      <c r="F26" s="905">
        <f>E26/0.01</f>
        <v>1.25</v>
      </c>
      <c r="G26" s="46" t="str">
        <f>"14-IncentivePlant, L "&amp;'14-IncentivePlant'!A332&amp;""</f>
        <v>14-IncentivePlant, L 200</v>
      </c>
      <c r="H26" s="14"/>
      <c r="I26" s="14"/>
    </row>
    <row r="27" spans="1:9">
      <c r="A27" s="111">
        <f>A26+1</f>
        <v>6</v>
      </c>
      <c r="B27" s="111"/>
      <c r="C27" s="479" t="s">
        <v>2195</v>
      </c>
      <c r="D27" s="14"/>
      <c r="E27" s="78">
        <f>'14-IncentivePlant'!F337</f>
        <v>0.01</v>
      </c>
      <c r="F27" s="905">
        <f>E27/0.01</f>
        <v>1</v>
      </c>
      <c r="G27" s="46" t="str">
        <f>"14-IncentivePlant, L "&amp;'14-IncentivePlant'!A337&amp;""</f>
        <v>14-IncentivePlant, L 203</v>
      </c>
      <c r="H27" s="14"/>
      <c r="I27" s="14"/>
    </row>
    <row r="28" spans="1:9">
      <c r="A28" s="2">
        <f>A27+1</f>
        <v>7</v>
      </c>
      <c r="B28" s="2"/>
      <c r="C28" s="116"/>
      <c r="D28" s="97"/>
      <c r="E28" s="42"/>
      <c r="F28" s="98"/>
    </row>
    <row r="29" spans="1:9">
      <c r="A29" s="2">
        <f>A28+1</f>
        <v>8</v>
      </c>
      <c r="B29" s="2"/>
      <c r="C29" s="188" t="s">
        <v>510</v>
      </c>
      <c r="E29" s="42"/>
      <c r="F29" s="98"/>
    </row>
    <row r="31" spans="1:9">
      <c r="B31" s="1" t="s">
        <v>276</v>
      </c>
    </row>
    <row r="32" spans="1:9">
      <c r="A32" s="1"/>
      <c r="B32" s="1"/>
      <c r="C32" s="12" t="s">
        <v>1439</v>
      </c>
    </row>
    <row r="33" spans="1:9">
      <c r="A33" s="1"/>
      <c r="B33" s="1"/>
      <c r="C33" s="12" t="s">
        <v>497</v>
      </c>
    </row>
    <row r="34" spans="1:9">
      <c r="A34" s="1"/>
      <c r="B34" s="1"/>
      <c r="C34" s="12" t="s">
        <v>498</v>
      </c>
    </row>
    <row r="35" spans="1:9">
      <c r="E35" s="2"/>
      <c r="G35" s="2"/>
    </row>
    <row r="36" spans="1:9">
      <c r="E36" s="2" t="s">
        <v>63</v>
      </c>
      <c r="G36" s="2" t="s">
        <v>63</v>
      </c>
    </row>
    <row r="37" spans="1:9">
      <c r="E37" s="2" t="s">
        <v>8</v>
      </c>
      <c r="F37" s="2" t="s">
        <v>277</v>
      </c>
      <c r="G37" s="2" t="s">
        <v>8</v>
      </c>
    </row>
    <row r="38" spans="1:9">
      <c r="A38" s="51" t="s">
        <v>331</v>
      </c>
      <c r="B38" s="51"/>
      <c r="E38" s="3" t="s">
        <v>173</v>
      </c>
      <c r="F38" s="3" t="s">
        <v>35</v>
      </c>
      <c r="G38" s="3" t="s">
        <v>278</v>
      </c>
      <c r="H38" s="3" t="s">
        <v>179</v>
      </c>
    </row>
    <row r="39" spans="1:9">
      <c r="A39" s="2">
        <f>A29+1</f>
        <v>9</v>
      </c>
      <c r="B39" s="2"/>
      <c r="C39" t="s">
        <v>227</v>
      </c>
      <c r="E39" s="7">
        <f>'14-IncentivePlant'!E46</f>
        <v>150232042.80208787</v>
      </c>
      <c r="F39" s="98">
        <f>F25</f>
        <v>0.75</v>
      </c>
      <c r="G39" s="7">
        <f>(E39/1000000)*(F39*$G$17)</f>
        <v>770155.15086760372</v>
      </c>
      <c r="H39" s="46" t="str">
        <f>"14-IncentivePlant, L "&amp;'14-IncentivePlant'!A46&amp;", Col. 1"</f>
        <v>14-IncentivePlant, L 13, Col. 1</v>
      </c>
      <c r="I39" s="14"/>
    </row>
    <row r="40" spans="1:9">
      <c r="A40" s="2">
        <f>A39+1</f>
        <v>10</v>
      </c>
      <c r="B40" s="2"/>
      <c r="C40" t="s">
        <v>228</v>
      </c>
      <c r="E40" s="7">
        <f>'14-IncentivePlant'!E47</f>
        <v>2728701252.9784455</v>
      </c>
      <c r="F40" s="98">
        <f>F26</f>
        <v>1.25</v>
      </c>
      <c r="G40" s="7">
        <f>(E40/1000000)*(F40*$G$17)</f>
        <v>23314193.230276566</v>
      </c>
      <c r="H40" s="46" t="str">
        <f>"14-IncentivePlant, L "&amp;'14-IncentivePlant'!A47&amp;", Col. 1"</f>
        <v>14-IncentivePlant, L 14, Col. 1</v>
      </c>
      <c r="I40" s="14"/>
    </row>
    <row r="41" spans="1:9">
      <c r="A41" s="2">
        <f>A40+1</f>
        <v>11</v>
      </c>
      <c r="B41" s="2"/>
      <c r="C41" s="477" t="s">
        <v>2195</v>
      </c>
      <c r="E41" s="7">
        <f>'14-IncentivePlant'!E48</f>
        <v>687752339.98307264</v>
      </c>
      <c r="F41" s="98">
        <f>F27</f>
        <v>1</v>
      </c>
      <c r="G41" s="7">
        <f>(E41/1000000)*(F41*$G$17)</f>
        <v>4700959.0167302573</v>
      </c>
      <c r="H41" s="46" t="str">
        <f>"14-IncentivePlant, L "&amp;'14-IncentivePlant'!A48&amp;", Col. 1"</f>
        <v>14-IncentivePlant, L 15, Col. 1</v>
      </c>
      <c r="I41" s="14"/>
    </row>
    <row r="42" spans="1:9">
      <c r="A42" s="2">
        <f>A41+1</f>
        <v>12</v>
      </c>
      <c r="B42" s="2"/>
      <c r="C42" s="116"/>
      <c r="D42" s="97"/>
      <c r="H42" s="14"/>
    </row>
    <row r="43" spans="1:9">
      <c r="A43" s="2">
        <f>A42+1</f>
        <v>13</v>
      </c>
      <c r="B43" s="2"/>
      <c r="C43" s="188" t="s">
        <v>510</v>
      </c>
      <c r="H43" s="14"/>
    </row>
    <row r="44" spans="1:9">
      <c r="A44" s="2">
        <f>A43+1</f>
        <v>14</v>
      </c>
      <c r="F44" s="37" t="s">
        <v>78</v>
      </c>
      <c r="G44" s="7">
        <f>SUM(G39:G42)</f>
        <v>28785307.397874426</v>
      </c>
      <c r="H44" s="476" t="s">
        <v>1673</v>
      </c>
      <c r="I44" s="14"/>
    </row>
    <row r="45" spans="1:9">
      <c r="H45" s="476" t="s">
        <v>1674</v>
      </c>
      <c r="I45" s="63"/>
    </row>
    <row r="46" spans="1:9">
      <c r="B46" s="1" t="s">
        <v>1467</v>
      </c>
      <c r="H46" s="14"/>
    </row>
    <row r="47" spans="1:9">
      <c r="A47" s="1"/>
      <c r="B47" s="1"/>
      <c r="C47" s="477" t="s">
        <v>1468</v>
      </c>
      <c r="H47" s="14"/>
    </row>
    <row r="48" spans="1:9">
      <c r="A48" s="1"/>
      <c r="B48" s="1"/>
      <c r="C48" s="477" t="s">
        <v>1511</v>
      </c>
      <c r="H48" s="14"/>
    </row>
    <row r="49" spans="1:9">
      <c r="A49" s="1"/>
      <c r="B49" s="1"/>
      <c r="C49" s="477" t="s">
        <v>1672</v>
      </c>
      <c r="H49" s="14"/>
    </row>
    <row r="50" spans="1:9">
      <c r="H50" s="14"/>
    </row>
    <row r="51" spans="1:9">
      <c r="E51" s="2" t="s">
        <v>0</v>
      </c>
      <c r="G51" s="2" t="s">
        <v>0</v>
      </c>
      <c r="H51" s="14"/>
    </row>
    <row r="52" spans="1:9">
      <c r="E52" s="2" t="s">
        <v>8</v>
      </c>
      <c r="F52" s="2" t="s">
        <v>277</v>
      </c>
      <c r="G52" s="2" t="s">
        <v>8</v>
      </c>
      <c r="H52" s="14"/>
    </row>
    <row r="53" spans="1:9">
      <c r="A53" s="51" t="s">
        <v>331</v>
      </c>
      <c r="B53" s="51"/>
      <c r="E53" s="3" t="s">
        <v>1002</v>
      </c>
      <c r="F53" s="3" t="s">
        <v>35</v>
      </c>
      <c r="G53" s="3" t="s">
        <v>278</v>
      </c>
      <c r="H53" s="125" t="s">
        <v>179</v>
      </c>
    </row>
    <row r="54" spans="1:9">
      <c r="A54" s="2">
        <f>A44+1</f>
        <v>15</v>
      </c>
      <c r="B54" s="2"/>
      <c r="C54" t="s">
        <v>227</v>
      </c>
      <c r="E54" s="7">
        <f>'14-IncentivePlant'!E60</f>
        <v>152604253.61173245</v>
      </c>
      <c r="F54" s="98">
        <f>F25</f>
        <v>0.75</v>
      </c>
      <c r="G54" s="7">
        <f>(E54/1000000)*(F54*$G$17)</f>
        <v>782316.14089287003</v>
      </c>
      <c r="H54" s="46" t="str">
        <f>"14-IncentivePlant, L "&amp;'14-IncentivePlant'!A60&amp;", Col. 1"</f>
        <v>14-IncentivePlant, L 19, Col. 1</v>
      </c>
      <c r="I54" s="14"/>
    </row>
    <row r="55" spans="1:9">
      <c r="A55" s="2">
        <f>A54+1</f>
        <v>16</v>
      </c>
      <c r="B55" s="2"/>
      <c r="C55" t="s">
        <v>228</v>
      </c>
      <c r="E55" s="7">
        <f>'14-IncentivePlant'!E61</f>
        <v>2756592235.1223397</v>
      </c>
      <c r="F55" s="98">
        <f>F26</f>
        <v>1.25</v>
      </c>
      <c r="G55" s="7">
        <f>(E55/1000000)*(F55*$G$17)</f>
        <v>23552495.516529109</v>
      </c>
      <c r="H55" s="46" t="str">
        <f>"14-IncentivePlant, L "&amp;'14-IncentivePlant'!A61&amp;", Col. 1"</f>
        <v>14-IncentivePlant, L 20, Col. 1</v>
      </c>
      <c r="I55" s="14"/>
    </row>
    <row r="56" spans="1:9">
      <c r="A56" s="2">
        <f>A55+1</f>
        <v>17</v>
      </c>
      <c r="B56" s="2"/>
      <c r="C56" s="477" t="s">
        <v>2195</v>
      </c>
      <c r="E56" s="7">
        <f>'14-IncentivePlant'!E62</f>
        <v>697660501.26822519</v>
      </c>
      <c r="F56" s="98">
        <f>F27</f>
        <v>1</v>
      </c>
      <c r="G56" s="7">
        <f>(E56/1000000)*(F56*$G$17)</f>
        <v>4768683.7737755068</v>
      </c>
      <c r="H56" s="46" t="str">
        <f>"14-IncentivePlant, L "&amp;'14-IncentivePlant'!A62&amp;", Col. 1"</f>
        <v>14-IncentivePlant, L 21, Col. 1</v>
      </c>
      <c r="I56" s="14"/>
    </row>
    <row r="57" spans="1:9">
      <c r="A57" s="2">
        <f>A56+1</f>
        <v>18</v>
      </c>
      <c r="B57" s="2"/>
      <c r="C57" s="116"/>
      <c r="D57" s="97"/>
      <c r="H57" s="14"/>
      <c r="I57" s="14"/>
    </row>
    <row r="58" spans="1:9">
      <c r="A58" s="2">
        <f>A57+1</f>
        <v>19</v>
      </c>
      <c r="B58" s="2"/>
      <c r="C58" s="188" t="s">
        <v>510</v>
      </c>
      <c r="H58" s="14"/>
      <c r="I58" s="14"/>
    </row>
    <row r="59" spans="1:9">
      <c r="A59" s="2">
        <f>A58+1</f>
        <v>20</v>
      </c>
      <c r="F59" s="475" t="s">
        <v>1469</v>
      </c>
      <c r="G59" s="7">
        <f>SUM(G54:G57)</f>
        <v>29103495.431197487</v>
      </c>
      <c r="H59" s="476" t="s">
        <v>1673</v>
      </c>
      <c r="I59" s="14"/>
    </row>
    <row r="60" spans="1:9">
      <c r="H60" s="476" t="s">
        <v>1674</v>
      </c>
      <c r="I60" s="63"/>
    </row>
    <row r="61" spans="1:9">
      <c r="B61" s="1" t="s">
        <v>1526</v>
      </c>
    </row>
    <row r="63" spans="1:9">
      <c r="C63" s="1" t="s">
        <v>1527</v>
      </c>
    </row>
    <row r="65" spans="1:7">
      <c r="E65" s="504" t="s">
        <v>10</v>
      </c>
    </row>
    <row r="66" spans="1:7">
      <c r="C66" s="504" t="s">
        <v>8</v>
      </c>
      <c r="E66" s="504" t="s">
        <v>300</v>
      </c>
    </row>
    <row r="67" spans="1:7">
      <c r="A67" s="51" t="s">
        <v>331</v>
      </c>
      <c r="C67" s="3" t="s">
        <v>226</v>
      </c>
      <c r="E67" s="3" t="s">
        <v>3</v>
      </c>
      <c r="F67" s="3" t="s">
        <v>179</v>
      </c>
    </row>
    <row r="68" spans="1:7">
      <c r="A68" s="504">
        <f>A59+1</f>
        <v>21</v>
      </c>
      <c r="C68" t="s">
        <v>227</v>
      </c>
      <c r="E68" s="7">
        <f>'14-IncentivePlant'!G60</f>
        <v>152604253.61173245</v>
      </c>
      <c r="F68" s="476" t="str">
        <f>"14-IncentivePlant, L "&amp;'14-IncentivePlant'!A60&amp;", Col. 3"</f>
        <v>14-IncentivePlant, L 19, Col. 3</v>
      </c>
      <c r="G68" s="14"/>
    </row>
    <row r="69" spans="1:7">
      <c r="A69" s="504">
        <f t="shared" ref="A69:A71" si="0">A68+1</f>
        <v>22</v>
      </c>
      <c r="C69" t="s">
        <v>228</v>
      </c>
      <c r="E69" s="7">
        <f>'14-IncentivePlant'!G61</f>
        <v>2750697473.3677244</v>
      </c>
      <c r="F69" s="476" t="str">
        <f>"14-IncentivePlant, L "&amp;'14-IncentivePlant'!A61&amp;", Col. 3"</f>
        <v>14-IncentivePlant, L 20, Col. 3</v>
      </c>
      <c r="G69" s="14"/>
    </row>
    <row r="70" spans="1:7">
      <c r="A70" s="504">
        <f t="shared" si="0"/>
        <v>23</v>
      </c>
      <c r="C70" s="477" t="s">
        <v>2195</v>
      </c>
      <c r="E70" s="7">
        <f>'14-IncentivePlant'!G62</f>
        <v>697660501.26822519</v>
      </c>
      <c r="F70" s="476" t="str">
        <f>"14-IncentivePlant, L "&amp;'14-IncentivePlant'!A62&amp;", Col. 3"</f>
        <v>14-IncentivePlant, L 21, Col. 3</v>
      </c>
      <c r="G70" s="14"/>
    </row>
    <row r="71" spans="1:7">
      <c r="A71" s="504">
        <f t="shared" si="0"/>
        <v>24</v>
      </c>
      <c r="C71" s="116"/>
      <c r="F71" s="476"/>
      <c r="G71" s="14"/>
    </row>
    <row r="72" spans="1:7">
      <c r="C72" s="505" t="s">
        <v>510</v>
      </c>
      <c r="F72" s="14"/>
      <c r="G72" s="14"/>
    </row>
    <row r="73" spans="1:7">
      <c r="C73" s="505"/>
      <c r="F73" s="14"/>
      <c r="G73" s="14"/>
    </row>
    <row r="74" spans="1:7">
      <c r="C74" s="1" t="s">
        <v>1528</v>
      </c>
      <c r="F74" s="14"/>
      <c r="G74" s="14"/>
    </row>
    <row r="75" spans="1:7">
      <c r="C75" s="1"/>
      <c r="F75" s="14"/>
      <c r="G75" s="14"/>
    </row>
    <row r="76" spans="1:7">
      <c r="E76" s="3" t="s">
        <v>360</v>
      </c>
      <c r="F76" s="125" t="s">
        <v>344</v>
      </c>
      <c r="G76" s="14"/>
    </row>
    <row r="77" spans="1:7">
      <c r="E77" s="3"/>
      <c r="F77" s="111" t="s">
        <v>1529</v>
      </c>
      <c r="G77" s="14"/>
    </row>
    <row r="78" spans="1:7">
      <c r="E78" s="504" t="s">
        <v>281</v>
      </c>
      <c r="F78" s="111" t="s">
        <v>281</v>
      </c>
      <c r="G78" s="14"/>
    </row>
    <row r="79" spans="1:7">
      <c r="C79" s="504" t="s">
        <v>8</v>
      </c>
      <c r="E79" s="504" t="s">
        <v>8</v>
      </c>
      <c r="F79" s="111" t="s">
        <v>8</v>
      </c>
      <c r="G79" s="14"/>
    </row>
    <row r="80" spans="1:7">
      <c r="A80" s="51" t="s">
        <v>331</v>
      </c>
      <c r="C80" s="3" t="s">
        <v>226</v>
      </c>
      <c r="E80" s="3" t="s">
        <v>278</v>
      </c>
      <c r="F80" s="125" t="s">
        <v>278</v>
      </c>
      <c r="G80" s="125" t="s">
        <v>179</v>
      </c>
    </row>
    <row r="81" spans="1:8">
      <c r="A81" s="504">
        <f>A71+1</f>
        <v>25</v>
      </c>
      <c r="C81" t="s">
        <v>227</v>
      </c>
      <c r="E81" s="7">
        <f>(E68/1000000)*(F54*$G$17)</f>
        <v>782316.14089287003</v>
      </c>
      <c r="F81" s="63">
        <f>E81*(1-$G$16)</f>
        <v>563395.92128997284</v>
      </c>
      <c r="G81" s="476" t="s">
        <v>212</v>
      </c>
    </row>
    <row r="82" spans="1:8">
      <c r="A82" s="504">
        <f t="shared" ref="A82:A86" si="1">A81+1</f>
        <v>26</v>
      </c>
      <c r="C82" t="s">
        <v>228</v>
      </c>
      <c r="E82" s="7">
        <f>(E69/1000000)*(F55*$G$17)</f>
        <v>23502130.305444334</v>
      </c>
      <c r="F82" s="63">
        <f>E82*(1-$G$16)</f>
        <v>16925388.169290014</v>
      </c>
      <c r="G82" s="476" t="s">
        <v>212</v>
      </c>
    </row>
    <row r="83" spans="1:8">
      <c r="A83" s="504">
        <f t="shared" si="1"/>
        <v>27</v>
      </c>
      <c r="C83" s="477" t="s">
        <v>2195</v>
      </c>
      <c r="E83" s="7">
        <f>(E70/1000000)*(F56*$G$17)</f>
        <v>4768683.7737755068</v>
      </c>
      <c r="F83" s="63">
        <f>E83*(1-$G$16)</f>
        <v>3434234.3812572644</v>
      </c>
      <c r="G83" s="476" t="s">
        <v>212</v>
      </c>
    </row>
    <row r="84" spans="1:8">
      <c r="A84" s="504">
        <f t="shared" si="1"/>
        <v>28</v>
      </c>
      <c r="C84" s="116"/>
      <c r="E84" s="7"/>
      <c r="F84" s="63"/>
      <c r="G84" s="476" t="s">
        <v>212</v>
      </c>
    </row>
    <row r="85" spans="1:8">
      <c r="A85" s="504">
        <f t="shared" si="1"/>
        <v>29</v>
      </c>
      <c r="C85" s="505" t="s">
        <v>510</v>
      </c>
      <c r="E85" s="7"/>
      <c r="F85" s="63"/>
      <c r="G85" s="14"/>
    </row>
    <row r="86" spans="1:8">
      <c r="A86" s="504">
        <f t="shared" si="1"/>
        <v>30</v>
      </c>
      <c r="E86" s="475" t="s">
        <v>4</v>
      </c>
      <c r="F86" s="63">
        <f>SUM(F81:F85)</f>
        <v>20923018.471837252</v>
      </c>
      <c r="G86" s="14"/>
    </row>
    <row r="87" spans="1:8">
      <c r="F87" s="14"/>
      <c r="G87" s="14"/>
    </row>
    <row r="88" spans="1:8">
      <c r="C88" s="1" t="s">
        <v>1530</v>
      </c>
      <c r="F88" s="14"/>
      <c r="G88" s="14"/>
    </row>
    <row r="89" spans="1:8">
      <c r="A89" s="51" t="s">
        <v>331</v>
      </c>
      <c r="F89" s="125" t="s">
        <v>175</v>
      </c>
      <c r="G89" s="125" t="s">
        <v>179</v>
      </c>
    </row>
    <row r="90" spans="1:8">
      <c r="A90" s="504">
        <f>A86+1</f>
        <v>31</v>
      </c>
      <c r="E90" s="475" t="s">
        <v>1531</v>
      </c>
      <c r="F90" s="63">
        <f>'4-TUTRR'!J29</f>
        <v>5447682122.1937685</v>
      </c>
      <c r="G90" s="476" t="str">
        <f>"4-TUTRR, Line "&amp;'4-TUTRR'!A29&amp;""</f>
        <v>4-TUTRR, Line 18</v>
      </c>
      <c r="H90" s="14"/>
    </row>
    <row r="91" spans="1:8">
      <c r="A91" s="504">
        <f t="shared" ref="A91:A94" si="2">A90+1</f>
        <v>32</v>
      </c>
      <c r="E91" s="475" t="s">
        <v>1532</v>
      </c>
      <c r="F91" s="112">
        <f>'4-TUTRR'!J24</f>
        <v>111914471.08153847</v>
      </c>
      <c r="G91" s="476" t="str">
        <f>"4-TUTRR, Line "&amp;'4-TUTRR'!A24&amp;""</f>
        <v>4-TUTRR, Line 14</v>
      </c>
      <c r="H91" s="14"/>
    </row>
    <row r="92" spans="1:8">
      <c r="A92" s="504">
        <f t="shared" si="2"/>
        <v>33</v>
      </c>
      <c r="E92" s="475" t="s">
        <v>1533</v>
      </c>
      <c r="F92" s="63">
        <f>F90-F91</f>
        <v>5335767651.1122303</v>
      </c>
      <c r="G92" s="114" t="str">
        <f>"Line "&amp;A90&amp;" - Line "&amp;A91&amp;""</f>
        <v>Line 31 - Line 32</v>
      </c>
      <c r="H92" s="14"/>
    </row>
    <row r="93" spans="1:8">
      <c r="A93" s="504">
        <f t="shared" si="2"/>
        <v>34</v>
      </c>
      <c r="E93" s="475" t="s">
        <v>1534</v>
      </c>
      <c r="F93" s="67">
        <f>'1-BaseTRR'!K80</f>
        <v>0.49225008080784638</v>
      </c>
      <c r="G93" s="476" t="str">
        <f>"1-BaseTRR, Line "&amp;'1-BaseTRR'!A80&amp;""</f>
        <v>1-BaseTRR, Line 47</v>
      </c>
      <c r="H93" s="14"/>
    </row>
    <row r="94" spans="1:8">
      <c r="A94" s="504">
        <f t="shared" si="2"/>
        <v>35</v>
      </c>
      <c r="E94" s="475" t="s">
        <v>1535</v>
      </c>
      <c r="F94" s="7">
        <f>F92*F93</f>
        <v>2626532057.4318881</v>
      </c>
      <c r="G94" s="114" t="str">
        <f>"Line "&amp;A92&amp;" * Line "&amp;A93&amp;""</f>
        <v>Line 33 * Line 34</v>
      </c>
      <c r="H94" s="14"/>
    </row>
    <row r="96" spans="1:8">
      <c r="C96" s="1" t="s">
        <v>1536</v>
      </c>
    </row>
    <row r="97" spans="1:9">
      <c r="A97" s="51" t="s">
        <v>331</v>
      </c>
    </row>
    <row r="98" spans="1:9">
      <c r="A98" s="504">
        <f>A94+1</f>
        <v>36</v>
      </c>
      <c r="E98" s="475" t="s">
        <v>1537</v>
      </c>
      <c r="F98" s="42">
        <f>F86/F94</f>
        <v>7.9660244056929171E-3</v>
      </c>
      <c r="G98" s="114" t="str">
        <f>"Line "&amp;A86&amp;" / Line "&amp;A94&amp;""</f>
        <v>Line 30 / Line 35</v>
      </c>
      <c r="H98" s="14"/>
    </row>
    <row r="99" spans="1:9">
      <c r="A99" s="504">
        <f t="shared" ref="A99:A101" si="3">A98+1</f>
        <v>37</v>
      </c>
      <c r="E99" s="475" t="s">
        <v>1538</v>
      </c>
      <c r="G99" s="14"/>
      <c r="H99" s="14"/>
    </row>
    <row r="100" spans="1:9">
      <c r="A100" s="504">
        <f t="shared" si="3"/>
        <v>38</v>
      </c>
      <c r="E100" s="475" t="s">
        <v>1539</v>
      </c>
      <c r="F100" s="506">
        <f>'1-BaseTRR'!K85</f>
        <v>0.1762</v>
      </c>
      <c r="G100" s="476" t="str">
        <f>"1-BaseTRR, Line "&amp;'1-BaseTRR'!A85&amp;""</f>
        <v>1-BaseTRR, Line 50</v>
      </c>
      <c r="H100" s="14"/>
      <c r="I100" s="14"/>
    </row>
    <row r="101" spans="1:9">
      <c r="A101" s="504">
        <f t="shared" si="3"/>
        <v>39</v>
      </c>
      <c r="E101" s="475" t="s">
        <v>1540</v>
      </c>
      <c r="F101" s="42">
        <f>F98+F100</f>
        <v>0.18416602440569291</v>
      </c>
      <c r="G101" s="114" t="str">
        <f>"Line "&amp;A98&amp;" + Line "&amp;A100&amp;""</f>
        <v>Line 36 + Line 38</v>
      </c>
      <c r="H101" s="14"/>
      <c r="I101" s="14"/>
    </row>
    <row r="102" spans="1:9">
      <c r="G102" s="14"/>
      <c r="H102" s="14"/>
      <c r="I102" s="14"/>
    </row>
    <row r="103" spans="1:9">
      <c r="B103" s="1" t="s">
        <v>379</v>
      </c>
    </row>
    <row r="104" spans="1:9">
      <c r="B104" s="477" t="s">
        <v>533</v>
      </c>
    </row>
    <row r="105" spans="1:9">
      <c r="B105" s="477" t="s">
        <v>534</v>
      </c>
    </row>
    <row r="107" spans="1:9">
      <c r="B107" s="1" t="s">
        <v>232</v>
      </c>
    </row>
    <row r="108" spans="1:9">
      <c r="B108" s="479" t="str">
        <f>"1) Column 1: The True Up Incentive Adder for each Incentive Project equals the IREF on Line "&amp;A17&amp;","</f>
        <v>1) Column 1: The True Up Incentive Adder for each Incentive Project equals the IREF on Line 3,</v>
      </c>
    </row>
    <row r="109" spans="1:9">
      <c r="B109" s="479" t="str">
        <f>"times the applicable Multiplicative Factor on Lines "&amp;A54&amp;" to "&amp;A57&amp;", times the million $ of"</f>
        <v>times the applicable Multiplicative Factor on Lines 15 to 18, times the million $ of</v>
      </c>
    </row>
    <row r="110" spans="1:9">
      <c r="B110" s="479" t="str">
        <f>"TIP Net Plant In Service on Lines "&amp;A68&amp;" to "&amp;A71&amp;"."</f>
        <v>TIP Net Plant In Service on Lines 21 to 24.</v>
      </c>
    </row>
    <row r="111" spans="1:9">
      <c r="B111" s="479" t="s">
        <v>1541</v>
      </c>
    </row>
    <row r="112" spans="1:9">
      <c r="B112" s="479" t="str">
        <f>"Column 1 by (1 - CTR) (Where the CTR is on Line "&amp;A16&amp;")."</f>
        <v>Column 1 by (1 - CTR) (Where the CTR is on Line 2).</v>
      </c>
    </row>
  </sheetData>
  <phoneticPr fontId="22" type="noConversion"/>
  <pageMargins left="0.75" right="0.75" top="1" bottom="1" header="0.5" footer="0.5"/>
  <pageSetup scale="75" orientation="portrait" cellComments="asDisplayed" r:id="rId1"/>
  <headerFooter alignWithMargins="0">
    <oddHeader>&amp;CSchedule 15
Incentive Adders
&amp;RExhibit SCE-4
TO2019A Formula Rate Spreadsheet</oddHeader>
    <oddFooter>&amp;R&amp;A</oddFooter>
  </headerFooter>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Normal="100" workbookViewId="0"/>
  </sheetViews>
  <sheetFormatPr defaultColWidth="9.109375" defaultRowHeight="13.2"/>
  <cols>
    <col min="1" max="1" width="4.6640625" style="640" customWidth="1"/>
    <col min="2" max="2" width="6" style="640" customWidth="1"/>
    <col min="3" max="3" width="15.6640625" style="640" customWidth="1"/>
    <col min="4" max="4" width="9.109375" style="640" customWidth="1"/>
    <col min="5" max="6" width="14.6640625" style="640" customWidth="1"/>
    <col min="7" max="7" width="16" style="640" bestFit="1" customWidth="1"/>
    <col min="8" max="8" width="18.33203125" style="640" customWidth="1"/>
    <col min="9" max="10" width="15.6640625" style="640" customWidth="1"/>
    <col min="11" max="11" width="16.88671875" style="640" customWidth="1"/>
    <col min="12" max="16" width="15.6640625" style="640" customWidth="1"/>
    <col min="17" max="17" width="2.88671875" style="640" customWidth="1"/>
    <col min="18" max="21" width="18.6640625" style="640" customWidth="1"/>
    <col min="22" max="22" width="15.6640625" style="640" customWidth="1"/>
    <col min="23" max="23" width="20.88671875" style="640" bestFit="1" customWidth="1"/>
    <col min="24" max="40" width="15.6640625" style="640" customWidth="1"/>
    <col min="41" max="16384" width="9.109375" style="640"/>
  </cols>
  <sheetData>
    <row r="1" spans="1:40">
      <c r="A1" s="603" t="s">
        <v>1440</v>
      </c>
    </row>
    <row r="2" spans="1:40">
      <c r="F2" s="641" t="s">
        <v>350</v>
      </c>
      <c r="G2" s="641"/>
    </row>
    <row r="3" spans="1:40">
      <c r="B3" s="604" t="s">
        <v>1441</v>
      </c>
    </row>
    <row r="4" spans="1:40">
      <c r="B4" s="604" t="s">
        <v>1969</v>
      </c>
    </row>
    <row r="5" spans="1:40">
      <c r="B5" s="604" t="s">
        <v>1970</v>
      </c>
    </row>
    <row r="6" spans="1:40">
      <c r="B6" s="604"/>
    </row>
    <row r="7" spans="1:40">
      <c r="B7" s="603" t="s">
        <v>1971</v>
      </c>
      <c r="H7" s="604"/>
      <c r="I7" s="604"/>
    </row>
    <row r="8" spans="1:40">
      <c r="B8" s="604"/>
      <c r="E8" s="642" t="s">
        <v>360</v>
      </c>
      <c r="F8" s="642" t="s">
        <v>344</v>
      </c>
      <c r="G8" s="642" t="s">
        <v>345</v>
      </c>
      <c r="H8" s="642" t="s">
        <v>346</v>
      </c>
      <c r="I8" s="642" t="s">
        <v>347</v>
      </c>
      <c r="J8" s="642" t="s">
        <v>348</v>
      </c>
      <c r="K8" s="642" t="s">
        <v>349</v>
      </c>
      <c r="L8" s="642" t="s">
        <v>541</v>
      </c>
      <c r="M8" s="642" t="s">
        <v>958</v>
      </c>
      <c r="N8" s="642" t="s">
        <v>971</v>
      </c>
      <c r="O8" s="642" t="s">
        <v>974</v>
      </c>
      <c r="P8" s="642" t="s">
        <v>992</v>
      </c>
      <c r="T8" s="642"/>
      <c r="U8" s="642"/>
      <c r="X8" s="643"/>
      <c r="Y8" s="643"/>
      <c r="Z8" s="643"/>
      <c r="AA8" s="643"/>
      <c r="AB8" s="643"/>
      <c r="AC8" s="643"/>
      <c r="AD8" s="643"/>
      <c r="AE8" s="643"/>
      <c r="AF8" s="643"/>
      <c r="AG8" s="643"/>
      <c r="AH8" s="643"/>
      <c r="AI8" s="643"/>
      <c r="AJ8" s="643"/>
      <c r="AK8" s="643"/>
      <c r="AL8" s="643"/>
      <c r="AM8" s="643"/>
      <c r="AN8" s="643"/>
    </row>
    <row r="9" spans="1:40">
      <c r="B9" s="604"/>
      <c r="E9" s="1280" t="s">
        <v>211</v>
      </c>
      <c r="F9" s="1280" t="s">
        <v>211</v>
      </c>
      <c r="G9" s="1280" t="s">
        <v>211</v>
      </c>
      <c r="H9" s="1280" t="s">
        <v>211</v>
      </c>
      <c r="I9" s="1280" t="s">
        <v>211</v>
      </c>
      <c r="J9" s="1280" t="s">
        <v>211</v>
      </c>
      <c r="K9" s="1280" t="s">
        <v>211</v>
      </c>
      <c r="L9" s="1280" t="s">
        <v>211</v>
      </c>
      <c r="M9" s="1280" t="s">
        <v>211</v>
      </c>
      <c r="N9" s="1280" t="s">
        <v>211</v>
      </c>
      <c r="O9" s="1280" t="s">
        <v>211</v>
      </c>
      <c r="P9" s="1280" t="s">
        <v>211</v>
      </c>
      <c r="Q9" s="645"/>
    </row>
    <row r="10" spans="1:40">
      <c r="C10" s="646" t="s">
        <v>198</v>
      </c>
      <c r="E10" s="646" t="s">
        <v>1937</v>
      </c>
      <c r="F10" s="646"/>
      <c r="G10" s="646"/>
      <c r="H10" s="647"/>
      <c r="I10" s="647" t="s">
        <v>1922</v>
      </c>
      <c r="J10" s="647"/>
      <c r="K10" s="647"/>
      <c r="L10" s="647"/>
      <c r="M10" s="647"/>
      <c r="O10" s="646" t="s">
        <v>1937</v>
      </c>
      <c r="P10" s="646" t="s">
        <v>1972</v>
      </c>
      <c r="T10" s="647"/>
      <c r="U10" s="647"/>
      <c r="X10" s="647"/>
      <c r="Y10" s="647"/>
      <c r="Z10" s="647"/>
      <c r="AA10" s="647"/>
      <c r="AB10" s="647"/>
      <c r="AC10" s="647"/>
      <c r="AD10" s="647"/>
      <c r="AE10" s="647"/>
      <c r="AF10" s="647"/>
      <c r="AG10" s="647"/>
      <c r="AH10" s="647"/>
      <c r="AI10" s="647"/>
      <c r="AJ10" s="647"/>
      <c r="AK10" s="647"/>
      <c r="AL10" s="647"/>
      <c r="AM10" s="647"/>
      <c r="AN10" s="647"/>
    </row>
    <row r="11" spans="1:40">
      <c r="B11" s="603"/>
      <c r="C11" s="646" t="s">
        <v>199</v>
      </c>
      <c r="E11" s="646" t="s">
        <v>196</v>
      </c>
      <c r="F11" s="646" t="s">
        <v>1939</v>
      </c>
      <c r="G11" s="647" t="s">
        <v>1940</v>
      </c>
      <c r="H11" s="647" t="s">
        <v>1923</v>
      </c>
      <c r="I11" s="647" t="s">
        <v>1973</v>
      </c>
      <c r="J11" s="647"/>
      <c r="K11" s="647" t="s">
        <v>298</v>
      </c>
      <c r="L11" s="647" t="s">
        <v>1090</v>
      </c>
      <c r="M11" s="647" t="s">
        <v>298</v>
      </c>
      <c r="O11" s="647" t="s">
        <v>1624</v>
      </c>
      <c r="P11" s="647" t="s">
        <v>1624</v>
      </c>
      <c r="T11" s="647"/>
      <c r="U11" s="647"/>
      <c r="X11" s="647"/>
      <c r="Y11" s="647"/>
      <c r="Z11" s="647"/>
      <c r="AA11" s="647"/>
      <c r="AB11" s="647"/>
      <c r="AC11" s="647"/>
      <c r="AD11" s="647"/>
      <c r="AE11" s="647"/>
      <c r="AF11" s="647"/>
      <c r="AG11" s="647"/>
      <c r="AH11" s="647"/>
      <c r="AI11" s="647"/>
      <c r="AJ11" s="647"/>
      <c r="AK11" s="647"/>
      <c r="AL11" s="647"/>
      <c r="AM11" s="647"/>
      <c r="AN11" s="647"/>
    </row>
    <row r="12" spans="1:40">
      <c r="A12" s="648" t="s">
        <v>331</v>
      </c>
      <c r="C12" s="630" t="s">
        <v>192</v>
      </c>
      <c r="D12" s="630" t="s">
        <v>193</v>
      </c>
      <c r="E12" s="643" t="s">
        <v>1943</v>
      </c>
      <c r="F12" s="643" t="s">
        <v>1944</v>
      </c>
      <c r="G12" s="649" t="s">
        <v>1945</v>
      </c>
      <c r="H12" s="649" t="s">
        <v>1024</v>
      </c>
      <c r="I12" s="649" t="s">
        <v>1010</v>
      </c>
      <c r="J12" s="649" t="s">
        <v>1922</v>
      </c>
      <c r="K12" s="649" t="s">
        <v>462</v>
      </c>
      <c r="L12" s="649" t="s">
        <v>1928</v>
      </c>
      <c r="M12" s="649" t="s">
        <v>1331</v>
      </c>
      <c r="N12" s="649" t="s">
        <v>1002</v>
      </c>
      <c r="O12" s="649" t="s">
        <v>1010</v>
      </c>
      <c r="P12" s="649" t="s">
        <v>1010</v>
      </c>
      <c r="T12" s="649"/>
      <c r="U12" s="649"/>
      <c r="V12" s="649"/>
      <c r="W12" s="649"/>
      <c r="X12" s="649"/>
      <c r="Y12" s="649"/>
      <c r="Z12" s="649"/>
      <c r="AA12" s="649"/>
      <c r="AB12" s="649"/>
      <c r="AC12" s="649"/>
      <c r="AD12" s="649"/>
      <c r="AE12" s="649"/>
      <c r="AF12" s="649"/>
      <c r="AG12" s="649"/>
      <c r="AH12" s="649"/>
      <c r="AI12" s="649"/>
      <c r="AJ12" s="649"/>
      <c r="AK12" s="649"/>
      <c r="AL12" s="649"/>
      <c r="AM12" s="649"/>
      <c r="AN12" s="649"/>
    </row>
    <row r="13" spans="1:40">
      <c r="A13" s="646">
        <v>1</v>
      </c>
      <c r="C13" s="640" t="str">
        <f>C45</f>
        <v>January</v>
      </c>
      <c r="D13" s="869">
        <v>2018</v>
      </c>
      <c r="E13" s="601">
        <f t="shared" ref="E13:P13" si="0">E45+E76</f>
        <v>19115721.483348168</v>
      </c>
      <c r="F13" s="601">
        <f t="shared" si="0"/>
        <v>4132900.7188666994</v>
      </c>
      <c r="G13" s="601">
        <f t="shared" si="0"/>
        <v>1123711.5573361099</v>
      </c>
      <c r="H13" s="601">
        <f t="shared" si="0"/>
        <v>1207777.3530670062</v>
      </c>
      <c r="I13" s="601">
        <f t="shared" si="0"/>
        <v>13889439.56027057</v>
      </c>
      <c r="J13" s="601">
        <f t="shared" si="0"/>
        <v>416683.18680811708</v>
      </c>
      <c r="K13" s="601">
        <f t="shared" si="0"/>
        <v>19448338.874425389</v>
      </c>
      <c r="L13" s="601">
        <f t="shared" si="0"/>
        <v>0</v>
      </c>
      <c r="M13" s="601">
        <f>M45+M76</f>
        <v>-1207777.3530670062</v>
      </c>
      <c r="N13" s="601">
        <f t="shared" si="0"/>
        <v>20656116.227492392</v>
      </c>
      <c r="O13" s="601">
        <f t="shared" si="0"/>
        <v>548711.21166591009</v>
      </c>
      <c r="P13" s="601">
        <f t="shared" si="0"/>
        <v>557819.81777956418</v>
      </c>
      <c r="T13" s="650"/>
      <c r="U13" s="650"/>
      <c r="V13" s="651"/>
      <c r="W13" s="650"/>
      <c r="X13" s="652"/>
      <c r="Y13" s="489"/>
      <c r="Z13" s="650"/>
      <c r="AA13" s="650"/>
      <c r="AB13" s="650"/>
      <c r="AC13" s="650"/>
      <c r="AD13" s="650"/>
      <c r="AE13" s="650"/>
      <c r="AF13" s="650"/>
      <c r="AG13" s="650"/>
      <c r="AH13" s="650"/>
      <c r="AI13" s="650"/>
      <c r="AJ13" s="650"/>
      <c r="AK13" s="650"/>
      <c r="AL13" s="650"/>
      <c r="AM13" s="650"/>
      <c r="AN13" s="650"/>
    </row>
    <row r="14" spans="1:40">
      <c r="A14" s="646">
        <f>A13+1</f>
        <v>2</v>
      </c>
      <c r="C14" s="640" t="str">
        <f t="shared" ref="C14:C29" si="1">C46</f>
        <v>February</v>
      </c>
      <c r="D14" s="869">
        <v>2018</v>
      </c>
      <c r="E14" s="601">
        <f t="shared" ref="E14:P14" si="2">E46+E77</f>
        <v>15694354.861748166</v>
      </c>
      <c r="F14" s="601">
        <f t="shared" si="2"/>
        <v>34483.771666699831</v>
      </c>
      <c r="G14" s="601">
        <f t="shared" si="2"/>
        <v>1174490.3317561098</v>
      </c>
      <c r="H14" s="601">
        <f t="shared" si="2"/>
        <v>1207777.3530670062</v>
      </c>
      <c r="I14" s="601">
        <f t="shared" si="2"/>
        <v>13889439.56027057</v>
      </c>
      <c r="J14" s="601">
        <f t="shared" si="2"/>
        <v>416683.18680811708</v>
      </c>
      <c r="K14" s="601">
        <f t="shared" si="2"/>
        <v>35526089.901670769</v>
      </c>
      <c r="L14" s="601">
        <f t="shared" si="2"/>
        <v>44338.926534593978</v>
      </c>
      <c r="M14" s="601">
        <f t="shared" si="2"/>
        <v>-2371215.7795994179</v>
      </c>
      <c r="N14" s="601">
        <f t="shared" si="2"/>
        <v>37897305.68127019</v>
      </c>
      <c r="O14" s="601">
        <f t="shared" si="2"/>
        <v>1097422.4233318202</v>
      </c>
      <c r="P14" s="601">
        <f t="shared" si="2"/>
        <v>1115639.6355591284</v>
      </c>
      <c r="T14" s="650"/>
      <c r="U14" s="650"/>
      <c r="V14" s="651"/>
      <c r="W14" s="650"/>
      <c r="X14" s="652"/>
      <c r="Y14" s="489"/>
      <c r="Z14" s="650"/>
      <c r="AA14" s="650"/>
      <c r="AB14" s="650"/>
      <c r="AC14" s="650"/>
      <c r="AD14" s="650"/>
      <c r="AE14" s="650"/>
      <c r="AF14" s="650"/>
      <c r="AG14" s="650"/>
      <c r="AH14" s="650"/>
      <c r="AI14" s="650"/>
      <c r="AJ14" s="650"/>
      <c r="AK14" s="650"/>
      <c r="AL14" s="650"/>
      <c r="AM14" s="650"/>
      <c r="AN14" s="650"/>
    </row>
    <row r="15" spans="1:40">
      <c r="A15" s="646">
        <f t="shared" ref="A15:A37" si="3">A14+1</f>
        <v>3</v>
      </c>
      <c r="C15" s="640" t="str">
        <f t="shared" si="1"/>
        <v>March</v>
      </c>
      <c r="D15" s="869">
        <v>2018</v>
      </c>
      <c r="E15" s="601">
        <f t="shared" ref="E15:P15" si="4">E47+E78</f>
        <v>15102583.172948163</v>
      </c>
      <c r="F15" s="601">
        <f t="shared" si="4"/>
        <v>34483.771666699831</v>
      </c>
      <c r="G15" s="601">
        <f t="shared" si="4"/>
        <v>1130107.4550961098</v>
      </c>
      <c r="H15" s="601">
        <f t="shared" si="4"/>
        <v>1207777.353067006</v>
      </c>
      <c r="I15" s="601">
        <f t="shared" si="4"/>
        <v>13889439.560270566</v>
      </c>
      <c r="J15" s="601">
        <f t="shared" si="4"/>
        <v>416683.18680811697</v>
      </c>
      <c r="K15" s="601">
        <f t="shared" si="4"/>
        <v>50967686.363456152</v>
      </c>
      <c r="L15" s="601">
        <f t="shared" si="4"/>
        <v>80993.482290816028</v>
      </c>
      <c r="M15" s="601">
        <f t="shared" si="4"/>
        <v>-3497999.6503756079</v>
      </c>
      <c r="N15" s="601">
        <f t="shared" si="4"/>
        <v>54465686.013831764</v>
      </c>
      <c r="O15" s="601">
        <f t="shared" si="4"/>
        <v>1646133.6349977306</v>
      </c>
      <c r="P15" s="601">
        <f t="shared" si="4"/>
        <v>1673459.4533386929</v>
      </c>
      <c r="T15" s="650"/>
      <c r="U15" s="650"/>
      <c r="V15" s="651"/>
      <c r="W15" s="650"/>
      <c r="X15" s="652"/>
      <c r="Y15" s="489"/>
      <c r="Z15" s="650"/>
      <c r="AA15" s="650"/>
      <c r="AB15" s="650"/>
      <c r="AC15" s="650"/>
      <c r="AD15" s="650"/>
      <c r="AE15" s="650"/>
      <c r="AF15" s="650"/>
      <c r="AG15" s="650"/>
      <c r="AH15" s="650"/>
      <c r="AI15" s="650"/>
      <c r="AJ15" s="650"/>
      <c r="AK15" s="650"/>
      <c r="AL15" s="650"/>
      <c r="AM15" s="650"/>
      <c r="AN15" s="650"/>
    </row>
    <row r="16" spans="1:40">
      <c r="A16" s="646">
        <f t="shared" si="3"/>
        <v>4</v>
      </c>
      <c r="C16" s="640" t="str">
        <f t="shared" si="1"/>
        <v>April</v>
      </c>
      <c r="D16" s="869">
        <v>2018</v>
      </c>
      <c r="E16" s="601">
        <f t="shared" ref="E16:P16" si="5">E48+E79</f>
        <v>17901937.221748173</v>
      </c>
      <c r="F16" s="601">
        <f t="shared" si="5"/>
        <v>2637999.5116667021</v>
      </c>
      <c r="G16" s="601">
        <f t="shared" si="5"/>
        <v>1144795.3282561102</v>
      </c>
      <c r="H16" s="601">
        <f t="shared" si="5"/>
        <v>1302700.7130670066</v>
      </c>
      <c r="I16" s="601">
        <f t="shared" si="5"/>
        <v>14981058.200270575</v>
      </c>
      <c r="J16" s="601">
        <f t="shared" si="5"/>
        <v>449431.74600811722</v>
      </c>
      <c r="K16" s="601">
        <f t="shared" si="5"/>
        <v>69161149.946401551</v>
      </c>
      <c r="L16" s="601">
        <f t="shared" si="5"/>
        <v>116197.71312598945</v>
      </c>
      <c r="M16" s="601">
        <f t="shared" si="5"/>
        <v>-4684502.6503166249</v>
      </c>
      <c r="N16" s="601">
        <f t="shared" si="5"/>
        <v>73845652.596718177</v>
      </c>
      <c r="O16" s="601">
        <f t="shared" si="5"/>
        <v>2194844.8466636403</v>
      </c>
      <c r="P16" s="601">
        <f t="shared" si="5"/>
        <v>2231279.2711182567</v>
      </c>
      <c r="T16" s="650"/>
      <c r="U16" s="650"/>
      <c r="V16" s="651"/>
      <c r="W16" s="650"/>
      <c r="X16" s="652"/>
      <c r="Y16" s="489"/>
      <c r="Z16" s="650"/>
      <c r="AA16" s="650"/>
      <c r="AB16" s="650"/>
      <c r="AC16" s="650"/>
      <c r="AD16" s="650"/>
      <c r="AE16" s="650"/>
      <c r="AF16" s="650"/>
      <c r="AG16" s="650"/>
      <c r="AH16" s="650"/>
      <c r="AI16" s="650"/>
      <c r="AJ16" s="650"/>
      <c r="AK16" s="650"/>
      <c r="AL16" s="650"/>
      <c r="AM16" s="650"/>
      <c r="AN16" s="650"/>
    </row>
    <row r="17" spans="1:40">
      <c r="A17" s="646">
        <f t="shared" si="3"/>
        <v>5</v>
      </c>
      <c r="C17" s="640" t="str">
        <f t="shared" si="1"/>
        <v>May</v>
      </c>
      <c r="D17" s="869">
        <v>2018</v>
      </c>
      <c r="E17" s="601">
        <f t="shared" ref="E17:P17" si="6">E49+E80</f>
        <v>14864406.481748156</v>
      </c>
      <c r="F17" s="601">
        <f t="shared" si="6"/>
        <v>34483.771666699831</v>
      </c>
      <c r="G17" s="601">
        <f t="shared" si="6"/>
        <v>1112244.2032561093</v>
      </c>
      <c r="H17" s="601">
        <f t="shared" si="6"/>
        <v>1207777.3530670053</v>
      </c>
      <c r="I17" s="601">
        <f t="shared" si="6"/>
        <v>13889439.560270561</v>
      </c>
      <c r="J17" s="601">
        <f t="shared" si="6"/>
        <v>416683.18680811679</v>
      </c>
      <c r="K17" s="601">
        <f t="shared" si="6"/>
        <v>84346706.465146929</v>
      </c>
      <c r="L17" s="601">
        <f t="shared" si="6"/>
        <v>157675.73602669136</v>
      </c>
      <c r="M17" s="601">
        <f t="shared" si="6"/>
        <v>-5734604.2673569387</v>
      </c>
      <c r="N17" s="601">
        <f t="shared" si="6"/>
        <v>90081310.732503876</v>
      </c>
      <c r="O17" s="601">
        <f t="shared" si="6"/>
        <v>2743556.0583295505</v>
      </c>
      <c r="P17" s="601">
        <f t="shared" si="6"/>
        <v>2789099.0888978215</v>
      </c>
      <c r="T17" s="650"/>
      <c r="U17" s="650"/>
      <c r="V17" s="651"/>
      <c r="W17" s="650"/>
      <c r="X17" s="652"/>
      <c r="Y17" s="489"/>
      <c r="Z17" s="650"/>
      <c r="AA17" s="650"/>
      <c r="AB17" s="650"/>
      <c r="AC17" s="650"/>
      <c r="AD17" s="650"/>
      <c r="AE17" s="650"/>
      <c r="AF17" s="650"/>
      <c r="AG17" s="650"/>
      <c r="AH17" s="650"/>
      <c r="AI17" s="650"/>
      <c r="AJ17" s="650"/>
      <c r="AK17" s="650"/>
      <c r="AL17" s="650"/>
      <c r="AM17" s="650"/>
      <c r="AN17" s="650"/>
    </row>
    <row r="18" spans="1:40">
      <c r="A18" s="646">
        <f t="shared" si="3"/>
        <v>6</v>
      </c>
      <c r="C18" s="640" t="str">
        <f t="shared" si="1"/>
        <v xml:space="preserve">June </v>
      </c>
      <c r="D18" s="869">
        <v>2018</v>
      </c>
      <c r="E18" s="601">
        <f t="shared" ref="E18:P18" si="7">E50+E81</f>
        <v>95174450.235248148</v>
      </c>
      <c r="F18" s="601">
        <f t="shared" si="7"/>
        <v>74323797.995166689</v>
      </c>
      <c r="G18" s="601">
        <f t="shared" si="7"/>
        <v>1563798.9180061091</v>
      </c>
      <c r="H18" s="601">
        <f t="shared" si="7"/>
        <v>1710354.262367005</v>
      </c>
      <c r="I18" s="601">
        <f t="shared" si="7"/>
        <v>19669074.017220557</v>
      </c>
      <c r="J18" s="601">
        <f t="shared" si="7"/>
        <v>590072.22051661671</v>
      </c>
      <c r="K18" s="601">
        <f t="shared" si="7"/>
        <v>179964673.57655081</v>
      </c>
      <c r="L18" s="601">
        <f t="shared" si="7"/>
        <v>192296.239053661</v>
      </c>
      <c r="M18" s="601">
        <f t="shared" si="7"/>
        <v>-7252662.2906702831</v>
      </c>
      <c r="N18" s="601">
        <f t="shared" si="7"/>
        <v>187217335.86722109</v>
      </c>
      <c r="O18" s="601">
        <f t="shared" si="7"/>
        <v>4770684.5199954603</v>
      </c>
      <c r="P18" s="601">
        <f t="shared" si="7"/>
        <v>4849877.883027385</v>
      </c>
      <c r="T18" s="650"/>
      <c r="U18" s="650"/>
      <c r="V18" s="651"/>
      <c r="W18" s="650"/>
      <c r="X18" s="652"/>
      <c r="Y18" s="489"/>
      <c r="Z18" s="650"/>
      <c r="AA18" s="650"/>
      <c r="AB18" s="650"/>
      <c r="AC18" s="650"/>
      <c r="AD18" s="650"/>
      <c r="AE18" s="650"/>
      <c r="AF18" s="650"/>
      <c r="AG18" s="650"/>
      <c r="AH18" s="650"/>
      <c r="AI18" s="650"/>
      <c r="AJ18" s="650"/>
      <c r="AK18" s="650"/>
      <c r="AL18" s="650"/>
      <c r="AM18" s="650"/>
      <c r="AN18" s="650"/>
    </row>
    <row r="19" spans="1:40">
      <c r="A19" s="646">
        <f t="shared" si="3"/>
        <v>7</v>
      </c>
      <c r="C19" s="640" t="str">
        <f t="shared" si="1"/>
        <v>July</v>
      </c>
      <c r="D19" s="869">
        <v>2018</v>
      </c>
      <c r="E19" s="601">
        <f t="shared" ref="E19:P19" si="8">E51+E82</f>
        <v>14713160.431748182</v>
      </c>
      <c r="F19" s="601">
        <f t="shared" si="8"/>
        <v>70911.721666699828</v>
      </c>
      <c r="G19" s="601">
        <f t="shared" si="8"/>
        <v>1098168.6532561111</v>
      </c>
      <c r="H19" s="601">
        <f t="shared" si="8"/>
        <v>1212077.3530670076</v>
      </c>
      <c r="I19" s="601">
        <f t="shared" si="8"/>
        <v>13938889.560270587</v>
      </c>
      <c r="J19" s="601">
        <f t="shared" si="8"/>
        <v>418166.68680811761</v>
      </c>
      <c r="K19" s="601">
        <f t="shared" si="8"/>
        <v>194982091.99529618</v>
      </c>
      <c r="L19" s="601">
        <f t="shared" si="8"/>
        <v>410289.04792613705</v>
      </c>
      <c r="M19" s="601">
        <f t="shared" si="8"/>
        <v>-8054450.5958111538</v>
      </c>
      <c r="N19" s="601">
        <f t="shared" si="8"/>
        <v>203036542.59110734</v>
      </c>
      <c r="O19" s="601">
        <f t="shared" si="8"/>
        <v>5319395.731661371</v>
      </c>
      <c r="P19" s="601">
        <f t="shared" si="8"/>
        <v>5407697.7008069502</v>
      </c>
      <c r="T19" s="650"/>
      <c r="U19" s="650"/>
      <c r="V19" s="651"/>
      <c r="W19" s="650"/>
      <c r="X19" s="652"/>
      <c r="Y19" s="489"/>
      <c r="Z19" s="650"/>
      <c r="AA19" s="650"/>
      <c r="AB19" s="650"/>
      <c r="AC19" s="650"/>
      <c r="AD19" s="650"/>
      <c r="AE19" s="650"/>
      <c r="AF19" s="650"/>
      <c r="AG19" s="650"/>
      <c r="AH19" s="650"/>
      <c r="AI19" s="650"/>
      <c r="AJ19" s="650"/>
      <c r="AK19" s="650"/>
      <c r="AL19" s="650"/>
      <c r="AM19" s="650"/>
      <c r="AN19" s="650"/>
    </row>
    <row r="20" spans="1:40">
      <c r="A20" s="646">
        <f t="shared" si="3"/>
        <v>8</v>
      </c>
      <c r="C20" s="640" t="str">
        <f t="shared" si="1"/>
        <v>August</v>
      </c>
      <c r="D20" s="869">
        <v>2018</v>
      </c>
      <c r="E20" s="601">
        <f t="shared" ref="E20:P20" si="9">E52+E83</f>
        <v>14376069.481748164</v>
      </c>
      <c r="F20" s="601">
        <f t="shared" si="9"/>
        <v>34483.771666699831</v>
      </c>
      <c r="G20" s="601">
        <f t="shared" si="9"/>
        <v>1075618.9282561098</v>
      </c>
      <c r="H20" s="601">
        <f t="shared" si="9"/>
        <v>1207777.353067006</v>
      </c>
      <c r="I20" s="601">
        <f t="shared" si="9"/>
        <v>13889439.560270566</v>
      </c>
      <c r="J20" s="601">
        <f t="shared" si="9"/>
        <v>416683.18680811697</v>
      </c>
      <c r="K20" s="601">
        <f t="shared" si="9"/>
        <v>209642686.23904157</v>
      </c>
      <c r="L20" s="601">
        <f t="shared" si="9"/>
        <v>444526.22449465172</v>
      </c>
      <c r="M20" s="601">
        <f t="shared" si="9"/>
        <v>-8817701.7243835069</v>
      </c>
      <c r="N20" s="601">
        <f t="shared" si="9"/>
        <v>218460387.96342507</v>
      </c>
      <c r="O20" s="601">
        <f t="shared" si="9"/>
        <v>5868106.9433272807</v>
      </c>
      <c r="P20" s="601">
        <f t="shared" si="9"/>
        <v>5965517.5185865136</v>
      </c>
      <c r="T20" s="650"/>
      <c r="U20" s="650"/>
      <c r="V20" s="651"/>
      <c r="W20" s="650"/>
      <c r="X20" s="652"/>
      <c r="Y20" s="489"/>
      <c r="Z20" s="650"/>
      <c r="AA20" s="650"/>
      <c r="AB20" s="650"/>
      <c r="AC20" s="650"/>
      <c r="AD20" s="650"/>
      <c r="AE20" s="650"/>
      <c r="AF20" s="650"/>
      <c r="AG20" s="650"/>
      <c r="AH20" s="650"/>
      <c r="AI20" s="650"/>
      <c r="AJ20" s="650"/>
      <c r="AK20" s="650"/>
      <c r="AL20" s="650"/>
      <c r="AM20" s="650"/>
      <c r="AN20" s="650"/>
    </row>
    <row r="21" spans="1:40">
      <c r="A21" s="646">
        <f t="shared" si="3"/>
        <v>9</v>
      </c>
      <c r="C21" s="640" t="str">
        <f t="shared" si="1"/>
        <v>September</v>
      </c>
      <c r="D21" s="869">
        <v>2018</v>
      </c>
      <c r="E21" s="601">
        <f t="shared" ref="E21:P21" si="10">E53+E84</f>
        <v>14428377.481748134</v>
      </c>
      <c r="F21" s="601">
        <f t="shared" si="10"/>
        <v>34483.771666699831</v>
      </c>
      <c r="G21" s="601">
        <f t="shared" si="10"/>
        <v>1079542.0282561074</v>
      </c>
      <c r="H21" s="601">
        <f t="shared" si="10"/>
        <v>1207777.3530670034</v>
      </c>
      <c r="I21" s="601">
        <f t="shared" si="10"/>
        <v>13889439.560270539</v>
      </c>
      <c r="J21" s="601">
        <f t="shared" si="10"/>
        <v>416683.18680811615</v>
      </c>
      <c r="K21" s="601">
        <f t="shared" si="10"/>
        <v>224359511.58278695</v>
      </c>
      <c r="L21" s="601">
        <f t="shared" si="10"/>
        <v>477949.90223515616</v>
      </c>
      <c r="M21" s="601">
        <f t="shared" si="10"/>
        <v>-9547529.1752153542</v>
      </c>
      <c r="N21" s="601">
        <f t="shared" si="10"/>
        <v>233907040.75800228</v>
      </c>
      <c r="O21" s="601">
        <f t="shared" si="10"/>
        <v>6416818.1549931904</v>
      </c>
      <c r="P21" s="601">
        <f t="shared" si="10"/>
        <v>6523337.3363660779</v>
      </c>
      <c r="T21" s="650"/>
      <c r="U21" s="650"/>
      <c r="V21" s="651"/>
      <c r="W21" s="650"/>
      <c r="X21" s="652"/>
      <c r="Y21" s="489"/>
      <c r="Z21" s="650"/>
      <c r="AA21" s="650"/>
      <c r="AB21" s="650"/>
      <c r="AC21" s="650"/>
      <c r="AD21" s="650"/>
      <c r="AE21" s="650"/>
      <c r="AF21" s="650"/>
      <c r="AG21" s="650"/>
      <c r="AH21" s="650"/>
      <c r="AI21" s="650"/>
      <c r="AJ21" s="650"/>
      <c r="AK21" s="650"/>
      <c r="AL21" s="650"/>
      <c r="AM21" s="650"/>
      <c r="AN21" s="650"/>
    </row>
    <row r="22" spans="1:40">
      <c r="A22" s="646">
        <f t="shared" si="3"/>
        <v>10</v>
      </c>
      <c r="C22" s="640" t="str">
        <f t="shared" si="1"/>
        <v xml:space="preserve">October </v>
      </c>
      <c r="D22" s="869">
        <v>2018</v>
      </c>
      <c r="E22" s="601">
        <f t="shared" ref="E22:P22" si="11">E54+E85</f>
        <v>14727807.061748147</v>
      </c>
      <c r="F22" s="601">
        <f t="shared" si="11"/>
        <v>71265.351666699833</v>
      </c>
      <c r="G22" s="601">
        <f t="shared" si="11"/>
        <v>1099240.6282561086</v>
      </c>
      <c r="H22" s="601">
        <f t="shared" si="11"/>
        <v>1253782.7090670045</v>
      </c>
      <c r="I22" s="601">
        <f t="shared" si="11"/>
        <v>14418501.154270552</v>
      </c>
      <c r="J22" s="601">
        <f t="shared" si="11"/>
        <v>432555.03462811653</v>
      </c>
      <c r="K22" s="601">
        <f t="shared" si="11"/>
        <v>239365331.59835231</v>
      </c>
      <c r="L22" s="601">
        <f t="shared" si="11"/>
        <v>511501.77738254226</v>
      </c>
      <c r="M22" s="601">
        <f t="shared" si="11"/>
        <v>-10289810.106899815</v>
      </c>
      <c r="N22" s="601">
        <f t="shared" si="11"/>
        <v>249655141.70525211</v>
      </c>
      <c r="O22" s="601">
        <f t="shared" si="11"/>
        <v>7537256.9466591012</v>
      </c>
      <c r="P22" s="601">
        <f t="shared" si="11"/>
        <v>7662375.4119736422</v>
      </c>
      <c r="T22" s="650"/>
      <c r="U22" s="650"/>
      <c r="V22" s="651"/>
      <c r="W22" s="650"/>
      <c r="X22" s="652"/>
      <c r="Y22" s="489"/>
      <c r="Z22" s="650"/>
      <c r="AA22" s="650"/>
      <c r="AB22" s="650"/>
      <c r="AC22" s="650"/>
      <c r="AD22" s="650"/>
      <c r="AE22" s="650"/>
      <c r="AF22" s="650"/>
      <c r="AG22" s="650"/>
      <c r="AH22" s="650"/>
      <c r="AI22" s="650"/>
      <c r="AJ22" s="650"/>
      <c r="AK22" s="650"/>
      <c r="AL22" s="650"/>
      <c r="AM22" s="650"/>
      <c r="AN22" s="650"/>
    </row>
    <row r="23" spans="1:40">
      <c r="A23" s="646">
        <f t="shared" si="3"/>
        <v>11</v>
      </c>
      <c r="C23" s="640" t="str">
        <f t="shared" si="1"/>
        <v>November</v>
      </c>
      <c r="D23" s="869">
        <v>2018</v>
      </c>
      <c r="E23" s="601">
        <f t="shared" ref="E23:P23" si="12">E55+E86</f>
        <v>14125406.481748164</v>
      </c>
      <c r="F23" s="601">
        <f t="shared" si="12"/>
        <v>34483.771666699831</v>
      </c>
      <c r="G23" s="601">
        <f t="shared" si="12"/>
        <v>1056819.2032561097</v>
      </c>
      <c r="H23" s="601">
        <f t="shared" si="12"/>
        <v>1207777.353067006</v>
      </c>
      <c r="I23" s="601">
        <f t="shared" si="12"/>
        <v>13889439.560270566</v>
      </c>
      <c r="J23" s="601">
        <f t="shared" si="12"/>
        <v>416683.18680811697</v>
      </c>
      <c r="K23" s="601">
        <f t="shared" si="12"/>
        <v>253756463.11709771</v>
      </c>
      <c r="L23" s="601">
        <f t="shared" si="12"/>
        <v>545712.51155153697</v>
      </c>
      <c r="M23" s="601">
        <f t="shared" si="12"/>
        <v>-10951874.948415281</v>
      </c>
      <c r="N23" s="601">
        <f t="shared" si="12"/>
        <v>264708338.06551296</v>
      </c>
      <c r="O23" s="601">
        <f t="shared" si="12"/>
        <v>8085968.1583250109</v>
      </c>
      <c r="P23" s="601">
        <f t="shared" si="12"/>
        <v>8220195.2297532065</v>
      </c>
      <c r="T23" s="650"/>
      <c r="U23" s="650"/>
      <c r="V23" s="651"/>
      <c r="W23" s="650"/>
      <c r="X23" s="652"/>
      <c r="Y23" s="489"/>
      <c r="Z23" s="650"/>
      <c r="AA23" s="650"/>
      <c r="AB23" s="650"/>
      <c r="AC23" s="650"/>
      <c r="AD23" s="650"/>
      <c r="AE23" s="650"/>
      <c r="AF23" s="650"/>
      <c r="AG23" s="650"/>
      <c r="AH23" s="650"/>
      <c r="AI23" s="650"/>
      <c r="AJ23" s="650"/>
      <c r="AK23" s="650"/>
      <c r="AL23" s="650"/>
      <c r="AM23" s="650"/>
      <c r="AN23" s="650"/>
    </row>
    <row r="24" spans="1:40">
      <c r="A24" s="646">
        <f t="shared" si="3"/>
        <v>12</v>
      </c>
      <c r="C24" s="640" t="str">
        <f t="shared" si="1"/>
        <v>December</v>
      </c>
      <c r="D24" s="869">
        <v>2018</v>
      </c>
      <c r="E24" s="601">
        <f t="shared" ref="E24:P24" si="13">E56+E87</f>
        <v>139623546.89306825</v>
      </c>
      <c r="F24" s="601">
        <f t="shared" si="13"/>
        <v>53925791.862222716</v>
      </c>
      <c r="G24" s="601">
        <f t="shared" si="13"/>
        <v>6427331.6273134155</v>
      </c>
      <c r="H24" s="601">
        <f t="shared" si="13"/>
        <v>6323881.7358639492</v>
      </c>
      <c r="I24" s="601">
        <f t="shared" si="13"/>
        <v>72724639.962435409</v>
      </c>
      <c r="J24" s="601">
        <f t="shared" si="13"/>
        <v>2181739.1988730622</v>
      </c>
      <c r="K24" s="601">
        <f t="shared" si="13"/>
        <v>395665199.10048848</v>
      </c>
      <c r="L24" s="601">
        <f t="shared" si="13"/>
        <v>578521.85980895639</v>
      </c>
      <c r="M24" s="601">
        <f t="shared" si="13"/>
        <v>-16697234.824470276</v>
      </c>
      <c r="N24" s="601">
        <f t="shared" si="13"/>
        <v>412362433.92495883</v>
      </c>
      <c r="O24" s="601">
        <f t="shared" si="13"/>
        <v>8634679.3699909206</v>
      </c>
      <c r="P24" s="601">
        <f t="shared" si="13"/>
        <v>8778015.0475327708</v>
      </c>
      <c r="T24" s="650"/>
      <c r="U24" s="650"/>
      <c r="V24" s="651"/>
      <c r="W24" s="650"/>
      <c r="X24" s="652"/>
      <c r="Y24" s="489"/>
      <c r="Z24" s="650"/>
      <c r="AA24" s="650"/>
      <c r="AB24" s="650"/>
      <c r="AC24" s="650"/>
      <c r="AD24" s="650"/>
      <c r="AE24" s="650"/>
      <c r="AF24" s="650"/>
      <c r="AG24" s="650"/>
      <c r="AH24" s="650"/>
      <c r="AI24" s="650"/>
      <c r="AJ24" s="650"/>
      <c r="AK24" s="650"/>
      <c r="AL24" s="650"/>
      <c r="AM24" s="650"/>
      <c r="AN24" s="650"/>
    </row>
    <row r="25" spans="1:40">
      <c r="A25" s="646">
        <f t="shared" si="3"/>
        <v>13</v>
      </c>
      <c r="C25" s="640" t="str">
        <f t="shared" si="1"/>
        <v>January</v>
      </c>
      <c r="D25" s="869">
        <v>2019</v>
      </c>
      <c r="E25" s="601">
        <f t="shared" ref="E25:P25" si="14">E57+E88</f>
        <v>14345567.271703064</v>
      </c>
      <c r="F25" s="601">
        <f t="shared" si="14"/>
        <v>0</v>
      </c>
      <c r="G25" s="601">
        <f t="shared" si="14"/>
        <v>1075917.5453777297</v>
      </c>
      <c r="H25" s="601">
        <f t="shared" si="14"/>
        <v>1217728.8053664635</v>
      </c>
      <c r="I25" s="601">
        <f t="shared" si="14"/>
        <v>14003881.26171433</v>
      </c>
      <c r="J25" s="601">
        <f t="shared" si="14"/>
        <v>420116.43785142986</v>
      </c>
      <c r="K25" s="601">
        <f t="shared" si="14"/>
        <v>410289071.55005425</v>
      </c>
      <c r="L25" s="601">
        <f t="shared" si="14"/>
        <v>902049.80016476545</v>
      </c>
      <c r="M25" s="601">
        <f t="shared" si="14"/>
        <v>-17012913.829671971</v>
      </c>
      <c r="N25" s="601">
        <f t="shared" si="14"/>
        <v>427301985.37972629</v>
      </c>
      <c r="O25" s="601">
        <f t="shared" si="14"/>
        <v>9251670.0366589092</v>
      </c>
      <c r="P25" s="601">
        <f t="shared" si="14"/>
        <v>9405247.7592674475</v>
      </c>
      <c r="T25" s="650"/>
      <c r="U25" s="650"/>
      <c r="V25" s="651"/>
      <c r="W25" s="650"/>
      <c r="X25" s="652"/>
      <c r="Y25" s="489"/>
      <c r="Z25" s="650"/>
      <c r="AA25" s="650"/>
      <c r="AB25" s="650"/>
      <c r="AC25" s="650"/>
      <c r="AD25" s="650"/>
      <c r="AE25" s="650"/>
      <c r="AF25" s="650"/>
      <c r="AG25" s="650"/>
      <c r="AH25" s="650"/>
      <c r="AI25" s="650"/>
      <c r="AJ25" s="650"/>
      <c r="AK25" s="650"/>
      <c r="AL25" s="650"/>
      <c r="AM25" s="650"/>
      <c r="AN25" s="650"/>
    </row>
    <row r="26" spans="1:40">
      <c r="A26" s="646">
        <f t="shared" si="3"/>
        <v>14</v>
      </c>
      <c r="C26" s="640" t="str">
        <f t="shared" si="1"/>
        <v>February</v>
      </c>
      <c r="D26" s="869">
        <v>2019</v>
      </c>
      <c r="E26" s="601">
        <f t="shared" ref="E26:P26" si="15">E58+E89</f>
        <v>13364279.901703065</v>
      </c>
      <c r="F26" s="601">
        <f t="shared" si="15"/>
        <v>0</v>
      </c>
      <c r="G26" s="601">
        <f t="shared" si="15"/>
        <v>1002320.9926277298</v>
      </c>
      <c r="H26" s="601">
        <f t="shared" si="15"/>
        <v>1131728.8053664635</v>
      </c>
      <c r="I26" s="601">
        <f t="shared" si="15"/>
        <v>13014881.26171433</v>
      </c>
      <c r="J26" s="601">
        <f t="shared" si="15"/>
        <v>390446.43785142986</v>
      </c>
      <c r="K26" s="601">
        <f t="shared" si="15"/>
        <v>423914390.07687002</v>
      </c>
      <c r="L26" s="601">
        <f t="shared" si="15"/>
        <v>935389.75841925805</v>
      </c>
      <c r="M26" s="601">
        <f t="shared" si="15"/>
        <v>-17209252.876619179</v>
      </c>
      <c r="N26" s="601">
        <f t="shared" si="15"/>
        <v>441123642.95348918</v>
      </c>
      <c r="O26" s="601">
        <f t="shared" si="15"/>
        <v>9868660.7033268958</v>
      </c>
      <c r="P26" s="601">
        <f t="shared" si="15"/>
        <v>10032480.471002122</v>
      </c>
      <c r="T26" s="650"/>
      <c r="U26" s="650"/>
      <c r="V26" s="651"/>
      <c r="W26" s="650"/>
      <c r="X26" s="652"/>
      <c r="Y26" s="489"/>
      <c r="Z26" s="650"/>
      <c r="AA26" s="650"/>
      <c r="AB26" s="650"/>
      <c r="AC26" s="650"/>
      <c r="AD26" s="650"/>
      <c r="AE26" s="650"/>
      <c r="AF26" s="650"/>
      <c r="AG26" s="650"/>
      <c r="AH26" s="650"/>
      <c r="AI26" s="650"/>
      <c r="AJ26" s="650"/>
      <c r="AK26" s="650"/>
      <c r="AL26" s="650"/>
      <c r="AM26" s="650"/>
      <c r="AN26" s="650"/>
    </row>
    <row r="27" spans="1:40">
      <c r="A27" s="646">
        <f t="shared" si="3"/>
        <v>15</v>
      </c>
      <c r="C27" s="640" t="str">
        <f t="shared" si="1"/>
        <v>March</v>
      </c>
      <c r="D27" s="869">
        <v>2019</v>
      </c>
      <c r="E27" s="601">
        <f t="shared" ref="E27:P27" si="16">E59+E90</f>
        <v>13520670.971702944</v>
      </c>
      <c r="F27" s="601">
        <f t="shared" si="16"/>
        <v>0</v>
      </c>
      <c r="G27" s="601">
        <f t="shared" si="16"/>
        <v>1014050.3228777208</v>
      </c>
      <c r="H27" s="601">
        <f t="shared" si="16"/>
        <v>1131728.8053664532</v>
      </c>
      <c r="I27" s="601">
        <f t="shared" si="16"/>
        <v>13014881.261714213</v>
      </c>
      <c r="J27" s="601">
        <f t="shared" si="16"/>
        <v>390446.43785142637</v>
      </c>
      <c r="K27" s="601">
        <f t="shared" si="16"/>
        <v>437707829.00393569</v>
      </c>
      <c r="L27" s="601">
        <f t="shared" si="16"/>
        <v>966453.18245108437</v>
      </c>
      <c r="M27" s="601">
        <f t="shared" si="16"/>
        <v>-17374528.499534551</v>
      </c>
      <c r="N27" s="601">
        <f t="shared" si="16"/>
        <v>455082357.50347024</v>
      </c>
      <c r="O27" s="601">
        <f t="shared" si="16"/>
        <v>10485651.369994882</v>
      </c>
      <c r="P27" s="601">
        <f t="shared" si="16"/>
        <v>10659713.182736797</v>
      </c>
      <c r="T27" s="650"/>
      <c r="U27" s="650"/>
      <c r="V27" s="651"/>
      <c r="W27" s="650"/>
      <c r="X27" s="652"/>
      <c r="Y27" s="489"/>
      <c r="Z27" s="650"/>
      <c r="AA27" s="650"/>
      <c r="AB27" s="650"/>
      <c r="AC27" s="650"/>
      <c r="AD27" s="650"/>
      <c r="AE27" s="650"/>
      <c r="AF27" s="650"/>
      <c r="AG27" s="650"/>
      <c r="AH27" s="650"/>
      <c r="AI27" s="650"/>
      <c r="AJ27" s="650"/>
      <c r="AK27" s="650"/>
      <c r="AL27" s="650"/>
      <c r="AM27" s="650"/>
      <c r="AN27" s="650"/>
    </row>
    <row r="28" spans="1:40">
      <c r="A28" s="646">
        <f t="shared" si="3"/>
        <v>16</v>
      </c>
      <c r="C28" s="640" t="str">
        <f t="shared" si="1"/>
        <v>April</v>
      </c>
      <c r="D28" s="869">
        <v>2019</v>
      </c>
      <c r="E28" s="601">
        <f t="shared" ref="E28:P28" si="17">E60+E91</f>
        <v>13715285.792503135</v>
      </c>
      <c r="F28" s="601">
        <f t="shared" si="17"/>
        <v>39760.190799999989</v>
      </c>
      <c r="G28" s="601">
        <f t="shared" si="17"/>
        <v>1025664.4201277351</v>
      </c>
      <c r="H28" s="601">
        <f t="shared" si="17"/>
        <v>1143946.9973664696</v>
      </c>
      <c r="I28" s="601">
        <f t="shared" si="17"/>
        <v>13155390.469714401</v>
      </c>
      <c r="J28" s="601">
        <f t="shared" si="17"/>
        <v>394661.71409143205</v>
      </c>
      <c r="K28" s="601">
        <f t="shared" si="17"/>
        <v>451699493.93329155</v>
      </c>
      <c r="L28" s="601">
        <f t="shared" si="17"/>
        <v>997899.89258892601</v>
      </c>
      <c r="M28" s="601">
        <f t="shared" si="17"/>
        <v>-17520575.604312096</v>
      </c>
      <c r="N28" s="601">
        <f t="shared" si="17"/>
        <v>469220069.53760362</v>
      </c>
      <c r="O28" s="601">
        <f t="shared" si="17"/>
        <v>11284474.227462869</v>
      </c>
      <c r="P28" s="601">
        <f t="shared" si="17"/>
        <v>11471796.499638753</v>
      </c>
      <c r="T28" s="650"/>
      <c r="U28" s="650"/>
      <c r="V28" s="651"/>
      <c r="W28" s="650"/>
      <c r="X28" s="652"/>
      <c r="Y28" s="489"/>
      <c r="Z28" s="650"/>
      <c r="AA28" s="650"/>
      <c r="AB28" s="650"/>
      <c r="AC28" s="650"/>
      <c r="AD28" s="650"/>
      <c r="AE28" s="650"/>
      <c r="AF28" s="650"/>
      <c r="AG28" s="650"/>
      <c r="AH28" s="650"/>
      <c r="AI28" s="650"/>
      <c r="AJ28" s="650"/>
      <c r="AK28" s="650"/>
      <c r="AL28" s="650"/>
      <c r="AM28" s="650"/>
      <c r="AN28" s="650"/>
    </row>
    <row r="29" spans="1:40">
      <c r="A29" s="646">
        <f t="shared" si="3"/>
        <v>17</v>
      </c>
      <c r="C29" s="640" t="str">
        <f t="shared" si="1"/>
        <v>May</v>
      </c>
      <c r="D29" s="869">
        <v>2019</v>
      </c>
      <c r="E29" s="601">
        <f t="shared" ref="E29:P29" si="18">E61+E92</f>
        <v>19727726.721703012</v>
      </c>
      <c r="F29" s="601">
        <f t="shared" si="18"/>
        <v>460897.93000000011</v>
      </c>
      <c r="G29" s="601">
        <f t="shared" si="18"/>
        <v>1445012.159377726</v>
      </c>
      <c r="H29" s="601">
        <f t="shared" si="18"/>
        <v>1622510.2513664591</v>
      </c>
      <c r="I29" s="601">
        <f t="shared" si="18"/>
        <v>18658867.89071428</v>
      </c>
      <c r="J29" s="601">
        <f t="shared" si="18"/>
        <v>559766.03672142839</v>
      </c>
      <c r="K29" s="601">
        <f t="shared" si="18"/>
        <v>471809488.59972721</v>
      </c>
      <c r="L29" s="601">
        <f t="shared" si="18"/>
        <v>1029798.5245186256</v>
      </c>
      <c r="M29" s="601">
        <f t="shared" si="18"/>
        <v>-18113287.331159927</v>
      </c>
      <c r="N29" s="601">
        <f t="shared" si="18"/>
        <v>489922775.93088716</v>
      </c>
      <c r="O29" s="601">
        <f t="shared" si="18"/>
        <v>11901464.894130858</v>
      </c>
      <c r="P29" s="601">
        <f t="shared" si="18"/>
        <v>12099029.21137343</v>
      </c>
      <c r="T29" s="650"/>
      <c r="U29" s="650"/>
      <c r="V29" s="651"/>
      <c r="W29" s="650"/>
      <c r="X29" s="652"/>
      <c r="Y29" s="489"/>
      <c r="Z29" s="650"/>
      <c r="AA29" s="650"/>
      <c r="AB29" s="650"/>
      <c r="AC29" s="650"/>
      <c r="AD29" s="650"/>
      <c r="AE29" s="650"/>
      <c r="AF29" s="650"/>
      <c r="AG29" s="650"/>
      <c r="AH29" s="650"/>
      <c r="AI29" s="650"/>
      <c r="AJ29" s="650"/>
      <c r="AK29" s="650"/>
      <c r="AL29" s="650"/>
      <c r="AM29" s="650"/>
      <c r="AN29" s="650"/>
    </row>
    <row r="30" spans="1:40">
      <c r="A30" s="646">
        <f t="shared" si="3"/>
        <v>18</v>
      </c>
      <c r="C30" s="640" t="str">
        <f t="shared" ref="C30:C33" si="19">C62</f>
        <v xml:space="preserve">June </v>
      </c>
      <c r="D30" s="869">
        <v>2019</v>
      </c>
      <c r="E30" s="601">
        <f t="shared" ref="E30:P30" si="20">E62+E93</f>
        <v>19806745.671703063</v>
      </c>
      <c r="F30" s="601">
        <f t="shared" si="20"/>
        <v>272295.25000000023</v>
      </c>
      <c r="G30" s="601">
        <f t="shared" si="20"/>
        <v>1465083.7816277298</v>
      </c>
      <c r="H30" s="601">
        <f t="shared" si="20"/>
        <v>1644426.4053664636</v>
      </c>
      <c r="I30" s="601">
        <f t="shared" si="20"/>
        <v>18910903.66171433</v>
      </c>
      <c r="J30" s="601">
        <f t="shared" si="20"/>
        <v>567327.10985142994</v>
      </c>
      <c r="K30" s="601">
        <f t="shared" si="20"/>
        <v>492004218.75754297</v>
      </c>
      <c r="L30" s="601">
        <f t="shared" si="20"/>
        <v>1075645.9144619743</v>
      </c>
      <c r="M30" s="601">
        <f t="shared" si="20"/>
        <v>-18682067.822064418</v>
      </c>
      <c r="N30" s="601">
        <f t="shared" si="20"/>
        <v>510686286.57960737</v>
      </c>
      <c r="O30" s="601">
        <f t="shared" si="20"/>
        <v>12518455.560798844</v>
      </c>
      <c r="P30" s="601">
        <f t="shared" si="20"/>
        <v>12726261.923108106</v>
      </c>
      <c r="T30" s="650"/>
      <c r="U30" s="650"/>
      <c r="V30" s="651"/>
      <c r="W30" s="650"/>
      <c r="X30" s="652"/>
      <c r="Y30" s="489"/>
      <c r="Z30" s="650"/>
      <c r="AA30" s="650"/>
      <c r="AB30" s="650"/>
      <c r="AC30" s="650"/>
      <c r="AD30" s="650"/>
      <c r="AE30" s="650"/>
      <c r="AF30" s="650"/>
      <c r="AG30" s="650"/>
      <c r="AH30" s="650"/>
      <c r="AI30" s="650"/>
      <c r="AJ30" s="650"/>
      <c r="AK30" s="650"/>
      <c r="AL30" s="650"/>
      <c r="AM30" s="650"/>
      <c r="AN30" s="650"/>
    </row>
    <row r="31" spans="1:40">
      <c r="A31" s="646">
        <f t="shared" si="3"/>
        <v>19</v>
      </c>
      <c r="C31" s="640" t="str">
        <f t="shared" si="19"/>
        <v>July</v>
      </c>
      <c r="D31" s="869">
        <v>2019</v>
      </c>
      <c r="E31" s="601">
        <f t="shared" ref="E31:P31" si="21">E63+E94</f>
        <v>47944708.914102949</v>
      </c>
      <c r="F31" s="601">
        <f t="shared" si="21"/>
        <v>12901857.738700015</v>
      </c>
      <c r="G31" s="601">
        <f t="shared" si="21"/>
        <v>2628213.8381552198</v>
      </c>
      <c r="H31" s="601">
        <f t="shared" si="21"/>
        <v>2976499.9319846523</v>
      </c>
      <c r="I31" s="601">
        <f t="shared" si="21"/>
        <v>34229749.217823498</v>
      </c>
      <c r="J31" s="601">
        <f t="shared" si="21"/>
        <v>1026892.4765347049</v>
      </c>
      <c r="K31" s="601">
        <f t="shared" si="21"/>
        <v>540627534.05435121</v>
      </c>
      <c r="L31" s="601">
        <f t="shared" si="21"/>
        <v>1121686.4870082915</v>
      </c>
      <c r="M31" s="601">
        <f t="shared" si="21"/>
        <v>-20536881.267040774</v>
      </c>
      <c r="N31" s="601">
        <f t="shared" si="21"/>
        <v>561164415.32139194</v>
      </c>
      <c r="O31" s="601">
        <f t="shared" si="21"/>
        <v>13135446.227466831</v>
      </c>
      <c r="P31" s="601">
        <f t="shared" si="21"/>
        <v>13353494.634842781</v>
      </c>
      <c r="T31" s="650"/>
      <c r="U31" s="650"/>
      <c r="V31" s="651"/>
      <c r="W31" s="650"/>
      <c r="X31" s="652"/>
      <c r="Y31" s="489"/>
      <c r="Z31" s="650"/>
      <c r="AA31" s="650"/>
      <c r="AB31" s="650"/>
      <c r="AC31" s="650"/>
      <c r="AD31" s="650"/>
      <c r="AE31" s="650"/>
      <c r="AF31" s="650"/>
      <c r="AG31" s="650"/>
      <c r="AH31" s="650"/>
      <c r="AI31" s="650"/>
      <c r="AJ31" s="650"/>
      <c r="AK31" s="650"/>
      <c r="AL31" s="650"/>
      <c r="AM31" s="650"/>
      <c r="AN31" s="650"/>
    </row>
    <row r="32" spans="1:40">
      <c r="A32" s="646">
        <f t="shared" si="3"/>
        <v>20</v>
      </c>
      <c r="C32" s="640" t="str">
        <f t="shared" si="19"/>
        <v>August</v>
      </c>
      <c r="D32" s="869">
        <v>2019</v>
      </c>
      <c r="E32" s="601">
        <f t="shared" ref="E32:P32" si="22">E64+E95</f>
        <v>27702985.995503105</v>
      </c>
      <c r="F32" s="601">
        <f t="shared" si="22"/>
        <v>8473412.4737999998</v>
      </c>
      <c r="G32" s="601">
        <f t="shared" si="22"/>
        <v>1442218.0141277327</v>
      </c>
      <c r="H32" s="601">
        <f t="shared" si="22"/>
        <v>1141368.101606467</v>
      </c>
      <c r="I32" s="601">
        <f t="shared" si="22"/>
        <v>13125733.168474369</v>
      </c>
      <c r="J32" s="601">
        <f t="shared" si="22"/>
        <v>393771.99505423103</v>
      </c>
      <c r="K32" s="601">
        <f t="shared" si="22"/>
        <v>569025141.95742989</v>
      </c>
      <c r="L32" s="601">
        <f t="shared" si="22"/>
        <v>1232539.4302202491</v>
      </c>
      <c r="M32" s="601">
        <f t="shared" si="22"/>
        <v>-20445709.93842699</v>
      </c>
      <c r="N32" s="601">
        <f t="shared" si="22"/>
        <v>589470851.89585686</v>
      </c>
      <c r="O32" s="601">
        <f t="shared" si="22"/>
        <v>13867851.267934818</v>
      </c>
      <c r="P32" s="601">
        <f t="shared" si="22"/>
        <v>14098057.598982537</v>
      </c>
      <c r="T32" s="650"/>
      <c r="U32" s="650"/>
      <c r="V32" s="651"/>
      <c r="W32" s="650"/>
      <c r="X32" s="652"/>
      <c r="Y32" s="489"/>
      <c r="Z32" s="650"/>
      <c r="AA32" s="650"/>
      <c r="AB32" s="650"/>
      <c r="AC32" s="650"/>
      <c r="AD32" s="650"/>
      <c r="AE32" s="650"/>
      <c r="AF32" s="650"/>
      <c r="AG32" s="650"/>
      <c r="AH32" s="650"/>
      <c r="AI32" s="650"/>
      <c r="AJ32" s="650"/>
      <c r="AK32" s="650"/>
      <c r="AL32" s="650"/>
      <c r="AM32" s="650"/>
      <c r="AN32" s="650"/>
    </row>
    <row r="33" spans="1:40">
      <c r="A33" s="646">
        <f t="shared" si="3"/>
        <v>21</v>
      </c>
      <c r="C33" s="640" t="str">
        <f t="shared" si="19"/>
        <v>September</v>
      </c>
      <c r="D33" s="869">
        <v>2019</v>
      </c>
      <c r="E33" s="601">
        <f t="shared" ref="E33:P33" si="23">E65+E96</f>
        <v>13612715.681703065</v>
      </c>
      <c r="F33" s="601">
        <f t="shared" si="23"/>
        <v>0</v>
      </c>
      <c r="G33" s="601">
        <f t="shared" si="23"/>
        <v>1020953.6761277298</v>
      </c>
      <c r="H33" s="601">
        <f t="shared" si="23"/>
        <v>1131728.8053664635</v>
      </c>
      <c r="I33" s="601">
        <f t="shared" si="23"/>
        <v>13014881.26171433</v>
      </c>
      <c r="J33" s="601">
        <f t="shared" si="23"/>
        <v>390446.43785142986</v>
      </c>
      <c r="K33" s="617">
        <f t="shared" si="23"/>
        <v>582917528.94774556</v>
      </c>
      <c r="L33" s="617">
        <f t="shared" si="23"/>
        <v>1297281.1780220908</v>
      </c>
      <c r="M33" s="617">
        <f t="shared" si="23"/>
        <v>-20280157.565771364</v>
      </c>
      <c r="N33" s="617">
        <f t="shared" si="23"/>
        <v>603197686.51351702</v>
      </c>
      <c r="O33" s="617">
        <f t="shared" si="23"/>
        <v>14484841.934602806</v>
      </c>
      <c r="P33" s="617">
        <f t="shared" si="23"/>
        <v>14725290.310717214</v>
      </c>
      <c r="T33" s="650"/>
      <c r="U33" s="650"/>
      <c r="V33" s="651"/>
      <c r="W33" s="650"/>
      <c r="X33" s="652"/>
      <c r="Y33" s="489"/>
      <c r="Z33" s="650"/>
      <c r="AA33" s="650"/>
      <c r="AB33" s="650"/>
      <c r="AC33" s="650"/>
      <c r="AD33" s="650"/>
      <c r="AE33" s="650"/>
      <c r="AF33" s="650"/>
      <c r="AG33" s="650"/>
      <c r="AH33" s="650"/>
      <c r="AI33" s="650"/>
      <c r="AJ33" s="650"/>
      <c r="AK33" s="650"/>
      <c r="AL33" s="650"/>
      <c r="AM33" s="650"/>
      <c r="AN33" s="650"/>
    </row>
    <row r="34" spans="1:40">
      <c r="A34" s="647">
        <f t="shared" si="3"/>
        <v>22</v>
      </c>
      <c r="C34" s="640" t="str">
        <f t="shared" ref="C34" si="24">C66</f>
        <v>October</v>
      </c>
      <c r="D34" s="869">
        <v>2019</v>
      </c>
      <c r="E34" s="601">
        <f t="shared" ref="E34:P34" si="25">E66+E97</f>
        <v>45081505.26170297</v>
      </c>
      <c r="F34" s="601">
        <f t="shared" si="25"/>
        <v>14054513.579999998</v>
      </c>
      <c r="G34" s="601">
        <f t="shared" si="25"/>
        <v>2327024.3761277231</v>
      </c>
      <c r="H34" s="601">
        <f t="shared" si="25"/>
        <v>1752820.805366456</v>
      </c>
      <c r="I34" s="601">
        <f t="shared" si="25"/>
        <v>20157439.261714242</v>
      </c>
      <c r="J34" s="601">
        <f t="shared" si="25"/>
        <v>604723.17785142723</v>
      </c>
      <c r="K34" s="617">
        <f t="shared" si="25"/>
        <v>629177960.95806134</v>
      </c>
      <c r="L34" s="617">
        <f t="shared" si="25"/>
        <v>1328953.4730253296</v>
      </c>
      <c r="M34" s="617">
        <f t="shared" si="25"/>
        <v>-20704024.898112491</v>
      </c>
      <c r="N34" s="617">
        <f t="shared" si="25"/>
        <v>649881985.85617375</v>
      </c>
      <c r="O34" s="617">
        <f t="shared" si="25"/>
        <v>15101832.601270793</v>
      </c>
      <c r="P34" s="617">
        <f t="shared" si="25"/>
        <v>15352523.022451889</v>
      </c>
      <c r="T34" s="650"/>
      <c r="U34" s="650"/>
      <c r="V34" s="651"/>
      <c r="W34" s="650"/>
      <c r="X34" s="652"/>
      <c r="Y34" s="489"/>
      <c r="Z34" s="650"/>
      <c r="AA34" s="650"/>
      <c r="AB34" s="650"/>
      <c r="AC34" s="650"/>
      <c r="AD34" s="650"/>
      <c r="AE34" s="650"/>
      <c r="AF34" s="650"/>
      <c r="AG34" s="650"/>
      <c r="AH34" s="650"/>
      <c r="AI34" s="650"/>
      <c r="AJ34" s="650"/>
      <c r="AK34" s="650"/>
      <c r="AL34" s="650"/>
      <c r="AM34" s="650"/>
      <c r="AN34" s="650"/>
    </row>
    <row r="35" spans="1:40">
      <c r="A35" s="647">
        <f t="shared" si="3"/>
        <v>23</v>
      </c>
      <c r="C35" s="640" t="str">
        <f t="shared" ref="C35" si="26">C67</f>
        <v>November</v>
      </c>
      <c r="D35" s="869">
        <v>2019</v>
      </c>
      <c r="E35" s="601">
        <f t="shared" ref="E35:P35" si="27">E67+E98</f>
        <v>31728968.894703042</v>
      </c>
      <c r="F35" s="601">
        <f t="shared" si="27"/>
        <v>7464448.8429999975</v>
      </c>
      <c r="G35" s="601">
        <f t="shared" si="27"/>
        <v>1819839.0038777282</v>
      </c>
      <c r="H35" s="601">
        <f t="shared" si="27"/>
        <v>1193090.665366462</v>
      </c>
      <c r="I35" s="601">
        <f t="shared" si="27"/>
        <v>13720542.651714312</v>
      </c>
      <c r="J35" s="601">
        <f t="shared" si="27"/>
        <v>411616.27955142932</v>
      </c>
      <c r="K35" s="617">
        <f t="shared" si="27"/>
        <v>661945294.4708271</v>
      </c>
      <c r="L35" s="617">
        <f t="shared" si="27"/>
        <v>1434419.4415899366</v>
      </c>
      <c r="M35" s="617">
        <f t="shared" si="27"/>
        <v>-20462696.121889018</v>
      </c>
      <c r="N35" s="617">
        <f t="shared" si="27"/>
        <v>682407990.5927161</v>
      </c>
      <c r="O35" s="617">
        <f t="shared" si="27"/>
        <v>15718823.26793878</v>
      </c>
      <c r="P35" s="617">
        <f t="shared" si="27"/>
        <v>15979755.734186564</v>
      </c>
      <c r="T35" s="650"/>
      <c r="U35" s="650"/>
      <c r="V35" s="651"/>
      <c r="W35" s="650"/>
      <c r="X35" s="652"/>
      <c r="Y35" s="489"/>
      <c r="Z35" s="650"/>
      <c r="AA35" s="650"/>
      <c r="AB35" s="650"/>
      <c r="AC35" s="650"/>
      <c r="AD35" s="650"/>
      <c r="AE35" s="650"/>
      <c r="AF35" s="650"/>
      <c r="AG35" s="650"/>
      <c r="AH35" s="650"/>
      <c r="AI35" s="650"/>
      <c r="AJ35" s="650"/>
      <c r="AK35" s="650"/>
      <c r="AL35" s="650"/>
      <c r="AM35" s="650"/>
      <c r="AN35" s="650"/>
    </row>
    <row r="36" spans="1:40">
      <c r="A36" s="647">
        <f t="shared" si="3"/>
        <v>24</v>
      </c>
      <c r="C36" s="640" t="str">
        <f t="shared" ref="C36" si="28">C68</f>
        <v>December</v>
      </c>
      <c r="D36" s="869">
        <v>2019</v>
      </c>
      <c r="E36" s="601">
        <f t="shared" ref="E36:P36" si="29">E68+E99</f>
        <v>47725058.910979636</v>
      </c>
      <c r="F36" s="601">
        <f t="shared" si="29"/>
        <v>3893575.8728636103</v>
      </c>
      <c r="G36" s="601">
        <f t="shared" si="29"/>
        <v>3287361.2278587017</v>
      </c>
      <c r="H36" s="601">
        <f t="shared" si="29"/>
        <v>3489608.3197147781</v>
      </c>
      <c r="I36" s="601">
        <f t="shared" si="29"/>
        <v>40130495.676719949</v>
      </c>
      <c r="J36" s="601">
        <f t="shared" si="29"/>
        <v>1203914.8703015985</v>
      </c>
      <c r="K36" s="653">
        <f t="shared" si="29"/>
        <v>710672021.16025221</v>
      </c>
      <c r="L36" s="617">
        <f t="shared" si="29"/>
        <v>1509123.4254488144</v>
      </c>
      <c r="M36" s="617">
        <f t="shared" si="29"/>
        <v>-22443181.016154982</v>
      </c>
      <c r="N36" s="653">
        <f t="shared" si="29"/>
        <v>733115202.17640722</v>
      </c>
      <c r="O36" s="617">
        <f t="shared" si="29"/>
        <v>16335813.934606768</v>
      </c>
      <c r="P36" s="653">
        <f t="shared" si="29"/>
        <v>16606988.445921242</v>
      </c>
      <c r="T36" s="650"/>
      <c r="U36" s="650"/>
      <c r="V36" s="651"/>
      <c r="W36" s="650"/>
      <c r="X36" s="652"/>
      <c r="Y36" s="489"/>
      <c r="Z36" s="650"/>
      <c r="AA36" s="650"/>
      <c r="AB36" s="650"/>
      <c r="AC36" s="650"/>
      <c r="AD36" s="650"/>
      <c r="AE36" s="650"/>
      <c r="AF36" s="650"/>
      <c r="AG36" s="650"/>
      <c r="AH36" s="650"/>
      <c r="AI36" s="650"/>
      <c r="AJ36" s="650"/>
      <c r="AK36" s="650"/>
      <c r="AL36" s="650"/>
      <c r="AM36" s="650"/>
      <c r="AN36" s="650"/>
    </row>
    <row r="37" spans="1:40" s="603" customFormat="1">
      <c r="A37" s="647">
        <f t="shared" si="3"/>
        <v>25</v>
      </c>
      <c r="D37" s="677" t="s">
        <v>1625</v>
      </c>
      <c r="K37" s="906">
        <f>AVERAGE(K24:K36)</f>
        <v>521342705.5823521</v>
      </c>
      <c r="M37" s="678"/>
      <c r="N37" s="678">
        <f>AVERAGE(N24:N36)</f>
        <v>540379821.85890818</v>
      </c>
      <c r="O37" s="678"/>
      <c r="P37" s="678">
        <f>AVERAGE(P24:P36)</f>
        <v>12714511.833981665</v>
      </c>
      <c r="Q37" s="679"/>
      <c r="T37" s="663"/>
      <c r="U37" s="663"/>
    </row>
    <row r="38" spans="1:40">
      <c r="A38" s="646"/>
      <c r="T38" s="601"/>
      <c r="U38" s="601"/>
      <c r="Z38" s="601"/>
    </row>
    <row r="39" spans="1:40">
      <c r="A39" s="646"/>
      <c r="B39" s="603" t="s">
        <v>1974</v>
      </c>
      <c r="G39" s="646"/>
      <c r="K39" s="489"/>
      <c r="M39" s="489"/>
      <c r="N39" s="489"/>
      <c r="O39" s="489"/>
      <c r="P39" s="489"/>
    </row>
    <row r="40" spans="1:40">
      <c r="A40" s="646"/>
      <c r="B40" s="603"/>
      <c r="E40" s="643" t="s">
        <v>360</v>
      </c>
      <c r="F40" s="643" t="s">
        <v>344</v>
      </c>
      <c r="G40" s="643" t="s">
        <v>345</v>
      </c>
      <c r="H40" s="643" t="s">
        <v>346</v>
      </c>
      <c r="I40" s="643" t="s">
        <v>347</v>
      </c>
      <c r="J40" s="643" t="s">
        <v>348</v>
      </c>
      <c r="K40" s="680" t="s">
        <v>349</v>
      </c>
      <c r="L40" s="643" t="s">
        <v>541</v>
      </c>
      <c r="M40" s="680" t="s">
        <v>958</v>
      </c>
      <c r="N40" s="680" t="s">
        <v>971</v>
      </c>
      <c r="O40" s="680" t="s">
        <v>974</v>
      </c>
      <c r="P40" s="680" t="s">
        <v>992</v>
      </c>
    </row>
    <row r="41" spans="1:40" ht="26.4">
      <c r="A41" s="646"/>
      <c r="B41" s="603"/>
      <c r="E41" s="1284" t="s">
        <v>2093</v>
      </c>
      <c r="F41" s="1284" t="s">
        <v>2094</v>
      </c>
      <c r="G41" s="1284" t="s">
        <v>2095</v>
      </c>
      <c r="H41" s="1285" t="s">
        <v>1975</v>
      </c>
      <c r="I41" s="1285" t="s">
        <v>1975</v>
      </c>
      <c r="J41" s="1286" t="s">
        <v>1975</v>
      </c>
      <c r="K41" s="1281" t="s">
        <v>1976</v>
      </c>
      <c r="L41" s="1282" t="s">
        <v>2096</v>
      </c>
      <c r="M41" s="1283" t="s">
        <v>2559</v>
      </c>
      <c r="N41" s="1287" t="s">
        <v>1919</v>
      </c>
      <c r="O41" s="1287"/>
      <c r="P41" s="1283" t="s">
        <v>2097</v>
      </c>
    </row>
    <row r="42" spans="1:40">
      <c r="A42" s="646"/>
      <c r="C42" s="646" t="str">
        <f>C10</f>
        <v>Forecast</v>
      </c>
      <c r="E42" s="646" t="str">
        <f>E10</f>
        <v>Unloaded</v>
      </c>
      <c r="F42" s="646"/>
      <c r="G42" s="646"/>
      <c r="I42" s="647" t="str">
        <f>I10</f>
        <v>AFUDC</v>
      </c>
      <c r="J42" s="647"/>
      <c r="K42" s="647"/>
      <c r="L42" s="647"/>
      <c r="M42" s="647"/>
      <c r="N42" s="647"/>
      <c r="O42" s="646" t="str">
        <f t="shared" ref="O42:P44" si="30">O10</f>
        <v>Unloaded</v>
      </c>
      <c r="P42" s="646" t="str">
        <f t="shared" si="30"/>
        <v>Loaded</v>
      </c>
    </row>
    <row r="43" spans="1:40">
      <c r="A43" s="646"/>
      <c r="B43" s="603"/>
      <c r="C43" s="646" t="str">
        <f>C11</f>
        <v>Period</v>
      </c>
      <c r="E43" s="646" t="str">
        <f>E11</f>
        <v>Total</v>
      </c>
      <c r="F43" s="646" t="str">
        <f t="shared" ref="F43:H44" si="31">F11</f>
        <v>Prior Period</v>
      </c>
      <c r="G43" s="647" t="str">
        <f t="shared" si="31"/>
        <v>Over Heads</v>
      </c>
      <c r="H43" s="647" t="str">
        <f t="shared" si="31"/>
        <v xml:space="preserve">Cost of </v>
      </c>
      <c r="I43" s="647" t="str">
        <f>I11</f>
        <v>Eligible Plant</v>
      </c>
      <c r="J43" s="647"/>
      <c r="K43" s="647" t="str">
        <f>K11</f>
        <v>Incremental</v>
      </c>
      <c r="L43" s="647" t="str">
        <f>L11</f>
        <v>Depreciation</v>
      </c>
      <c r="M43" s="647"/>
      <c r="N43" s="647"/>
      <c r="O43" s="647" t="str">
        <f t="shared" si="30"/>
        <v>Low Voltage</v>
      </c>
      <c r="P43" s="647" t="str">
        <f t="shared" si="30"/>
        <v>Low Voltage</v>
      </c>
    </row>
    <row r="44" spans="1:40">
      <c r="A44" s="648" t="s">
        <v>331</v>
      </c>
      <c r="C44" s="630" t="str">
        <f t="shared" ref="C44:D44" si="32">C12</f>
        <v>Month</v>
      </c>
      <c r="D44" s="630" t="str">
        <f t="shared" si="32"/>
        <v>Year</v>
      </c>
      <c r="E44" s="643" t="str">
        <f>E12</f>
        <v>Plant Adds</v>
      </c>
      <c r="F44" s="643" t="str">
        <f t="shared" si="31"/>
        <v>CWIP Closed</v>
      </c>
      <c r="G44" s="649" t="str">
        <f t="shared" si="31"/>
        <v>Closed to PIS</v>
      </c>
      <c r="H44" s="649" t="str">
        <f t="shared" si="31"/>
        <v>Removal</v>
      </c>
      <c r="I44" s="649" t="str">
        <f>I12</f>
        <v>Additions</v>
      </c>
      <c r="J44" s="649" t="str">
        <f>J12</f>
        <v>AFUDC</v>
      </c>
      <c r="K44" s="649" t="str">
        <f>K12</f>
        <v>Gross Plant</v>
      </c>
      <c r="L44" s="649" t="str">
        <f>L12</f>
        <v>Accrual</v>
      </c>
      <c r="M44" s="649" t="str">
        <f>M12</f>
        <v>Reserve</v>
      </c>
      <c r="N44" s="649" t="str">
        <f>N12</f>
        <v>Net Plant</v>
      </c>
      <c r="O44" s="649" t="str">
        <f t="shared" si="30"/>
        <v>Additions</v>
      </c>
      <c r="P44" s="649" t="str">
        <f t="shared" si="30"/>
        <v>Additions</v>
      </c>
      <c r="T44" s="649"/>
      <c r="U44" s="649"/>
      <c r="V44" s="649"/>
      <c r="W44" s="649"/>
      <c r="X44" s="649"/>
      <c r="Y44" s="649"/>
    </row>
    <row r="45" spans="1:40">
      <c r="A45" s="646">
        <f>A37+1</f>
        <v>26</v>
      </c>
      <c r="C45" s="631" t="s">
        <v>181</v>
      </c>
      <c r="D45" s="869">
        <v>2018</v>
      </c>
      <c r="E45" s="656">
        <f>'10-CWIP'!G55</f>
        <v>5037315.0016000001</v>
      </c>
      <c r="F45" s="656">
        <f>'10-CWIP'!H55</f>
        <v>4098416.9471999994</v>
      </c>
      <c r="G45" s="656">
        <f>'10-CWIP'!I55</f>
        <v>70417.354080000048</v>
      </c>
      <c r="H45" s="681">
        <v>0</v>
      </c>
      <c r="I45" s="650">
        <v>0</v>
      </c>
      <c r="J45" s="682">
        <v>0</v>
      </c>
      <c r="K45" s="1272">
        <f>0+E45+G45</f>
        <v>5107732.35568</v>
      </c>
      <c r="L45" s="601">
        <v>0</v>
      </c>
      <c r="M45" s="601">
        <f>L45- H45</f>
        <v>0</v>
      </c>
      <c r="N45" s="601">
        <f>K45-M45</f>
        <v>5107732.35568</v>
      </c>
      <c r="O45" s="683">
        <v>0</v>
      </c>
      <c r="P45" s="682">
        <f t="shared" ref="P45:P68" si="33">O45*(1-$E$107)*(1+$E$103+$E$111)</f>
        <v>0</v>
      </c>
      <c r="S45" s="601"/>
      <c r="T45" s="655"/>
      <c r="U45" s="652"/>
      <c r="V45" s="489"/>
      <c r="W45" s="655"/>
      <c r="X45" s="652"/>
      <c r="Y45" s="489"/>
    </row>
    <row r="46" spans="1:40">
      <c r="A46" s="646">
        <f t="shared" ref="A46:A99" si="34">A45+1</f>
        <v>27</v>
      </c>
      <c r="C46" s="634" t="s">
        <v>182</v>
      </c>
      <c r="D46" s="869">
        <v>2018</v>
      </c>
      <c r="E46" s="656">
        <f>'10-CWIP'!G56</f>
        <v>1615948.3799999997</v>
      </c>
      <c r="F46" s="656">
        <f>'10-CWIP'!H56</f>
        <v>0</v>
      </c>
      <c r="G46" s="656">
        <f>'10-CWIP'!I56</f>
        <v>121196.12849999998</v>
      </c>
      <c r="H46" s="681">
        <v>0</v>
      </c>
      <c r="I46" s="650">
        <v>0</v>
      </c>
      <c r="J46" s="682">
        <v>0</v>
      </c>
      <c r="K46" s="601">
        <f>K45+E46+G46</f>
        <v>6844876.8641799996</v>
      </c>
      <c r="L46" s="601">
        <f t="shared" ref="L46:L68" si="35">K45*$E$133/12</f>
        <v>11644.766740190576</v>
      </c>
      <c r="M46" s="601">
        <f>(M45+L46)-H46</f>
        <v>11644.766740190576</v>
      </c>
      <c r="N46" s="601">
        <f t="shared" ref="N46:N65" si="36">K46-M46</f>
        <v>6833232.0974398088</v>
      </c>
      <c r="O46" s="683">
        <v>0</v>
      </c>
      <c r="P46" s="682">
        <f t="shared" si="33"/>
        <v>0</v>
      </c>
      <c r="S46" s="601"/>
      <c r="T46" s="655"/>
      <c r="U46" s="652"/>
      <c r="V46" s="489"/>
      <c r="W46" s="655"/>
      <c r="X46" s="652"/>
      <c r="Y46" s="489"/>
    </row>
    <row r="47" spans="1:40">
      <c r="A47" s="646">
        <f t="shared" si="34"/>
        <v>28</v>
      </c>
      <c r="C47" s="634" t="s">
        <v>195</v>
      </c>
      <c r="D47" s="869">
        <v>2018</v>
      </c>
      <c r="E47" s="656">
        <f>'10-CWIP'!G57</f>
        <v>1024176.6912</v>
      </c>
      <c r="F47" s="656">
        <f>'10-CWIP'!H57</f>
        <v>0</v>
      </c>
      <c r="G47" s="656">
        <f>'10-CWIP'!I57</f>
        <v>76813.251840000012</v>
      </c>
      <c r="H47" s="681">
        <v>0</v>
      </c>
      <c r="I47" s="650">
        <v>0</v>
      </c>
      <c r="J47" s="682">
        <v>0</v>
      </c>
      <c r="K47" s="601">
        <f t="shared" ref="K47:K65" si="37">K46+E47+G47</f>
        <v>7945866.8072199998</v>
      </c>
      <c r="L47" s="601">
        <f t="shared" si="35"/>
        <v>15605.16270200922</v>
      </c>
      <c r="M47" s="601">
        <f>(M46+L47)-H47</f>
        <v>27249.929442199798</v>
      </c>
      <c r="N47" s="601">
        <f t="shared" si="36"/>
        <v>7918616.8777778</v>
      </c>
      <c r="O47" s="683">
        <v>0</v>
      </c>
      <c r="P47" s="682">
        <f t="shared" si="33"/>
        <v>0</v>
      </c>
      <c r="S47" s="601"/>
      <c r="T47" s="655"/>
      <c r="U47" s="652"/>
      <c r="V47" s="489"/>
      <c r="W47" s="655"/>
      <c r="X47" s="652"/>
      <c r="Y47" s="489"/>
    </row>
    <row r="48" spans="1:40">
      <c r="A48" s="646">
        <f t="shared" si="34"/>
        <v>29</v>
      </c>
      <c r="C48" s="631" t="s">
        <v>183</v>
      </c>
      <c r="D48" s="869">
        <v>2018</v>
      </c>
      <c r="E48" s="656">
        <f>'10-CWIP'!G58</f>
        <v>116255.00000000001</v>
      </c>
      <c r="F48" s="656">
        <f>'10-CWIP'!H58</f>
        <v>0</v>
      </c>
      <c r="G48" s="656">
        <f>'10-CWIP'!I58</f>
        <v>8719.125</v>
      </c>
      <c r="H48" s="681">
        <v>0</v>
      </c>
      <c r="I48" s="650">
        <v>0</v>
      </c>
      <c r="J48" s="682">
        <v>0</v>
      </c>
      <c r="K48" s="601">
        <f t="shared" si="37"/>
        <v>8070840.9322199998</v>
      </c>
      <c r="L48" s="601">
        <f t="shared" si="35"/>
        <v>18115.233742779259</v>
      </c>
      <c r="M48" s="601">
        <f t="shared" ref="M48:M68" si="38">(M47+L48)-H48</f>
        <v>45365.163184979057</v>
      </c>
      <c r="N48" s="601">
        <f t="shared" si="36"/>
        <v>8025475.7690350208</v>
      </c>
      <c r="O48" s="683">
        <v>0</v>
      </c>
      <c r="P48" s="682">
        <f t="shared" si="33"/>
        <v>0</v>
      </c>
      <c r="S48" s="601"/>
      <c r="T48" s="655"/>
      <c r="U48" s="652"/>
      <c r="V48" s="489"/>
      <c r="W48" s="655"/>
      <c r="X48" s="652"/>
      <c r="Y48" s="489"/>
    </row>
    <row r="49" spans="1:25">
      <c r="A49" s="646">
        <f t="shared" si="34"/>
        <v>30</v>
      </c>
      <c r="C49" s="634" t="s">
        <v>184</v>
      </c>
      <c r="D49" s="869">
        <v>2018</v>
      </c>
      <c r="E49" s="656">
        <f>'10-CWIP'!G59</f>
        <v>786000</v>
      </c>
      <c r="F49" s="656">
        <f>'10-CWIP'!H59</f>
        <v>0</v>
      </c>
      <c r="G49" s="656">
        <f>'10-CWIP'!I59</f>
        <v>58950</v>
      </c>
      <c r="H49" s="681">
        <v>0</v>
      </c>
      <c r="I49" s="650">
        <v>0</v>
      </c>
      <c r="J49" s="682">
        <v>0</v>
      </c>
      <c r="K49" s="601">
        <f t="shared" si="37"/>
        <v>8915790.9322200008</v>
      </c>
      <c r="L49" s="601">
        <f t="shared" si="35"/>
        <v>18400.153631458641</v>
      </c>
      <c r="M49" s="601">
        <f t="shared" si="38"/>
        <v>63765.316816437698</v>
      </c>
      <c r="N49" s="601">
        <f t="shared" si="36"/>
        <v>8852025.6154035628</v>
      </c>
      <c r="O49" s="683">
        <v>0</v>
      </c>
      <c r="P49" s="682">
        <f t="shared" si="33"/>
        <v>0</v>
      </c>
      <c r="S49" s="601"/>
      <c r="T49" s="655"/>
      <c r="U49" s="652"/>
      <c r="V49" s="489"/>
      <c r="W49" s="655"/>
      <c r="X49" s="652"/>
      <c r="Y49" s="489"/>
    </row>
    <row r="50" spans="1:25">
      <c r="A50" s="646">
        <f t="shared" si="34"/>
        <v>31</v>
      </c>
      <c r="C50" s="634" t="s">
        <v>185</v>
      </c>
      <c r="D50" s="869">
        <v>2018</v>
      </c>
      <c r="E50" s="656">
        <f>'10-CWIP'!G60</f>
        <v>3410369.5299999993</v>
      </c>
      <c r="F50" s="656">
        <f>'10-CWIP'!H60</f>
        <v>2447557.5500000003</v>
      </c>
      <c r="G50" s="656">
        <f>'10-CWIP'!I60</f>
        <v>72210.898499999967</v>
      </c>
      <c r="H50" s="681">
        <v>0</v>
      </c>
      <c r="I50" s="650">
        <v>0</v>
      </c>
      <c r="J50" s="682">
        <v>0</v>
      </c>
      <c r="K50" s="601">
        <f t="shared" si="37"/>
        <v>12398371.360719999</v>
      </c>
      <c r="L50" s="601">
        <f t="shared" si="35"/>
        <v>20326.496864024932</v>
      </c>
      <c r="M50" s="601">
        <f t="shared" si="38"/>
        <v>84091.813680462627</v>
      </c>
      <c r="N50" s="601">
        <f t="shared" si="36"/>
        <v>12314279.547039537</v>
      </c>
      <c r="O50" s="683">
        <v>0</v>
      </c>
      <c r="P50" s="682">
        <f t="shared" si="33"/>
        <v>0</v>
      </c>
      <c r="S50" s="601"/>
      <c r="T50" s="655"/>
      <c r="U50" s="652"/>
      <c r="V50" s="489"/>
      <c r="W50" s="655"/>
      <c r="X50" s="652"/>
      <c r="Y50" s="489"/>
    </row>
    <row r="51" spans="1:25">
      <c r="A51" s="646">
        <f t="shared" si="34"/>
        <v>32</v>
      </c>
      <c r="C51" s="631" t="s">
        <v>186</v>
      </c>
      <c r="D51" s="869">
        <v>2018</v>
      </c>
      <c r="E51" s="656">
        <f>'10-CWIP'!G61</f>
        <v>548326</v>
      </c>
      <c r="F51" s="656">
        <f>'10-CWIP'!H61</f>
        <v>0</v>
      </c>
      <c r="G51" s="656">
        <f>'10-CWIP'!I61</f>
        <v>41124.449999999997</v>
      </c>
      <c r="H51" s="681">
        <v>0</v>
      </c>
      <c r="I51" s="650">
        <v>0</v>
      </c>
      <c r="J51" s="682">
        <v>0</v>
      </c>
      <c r="K51" s="601">
        <f t="shared" si="37"/>
        <v>12987821.810719999</v>
      </c>
      <c r="L51" s="601">
        <f t="shared" si="35"/>
        <v>28266.191804919388</v>
      </c>
      <c r="M51" s="601">
        <f t="shared" si="38"/>
        <v>112358.00548538202</v>
      </c>
      <c r="N51" s="601">
        <f t="shared" si="36"/>
        <v>12875463.805234617</v>
      </c>
      <c r="O51" s="683">
        <v>0</v>
      </c>
      <c r="P51" s="682">
        <f t="shared" si="33"/>
        <v>0</v>
      </c>
      <c r="S51" s="601"/>
      <c r="T51" s="655"/>
      <c r="U51" s="652"/>
      <c r="V51" s="489"/>
      <c r="W51" s="655"/>
      <c r="X51" s="652"/>
      <c r="Y51" s="489"/>
    </row>
    <row r="52" spans="1:25">
      <c r="A52" s="646">
        <f t="shared" si="34"/>
        <v>33</v>
      </c>
      <c r="C52" s="634" t="s">
        <v>187</v>
      </c>
      <c r="D52" s="869">
        <v>2018</v>
      </c>
      <c r="E52" s="656">
        <f>'10-CWIP'!G62</f>
        <v>297663</v>
      </c>
      <c r="F52" s="656">
        <f>'10-CWIP'!H62</f>
        <v>0</v>
      </c>
      <c r="G52" s="656">
        <f>'10-CWIP'!I62</f>
        <v>22324.724999999999</v>
      </c>
      <c r="H52" s="681">
        <v>0</v>
      </c>
      <c r="I52" s="650">
        <v>0</v>
      </c>
      <c r="J52" s="682">
        <v>0</v>
      </c>
      <c r="K52" s="601">
        <f t="shared" si="37"/>
        <v>13307809.535719998</v>
      </c>
      <c r="L52" s="601">
        <f t="shared" si="35"/>
        <v>29610.039234105319</v>
      </c>
      <c r="M52" s="601">
        <f t="shared" si="38"/>
        <v>141968.04471948734</v>
      </c>
      <c r="N52" s="601">
        <f t="shared" si="36"/>
        <v>13165841.491000511</v>
      </c>
      <c r="O52" s="683">
        <v>0</v>
      </c>
      <c r="P52" s="682">
        <f t="shared" si="33"/>
        <v>0</v>
      </c>
      <c r="S52" s="601"/>
      <c r="T52" s="655"/>
      <c r="U52" s="652"/>
      <c r="V52" s="489"/>
      <c r="W52" s="655"/>
      <c r="X52" s="652"/>
      <c r="Y52" s="489"/>
    </row>
    <row r="53" spans="1:25">
      <c r="A53" s="646">
        <f t="shared" si="34"/>
        <v>34</v>
      </c>
      <c r="C53" s="634" t="s">
        <v>188</v>
      </c>
      <c r="D53" s="869">
        <v>2018</v>
      </c>
      <c r="E53" s="656">
        <f>'10-CWIP'!G63</f>
        <v>349971</v>
      </c>
      <c r="F53" s="656">
        <f>'10-CWIP'!H63</f>
        <v>0</v>
      </c>
      <c r="G53" s="656">
        <f>'10-CWIP'!I63</f>
        <v>26247.825000000001</v>
      </c>
      <c r="H53" s="681">
        <v>0</v>
      </c>
      <c r="I53" s="650">
        <v>0</v>
      </c>
      <c r="J53" s="682">
        <v>0</v>
      </c>
      <c r="K53" s="601">
        <f t="shared" si="37"/>
        <v>13684028.360719997</v>
      </c>
      <c r="L53" s="601">
        <f t="shared" si="35"/>
        <v>30339.557180206306</v>
      </c>
      <c r="M53" s="601">
        <f t="shared" si="38"/>
        <v>172307.60189969366</v>
      </c>
      <c r="N53" s="601">
        <f t="shared" si="36"/>
        <v>13511720.758820305</v>
      </c>
      <c r="O53" s="683">
        <v>0</v>
      </c>
      <c r="P53" s="682">
        <f t="shared" si="33"/>
        <v>0</v>
      </c>
      <c r="S53" s="601"/>
      <c r="T53" s="655"/>
      <c r="U53" s="652"/>
      <c r="V53" s="489"/>
      <c r="W53" s="655"/>
      <c r="X53" s="652"/>
      <c r="Y53" s="489"/>
    </row>
    <row r="54" spans="1:25">
      <c r="A54" s="646">
        <f t="shared" si="34"/>
        <v>35</v>
      </c>
      <c r="C54" s="631" t="s">
        <v>189</v>
      </c>
      <c r="D54" s="869">
        <v>2018</v>
      </c>
      <c r="E54" s="656">
        <f>'10-CWIP'!G64</f>
        <v>77673</v>
      </c>
      <c r="F54" s="656">
        <f>'10-CWIP'!H64</f>
        <v>0</v>
      </c>
      <c r="G54" s="656">
        <f>'10-CWIP'!I64</f>
        <v>5825.4749999999995</v>
      </c>
      <c r="H54" s="681">
        <v>0</v>
      </c>
      <c r="I54" s="650">
        <v>0</v>
      </c>
      <c r="J54" s="682">
        <v>0</v>
      </c>
      <c r="K54" s="601">
        <f t="shared" si="37"/>
        <v>13767526.835719997</v>
      </c>
      <c r="L54" s="601">
        <f t="shared" si="35"/>
        <v>31197.272533189072</v>
      </c>
      <c r="M54" s="601">
        <f t="shared" si="38"/>
        <v>203504.87443288273</v>
      </c>
      <c r="N54" s="601">
        <f t="shared" si="36"/>
        <v>13564021.961287115</v>
      </c>
      <c r="O54" s="683">
        <v>0</v>
      </c>
      <c r="P54" s="682">
        <f t="shared" si="33"/>
        <v>0</v>
      </c>
      <c r="S54" s="601"/>
      <c r="T54" s="655"/>
      <c r="U54" s="652"/>
      <c r="V54" s="489"/>
      <c r="W54" s="655"/>
      <c r="X54" s="652"/>
      <c r="Y54" s="489"/>
    </row>
    <row r="55" spans="1:25">
      <c r="A55" s="646">
        <f t="shared" si="34"/>
        <v>36</v>
      </c>
      <c r="C55" s="631" t="s">
        <v>190</v>
      </c>
      <c r="D55" s="869">
        <v>2018</v>
      </c>
      <c r="E55" s="656">
        <f>'10-CWIP'!G65</f>
        <v>47000</v>
      </c>
      <c r="F55" s="656">
        <f>'10-CWIP'!H65</f>
        <v>0</v>
      </c>
      <c r="G55" s="656">
        <f>'10-CWIP'!I65</f>
        <v>3525</v>
      </c>
      <c r="H55" s="681">
        <v>0</v>
      </c>
      <c r="I55" s="650">
        <v>0</v>
      </c>
      <c r="J55" s="682">
        <v>0</v>
      </c>
      <c r="K55" s="601">
        <f t="shared" si="37"/>
        <v>13818051.835719997</v>
      </c>
      <c r="L55" s="601">
        <f t="shared" si="35"/>
        <v>31387.634947824088</v>
      </c>
      <c r="M55" s="601">
        <f t="shared" si="38"/>
        <v>234892.50938070682</v>
      </c>
      <c r="N55" s="601">
        <f t="shared" si="36"/>
        <v>13583159.32633929</v>
      </c>
      <c r="O55" s="683">
        <v>0</v>
      </c>
      <c r="P55" s="682">
        <f>O55*(1-$E$107)*(1+$E$103+$E$111)</f>
        <v>0</v>
      </c>
      <c r="S55" s="601"/>
      <c r="T55" s="655"/>
      <c r="U55" s="652"/>
      <c r="V55" s="489"/>
      <c r="W55" s="655"/>
      <c r="X55" s="652"/>
      <c r="Y55" s="489"/>
    </row>
    <row r="56" spans="1:25">
      <c r="A56" s="646">
        <f t="shared" si="34"/>
        <v>37</v>
      </c>
      <c r="C56" s="631" t="s">
        <v>180</v>
      </c>
      <c r="D56" s="869">
        <v>2018</v>
      </c>
      <c r="E56" s="656">
        <f>'10-CWIP'!G66</f>
        <v>20677884.444288</v>
      </c>
      <c r="F56" s="656">
        <f>'10-CWIP'!H66</f>
        <v>8513637.9700000007</v>
      </c>
      <c r="G56" s="656">
        <f>'10-CWIP'!I66</f>
        <v>912318.4855715998</v>
      </c>
      <c r="H56" s="681">
        <v>0</v>
      </c>
      <c r="I56" s="650">
        <v>0</v>
      </c>
      <c r="J56" s="682">
        <v>0</v>
      </c>
      <c r="K56" s="601">
        <f t="shared" si="37"/>
        <v>35408254.765579596</v>
      </c>
      <c r="L56" s="601">
        <f t="shared" si="35"/>
        <v>31502.823410840138</v>
      </c>
      <c r="M56" s="601">
        <f t="shared" si="38"/>
        <v>266395.33279154694</v>
      </c>
      <c r="N56" s="601">
        <f t="shared" si="36"/>
        <v>35141859.432788052</v>
      </c>
      <c r="O56" s="683">
        <v>0</v>
      </c>
      <c r="P56" s="682">
        <f t="shared" si="33"/>
        <v>0</v>
      </c>
      <c r="S56" s="601"/>
      <c r="T56" s="655"/>
      <c r="U56" s="652"/>
      <c r="V56" s="489"/>
      <c r="W56" s="655"/>
      <c r="X56" s="652"/>
      <c r="Y56" s="489"/>
    </row>
    <row r="57" spans="1:25">
      <c r="A57" s="646">
        <f t="shared" si="34"/>
        <v>38</v>
      </c>
      <c r="C57" s="631" t="s">
        <v>181</v>
      </c>
      <c r="D57" s="869">
        <v>2019</v>
      </c>
      <c r="E57" s="656">
        <f>'10-CWIP'!G67</f>
        <v>185930</v>
      </c>
      <c r="F57" s="656">
        <f>'10-CWIP'!H67</f>
        <v>0</v>
      </c>
      <c r="G57" s="656">
        <f>'10-CWIP'!I67</f>
        <v>13944.75</v>
      </c>
      <c r="H57" s="681">
        <v>0</v>
      </c>
      <c r="I57" s="650">
        <v>0</v>
      </c>
      <c r="J57" s="682">
        <v>0</v>
      </c>
      <c r="K57" s="601">
        <f t="shared" si="37"/>
        <v>35608129.515579596</v>
      </c>
      <c r="L57" s="601">
        <f t="shared" si="35"/>
        <v>80724.838090605641</v>
      </c>
      <c r="M57" s="601">
        <f t="shared" si="38"/>
        <v>347120.17088215257</v>
      </c>
      <c r="N57" s="601">
        <f t="shared" si="36"/>
        <v>35261009.344697446</v>
      </c>
      <c r="O57" s="683">
        <v>0</v>
      </c>
      <c r="P57" s="682">
        <f t="shared" si="33"/>
        <v>0</v>
      </c>
      <c r="S57" s="601"/>
      <c r="T57" s="655"/>
      <c r="U57" s="652"/>
      <c r="V57" s="489"/>
      <c r="W57" s="655"/>
      <c r="X57" s="652"/>
      <c r="Y57" s="489"/>
    </row>
    <row r="58" spans="1:25">
      <c r="A58" s="646">
        <f t="shared" si="34"/>
        <v>39</v>
      </c>
      <c r="C58" s="634" t="s">
        <v>182</v>
      </c>
      <c r="D58" s="869">
        <v>2019</v>
      </c>
      <c r="E58" s="656">
        <f>'10-CWIP'!G68</f>
        <v>204642.63</v>
      </c>
      <c r="F58" s="656">
        <f>'10-CWIP'!H68</f>
        <v>0</v>
      </c>
      <c r="G58" s="656">
        <f>'10-CWIP'!I68</f>
        <v>15348.197249999999</v>
      </c>
      <c r="H58" s="681">
        <v>0</v>
      </c>
      <c r="I58" s="650">
        <v>0</v>
      </c>
      <c r="J58" s="682">
        <v>0</v>
      </c>
      <c r="K58" s="601">
        <f t="shared" si="37"/>
        <v>35828120.3428296</v>
      </c>
      <c r="L58" s="601">
        <f t="shared" si="35"/>
        <v>81180.518748660412</v>
      </c>
      <c r="M58" s="601">
        <f t="shared" si="38"/>
        <v>428300.68963081297</v>
      </c>
      <c r="N58" s="601">
        <f t="shared" si="36"/>
        <v>35399819.653198786</v>
      </c>
      <c r="O58" s="683">
        <v>0</v>
      </c>
      <c r="P58" s="682">
        <f t="shared" si="33"/>
        <v>0</v>
      </c>
      <c r="S58" s="601"/>
      <c r="T58" s="655"/>
      <c r="U58" s="652"/>
      <c r="V58" s="489"/>
      <c r="W58" s="655"/>
      <c r="X58" s="652"/>
      <c r="Y58" s="489"/>
    </row>
    <row r="59" spans="1:25">
      <c r="A59" s="646">
        <f t="shared" si="34"/>
        <v>40</v>
      </c>
      <c r="C59" s="634" t="s">
        <v>195</v>
      </c>
      <c r="D59" s="869">
        <v>2019</v>
      </c>
      <c r="E59" s="656">
        <f>'10-CWIP'!G69</f>
        <v>361033.7</v>
      </c>
      <c r="F59" s="656">
        <f>'10-CWIP'!H69</f>
        <v>0</v>
      </c>
      <c r="G59" s="656">
        <f>'10-CWIP'!I69</f>
        <v>27077.5275</v>
      </c>
      <c r="H59" s="681">
        <v>0</v>
      </c>
      <c r="I59" s="650">
        <v>0</v>
      </c>
      <c r="J59" s="682">
        <v>0</v>
      </c>
      <c r="K59" s="601">
        <f t="shared" si="37"/>
        <v>36216231.570329607</v>
      </c>
      <c r="L59" s="601">
        <f t="shared" si="35"/>
        <v>81682.060663921307</v>
      </c>
      <c r="M59" s="601">
        <f t="shared" si="38"/>
        <v>509982.75029473426</v>
      </c>
      <c r="N59" s="601">
        <f t="shared" si="36"/>
        <v>35706248.820034869</v>
      </c>
      <c r="O59" s="683">
        <v>0</v>
      </c>
      <c r="P59" s="682">
        <f t="shared" si="33"/>
        <v>0</v>
      </c>
      <c r="S59" s="601"/>
      <c r="T59" s="655"/>
      <c r="U59" s="652"/>
      <c r="V59" s="489"/>
      <c r="W59" s="655"/>
      <c r="X59" s="652"/>
      <c r="Y59" s="489"/>
    </row>
    <row r="60" spans="1:25">
      <c r="A60" s="646">
        <f t="shared" si="34"/>
        <v>41</v>
      </c>
      <c r="C60" s="631" t="s">
        <v>183</v>
      </c>
      <c r="D60" s="869">
        <v>2019</v>
      </c>
      <c r="E60" s="656">
        <f>'10-CWIP'!G70</f>
        <v>373816.33</v>
      </c>
      <c r="F60" s="656">
        <f>'10-CWIP'!H70</f>
        <v>0</v>
      </c>
      <c r="G60" s="656">
        <f>'10-CWIP'!I70</f>
        <v>28036.224750000001</v>
      </c>
      <c r="H60" s="681">
        <v>0</v>
      </c>
      <c r="I60" s="650">
        <v>0</v>
      </c>
      <c r="J60" s="682">
        <v>0</v>
      </c>
      <c r="K60" s="601">
        <f t="shared" si="37"/>
        <v>36618084.125079602</v>
      </c>
      <c r="L60" s="601">
        <f t="shared" si="35"/>
        <v>82566.888685197875</v>
      </c>
      <c r="M60" s="601">
        <f t="shared" si="38"/>
        <v>592549.63897993218</v>
      </c>
      <c r="N60" s="601">
        <f t="shared" si="36"/>
        <v>36025534.486099668</v>
      </c>
      <c r="O60" s="683">
        <v>0</v>
      </c>
      <c r="P60" s="682">
        <f t="shared" si="33"/>
        <v>0</v>
      </c>
      <c r="S60" s="601"/>
      <c r="T60" s="655"/>
      <c r="U60" s="652"/>
      <c r="V60" s="489"/>
      <c r="W60" s="655"/>
      <c r="X60" s="652"/>
      <c r="Y60" s="489"/>
    </row>
    <row r="61" spans="1:25">
      <c r="A61" s="646">
        <f t="shared" si="34"/>
        <v>42</v>
      </c>
      <c r="C61" s="634" t="s">
        <v>184</v>
      </c>
      <c r="D61" s="869">
        <v>2019</v>
      </c>
      <c r="E61" s="656">
        <f>'10-CWIP'!G71</f>
        <v>400430.52</v>
      </c>
      <c r="F61" s="656">
        <f>'10-CWIP'!H71</f>
        <v>0</v>
      </c>
      <c r="G61" s="656">
        <f>'10-CWIP'!I71</f>
        <v>30032.289000000001</v>
      </c>
      <c r="H61" s="681">
        <v>0</v>
      </c>
      <c r="I61" s="650">
        <v>0</v>
      </c>
      <c r="J61" s="682">
        <v>0</v>
      </c>
      <c r="K61" s="601">
        <f t="shared" si="37"/>
        <v>37048546.934079602</v>
      </c>
      <c r="L61" s="601">
        <f t="shared" si="35"/>
        <v>83483.04461079363</v>
      </c>
      <c r="M61" s="601">
        <f t="shared" si="38"/>
        <v>676032.68359072576</v>
      </c>
      <c r="N61" s="601">
        <f t="shared" si="36"/>
        <v>36372514.250488877</v>
      </c>
      <c r="O61" s="683">
        <v>0</v>
      </c>
      <c r="P61" s="682">
        <f t="shared" si="33"/>
        <v>0</v>
      </c>
      <c r="S61" s="601"/>
      <c r="T61" s="655"/>
      <c r="U61" s="652"/>
      <c r="V61" s="489"/>
      <c r="W61" s="655"/>
      <c r="X61" s="652"/>
      <c r="Y61" s="489"/>
    </row>
    <row r="62" spans="1:25">
      <c r="A62" s="646">
        <f t="shared" si="34"/>
        <v>43</v>
      </c>
      <c r="C62" s="634" t="s">
        <v>185</v>
      </c>
      <c r="D62" s="869">
        <v>2019</v>
      </c>
      <c r="E62" s="656">
        <f>'10-CWIP'!G72</f>
        <v>413213.15</v>
      </c>
      <c r="F62" s="656">
        <f>'10-CWIP'!H72</f>
        <v>0</v>
      </c>
      <c r="G62" s="656">
        <f>'10-CWIP'!I72</f>
        <v>30990.986250000002</v>
      </c>
      <c r="H62" s="681">
        <v>0</v>
      </c>
      <c r="I62" s="650">
        <v>0</v>
      </c>
      <c r="J62" s="682">
        <v>0</v>
      </c>
      <c r="K62" s="601">
        <f t="shared" si="37"/>
        <v>37492751.070329599</v>
      </c>
      <c r="L62" s="601">
        <f t="shared" si="35"/>
        <v>84464.427081932299</v>
      </c>
      <c r="M62" s="601">
        <f t="shared" si="38"/>
        <v>760497.11067265808</v>
      </c>
      <c r="N62" s="601">
        <f t="shared" si="36"/>
        <v>36732253.959656939</v>
      </c>
      <c r="O62" s="683">
        <v>0</v>
      </c>
      <c r="P62" s="682">
        <f t="shared" si="33"/>
        <v>0</v>
      </c>
      <c r="S62" s="601"/>
      <c r="T62" s="655"/>
      <c r="U62" s="652"/>
      <c r="V62" s="489"/>
      <c r="W62" s="655"/>
      <c r="X62" s="652"/>
      <c r="Y62" s="489"/>
    </row>
    <row r="63" spans="1:25">
      <c r="A63" s="646">
        <f t="shared" si="34"/>
        <v>44</v>
      </c>
      <c r="C63" s="631" t="s">
        <v>186</v>
      </c>
      <c r="D63" s="869">
        <v>2019</v>
      </c>
      <c r="E63" s="656">
        <f>'10-CWIP'!G73</f>
        <v>432386.85</v>
      </c>
      <c r="F63" s="656">
        <f>'10-CWIP'!H73</f>
        <v>0</v>
      </c>
      <c r="G63" s="656">
        <f>'10-CWIP'!I73</f>
        <v>32429.013749999998</v>
      </c>
      <c r="H63" s="681">
        <v>0</v>
      </c>
      <c r="I63" s="650">
        <v>0</v>
      </c>
      <c r="J63" s="682">
        <v>0</v>
      </c>
      <c r="K63" s="601">
        <f t="shared" si="37"/>
        <v>37957566.934079602</v>
      </c>
      <c r="L63" s="601">
        <f t="shared" si="35"/>
        <v>85477.137457390185</v>
      </c>
      <c r="M63" s="601">
        <f t="shared" si="38"/>
        <v>845974.24813004828</v>
      </c>
      <c r="N63" s="601">
        <f t="shared" si="36"/>
        <v>37111592.685949557</v>
      </c>
      <c r="O63" s="683">
        <v>0</v>
      </c>
      <c r="P63" s="682">
        <f t="shared" si="33"/>
        <v>0</v>
      </c>
      <c r="S63" s="601"/>
      <c r="T63" s="655"/>
      <c r="U63" s="652"/>
      <c r="V63" s="489"/>
      <c r="W63" s="655"/>
      <c r="X63" s="652"/>
      <c r="Y63" s="489"/>
    </row>
    <row r="64" spans="1:25">
      <c r="A64" s="646">
        <f t="shared" si="34"/>
        <v>45</v>
      </c>
      <c r="C64" s="634" t="s">
        <v>187</v>
      </c>
      <c r="D64" s="869">
        <v>2019</v>
      </c>
      <c r="E64" s="656">
        <f>'10-CWIP'!G74</f>
        <v>14427934.35</v>
      </c>
      <c r="F64" s="656">
        <f>'10-CWIP'!H74</f>
        <v>8470082.9399999995</v>
      </c>
      <c r="G64" s="656">
        <f>'10-CWIP'!I74</f>
        <v>446838.85574999999</v>
      </c>
      <c r="H64" s="681">
        <v>0</v>
      </c>
      <c r="I64" s="650">
        <v>0</v>
      </c>
      <c r="J64" s="682">
        <v>0</v>
      </c>
      <c r="K64" s="601">
        <f t="shared" si="37"/>
        <v>52832340.139829606</v>
      </c>
      <c r="L64" s="601">
        <f t="shared" si="35"/>
        <v>86536.839088876397</v>
      </c>
      <c r="M64" s="601">
        <f t="shared" si="38"/>
        <v>932511.08721892466</v>
      </c>
      <c r="N64" s="601">
        <f t="shared" si="36"/>
        <v>51899829.05261068</v>
      </c>
      <c r="O64" s="683">
        <v>0</v>
      </c>
      <c r="P64" s="682">
        <f t="shared" si="33"/>
        <v>0</v>
      </c>
      <c r="S64" s="601"/>
      <c r="T64" s="655"/>
      <c r="U64" s="652"/>
      <c r="V64" s="489"/>
      <c r="W64" s="655"/>
      <c r="X64" s="652"/>
      <c r="Y64" s="489"/>
    </row>
    <row r="65" spans="1:25">
      <c r="A65" s="646">
        <f t="shared" si="34"/>
        <v>46</v>
      </c>
      <c r="C65" s="634" t="s">
        <v>188</v>
      </c>
      <c r="D65" s="869">
        <v>2019</v>
      </c>
      <c r="E65" s="656">
        <f>'10-CWIP'!G75</f>
        <v>453078.41000000003</v>
      </c>
      <c r="F65" s="656">
        <f>'10-CWIP'!H75</f>
        <v>0</v>
      </c>
      <c r="G65" s="656">
        <f>'10-CWIP'!I75</f>
        <v>33980.880749999997</v>
      </c>
      <c r="H65" s="681">
        <v>0</v>
      </c>
      <c r="I65" s="650">
        <v>0</v>
      </c>
      <c r="J65" s="682">
        <v>0</v>
      </c>
      <c r="K65" s="601">
        <f t="shared" si="37"/>
        <v>53319399.430579603</v>
      </c>
      <c r="L65" s="601">
        <f t="shared" si="35"/>
        <v>120448.80867388716</v>
      </c>
      <c r="M65" s="601">
        <f t="shared" si="38"/>
        <v>1052959.8958928119</v>
      </c>
      <c r="N65" s="601">
        <f t="shared" si="36"/>
        <v>52266439.534686789</v>
      </c>
      <c r="O65" s="683">
        <v>0</v>
      </c>
      <c r="P65" s="682">
        <f t="shared" si="33"/>
        <v>0</v>
      </c>
      <c r="S65" s="601"/>
      <c r="T65" s="655"/>
      <c r="U65" s="652"/>
      <c r="V65" s="489"/>
      <c r="W65" s="655"/>
      <c r="X65" s="652"/>
      <c r="Y65" s="489"/>
    </row>
    <row r="66" spans="1:25">
      <c r="A66" s="647">
        <f t="shared" si="34"/>
        <v>47</v>
      </c>
      <c r="C66" s="634" t="s">
        <v>191</v>
      </c>
      <c r="D66" s="869">
        <v>2019</v>
      </c>
      <c r="E66" s="656">
        <f>'10-CWIP'!G76</f>
        <v>19987218.269999996</v>
      </c>
      <c r="F66" s="656">
        <f>'10-CWIP'!H76</f>
        <v>9341863.8599999994</v>
      </c>
      <c r="G66" s="656">
        <f>'10-CWIP'!I76</f>
        <v>798401.58074999985</v>
      </c>
      <c r="H66" s="681">
        <v>0</v>
      </c>
      <c r="I66" s="650">
        <v>0</v>
      </c>
      <c r="J66" s="682">
        <v>0</v>
      </c>
      <c r="K66" s="601">
        <f t="shared" ref="K66:K68" si="39">K65+E66+G66</f>
        <v>74105019.281329602</v>
      </c>
      <c r="L66" s="601">
        <f t="shared" si="35"/>
        <v>121559.22156056069</v>
      </c>
      <c r="M66" s="601">
        <f t="shared" si="38"/>
        <v>1174519.1174533726</v>
      </c>
      <c r="N66" s="601">
        <f t="shared" ref="N66:N68" si="40">K66-M66</f>
        <v>72930500.163876235</v>
      </c>
      <c r="O66" s="683">
        <v>0</v>
      </c>
      <c r="P66" s="682">
        <f t="shared" si="33"/>
        <v>0</v>
      </c>
      <c r="S66" s="601"/>
      <c r="T66" s="655"/>
      <c r="U66" s="652"/>
      <c r="V66" s="489"/>
      <c r="W66" s="655"/>
      <c r="X66" s="652"/>
      <c r="Y66" s="489"/>
    </row>
    <row r="67" spans="1:25">
      <c r="A67" s="647">
        <f t="shared" si="34"/>
        <v>48</v>
      </c>
      <c r="C67" s="634" t="s">
        <v>190</v>
      </c>
      <c r="D67" s="869">
        <v>2019</v>
      </c>
      <c r="E67" s="656">
        <f>'10-CWIP'!G77</f>
        <v>16531554.139999997</v>
      </c>
      <c r="F67" s="656">
        <f>'10-CWIP'!H77</f>
        <v>6140181.3599999994</v>
      </c>
      <c r="G67" s="656">
        <f>'10-CWIP'!I77</f>
        <v>779352.95849999983</v>
      </c>
      <c r="H67" s="681">
        <v>0</v>
      </c>
      <c r="I67" s="650">
        <v>0</v>
      </c>
      <c r="J67" s="682">
        <v>0</v>
      </c>
      <c r="K67" s="601">
        <f t="shared" si="39"/>
        <v>91415926.3798296</v>
      </c>
      <c r="L67" s="601">
        <f t="shared" si="35"/>
        <v>168946.92276677137</v>
      </c>
      <c r="M67" s="601">
        <f t="shared" si="38"/>
        <v>1343466.040220144</v>
      </c>
      <c r="N67" s="601">
        <f t="shared" si="40"/>
        <v>90072460.339609459</v>
      </c>
      <c r="O67" s="683">
        <v>0</v>
      </c>
      <c r="P67" s="682">
        <f t="shared" si="33"/>
        <v>0</v>
      </c>
      <c r="S67" s="601"/>
      <c r="T67" s="655"/>
      <c r="U67" s="652"/>
      <c r="V67" s="489"/>
      <c r="W67" s="655"/>
      <c r="X67" s="652"/>
      <c r="Y67" s="489"/>
    </row>
    <row r="68" spans="1:25">
      <c r="A68" s="647">
        <f t="shared" si="34"/>
        <v>49</v>
      </c>
      <c r="C68" s="634" t="s">
        <v>180</v>
      </c>
      <c r="D68" s="869">
        <v>2019</v>
      </c>
      <c r="E68" s="656">
        <f>'10-CWIP'!G78</f>
        <v>5786284.5911999997</v>
      </c>
      <c r="F68" s="656">
        <f>'10-CWIP'!H78</f>
        <v>2531642.4799999995</v>
      </c>
      <c r="G68" s="656">
        <f>'10-CWIP'!I78</f>
        <v>244098.15833999997</v>
      </c>
      <c r="H68" s="681">
        <v>0</v>
      </c>
      <c r="I68" s="650">
        <v>0</v>
      </c>
      <c r="J68" s="682">
        <v>0</v>
      </c>
      <c r="K68" s="601">
        <f t="shared" si="39"/>
        <v>97446309.129369602</v>
      </c>
      <c r="L68" s="601">
        <f t="shared" si="35"/>
        <v>208412.86600457146</v>
      </c>
      <c r="M68" s="601">
        <f t="shared" si="38"/>
        <v>1551878.9062247155</v>
      </c>
      <c r="N68" s="601">
        <f t="shared" si="40"/>
        <v>95894430.223144889</v>
      </c>
      <c r="O68" s="683">
        <v>0</v>
      </c>
      <c r="P68" s="682">
        <f t="shared" si="33"/>
        <v>0</v>
      </c>
      <c r="S68" s="601"/>
      <c r="T68" s="655"/>
      <c r="U68" s="652"/>
      <c r="V68" s="489"/>
      <c r="W68" s="655"/>
      <c r="X68" s="652"/>
      <c r="Y68" s="489"/>
    </row>
    <row r="69" spans="1:25">
      <c r="A69" s="646"/>
      <c r="D69" s="654"/>
      <c r="G69" s="601"/>
      <c r="M69" s="598"/>
      <c r="N69" s="650"/>
    </row>
    <row r="70" spans="1:25">
      <c r="A70" s="646"/>
      <c r="B70" s="603" t="s">
        <v>1977</v>
      </c>
      <c r="D70" s="654"/>
      <c r="G70" s="684"/>
      <c r="M70" s="598"/>
      <c r="N70" s="650"/>
    </row>
    <row r="71" spans="1:25">
      <c r="A71" s="646"/>
      <c r="E71" s="642" t="s">
        <v>360</v>
      </c>
      <c r="F71" s="642" t="s">
        <v>344</v>
      </c>
      <c r="G71" s="642" t="s">
        <v>345</v>
      </c>
      <c r="H71" s="642" t="s">
        <v>346</v>
      </c>
      <c r="I71" s="642" t="s">
        <v>347</v>
      </c>
      <c r="J71" s="642" t="s">
        <v>348</v>
      </c>
      <c r="K71" s="642" t="s">
        <v>349</v>
      </c>
      <c r="L71" s="642" t="s">
        <v>541</v>
      </c>
      <c r="M71" s="642" t="s">
        <v>958</v>
      </c>
      <c r="N71" s="642" t="s">
        <v>971</v>
      </c>
      <c r="O71" s="642" t="s">
        <v>974</v>
      </c>
      <c r="P71" s="642" t="s">
        <v>992</v>
      </c>
    </row>
    <row r="72" spans="1:25" ht="26.4">
      <c r="A72" s="646"/>
      <c r="E72" s="644"/>
      <c r="F72" s="644"/>
      <c r="G72" s="1280" t="str">
        <f>"=(C"&amp;RIGHT(E71)&amp;"-C"&amp;RIGHT(F71)&amp;")*L"&amp;$A$103</f>
        <v>=(C1-C2)*L74</v>
      </c>
      <c r="H72" s="1280" t="str">
        <f>"=(C"&amp;RIGHT(E71)&amp;"-C"&amp;RIGHT(F71)&amp;"+C"&amp;RIGHT(G71)&amp;")*L"&amp;$A$107</f>
        <v>=(C1-C2+C3)*L75</v>
      </c>
      <c r="I72" s="1280" t="str">
        <f>"=C"&amp;RIGHT(E71)&amp;"-C"&amp;RIGHT(F71)&amp;"+C"&amp;RIGHT(G71)&amp;"-C"&amp;RIGHT(H71)</f>
        <v>=C1-C2+C3-C4</v>
      </c>
      <c r="J72" s="1280" t="str">
        <f>"=C"&amp;RIGHT(I71)&amp;"*L"&amp;$A$111</f>
        <v>=C5*L76</v>
      </c>
      <c r="K72" s="1281" t="s">
        <v>1978</v>
      </c>
      <c r="L72" s="1282" t="s">
        <v>2096</v>
      </c>
      <c r="M72" s="1283" t="s">
        <v>2559</v>
      </c>
      <c r="N72" s="1280" t="str">
        <f>"=C"&amp;RIGHT(K71)&amp;"-C"&amp;RIGHT(M71)</f>
        <v>=C7-C9</v>
      </c>
      <c r="O72" s="598"/>
      <c r="P72" s="1283" t="s">
        <v>2097</v>
      </c>
    </row>
    <row r="73" spans="1:25">
      <c r="A73" s="646"/>
      <c r="C73" s="646" t="str">
        <f>C10</f>
        <v>Forecast</v>
      </c>
      <c r="E73" s="646" t="str">
        <f>E10</f>
        <v>Unloaded</v>
      </c>
      <c r="F73" s="646"/>
      <c r="G73" s="646"/>
      <c r="H73" s="647"/>
      <c r="I73" s="647" t="str">
        <f>I10</f>
        <v>AFUDC</v>
      </c>
      <c r="J73" s="647"/>
      <c r="K73" s="647"/>
      <c r="L73" s="647"/>
      <c r="M73" s="647"/>
      <c r="O73" s="646" t="str">
        <f>O10</f>
        <v>Unloaded</v>
      </c>
      <c r="P73" s="646" t="str">
        <f>P10</f>
        <v>Loaded</v>
      </c>
    </row>
    <row r="74" spans="1:25">
      <c r="A74" s="646"/>
      <c r="C74" s="646" t="str">
        <f>C11</f>
        <v>Period</v>
      </c>
      <c r="E74" s="646" t="str">
        <f>E11</f>
        <v>Total</v>
      </c>
      <c r="F74" s="646" t="str">
        <f t="shared" ref="F74:H75" si="41">F11</f>
        <v>Prior Period</v>
      </c>
      <c r="G74" s="647" t="str">
        <f t="shared" si="41"/>
        <v>Over Heads</v>
      </c>
      <c r="H74" s="647" t="str">
        <f t="shared" si="41"/>
        <v xml:space="preserve">Cost of </v>
      </c>
      <c r="I74" s="647" t="str">
        <f>I11</f>
        <v>Eligible Plant</v>
      </c>
      <c r="J74" s="647"/>
      <c r="K74" s="647" t="str">
        <f t="shared" ref="K74:M74" si="42">K11</f>
        <v>Incremental</v>
      </c>
      <c r="L74" s="647" t="str">
        <f t="shared" si="42"/>
        <v>Depreciation</v>
      </c>
      <c r="M74" s="647" t="str">
        <f t="shared" si="42"/>
        <v>Incremental</v>
      </c>
      <c r="O74" s="647" t="str">
        <f>O11</f>
        <v>Low Voltage</v>
      </c>
      <c r="P74" s="647" t="str">
        <f>P11</f>
        <v>Low Voltage</v>
      </c>
      <c r="Q74" s="646"/>
    </row>
    <row r="75" spans="1:25">
      <c r="A75" s="648" t="s">
        <v>331</v>
      </c>
      <c r="C75" s="630" t="str">
        <f>C12</f>
        <v>Month</v>
      </c>
      <c r="D75" s="630" t="str">
        <f>D12</f>
        <v>Year</v>
      </c>
      <c r="E75" s="643" t="str">
        <f>E12</f>
        <v>Plant Adds</v>
      </c>
      <c r="F75" s="643" t="str">
        <f t="shared" si="41"/>
        <v>CWIP Closed</v>
      </c>
      <c r="G75" s="649" t="str">
        <f t="shared" si="41"/>
        <v>Closed to PIS</v>
      </c>
      <c r="H75" s="649" t="str">
        <f t="shared" si="41"/>
        <v>Removal</v>
      </c>
      <c r="I75" s="649" t="str">
        <f>I12</f>
        <v>Additions</v>
      </c>
      <c r="J75" s="649" t="str">
        <f t="shared" ref="J75:P75" si="43">J12</f>
        <v>AFUDC</v>
      </c>
      <c r="K75" s="649" t="str">
        <f t="shared" si="43"/>
        <v>Gross Plant</v>
      </c>
      <c r="L75" s="649" t="str">
        <f t="shared" si="43"/>
        <v>Accrual</v>
      </c>
      <c r="M75" s="649" t="str">
        <f t="shared" si="43"/>
        <v>Reserve</v>
      </c>
      <c r="N75" s="649" t="str">
        <f t="shared" si="43"/>
        <v>Net Plant</v>
      </c>
      <c r="O75" s="649" t="str">
        <f t="shared" si="43"/>
        <v>Additions</v>
      </c>
      <c r="P75" s="649" t="str">
        <f t="shared" si="43"/>
        <v>Additions</v>
      </c>
      <c r="Q75" s="649"/>
      <c r="S75" s="685"/>
      <c r="T75" s="649"/>
      <c r="U75" s="649"/>
      <c r="V75" s="649"/>
      <c r="W75" s="649"/>
      <c r="X75" s="649"/>
      <c r="Y75" s="649"/>
    </row>
    <row r="76" spans="1:25">
      <c r="A76" s="646">
        <f>A68+1</f>
        <v>50</v>
      </c>
      <c r="C76" s="631" t="str">
        <f t="shared" ref="C76:C96" si="44">C45</f>
        <v>January</v>
      </c>
      <c r="D76" s="869">
        <v>2018</v>
      </c>
      <c r="E76" s="657">
        <v>14078406.481748167</v>
      </c>
      <c r="F76" s="657">
        <v>34483.771666699831</v>
      </c>
      <c r="G76" s="650">
        <f>(E76-F76)*$E$103</f>
        <v>1053294.20325611</v>
      </c>
      <c r="H76" s="601">
        <f t="shared" ref="H76:H96" si="45">(E76-F76+G76)*$E$107</f>
        <v>1207777.3530670062</v>
      </c>
      <c r="I76" s="650">
        <f>E76-F76+G76-H76</f>
        <v>13889439.56027057</v>
      </c>
      <c r="J76" s="650">
        <f t="shared" ref="J76:J96" si="46">I76*$E$111</f>
        <v>416683.18680811708</v>
      </c>
      <c r="K76" s="601">
        <f>F76+I76+J76</f>
        <v>14340606.518745387</v>
      </c>
      <c r="L76" s="601">
        <v>0</v>
      </c>
      <c r="M76" s="601">
        <f>L76-H76</f>
        <v>-1207777.3530670062</v>
      </c>
      <c r="N76" s="601">
        <f t="shared" ref="N76:N96" si="47">K76-M76</f>
        <v>15548383.871812394</v>
      </c>
      <c r="O76" s="683">
        <v>548711.21166591009</v>
      </c>
      <c r="P76" s="601">
        <f t="shared" ref="P76:P96" si="48">O76*(1-$E$107)*(1+$E$103+$E$111)</f>
        <v>557819.81777956418</v>
      </c>
      <c r="Q76" s="655"/>
      <c r="R76" s="652"/>
      <c r="S76" s="655"/>
      <c r="T76" s="655"/>
      <c r="U76" s="652"/>
      <c r="V76" s="489"/>
      <c r="W76" s="655"/>
      <c r="X76" s="652"/>
      <c r="Y76" s="489"/>
    </row>
    <row r="77" spans="1:25">
      <c r="A77" s="646">
        <f t="shared" si="34"/>
        <v>51</v>
      </c>
      <c r="C77" s="631" t="str">
        <f t="shared" si="44"/>
        <v>February</v>
      </c>
      <c r="D77" s="869">
        <v>2018</v>
      </c>
      <c r="E77" s="657">
        <v>14078406.481748167</v>
      </c>
      <c r="F77" s="657">
        <v>34483.771666699831</v>
      </c>
      <c r="G77" s="650">
        <f t="shared" ref="G77:G96" si="49">(E77-F77)*$E$103</f>
        <v>1053294.20325611</v>
      </c>
      <c r="H77" s="601">
        <f t="shared" si="45"/>
        <v>1207777.3530670062</v>
      </c>
      <c r="I77" s="650">
        <f t="shared" ref="I77:I96" si="50">E77-F77+G77-H77</f>
        <v>13889439.56027057</v>
      </c>
      <c r="J77" s="650">
        <f t="shared" si="46"/>
        <v>416683.18680811708</v>
      </c>
      <c r="K77" s="601">
        <f>K76+J77+I77+F77</f>
        <v>28681213.03749077</v>
      </c>
      <c r="L77" s="601">
        <f t="shared" ref="L77:L96" si="51">K76*$E$133/12</f>
        <v>32694.159794403404</v>
      </c>
      <c r="M77" s="601">
        <f>(M76+L77)-H77</f>
        <v>-2382860.5463396087</v>
      </c>
      <c r="N77" s="601">
        <f t="shared" si="47"/>
        <v>31064073.583830379</v>
      </c>
      <c r="O77" s="683">
        <v>1097422.4233318202</v>
      </c>
      <c r="P77" s="601">
        <f t="shared" si="48"/>
        <v>1115639.6355591284</v>
      </c>
      <c r="Q77" s="655"/>
      <c r="R77" s="652"/>
      <c r="S77" s="655"/>
      <c r="T77" s="655"/>
      <c r="U77" s="652"/>
      <c r="V77" s="489"/>
      <c r="W77" s="655"/>
      <c r="X77" s="652"/>
      <c r="Y77" s="489"/>
    </row>
    <row r="78" spans="1:25">
      <c r="A78" s="646">
        <f t="shared" si="34"/>
        <v>52</v>
      </c>
      <c r="C78" s="631" t="str">
        <f t="shared" si="44"/>
        <v>March</v>
      </c>
      <c r="D78" s="869">
        <v>2018</v>
      </c>
      <c r="E78" s="657">
        <v>14078406.481748164</v>
      </c>
      <c r="F78" s="657">
        <v>34483.771666699831</v>
      </c>
      <c r="G78" s="650">
        <f t="shared" si="49"/>
        <v>1053294.2032561097</v>
      </c>
      <c r="H78" s="601">
        <f t="shared" si="45"/>
        <v>1207777.353067006</v>
      </c>
      <c r="I78" s="650">
        <f t="shared" si="50"/>
        <v>13889439.560270566</v>
      </c>
      <c r="J78" s="650">
        <f t="shared" si="46"/>
        <v>416683.18680811697</v>
      </c>
      <c r="K78" s="601">
        <f t="shared" ref="K78:K96" si="52">K77+J78+I78+F78</f>
        <v>43021819.556236155</v>
      </c>
      <c r="L78" s="601">
        <f t="shared" si="51"/>
        <v>65388.3195888068</v>
      </c>
      <c r="M78" s="601">
        <f t="shared" ref="M78:M99" si="53">(M77+L78)-H78</f>
        <v>-3525249.5798178078</v>
      </c>
      <c r="N78" s="601">
        <f t="shared" si="47"/>
        <v>46547069.136053964</v>
      </c>
      <c r="O78" s="683">
        <v>1646133.6349977306</v>
      </c>
      <c r="P78" s="601">
        <f t="shared" si="48"/>
        <v>1673459.4533386929</v>
      </c>
      <c r="Q78" s="655"/>
      <c r="R78" s="652"/>
      <c r="S78" s="655"/>
      <c r="T78" s="655"/>
      <c r="U78" s="652"/>
      <c r="V78" s="489"/>
      <c r="W78" s="655"/>
      <c r="X78" s="652"/>
      <c r="Y78" s="489"/>
    </row>
    <row r="79" spans="1:25">
      <c r="A79" s="646">
        <f t="shared" si="34"/>
        <v>53</v>
      </c>
      <c r="C79" s="631" t="str">
        <f t="shared" si="44"/>
        <v>April</v>
      </c>
      <c r="D79" s="869">
        <v>2018</v>
      </c>
      <c r="E79" s="657">
        <v>17785682.221748173</v>
      </c>
      <c r="F79" s="657">
        <v>2637999.5116667021</v>
      </c>
      <c r="G79" s="650">
        <f t="shared" si="49"/>
        <v>1136076.2032561102</v>
      </c>
      <c r="H79" s="601">
        <f t="shared" si="45"/>
        <v>1302700.7130670066</v>
      </c>
      <c r="I79" s="650">
        <f t="shared" si="50"/>
        <v>14981058.200270575</v>
      </c>
      <c r="J79" s="650">
        <f t="shared" si="46"/>
        <v>449431.74600811722</v>
      </c>
      <c r="K79" s="601">
        <f t="shared" si="52"/>
        <v>61090309.014181554</v>
      </c>
      <c r="L79" s="601">
        <f t="shared" si="51"/>
        <v>98082.4793832102</v>
      </c>
      <c r="M79" s="601">
        <f t="shared" si="53"/>
        <v>-4729867.8135016039</v>
      </c>
      <c r="N79" s="601">
        <f t="shared" si="47"/>
        <v>65820176.827683158</v>
      </c>
      <c r="O79" s="683">
        <v>2194844.8466636403</v>
      </c>
      <c r="P79" s="601">
        <f t="shared" si="48"/>
        <v>2231279.2711182567</v>
      </c>
      <c r="Q79" s="655"/>
      <c r="R79" s="652"/>
      <c r="S79" s="655"/>
      <c r="T79" s="655"/>
      <c r="U79" s="652"/>
      <c r="V79" s="489"/>
      <c r="W79" s="655"/>
      <c r="X79" s="652"/>
      <c r="Y79" s="489"/>
    </row>
    <row r="80" spans="1:25">
      <c r="A80" s="646">
        <f t="shared" si="34"/>
        <v>54</v>
      </c>
      <c r="C80" s="631" t="str">
        <f t="shared" si="44"/>
        <v>May</v>
      </c>
      <c r="D80" s="869">
        <v>2018</v>
      </c>
      <c r="E80" s="657">
        <v>14078406.481748156</v>
      </c>
      <c r="F80" s="657">
        <v>34483.771666699831</v>
      </c>
      <c r="G80" s="650">
        <f t="shared" si="49"/>
        <v>1053294.2032561093</v>
      </c>
      <c r="H80" s="601">
        <f t="shared" si="45"/>
        <v>1207777.3530670053</v>
      </c>
      <c r="I80" s="650">
        <f t="shared" si="50"/>
        <v>13889439.560270561</v>
      </c>
      <c r="J80" s="650">
        <f t="shared" si="46"/>
        <v>416683.18680811679</v>
      </c>
      <c r="K80" s="601">
        <f t="shared" si="52"/>
        <v>75430915.532926932</v>
      </c>
      <c r="L80" s="601">
        <f t="shared" si="51"/>
        <v>139275.58239523272</v>
      </c>
      <c r="M80" s="601">
        <f t="shared" si="53"/>
        <v>-5798369.5841733767</v>
      </c>
      <c r="N80" s="601">
        <f t="shared" si="47"/>
        <v>81229285.117100313</v>
      </c>
      <c r="O80" s="683">
        <v>2743556.0583295505</v>
      </c>
      <c r="P80" s="601">
        <f t="shared" si="48"/>
        <v>2789099.0888978215</v>
      </c>
      <c r="Q80" s="655"/>
      <c r="R80" s="652"/>
      <c r="S80" s="655"/>
      <c r="T80" s="655"/>
      <c r="U80" s="652"/>
      <c r="V80" s="489"/>
      <c r="W80" s="655"/>
      <c r="X80" s="652"/>
      <c r="Y80" s="489"/>
    </row>
    <row r="81" spans="1:25">
      <c r="A81" s="646">
        <f t="shared" si="34"/>
        <v>55</v>
      </c>
      <c r="C81" s="631" t="str">
        <f t="shared" si="44"/>
        <v xml:space="preserve">June </v>
      </c>
      <c r="D81" s="869">
        <v>2018</v>
      </c>
      <c r="E81" s="657">
        <v>91764080.705248147</v>
      </c>
      <c r="F81" s="657">
        <v>71876240.445166692</v>
      </c>
      <c r="G81" s="650">
        <f t="shared" si="49"/>
        <v>1491588.0195061092</v>
      </c>
      <c r="H81" s="601">
        <f t="shared" si="45"/>
        <v>1710354.262367005</v>
      </c>
      <c r="I81" s="650">
        <f t="shared" si="50"/>
        <v>19669074.017220557</v>
      </c>
      <c r="J81" s="650">
        <f t="shared" si="46"/>
        <v>590072.22051661671</v>
      </c>
      <c r="K81" s="601">
        <f t="shared" si="52"/>
        <v>167566302.2158308</v>
      </c>
      <c r="L81" s="601">
        <f t="shared" si="51"/>
        <v>171969.74218963608</v>
      </c>
      <c r="M81" s="601">
        <f t="shared" si="53"/>
        <v>-7336754.1043507457</v>
      </c>
      <c r="N81" s="601">
        <f t="shared" si="47"/>
        <v>174903056.32018155</v>
      </c>
      <c r="O81" s="683">
        <v>4770684.5199954603</v>
      </c>
      <c r="P81" s="601">
        <f t="shared" si="48"/>
        <v>4849877.883027385</v>
      </c>
      <c r="Q81" s="655"/>
      <c r="R81" s="652"/>
      <c r="S81" s="655"/>
      <c r="T81" s="655"/>
      <c r="U81" s="652"/>
      <c r="V81" s="489"/>
      <c r="W81" s="655"/>
      <c r="X81" s="652"/>
      <c r="Y81" s="489"/>
    </row>
    <row r="82" spans="1:25">
      <c r="A82" s="646">
        <f t="shared" si="34"/>
        <v>56</v>
      </c>
      <c r="C82" s="631" t="str">
        <f t="shared" si="44"/>
        <v>July</v>
      </c>
      <c r="D82" s="869">
        <v>2018</v>
      </c>
      <c r="E82" s="657">
        <v>14164834.431748182</v>
      </c>
      <c r="F82" s="657">
        <v>70911.721666699828</v>
      </c>
      <c r="G82" s="650">
        <f t="shared" si="49"/>
        <v>1057044.2032561111</v>
      </c>
      <c r="H82" s="601">
        <f t="shared" si="45"/>
        <v>1212077.3530670076</v>
      </c>
      <c r="I82" s="650">
        <f t="shared" si="50"/>
        <v>13938889.560270587</v>
      </c>
      <c r="J82" s="650">
        <f t="shared" si="46"/>
        <v>418166.68680811761</v>
      </c>
      <c r="K82" s="601">
        <f t="shared" si="52"/>
        <v>181994270.18457618</v>
      </c>
      <c r="L82" s="601">
        <f t="shared" si="51"/>
        <v>382022.85612121766</v>
      </c>
      <c r="M82" s="601">
        <f t="shared" si="53"/>
        <v>-8166808.6012965357</v>
      </c>
      <c r="N82" s="601">
        <f t="shared" si="47"/>
        <v>190161078.78587273</v>
      </c>
      <c r="O82" s="683">
        <v>5319395.731661371</v>
      </c>
      <c r="P82" s="601">
        <f t="shared" si="48"/>
        <v>5407697.7008069502</v>
      </c>
      <c r="Q82" s="655"/>
      <c r="R82" s="652"/>
      <c r="S82" s="655"/>
      <c r="T82" s="655"/>
      <c r="U82" s="652"/>
      <c r="V82" s="489"/>
      <c r="W82" s="655"/>
      <c r="X82" s="652"/>
      <c r="Y82" s="489"/>
    </row>
    <row r="83" spans="1:25">
      <c r="A83" s="646">
        <f t="shared" si="34"/>
        <v>57</v>
      </c>
      <c r="C83" s="631" t="str">
        <f t="shared" si="44"/>
        <v>August</v>
      </c>
      <c r="D83" s="869">
        <v>2018</v>
      </c>
      <c r="E83" s="657">
        <v>14078406.481748164</v>
      </c>
      <c r="F83" s="657">
        <v>34483.771666699831</v>
      </c>
      <c r="G83" s="650">
        <f t="shared" si="49"/>
        <v>1053294.2032561097</v>
      </c>
      <c r="H83" s="601">
        <f t="shared" si="45"/>
        <v>1207777.353067006</v>
      </c>
      <c r="I83" s="650">
        <f t="shared" si="50"/>
        <v>13889439.560270566</v>
      </c>
      <c r="J83" s="650">
        <f t="shared" si="46"/>
        <v>416683.18680811697</v>
      </c>
      <c r="K83" s="601">
        <f t="shared" si="52"/>
        <v>196334876.70332158</v>
      </c>
      <c r="L83" s="601">
        <f t="shared" si="51"/>
        <v>414916.18526054639</v>
      </c>
      <c r="M83" s="601">
        <f t="shared" si="53"/>
        <v>-8959669.7691029944</v>
      </c>
      <c r="N83" s="601">
        <f t="shared" si="47"/>
        <v>205294546.47242457</v>
      </c>
      <c r="O83" s="683">
        <v>5868106.9433272807</v>
      </c>
      <c r="P83" s="601">
        <f t="shared" si="48"/>
        <v>5965517.5185865136</v>
      </c>
      <c r="Q83" s="655"/>
      <c r="R83" s="652"/>
      <c r="S83" s="655"/>
      <c r="T83" s="655"/>
      <c r="U83" s="652"/>
      <c r="V83" s="489"/>
      <c r="W83" s="655"/>
      <c r="X83" s="652"/>
      <c r="Y83" s="489"/>
    </row>
    <row r="84" spans="1:25">
      <c r="A84" s="646">
        <f t="shared" si="34"/>
        <v>58</v>
      </c>
      <c r="C84" s="631" t="str">
        <f t="shared" si="44"/>
        <v>September</v>
      </c>
      <c r="D84" s="869">
        <v>2018</v>
      </c>
      <c r="E84" s="657">
        <v>14078406.481748134</v>
      </c>
      <c r="F84" s="657">
        <v>34483.771666699831</v>
      </c>
      <c r="G84" s="650">
        <f t="shared" si="49"/>
        <v>1053294.2032561074</v>
      </c>
      <c r="H84" s="601">
        <f t="shared" si="45"/>
        <v>1207777.3530670034</v>
      </c>
      <c r="I84" s="650">
        <f t="shared" si="50"/>
        <v>13889439.560270539</v>
      </c>
      <c r="J84" s="650">
        <f t="shared" si="46"/>
        <v>416683.18680811615</v>
      </c>
      <c r="K84" s="601">
        <f t="shared" si="52"/>
        <v>210675483.22206694</v>
      </c>
      <c r="L84" s="601">
        <f t="shared" si="51"/>
        <v>447610.34505494987</v>
      </c>
      <c r="M84" s="601">
        <f t="shared" si="53"/>
        <v>-9719836.777115047</v>
      </c>
      <c r="N84" s="601">
        <f t="shared" si="47"/>
        <v>220395319.99918199</v>
      </c>
      <c r="O84" s="683">
        <v>6416818.1549931904</v>
      </c>
      <c r="P84" s="601">
        <f t="shared" si="48"/>
        <v>6523337.3363660779</v>
      </c>
      <c r="Q84" s="655"/>
      <c r="R84" s="652"/>
      <c r="S84" s="655"/>
      <c r="T84" s="655"/>
      <c r="U84" s="652"/>
      <c r="V84" s="489"/>
      <c r="W84" s="655"/>
      <c r="X84" s="652"/>
      <c r="Y84" s="489"/>
    </row>
    <row r="85" spans="1:25">
      <c r="A85" s="646">
        <f t="shared" si="34"/>
        <v>59</v>
      </c>
      <c r="C85" s="631" t="str">
        <f t="shared" si="44"/>
        <v xml:space="preserve">October </v>
      </c>
      <c r="D85" s="869">
        <v>2018</v>
      </c>
      <c r="E85" s="657">
        <v>14650134.061748147</v>
      </c>
      <c r="F85" s="657">
        <v>71265.351666699833</v>
      </c>
      <c r="G85" s="650">
        <f t="shared" si="49"/>
        <v>1093415.1532561085</v>
      </c>
      <c r="H85" s="601">
        <f t="shared" si="45"/>
        <v>1253782.7090670045</v>
      </c>
      <c r="I85" s="650">
        <f t="shared" si="50"/>
        <v>14418501.154270552</v>
      </c>
      <c r="J85" s="650">
        <f t="shared" si="46"/>
        <v>432555.03462811653</v>
      </c>
      <c r="K85" s="601">
        <f t="shared" si="52"/>
        <v>225597804.76263231</v>
      </c>
      <c r="L85" s="601">
        <f t="shared" si="51"/>
        <v>480304.50484935316</v>
      </c>
      <c r="M85" s="601">
        <f t="shared" si="53"/>
        <v>-10493314.981332697</v>
      </c>
      <c r="N85" s="601">
        <f t="shared" si="47"/>
        <v>236091119.743965</v>
      </c>
      <c r="O85" s="683">
        <v>7537256.9466591012</v>
      </c>
      <c r="P85" s="601">
        <f t="shared" si="48"/>
        <v>7662375.4119736422</v>
      </c>
      <c r="Q85" s="655"/>
      <c r="R85" s="652"/>
      <c r="S85" s="655"/>
      <c r="T85" s="655"/>
      <c r="U85" s="652"/>
      <c r="V85" s="489"/>
      <c r="W85" s="655"/>
      <c r="X85" s="652"/>
      <c r="Y85" s="489"/>
    </row>
    <row r="86" spans="1:25">
      <c r="A86" s="646">
        <f t="shared" si="34"/>
        <v>60</v>
      </c>
      <c r="C86" s="631" t="str">
        <f t="shared" si="44"/>
        <v>November</v>
      </c>
      <c r="D86" s="869">
        <v>2018</v>
      </c>
      <c r="E86" s="657">
        <v>14078406.481748164</v>
      </c>
      <c r="F86" s="657">
        <v>34483.771666699831</v>
      </c>
      <c r="G86" s="650">
        <f t="shared" si="49"/>
        <v>1053294.2032561097</v>
      </c>
      <c r="H86" s="601">
        <f t="shared" si="45"/>
        <v>1207777.353067006</v>
      </c>
      <c r="I86" s="650">
        <f t="shared" si="50"/>
        <v>13889439.560270566</v>
      </c>
      <c r="J86" s="650">
        <f t="shared" si="46"/>
        <v>416683.18680811697</v>
      </c>
      <c r="K86" s="601">
        <f t="shared" si="52"/>
        <v>239938411.2813777</v>
      </c>
      <c r="L86" s="601">
        <f t="shared" si="51"/>
        <v>514324.87660371285</v>
      </c>
      <c r="M86" s="601">
        <f t="shared" si="53"/>
        <v>-11186767.457795989</v>
      </c>
      <c r="N86" s="601">
        <f t="shared" si="47"/>
        <v>251125178.73917368</v>
      </c>
      <c r="O86" s="683">
        <v>8085968.1583250109</v>
      </c>
      <c r="P86" s="601">
        <f t="shared" si="48"/>
        <v>8220195.2297532065</v>
      </c>
      <c r="Q86" s="655"/>
      <c r="R86" s="652"/>
      <c r="S86" s="655"/>
      <c r="T86" s="655"/>
      <c r="U86" s="652"/>
      <c r="V86" s="489"/>
      <c r="W86" s="655"/>
      <c r="X86" s="652"/>
      <c r="Y86" s="489"/>
    </row>
    <row r="87" spans="1:25">
      <c r="A87" s="646">
        <f t="shared" si="34"/>
        <v>61</v>
      </c>
      <c r="C87" s="631" t="str">
        <f t="shared" si="44"/>
        <v>December</v>
      </c>
      <c r="D87" s="869">
        <v>2018</v>
      </c>
      <c r="E87" s="657">
        <v>118945662.44878027</v>
      </c>
      <c r="F87" s="657">
        <v>45412153.892222717</v>
      </c>
      <c r="G87" s="650">
        <f t="shared" si="49"/>
        <v>5515013.141741816</v>
      </c>
      <c r="H87" s="601">
        <f t="shared" si="45"/>
        <v>6323881.7358639492</v>
      </c>
      <c r="I87" s="650">
        <f t="shared" si="50"/>
        <v>72724639.962435409</v>
      </c>
      <c r="J87" s="650">
        <f t="shared" si="46"/>
        <v>2181739.1988730622</v>
      </c>
      <c r="K87" s="601">
        <f t="shared" si="52"/>
        <v>360256944.3349089</v>
      </c>
      <c r="L87" s="601">
        <f t="shared" si="51"/>
        <v>547019.03639811627</v>
      </c>
      <c r="M87" s="601">
        <f t="shared" si="53"/>
        <v>-16963630.157261822</v>
      </c>
      <c r="N87" s="601">
        <f t="shared" si="47"/>
        <v>377220574.49217075</v>
      </c>
      <c r="O87" s="683">
        <v>8634679.3699909206</v>
      </c>
      <c r="P87" s="601">
        <f t="shared" si="48"/>
        <v>8778015.0475327708</v>
      </c>
      <c r="Q87" s="655"/>
      <c r="R87" s="652"/>
      <c r="S87" s="655"/>
      <c r="T87" s="655"/>
      <c r="U87" s="652"/>
      <c r="V87" s="489"/>
      <c r="W87" s="655"/>
      <c r="X87" s="652"/>
      <c r="Y87" s="489"/>
    </row>
    <row r="88" spans="1:25">
      <c r="A88" s="646">
        <f t="shared" si="34"/>
        <v>62</v>
      </c>
      <c r="C88" s="631" t="str">
        <f t="shared" si="44"/>
        <v>January</v>
      </c>
      <c r="D88" s="869">
        <v>2019</v>
      </c>
      <c r="E88" s="657">
        <v>14159637.271703064</v>
      </c>
      <c r="F88" s="657">
        <v>0</v>
      </c>
      <c r="G88" s="650">
        <f t="shared" si="49"/>
        <v>1061972.7953777297</v>
      </c>
      <c r="H88" s="601">
        <f t="shared" si="45"/>
        <v>1217728.8053664635</v>
      </c>
      <c r="I88" s="650">
        <f t="shared" si="50"/>
        <v>14003881.26171433</v>
      </c>
      <c r="J88" s="650">
        <f t="shared" si="46"/>
        <v>420116.43785142986</v>
      </c>
      <c r="K88" s="601">
        <f t="shared" si="52"/>
        <v>374680942.03447467</v>
      </c>
      <c r="L88" s="601">
        <f t="shared" si="51"/>
        <v>821324.96207415976</v>
      </c>
      <c r="M88" s="601">
        <f t="shared" si="53"/>
        <v>-17360034.000554126</v>
      </c>
      <c r="N88" s="601">
        <f t="shared" si="47"/>
        <v>392040976.03502882</v>
      </c>
      <c r="O88" s="683">
        <v>9251670.0366589092</v>
      </c>
      <c r="P88" s="601">
        <f t="shared" si="48"/>
        <v>9405247.7592674475</v>
      </c>
      <c r="Q88" s="655"/>
      <c r="R88" s="652"/>
      <c r="S88" s="655"/>
      <c r="T88" s="655"/>
      <c r="U88" s="652"/>
      <c r="V88" s="489"/>
      <c r="W88" s="655"/>
      <c r="X88" s="652"/>
      <c r="Y88" s="489"/>
    </row>
    <row r="89" spans="1:25">
      <c r="A89" s="646">
        <f t="shared" si="34"/>
        <v>63</v>
      </c>
      <c r="C89" s="631" t="str">
        <f t="shared" si="44"/>
        <v>February</v>
      </c>
      <c r="D89" s="869">
        <v>2019</v>
      </c>
      <c r="E89" s="657">
        <v>13159637.271703064</v>
      </c>
      <c r="F89" s="657">
        <v>0</v>
      </c>
      <c r="G89" s="650">
        <f t="shared" si="49"/>
        <v>986972.79537772981</v>
      </c>
      <c r="H89" s="601">
        <f t="shared" si="45"/>
        <v>1131728.8053664635</v>
      </c>
      <c r="I89" s="650">
        <f t="shared" si="50"/>
        <v>13014881.26171433</v>
      </c>
      <c r="J89" s="650">
        <f t="shared" si="46"/>
        <v>390446.43785142986</v>
      </c>
      <c r="K89" s="601">
        <f t="shared" si="52"/>
        <v>388086269.73404044</v>
      </c>
      <c r="L89" s="601">
        <f t="shared" si="51"/>
        <v>854209.2396705976</v>
      </c>
      <c r="M89" s="601">
        <f t="shared" si="53"/>
        <v>-17637553.566249993</v>
      </c>
      <c r="N89" s="601">
        <f t="shared" si="47"/>
        <v>405723823.30029041</v>
      </c>
      <c r="O89" s="683">
        <v>9868660.7033268958</v>
      </c>
      <c r="P89" s="601">
        <f t="shared" si="48"/>
        <v>10032480.471002122</v>
      </c>
      <c r="Q89" s="655"/>
      <c r="R89" s="652"/>
      <c r="S89" s="655"/>
      <c r="T89" s="655"/>
      <c r="U89" s="652"/>
      <c r="V89" s="489"/>
      <c r="W89" s="655"/>
      <c r="X89" s="652"/>
      <c r="Y89" s="489"/>
    </row>
    <row r="90" spans="1:25">
      <c r="A90" s="646">
        <f t="shared" si="34"/>
        <v>64</v>
      </c>
      <c r="C90" s="631" t="str">
        <f t="shared" si="44"/>
        <v>March</v>
      </c>
      <c r="D90" s="869">
        <v>2019</v>
      </c>
      <c r="E90" s="657">
        <v>13159637.271702945</v>
      </c>
      <c r="F90" s="657">
        <v>0</v>
      </c>
      <c r="G90" s="650">
        <f t="shared" si="49"/>
        <v>986972.79537772085</v>
      </c>
      <c r="H90" s="601">
        <f t="shared" si="45"/>
        <v>1131728.8053664532</v>
      </c>
      <c r="I90" s="650">
        <f t="shared" si="50"/>
        <v>13014881.261714213</v>
      </c>
      <c r="J90" s="650">
        <f t="shared" si="46"/>
        <v>390446.43785142637</v>
      </c>
      <c r="K90" s="601">
        <f t="shared" si="52"/>
        <v>401491597.43360609</v>
      </c>
      <c r="L90" s="601">
        <f t="shared" si="51"/>
        <v>884771.12178716308</v>
      </c>
      <c r="M90" s="601">
        <f t="shared" si="53"/>
        <v>-17884511.249829285</v>
      </c>
      <c r="N90" s="601">
        <f t="shared" si="47"/>
        <v>419376108.68343538</v>
      </c>
      <c r="O90" s="683">
        <v>10485651.369994882</v>
      </c>
      <c r="P90" s="601">
        <f t="shared" si="48"/>
        <v>10659713.182736797</v>
      </c>
      <c r="Q90" s="655"/>
      <c r="R90" s="652"/>
      <c r="S90" s="655"/>
      <c r="T90" s="655"/>
      <c r="U90" s="652"/>
      <c r="V90" s="489"/>
      <c r="W90" s="655"/>
      <c r="X90" s="652"/>
      <c r="Y90" s="489"/>
    </row>
    <row r="91" spans="1:25">
      <c r="A91" s="646">
        <f t="shared" si="34"/>
        <v>65</v>
      </c>
      <c r="C91" s="631" t="str">
        <f t="shared" si="44"/>
        <v>April</v>
      </c>
      <c r="D91" s="869">
        <v>2019</v>
      </c>
      <c r="E91" s="657">
        <v>13341469.462503135</v>
      </c>
      <c r="F91" s="657">
        <v>39760.190799999989</v>
      </c>
      <c r="G91" s="650">
        <f t="shared" si="49"/>
        <v>997628.19537773507</v>
      </c>
      <c r="H91" s="601">
        <f t="shared" si="45"/>
        <v>1143946.9973664696</v>
      </c>
      <c r="I91" s="650">
        <f t="shared" si="50"/>
        <v>13155390.469714401</v>
      </c>
      <c r="J91" s="650">
        <f t="shared" si="46"/>
        <v>394661.71409143205</v>
      </c>
      <c r="K91" s="601">
        <f t="shared" si="52"/>
        <v>415081409.80821192</v>
      </c>
      <c r="L91" s="601">
        <f t="shared" si="51"/>
        <v>915333.00390372809</v>
      </c>
      <c r="M91" s="601">
        <f t="shared" si="53"/>
        <v>-18113125.243292026</v>
      </c>
      <c r="N91" s="601">
        <f t="shared" si="47"/>
        <v>433194535.05150396</v>
      </c>
      <c r="O91" s="683">
        <v>11284474.227462869</v>
      </c>
      <c r="P91" s="601">
        <f t="shared" si="48"/>
        <v>11471796.499638753</v>
      </c>
      <c r="Q91" s="655"/>
      <c r="R91" s="652"/>
      <c r="S91" s="655"/>
      <c r="T91" s="655"/>
      <c r="U91" s="652"/>
      <c r="V91" s="489"/>
      <c r="W91" s="655"/>
      <c r="X91" s="652"/>
      <c r="Y91" s="489"/>
    </row>
    <row r="92" spans="1:25">
      <c r="A92" s="646">
        <f t="shared" si="34"/>
        <v>66</v>
      </c>
      <c r="C92" s="631" t="str">
        <f t="shared" si="44"/>
        <v>May</v>
      </c>
      <c r="D92" s="869">
        <v>2019</v>
      </c>
      <c r="E92" s="657">
        <v>19327296.201703012</v>
      </c>
      <c r="F92" s="657">
        <v>460897.93000000011</v>
      </c>
      <c r="G92" s="650">
        <f t="shared" si="49"/>
        <v>1414979.8703777259</v>
      </c>
      <c r="H92" s="601">
        <f t="shared" si="45"/>
        <v>1622510.2513664591</v>
      </c>
      <c r="I92" s="650">
        <f t="shared" si="50"/>
        <v>18658867.89071428</v>
      </c>
      <c r="J92" s="650">
        <f t="shared" si="46"/>
        <v>559766.03672142839</v>
      </c>
      <c r="K92" s="601">
        <f t="shared" si="52"/>
        <v>434760941.66564763</v>
      </c>
      <c r="L92" s="601">
        <f t="shared" si="51"/>
        <v>946315.47990783199</v>
      </c>
      <c r="M92" s="601">
        <f t="shared" si="53"/>
        <v>-18789320.014750652</v>
      </c>
      <c r="N92" s="601">
        <f t="shared" si="47"/>
        <v>453550261.68039829</v>
      </c>
      <c r="O92" s="683">
        <v>11901464.894130858</v>
      </c>
      <c r="P92" s="601">
        <f t="shared" si="48"/>
        <v>12099029.21137343</v>
      </c>
      <c r="Q92" s="655"/>
      <c r="R92" s="652"/>
      <c r="S92" s="655"/>
      <c r="T92" s="655"/>
      <c r="U92" s="652"/>
      <c r="V92" s="489"/>
      <c r="W92" s="655"/>
      <c r="X92" s="652"/>
      <c r="Y92" s="489"/>
    </row>
    <row r="93" spans="1:25">
      <c r="A93" s="646">
        <f t="shared" si="34"/>
        <v>67</v>
      </c>
      <c r="C93" s="631" t="str">
        <f t="shared" si="44"/>
        <v xml:space="preserve">June </v>
      </c>
      <c r="D93" s="869">
        <v>2019</v>
      </c>
      <c r="E93" s="657">
        <v>19393532.521703064</v>
      </c>
      <c r="F93" s="657">
        <v>272295.25000000023</v>
      </c>
      <c r="G93" s="650">
        <f t="shared" si="49"/>
        <v>1434092.7953777297</v>
      </c>
      <c r="H93" s="601">
        <f t="shared" si="45"/>
        <v>1644426.4053664636</v>
      </c>
      <c r="I93" s="650">
        <f t="shared" si="50"/>
        <v>18910903.66171433</v>
      </c>
      <c r="J93" s="650">
        <f t="shared" si="46"/>
        <v>567327.10985142994</v>
      </c>
      <c r="K93" s="601">
        <f t="shared" si="52"/>
        <v>454511467.68721336</v>
      </c>
      <c r="L93" s="601">
        <f t="shared" si="51"/>
        <v>991181.48738004209</v>
      </c>
      <c r="M93" s="601">
        <f t="shared" si="53"/>
        <v>-19442564.932737075</v>
      </c>
      <c r="N93" s="601">
        <f t="shared" si="47"/>
        <v>473954032.61995041</v>
      </c>
      <c r="O93" s="683">
        <v>12518455.560798844</v>
      </c>
      <c r="P93" s="601">
        <f t="shared" si="48"/>
        <v>12726261.923108106</v>
      </c>
      <c r="Q93" s="655"/>
      <c r="R93" s="652"/>
      <c r="S93" s="655"/>
      <c r="T93" s="655"/>
      <c r="U93" s="652"/>
      <c r="V93" s="489"/>
      <c r="W93" s="655"/>
      <c r="X93" s="652"/>
      <c r="Y93" s="489"/>
    </row>
    <row r="94" spans="1:25">
      <c r="A94" s="646">
        <f t="shared" si="34"/>
        <v>68</v>
      </c>
      <c r="C94" s="631" t="str">
        <f t="shared" si="44"/>
        <v>July</v>
      </c>
      <c r="D94" s="869">
        <v>2019</v>
      </c>
      <c r="E94" s="657">
        <v>47512322.064102948</v>
      </c>
      <c r="F94" s="657">
        <v>12901857.738700015</v>
      </c>
      <c r="G94" s="650">
        <f t="shared" si="49"/>
        <v>2595784.8244052199</v>
      </c>
      <c r="H94" s="601">
        <f t="shared" si="45"/>
        <v>2976499.9319846523</v>
      </c>
      <c r="I94" s="650">
        <f t="shared" si="50"/>
        <v>34229749.217823498</v>
      </c>
      <c r="J94" s="650">
        <f t="shared" si="46"/>
        <v>1026892.4765347049</v>
      </c>
      <c r="K94" s="601">
        <f t="shared" si="52"/>
        <v>502669967.12027162</v>
      </c>
      <c r="L94" s="601">
        <f t="shared" si="51"/>
        <v>1036209.3495509013</v>
      </c>
      <c r="M94" s="601">
        <f t="shared" si="53"/>
        <v>-21382855.515170824</v>
      </c>
      <c r="N94" s="601">
        <f t="shared" si="47"/>
        <v>524052822.63544244</v>
      </c>
      <c r="O94" s="683">
        <v>13135446.227466831</v>
      </c>
      <c r="P94" s="601">
        <f t="shared" si="48"/>
        <v>13353494.634842781</v>
      </c>
      <c r="Q94" s="655"/>
      <c r="R94" s="652"/>
      <c r="S94" s="655"/>
      <c r="T94" s="655"/>
      <c r="U94" s="652"/>
      <c r="V94" s="489"/>
      <c r="W94" s="655"/>
      <c r="X94" s="652"/>
      <c r="Y94" s="489"/>
    </row>
    <row r="95" spans="1:25">
      <c r="A95" s="646">
        <f t="shared" si="34"/>
        <v>69</v>
      </c>
      <c r="C95" s="631" t="str">
        <f t="shared" si="44"/>
        <v>August</v>
      </c>
      <c r="D95" s="869">
        <v>2019</v>
      </c>
      <c r="E95" s="657">
        <v>13275051.645503104</v>
      </c>
      <c r="F95" s="657">
        <v>3329.533800000002</v>
      </c>
      <c r="G95" s="650">
        <f t="shared" si="49"/>
        <v>995379.15837773273</v>
      </c>
      <c r="H95" s="601">
        <f t="shared" si="45"/>
        <v>1141368.101606467</v>
      </c>
      <c r="I95" s="650">
        <f t="shared" si="50"/>
        <v>13125733.168474369</v>
      </c>
      <c r="J95" s="650">
        <f t="shared" si="46"/>
        <v>393771.99505423103</v>
      </c>
      <c r="K95" s="601">
        <f t="shared" si="52"/>
        <v>516192801.81760025</v>
      </c>
      <c r="L95" s="601">
        <f t="shared" si="51"/>
        <v>1146002.5911313726</v>
      </c>
      <c r="M95" s="601">
        <f t="shared" si="53"/>
        <v>-21378221.025645915</v>
      </c>
      <c r="N95" s="601">
        <f t="shared" si="47"/>
        <v>537571022.84324622</v>
      </c>
      <c r="O95" s="683">
        <v>13867851.267934818</v>
      </c>
      <c r="P95" s="601">
        <f t="shared" si="48"/>
        <v>14098057.598982537</v>
      </c>
      <c r="Q95" s="655"/>
      <c r="R95" s="652"/>
      <c r="S95" s="655"/>
      <c r="T95" s="655"/>
      <c r="U95" s="652"/>
      <c r="V95" s="489"/>
      <c r="W95" s="655"/>
      <c r="X95" s="652"/>
      <c r="Y95" s="489"/>
    </row>
    <row r="96" spans="1:25">
      <c r="A96" s="646">
        <f t="shared" si="34"/>
        <v>70</v>
      </c>
      <c r="C96" s="631" t="str">
        <f t="shared" si="44"/>
        <v>September</v>
      </c>
      <c r="D96" s="869">
        <v>2019</v>
      </c>
      <c r="E96" s="657">
        <v>13159637.271703064</v>
      </c>
      <c r="F96" s="657">
        <v>0</v>
      </c>
      <c r="G96" s="650">
        <f t="shared" si="49"/>
        <v>986972.79537772981</v>
      </c>
      <c r="H96" s="601">
        <f t="shared" si="45"/>
        <v>1131728.8053664635</v>
      </c>
      <c r="I96" s="650">
        <f t="shared" si="50"/>
        <v>13014881.26171433</v>
      </c>
      <c r="J96" s="650">
        <f t="shared" si="46"/>
        <v>390446.43785142986</v>
      </c>
      <c r="K96" s="601">
        <f t="shared" si="52"/>
        <v>529598129.51716602</v>
      </c>
      <c r="L96" s="601">
        <f t="shared" si="51"/>
        <v>1176832.3693482038</v>
      </c>
      <c r="M96" s="601">
        <f t="shared" si="53"/>
        <v>-21333117.461664177</v>
      </c>
      <c r="N96" s="601">
        <f t="shared" si="47"/>
        <v>550931246.97883022</v>
      </c>
      <c r="O96" s="683">
        <v>14484841.934602806</v>
      </c>
      <c r="P96" s="601">
        <f t="shared" si="48"/>
        <v>14725290.310717214</v>
      </c>
      <c r="Q96" s="655"/>
      <c r="R96" s="652"/>
      <c r="S96" s="655"/>
      <c r="T96" s="655"/>
      <c r="U96" s="652"/>
      <c r="V96" s="489"/>
      <c r="W96" s="655"/>
      <c r="X96" s="652"/>
      <c r="Y96" s="489"/>
    </row>
    <row r="97" spans="1:25">
      <c r="A97" s="647">
        <f t="shared" si="34"/>
        <v>71</v>
      </c>
      <c r="C97" s="631" t="str">
        <f t="shared" ref="C97:C99" si="54">C66</f>
        <v>October</v>
      </c>
      <c r="D97" s="869">
        <v>2019</v>
      </c>
      <c r="E97" s="657">
        <v>25094286.991702974</v>
      </c>
      <c r="F97" s="657">
        <v>4712649.7199999988</v>
      </c>
      <c r="G97" s="650">
        <f t="shared" ref="G97:G99" si="55">(E97-F97)*$E$103</f>
        <v>1528622.7953777232</v>
      </c>
      <c r="H97" s="601">
        <f t="shared" ref="H97:H99" si="56">(E97-F97+G97)*$E$107</f>
        <v>1752820.805366456</v>
      </c>
      <c r="I97" s="650">
        <f t="shared" ref="I97:I99" si="57">E97-F97+G97-H97</f>
        <v>20157439.261714242</v>
      </c>
      <c r="J97" s="650">
        <f t="shared" ref="J97:J99" si="58">I97*$E$111</f>
        <v>604723.17785142723</v>
      </c>
      <c r="K97" s="601">
        <f t="shared" ref="K97:K99" si="59">K96+J97+I97+F97</f>
        <v>555072941.67673171</v>
      </c>
      <c r="L97" s="601">
        <f t="shared" ref="L97:L99" si="60">K96*$E$133/12</f>
        <v>1207394.251464769</v>
      </c>
      <c r="M97" s="601">
        <f t="shared" si="53"/>
        <v>-21878544.015565865</v>
      </c>
      <c r="N97" s="601">
        <f t="shared" ref="N97:N99" si="61">K97-M97</f>
        <v>576951485.69229758</v>
      </c>
      <c r="O97" s="683">
        <v>15101832.601270793</v>
      </c>
      <c r="P97" s="601">
        <f t="shared" ref="P97:P99" si="62">O97*(1-$E$107)*(1+$E$103+$E$111)</f>
        <v>15352523.022451889</v>
      </c>
      <c r="Q97" s="655"/>
      <c r="R97" s="652"/>
      <c r="S97" s="655"/>
      <c r="T97" s="655"/>
      <c r="U97" s="652"/>
      <c r="V97" s="489"/>
      <c r="W97" s="655"/>
      <c r="X97" s="652"/>
      <c r="Y97" s="489"/>
    </row>
    <row r="98" spans="1:25">
      <c r="A98" s="647">
        <f t="shared" si="34"/>
        <v>72</v>
      </c>
      <c r="C98" s="631" t="str">
        <f t="shared" si="54"/>
        <v>November</v>
      </c>
      <c r="D98" s="869">
        <v>2019</v>
      </c>
      <c r="E98" s="657">
        <v>15197414.754703045</v>
      </c>
      <c r="F98" s="657">
        <v>1324267.4829999981</v>
      </c>
      <c r="G98" s="650">
        <f t="shared" si="55"/>
        <v>1040486.0453777284</v>
      </c>
      <c r="H98" s="601">
        <f t="shared" si="56"/>
        <v>1193090.665366462</v>
      </c>
      <c r="I98" s="650">
        <f t="shared" si="57"/>
        <v>13720542.651714312</v>
      </c>
      <c r="J98" s="650">
        <f t="shared" si="58"/>
        <v>411616.27955142932</v>
      </c>
      <c r="K98" s="601">
        <f t="shared" si="59"/>
        <v>570529368.09099746</v>
      </c>
      <c r="L98" s="601">
        <f t="shared" si="60"/>
        <v>1265472.5188231652</v>
      </c>
      <c r="M98" s="601">
        <f t="shared" si="53"/>
        <v>-21806162.162109163</v>
      </c>
      <c r="N98" s="601">
        <f t="shared" si="61"/>
        <v>592335530.25310659</v>
      </c>
      <c r="O98" s="683">
        <v>15718823.26793878</v>
      </c>
      <c r="P98" s="601">
        <f t="shared" si="62"/>
        <v>15979755.734186564</v>
      </c>
      <c r="Q98" s="655"/>
      <c r="R98" s="652"/>
      <c r="S98" s="655"/>
      <c r="T98" s="655"/>
      <c r="U98" s="652"/>
      <c r="V98" s="489"/>
      <c r="W98" s="655"/>
      <c r="X98" s="652"/>
      <c r="Y98" s="489"/>
    </row>
    <row r="99" spans="1:25">
      <c r="A99" s="647">
        <f t="shared" si="34"/>
        <v>73</v>
      </c>
      <c r="C99" s="631" t="str">
        <f t="shared" si="54"/>
        <v>December</v>
      </c>
      <c r="D99" s="869">
        <v>2019</v>
      </c>
      <c r="E99" s="657">
        <v>41938774.319779634</v>
      </c>
      <c r="F99" s="657">
        <v>1361933.392863611</v>
      </c>
      <c r="G99" s="650">
        <f t="shared" si="55"/>
        <v>3043263.0695187016</v>
      </c>
      <c r="H99" s="601">
        <f t="shared" si="56"/>
        <v>3489608.3197147781</v>
      </c>
      <c r="I99" s="650">
        <f t="shared" si="57"/>
        <v>40130495.676719949</v>
      </c>
      <c r="J99" s="650">
        <f t="shared" si="58"/>
        <v>1203914.8703015985</v>
      </c>
      <c r="K99" s="601">
        <f t="shared" si="59"/>
        <v>613225712.0308826</v>
      </c>
      <c r="L99" s="601">
        <f t="shared" si="60"/>
        <v>1300710.5594442429</v>
      </c>
      <c r="M99" s="601">
        <f t="shared" si="53"/>
        <v>-23995059.922379699</v>
      </c>
      <c r="N99" s="601">
        <f t="shared" si="61"/>
        <v>637220771.95326233</v>
      </c>
      <c r="O99" s="683">
        <v>16335813.934606768</v>
      </c>
      <c r="P99" s="601">
        <f t="shared" si="62"/>
        <v>16606988.445921242</v>
      </c>
      <c r="Q99" s="655"/>
      <c r="R99" s="652"/>
      <c r="S99" s="655"/>
      <c r="T99" s="655"/>
      <c r="U99" s="652"/>
      <c r="V99" s="489"/>
      <c r="W99" s="655"/>
      <c r="X99" s="652"/>
      <c r="Y99" s="489"/>
    </row>
    <row r="100" spans="1:25">
      <c r="A100" s="646"/>
      <c r="O100" s="652"/>
    </row>
    <row r="101" spans="1:25">
      <c r="A101" s="646"/>
      <c r="B101" s="603" t="s">
        <v>1932</v>
      </c>
      <c r="G101" s="604"/>
    </row>
    <row r="102" spans="1:25">
      <c r="A102" s="648" t="s">
        <v>331</v>
      </c>
      <c r="B102" s="604"/>
      <c r="F102" s="686"/>
    </row>
    <row r="103" spans="1:25">
      <c r="A103" s="646">
        <f>A99+1</f>
        <v>74</v>
      </c>
      <c r="C103" s="658" t="s">
        <v>1924</v>
      </c>
      <c r="E103" s="659">
        <v>7.4999999999999997E-2</v>
      </c>
    </row>
    <row r="105" spans="1:25">
      <c r="A105" s="646"/>
      <c r="B105" s="603" t="s">
        <v>1934</v>
      </c>
    </row>
    <row r="106" spans="1:25">
      <c r="A106" s="648" t="s">
        <v>331</v>
      </c>
      <c r="F106" s="686"/>
    </row>
    <row r="107" spans="1:25">
      <c r="A107" s="646">
        <f>A103+1</f>
        <v>75</v>
      </c>
      <c r="B107" s="603"/>
      <c r="C107" s="600" t="s">
        <v>1925</v>
      </c>
      <c r="E107" s="659">
        <v>0.08</v>
      </c>
    </row>
    <row r="108" spans="1:25">
      <c r="A108" s="646"/>
      <c r="B108" s="604"/>
      <c r="C108" s="600"/>
    </row>
    <row r="109" spans="1:25">
      <c r="B109" s="603" t="s">
        <v>1935</v>
      </c>
    </row>
    <row r="110" spans="1:25">
      <c r="A110" s="648" t="s">
        <v>331</v>
      </c>
      <c r="B110" s="604"/>
      <c r="F110" s="686"/>
    </row>
    <row r="111" spans="1:25">
      <c r="A111" s="646">
        <f>A107+1</f>
        <v>76</v>
      </c>
      <c r="C111" s="600" t="s">
        <v>1926</v>
      </c>
      <c r="E111" s="659">
        <v>0.03</v>
      </c>
    </row>
    <row r="113" spans="1:9">
      <c r="B113" s="603" t="s">
        <v>1933</v>
      </c>
    </row>
    <row r="114" spans="1:9" s="643" customFormat="1">
      <c r="C114" s="919" t="s">
        <v>1979</v>
      </c>
      <c r="F114" s="660"/>
    </row>
    <row r="115" spans="1:9" s="646" customFormat="1">
      <c r="B115" s="643" t="s">
        <v>360</v>
      </c>
      <c r="C115" s="643" t="s">
        <v>344</v>
      </c>
      <c r="D115" s="643" t="s">
        <v>345</v>
      </c>
      <c r="E115" s="643" t="s">
        <v>346</v>
      </c>
      <c r="F115" s="643"/>
    </row>
    <row r="116" spans="1:9" s="643" customFormat="1">
      <c r="C116" s="646" t="s">
        <v>180</v>
      </c>
      <c r="D116" s="649"/>
      <c r="E116" s="1279" t="s">
        <v>1927</v>
      </c>
      <c r="F116" s="649"/>
    </row>
    <row r="117" spans="1:9">
      <c r="A117" s="646"/>
      <c r="B117" s="646"/>
      <c r="C117" s="646" t="str">
        <f>"Prior Year"</f>
        <v>Prior Year</v>
      </c>
      <c r="D117" s="647" t="s">
        <v>1928</v>
      </c>
      <c r="E117" s="647" t="s">
        <v>1352</v>
      </c>
      <c r="F117" s="647" t="s">
        <v>2057</v>
      </c>
    </row>
    <row r="118" spans="1:9">
      <c r="A118" s="643" t="s">
        <v>331</v>
      </c>
      <c r="B118" s="643" t="s">
        <v>1852</v>
      </c>
      <c r="C118" s="643" t="s">
        <v>1929</v>
      </c>
      <c r="D118" s="649" t="s">
        <v>13</v>
      </c>
      <c r="E118" s="649" t="s">
        <v>1928</v>
      </c>
      <c r="F118" s="125" t="s">
        <v>205</v>
      </c>
    </row>
    <row r="119" spans="1:9">
      <c r="A119" s="646">
        <f>A111+1</f>
        <v>77</v>
      </c>
      <c r="B119" s="646">
        <v>350.1</v>
      </c>
      <c r="C119" s="687">
        <f>'17-Depreciation'!C24</f>
        <v>87876203.008566424</v>
      </c>
      <c r="D119" s="907">
        <f>'18-DepRates'!G6</f>
        <v>0</v>
      </c>
      <c r="E119" s="908">
        <f>C119*D119</f>
        <v>0</v>
      </c>
      <c r="F119" s="1278" t="s">
        <v>2058</v>
      </c>
      <c r="G119" s="598"/>
      <c r="H119" s="687"/>
      <c r="I119" s="685"/>
    </row>
    <row r="120" spans="1:9">
      <c r="A120" s="646">
        <f>A119+1</f>
        <v>78</v>
      </c>
      <c r="B120" s="646">
        <v>350.2</v>
      </c>
      <c r="C120" s="687">
        <f>'17-Depreciation'!D24</f>
        <v>164901118.05652422</v>
      </c>
      <c r="D120" s="907">
        <f>'18-DepRates'!G7</f>
        <v>1.67E-2</v>
      </c>
      <c r="E120" s="908">
        <f>C120*D120</f>
        <v>2753848.6715439544</v>
      </c>
      <c r="F120" s="1278" t="s">
        <v>2059</v>
      </c>
      <c r="G120" s="598"/>
      <c r="H120" s="687"/>
      <c r="I120" s="685"/>
    </row>
    <row r="121" spans="1:9">
      <c r="A121" s="646">
        <f t="shared" ref="A121:A133" si="63">A120+1</f>
        <v>79</v>
      </c>
      <c r="B121" s="646">
        <v>352</v>
      </c>
      <c r="C121" s="687">
        <f>'17-Depreciation'!E24</f>
        <v>569698022.82553017</v>
      </c>
      <c r="D121" s="907">
        <f>'18-DepRates'!G8</f>
        <v>2.41E-2</v>
      </c>
      <c r="E121" s="908">
        <f t="shared" ref="E121:E128" si="64">C121*D121</f>
        <v>13729722.350095278</v>
      </c>
      <c r="F121" s="1278" t="s">
        <v>2060</v>
      </c>
      <c r="G121" s="598"/>
      <c r="H121" s="687"/>
      <c r="I121" s="685"/>
    </row>
    <row r="122" spans="1:9">
      <c r="A122" s="646">
        <f t="shared" si="63"/>
        <v>80</v>
      </c>
      <c r="B122" s="646">
        <v>353</v>
      </c>
      <c r="C122" s="687">
        <f>'17-Depreciation'!F24</f>
        <v>3409447773.6593328</v>
      </c>
      <c r="D122" s="907">
        <f>'18-DepRates'!G9</f>
        <v>2.8400000000000002E-2</v>
      </c>
      <c r="E122" s="908">
        <f t="shared" si="64"/>
        <v>96828316.771925062</v>
      </c>
      <c r="F122" s="1278" t="s">
        <v>2061</v>
      </c>
      <c r="G122" s="598"/>
      <c r="H122" s="687"/>
      <c r="I122" s="685"/>
    </row>
    <row r="123" spans="1:9">
      <c r="A123" s="646">
        <f t="shared" si="63"/>
        <v>81</v>
      </c>
      <c r="B123" s="646">
        <v>354</v>
      </c>
      <c r="C123" s="687">
        <f>'17-Depreciation'!G24</f>
        <v>2283380921.6603918</v>
      </c>
      <c r="D123" s="907">
        <f>'18-DepRates'!G10</f>
        <v>2.7300000000000001E-2</v>
      </c>
      <c r="E123" s="908">
        <f t="shared" si="64"/>
        <v>62336299.161328696</v>
      </c>
      <c r="F123" s="1278" t="s">
        <v>2062</v>
      </c>
      <c r="G123" s="598"/>
      <c r="H123" s="687"/>
      <c r="I123" s="685"/>
    </row>
    <row r="124" spans="1:9">
      <c r="A124" s="646">
        <f t="shared" si="63"/>
        <v>82</v>
      </c>
      <c r="B124" s="646">
        <v>355</v>
      </c>
      <c r="C124" s="687">
        <f>'17-Depreciation'!H24</f>
        <v>364424080.39844126</v>
      </c>
      <c r="D124" s="907">
        <f>'18-DepRates'!G11</f>
        <v>2.8400000000000002E-2</v>
      </c>
      <c r="E124" s="908">
        <f t="shared" si="64"/>
        <v>10349643.883315733</v>
      </c>
      <c r="F124" s="1278" t="s">
        <v>2063</v>
      </c>
      <c r="G124" s="598"/>
      <c r="H124" s="687"/>
      <c r="I124" s="685"/>
    </row>
    <row r="125" spans="1:9">
      <c r="A125" s="646">
        <f t="shared" si="63"/>
        <v>83</v>
      </c>
      <c r="B125" s="646">
        <v>356</v>
      </c>
      <c r="C125" s="687">
        <f>'17-Depreciation'!I24</f>
        <v>1245933686.1010468</v>
      </c>
      <c r="D125" s="907">
        <f>'18-DepRates'!G12</f>
        <v>3.2399999999999998E-2</v>
      </c>
      <c r="E125" s="908">
        <f t="shared" si="64"/>
        <v>40368251.429673918</v>
      </c>
      <c r="F125" s="1278" t="s">
        <v>2064</v>
      </c>
      <c r="G125" s="598"/>
      <c r="H125" s="687"/>
      <c r="I125" s="685"/>
    </row>
    <row r="126" spans="1:9">
      <c r="A126" s="646">
        <f t="shared" si="63"/>
        <v>84</v>
      </c>
      <c r="B126" s="646">
        <v>357</v>
      </c>
      <c r="C126" s="687">
        <f>'17-Depreciation'!J24</f>
        <v>190222488.72271055</v>
      </c>
      <c r="D126" s="907">
        <f>'18-DepRates'!G13</f>
        <v>1.7299999999999999E-2</v>
      </c>
      <c r="E126" s="908">
        <f t="shared" si="64"/>
        <v>3290849.0549028926</v>
      </c>
      <c r="F126" s="1278" t="s">
        <v>2065</v>
      </c>
      <c r="G126" s="598"/>
      <c r="H126" s="687"/>
      <c r="I126" s="685"/>
    </row>
    <row r="127" spans="1:9">
      <c r="A127" s="646">
        <f t="shared" si="63"/>
        <v>85</v>
      </c>
      <c r="B127" s="646">
        <v>358</v>
      </c>
      <c r="C127" s="687">
        <f>'17-Depreciation'!K24</f>
        <v>84920373.966592565</v>
      </c>
      <c r="D127" s="907">
        <f>'18-DepRates'!G14</f>
        <v>2.41E-2</v>
      </c>
      <c r="E127" s="908">
        <f t="shared" si="64"/>
        <v>2046581.0125948808</v>
      </c>
      <c r="F127" s="1278" t="s">
        <v>2066</v>
      </c>
      <c r="G127" s="598"/>
      <c r="H127" s="687"/>
      <c r="I127" s="685"/>
    </row>
    <row r="128" spans="1:9">
      <c r="A128" s="646">
        <f t="shared" si="63"/>
        <v>86</v>
      </c>
      <c r="B128" s="646">
        <v>359</v>
      </c>
      <c r="C128" s="687">
        <f>'17-Depreciation'!L24</f>
        <v>172640884.93140152</v>
      </c>
      <c r="D128" s="907">
        <f>'18-DepRates'!G15</f>
        <v>1.6500000000000001E-2</v>
      </c>
      <c r="E128" s="908">
        <f t="shared" si="64"/>
        <v>2848574.6013681251</v>
      </c>
      <c r="F128" s="1278" t="s">
        <v>2067</v>
      </c>
      <c r="G128" s="598"/>
      <c r="H128" s="687"/>
      <c r="I128" s="685"/>
    </row>
    <row r="129" spans="1:9">
      <c r="A129" s="646">
        <f t="shared" si="63"/>
        <v>87</v>
      </c>
      <c r="F129" s="598"/>
      <c r="G129" s="598"/>
    </row>
    <row r="130" spans="1:9">
      <c r="A130" s="646">
        <f t="shared" si="63"/>
        <v>88</v>
      </c>
      <c r="C130" s="661" t="s">
        <v>1930</v>
      </c>
      <c r="E130" s="688">
        <f>SUM(E119:E128)</f>
        <v>234552086.93674853</v>
      </c>
      <c r="F130" s="598" t="str">
        <f>"Sum of C"&amp;RIGHT(E115)&amp;" Lines "&amp;A119&amp;" to "&amp;A128</f>
        <v>Sum of C4 Lines 77 to 86</v>
      </c>
      <c r="G130" s="598"/>
    </row>
    <row r="131" spans="1:9">
      <c r="A131" s="646">
        <f t="shared" si="63"/>
        <v>89</v>
      </c>
      <c r="C131" s="640" t="str">
        <f>"Sum of Dec Prior Year Plant"</f>
        <v>Sum of Dec Prior Year Plant</v>
      </c>
      <c r="E131" s="689">
        <f>SUM(C119:C128)</f>
        <v>8573445553.3305378</v>
      </c>
      <c r="F131" s="598" t="str">
        <f>"Sum of C"&amp;RIGHT(C115)&amp;" Lines "&amp;A119&amp;" to "&amp;A128</f>
        <v>Sum of C2 Lines 77 to 86</v>
      </c>
      <c r="G131" s="598"/>
    </row>
    <row r="132" spans="1:9">
      <c r="A132" s="646">
        <f t="shared" si="63"/>
        <v>90</v>
      </c>
    </row>
    <row r="133" spans="1:9">
      <c r="A133" s="646">
        <f t="shared" si="63"/>
        <v>91</v>
      </c>
      <c r="C133" s="640" t="s">
        <v>1931</v>
      </c>
      <c r="E133" s="662">
        <f>E130/E131</f>
        <v>2.73579724135102E-2</v>
      </c>
      <c r="F133" s="598" t="str">
        <f>"Line "&amp;A130&amp;" / Line "&amp;A131</f>
        <v>Line 88 / Line 89</v>
      </c>
    </row>
    <row r="134" spans="1:9">
      <c r="A134" s="646"/>
    </row>
    <row r="135" spans="1:9">
      <c r="A135" s="646"/>
      <c r="B135" s="639" t="s">
        <v>232</v>
      </c>
      <c r="C135"/>
      <c r="D135"/>
      <c r="E135"/>
      <c r="F135"/>
      <c r="G135"/>
      <c r="H135"/>
      <c r="I135"/>
    </row>
    <row r="136" spans="1:9">
      <c r="A136" s="646"/>
      <c r="B136" s="634" t="s">
        <v>2088</v>
      </c>
      <c r="C136" s="669"/>
      <c r="D136" s="669"/>
      <c r="E136" s="669"/>
      <c r="F136" s="669"/>
      <c r="G136" s="669"/>
      <c r="H136" s="669"/>
      <c r="I136" s="669"/>
    </row>
    <row r="137" spans="1:9">
      <c r="A137" s="646"/>
      <c r="B137" s="634" t="s">
        <v>2098</v>
      </c>
      <c r="C137"/>
      <c r="D137"/>
      <c r="E137"/>
      <c r="F137"/>
      <c r="G137" s="14"/>
      <c r="H137" s="14"/>
      <c r="I137"/>
    </row>
    <row r="138" spans="1:9">
      <c r="A138" s="646"/>
    </row>
    <row r="139" spans="1:9">
      <c r="A139" s="646"/>
    </row>
    <row r="140" spans="1:9">
      <c r="A140" s="646"/>
    </row>
    <row r="141" spans="1:9">
      <c r="A141" s="646"/>
    </row>
    <row r="142" spans="1:9">
      <c r="A142" s="646"/>
    </row>
    <row r="143" spans="1:9">
      <c r="A143" s="646"/>
    </row>
    <row r="144" spans="1:9">
      <c r="A144" s="646"/>
    </row>
    <row r="145" spans="1:1">
      <c r="A145" s="646"/>
    </row>
    <row r="146" spans="1:1">
      <c r="A146" s="646"/>
    </row>
    <row r="147" spans="1:1">
      <c r="A147" s="646"/>
    </row>
    <row r="148" spans="1:1">
      <c r="A148" s="646"/>
    </row>
    <row r="149" spans="1:1">
      <c r="A149" s="646"/>
    </row>
    <row r="150" spans="1:1">
      <c r="A150" s="646"/>
    </row>
    <row r="151" spans="1:1">
      <c r="A151" s="646"/>
    </row>
    <row r="152" spans="1:1">
      <c r="A152" s="646"/>
    </row>
    <row r="153" spans="1:1">
      <c r="A153" s="646"/>
    </row>
    <row r="154" spans="1:1">
      <c r="A154" s="646"/>
    </row>
    <row r="155" spans="1:1">
      <c r="A155" s="646"/>
    </row>
    <row r="156" spans="1:1">
      <c r="A156" s="646"/>
    </row>
    <row r="157" spans="1:1">
      <c r="A157" s="646"/>
    </row>
    <row r="158" spans="1:1">
      <c r="A158" s="646"/>
    </row>
    <row r="159" spans="1:1">
      <c r="A159" s="646"/>
    </row>
    <row r="160" spans="1:1">
      <c r="A160" s="646"/>
    </row>
    <row r="161" spans="1:1">
      <c r="A161" s="646"/>
    </row>
    <row r="162" spans="1:1">
      <c r="A162" s="646"/>
    </row>
    <row r="163" spans="1:1">
      <c r="A163" s="646"/>
    </row>
    <row r="164" spans="1:1">
      <c r="A164" s="646"/>
    </row>
    <row r="165" spans="1:1">
      <c r="A165" s="646"/>
    </row>
    <row r="166" spans="1:1">
      <c r="A166" s="646"/>
    </row>
    <row r="167" spans="1:1">
      <c r="A167" s="646"/>
    </row>
    <row r="168" spans="1:1">
      <c r="A168" s="646"/>
    </row>
    <row r="169" spans="1:1">
      <c r="A169" s="646"/>
    </row>
    <row r="170" spans="1:1">
      <c r="A170" s="646"/>
    </row>
    <row r="171" spans="1:1">
      <c r="A171" s="646"/>
    </row>
    <row r="172" spans="1:1">
      <c r="A172" s="646"/>
    </row>
    <row r="173" spans="1:1">
      <c r="A173" s="646"/>
    </row>
    <row r="174" spans="1:1">
      <c r="A174" s="646"/>
    </row>
    <row r="175" spans="1:1">
      <c r="A175" s="646"/>
    </row>
    <row r="176" spans="1:1">
      <c r="A176" s="646"/>
    </row>
    <row r="177" spans="1:1">
      <c r="A177" s="646"/>
    </row>
    <row r="178" spans="1:1">
      <c r="A178" s="646"/>
    </row>
    <row r="179" spans="1:1">
      <c r="A179" s="646"/>
    </row>
    <row r="180" spans="1:1">
      <c r="A180" s="646"/>
    </row>
    <row r="181" spans="1:1">
      <c r="A181" s="646"/>
    </row>
    <row r="182" spans="1:1">
      <c r="A182" s="646"/>
    </row>
    <row r="183" spans="1:1">
      <c r="A183" s="646"/>
    </row>
    <row r="184" spans="1:1">
      <c r="A184" s="646"/>
    </row>
    <row r="185" spans="1:1">
      <c r="A185" s="646"/>
    </row>
    <row r="186" spans="1:1">
      <c r="A186" s="646"/>
    </row>
    <row r="187" spans="1:1">
      <c r="A187" s="646"/>
    </row>
    <row r="188" spans="1:1">
      <c r="A188" s="646"/>
    </row>
    <row r="189" spans="1:1">
      <c r="A189" s="646"/>
    </row>
    <row r="190" spans="1:1">
      <c r="A190" s="646"/>
    </row>
    <row r="191" spans="1:1">
      <c r="A191" s="646"/>
    </row>
    <row r="192" spans="1:1">
      <c r="A192" s="646"/>
    </row>
    <row r="193" spans="1:1">
      <c r="A193" s="646"/>
    </row>
    <row r="194" spans="1:1">
      <c r="A194" s="646"/>
    </row>
    <row r="195" spans="1:1">
      <c r="A195" s="646"/>
    </row>
    <row r="196" spans="1:1">
      <c r="A196" s="646"/>
    </row>
    <row r="197" spans="1:1">
      <c r="A197" s="646"/>
    </row>
    <row r="198" spans="1:1">
      <c r="A198" s="646"/>
    </row>
    <row r="199" spans="1:1">
      <c r="A199" s="646"/>
    </row>
    <row r="200" spans="1:1">
      <c r="A200" s="646"/>
    </row>
    <row r="201" spans="1:1">
      <c r="A201" s="646"/>
    </row>
    <row r="202" spans="1:1">
      <c r="A202" s="646"/>
    </row>
    <row r="203" spans="1:1">
      <c r="A203" s="646"/>
    </row>
    <row r="204" spans="1:1">
      <c r="A204" s="646"/>
    </row>
  </sheetData>
  <pageMargins left="0.7" right="0.7" top="0.75" bottom="0.75" header="0.3" footer="0.3"/>
  <pageSetup scale="52" orientation="landscape" cellComments="asDisplayed" r:id="rId1"/>
  <headerFooter>
    <oddHeader>&amp;CSchedule 16
Plant Additions
&amp;RExhibit SCE-4
TO2019A Formula Rate Spreadsheet</oddHeader>
    <oddFooter>&amp;R16-PlantAdditions</oddFooter>
  </headerFooter>
  <rowBreaks count="1" manualBreakCount="1">
    <brk id="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defaultRowHeight="13.2"/>
  <cols>
    <col min="1" max="1" width="4.6640625" customWidth="1"/>
    <col min="3" max="3" width="15.109375" customWidth="1"/>
    <col min="4" max="5" width="14.6640625" customWidth="1"/>
    <col min="6" max="6" width="15.5546875" customWidth="1"/>
    <col min="7" max="13" width="14.6640625" customWidth="1"/>
  </cols>
  <sheetData>
    <row r="1" spans="1:13">
      <c r="A1" s="1" t="s">
        <v>252</v>
      </c>
      <c r="B1" s="231"/>
      <c r="C1" s="231"/>
      <c r="D1" s="231"/>
      <c r="E1" s="231"/>
      <c r="F1" s="231"/>
      <c r="G1" s="231"/>
      <c r="H1" s="231"/>
      <c r="I1" s="519" t="s">
        <v>451</v>
      </c>
      <c r="J1" s="186"/>
      <c r="K1" s="231"/>
      <c r="L1" s="231"/>
      <c r="M1" s="231"/>
    </row>
    <row r="2" spans="1:13">
      <c r="A2" s="231"/>
      <c r="B2" s="231"/>
      <c r="C2" s="231"/>
      <c r="D2" s="231"/>
      <c r="E2" s="231"/>
      <c r="F2" s="231"/>
      <c r="G2" s="231"/>
      <c r="H2" s="231"/>
      <c r="K2" s="231"/>
      <c r="L2" s="231"/>
      <c r="M2" s="231"/>
    </row>
    <row r="3" spans="1:13">
      <c r="A3" s="231"/>
      <c r="B3" s="1" t="s">
        <v>973</v>
      </c>
      <c r="C3" s="231"/>
      <c r="D3" s="231"/>
      <c r="E3" s="231"/>
      <c r="F3" s="231"/>
      <c r="G3" s="231"/>
      <c r="H3" s="240"/>
      <c r="I3" s="891" t="s">
        <v>1736</v>
      </c>
      <c r="J3" s="397">
        <v>2017</v>
      </c>
      <c r="K3" s="231"/>
      <c r="L3" s="231"/>
      <c r="M3" s="231"/>
    </row>
    <row r="4" spans="1:13">
      <c r="A4" s="231"/>
      <c r="B4" s="231"/>
      <c r="C4" s="231"/>
      <c r="D4" s="231"/>
      <c r="E4" s="231"/>
      <c r="F4" s="231"/>
      <c r="G4" s="231"/>
      <c r="H4" s="240"/>
      <c r="I4" s="240"/>
      <c r="J4" s="231"/>
      <c r="K4" s="231"/>
      <c r="L4" s="231"/>
      <c r="M4" s="231"/>
    </row>
    <row r="5" spans="1:13">
      <c r="A5" s="231"/>
      <c r="B5" s="477" t="s">
        <v>976</v>
      </c>
      <c r="C5" s="231"/>
      <c r="D5" s="231"/>
      <c r="E5" s="231"/>
      <c r="F5" s="231"/>
      <c r="G5" s="231"/>
      <c r="H5" s="479" t="s">
        <v>1788</v>
      </c>
      <c r="I5" s="240"/>
      <c r="J5" s="231"/>
      <c r="K5" s="231"/>
      <c r="L5" s="231"/>
      <c r="M5" s="231"/>
    </row>
    <row r="6" spans="1:13">
      <c r="A6" s="231"/>
      <c r="B6" s="231"/>
      <c r="C6" s="231"/>
      <c r="D6" s="231"/>
      <c r="E6" s="231"/>
      <c r="F6" s="231"/>
      <c r="G6" s="231"/>
      <c r="H6" s="231"/>
      <c r="I6" s="231"/>
      <c r="J6" s="231"/>
      <c r="K6" s="231"/>
      <c r="L6" s="231"/>
      <c r="M6" s="231"/>
    </row>
    <row r="7" spans="1:13">
      <c r="A7" s="231"/>
      <c r="B7" s="84" t="s">
        <v>360</v>
      </c>
      <c r="C7" s="84" t="s">
        <v>344</v>
      </c>
      <c r="D7" s="84" t="s">
        <v>345</v>
      </c>
      <c r="E7" s="84" t="s">
        <v>346</v>
      </c>
      <c r="F7" s="84" t="s">
        <v>347</v>
      </c>
      <c r="G7" s="84" t="s">
        <v>348</v>
      </c>
      <c r="H7" s="84" t="s">
        <v>349</v>
      </c>
      <c r="I7" s="84" t="s">
        <v>541</v>
      </c>
      <c r="J7" s="84" t="s">
        <v>958</v>
      </c>
      <c r="K7" s="84" t="s">
        <v>971</v>
      </c>
      <c r="L7" s="84" t="s">
        <v>974</v>
      </c>
      <c r="M7" s="84" t="s">
        <v>992</v>
      </c>
    </row>
    <row r="8" spans="1:13">
      <c r="A8" s="231"/>
      <c r="B8" s="248"/>
      <c r="C8" s="231"/>
      <c r="D8" s="231"/>
      <c r="E8" s="231"/>
      <c r="F8" s="231"/>
      <c r="G8" s="231"/>
      <c r="H8" s="231"/>
      <c r="I8" s="231"/>
      <c r="J8" s="231"/>
      <c r="K8" s="231"/>
      <c r="L8" s="231"/>
      <c r="M8" s="231"/>
    </row>
    <row r="9" spans="1:13">
      <c r="A9" s="231"/>
      <c r="B9" s="111"/>
      <c r="C9" s="520" t="s">
        <v>12</v>
      </c>
      <c r="D9" s="231"/>
      <c r="E9" s="231"/>
      <c r="F9" s="231"/>
      <c r="G9" s="231"/>
      <c r="H9" s="231"/>
      <c r="I9" s="231"/>
      <c r="J9" s="231"/>
      <c r="K9" s="231"/>
      <c r="L9" s="231"/>
      <c r="M9" s="231"/>
    </row>
    <row r="10" spans="1:13">
      <c r="A10" s="231"/>
      <c r="B10" s="111"/>
      <c r="C10" s="520" t="s">
        <v>972</v>
      </c>
      <c r="D10" s="231"/>
      <c r="E10" s="231"/>
      <c r="F10" s="231"/>
      <c r="G10" s="231"/>
      <c r="H10" s="231"/>
      <c r="I10" s="231"/>
      <c r="J10" s="231"/>
      <c r="K10" s="231"/>
      <c r="L10" s="231"/>
      <c r="M10" s="231"/>
    </row>
    <row r="11" spans="1:13">
      <c r="A11" s="51" t="s">
        <v>331</v>
      </c>
      <c r="B11" s="125" t="s">
        <v>1771</v>
      </c>
      <c r="C11" s="359">
        <v>350.1</v>
      </c>
      <c r="D11" s="359">
        <v>350.2</v>
      </c>
      <c r="E11" s="359">
        <v>352</v>
      </c>
      <c r="F11" s="359">
        <v>353</v>
      </c>
      <c r="G11" s="359">
        <v>354</v>
      </c>
      <c r="H11" s="359">
        <v>355</v>
      </c>
      <c r="I11" s="359">
        <v>356</v>
      </c>
      <c r="J11" s="359">
        <v>357</v>
      </c>
      <c r="K11" s="359">
        <v>358</v>
      </c>
      <c r="L11" s="359">
        <v>359</v>
      </c>
      <c r="M11" s="125" t="s">
        <v>196</v>
      </c>
    </row>
    <row r="12" spans="1:13">
      <c r="A12" s="571">
        <v>1</v>
      </c>
      <c r="B12" s="966" t="s">
        <v>2408</v>
      </c>
      <c r="C12" s="233">
        <f>'6-PlantInService'!C11</f>
        <v>86845703.104480609</v>
      </c>
      <c r="D12" s="233">
        <f>'6-PlantInService'!D11</f>
        <v>165326927.27681193</v>
      </c>
      <c r="E12" s="233">
        <f>'6-PlantInService'!E11</f>
        <v>531582610.83188766</v>
      </c>
      <c r="F12" s="233">
        <f>'6-PlantInService'!F11</f>
        <v>3249175448.8296032</v>
      </c>
      <c r="G12" s="233">
        <f>'6-PlantInService'!G11</f>
        <v>2233991232.1950097</v>
      </c>
      <c r="H12" s="233">
        <f>'6-PlantInService'!H11</f>
        <v>324258227.83465576</v>
      </c>
      <c r="I12" s="233">
        <f>'6-PlantInService'!I11</f>
        <v>1235903790.5887618</v>
      </c>
      <c r="J12" s="233">
        <f>'6-PlantInService'!J11</f>
        <v>185508196.51440176</v>
      </c>
      <c r="K12" s="233">
        <f>'6-PlantInService'!K11</f>
        <v>81951071.953655437</v>
      </c>
      <c r="L12" s="233">
        <f>'6-PlantInService'!L11</f>
        <v>182027085.56504503</v>
      </c>
      <c r="M12" s="233">
        <f>'6-PlantInService'!M11</f>
        <v>8276570294.694313</v>
      </c>
    </row>
    <row r="13" spans="1:13">
      <c r="A13" s="571">
        <f>A12+1</f>
        <v>2</v>
      </c>
      <c r="B13" s="966" t="s">
        <v>2617</v>
      </c>
      <c r="C13" s="233">
        <f>'6-PlantInService'!C12</f>
        <v>81997511.329591066</v>
      </c>
      <c r="D13" s="233">
        <f>'6-PlantInService'!D12</f>
        <v>165330397.22681195</v>
      </c>
      <c r="E13" s="233">
        <f>'6-PlantInService'!E12</f>
        <v>528854082.94456756</v>
      </c>
      <c r="F13" s="233">
        <f>'6-PlantInService'!F12</f>
        <v>3250037231.0578914</v>
      </c>
      <c r="G13" s="233">
        <f>'6-PlantInService'!G12</f>
        <v>2231001014.4046226</v>
      </c>
      <c r="H13" s="233">
        <f>'6-PlantInService'!H12</f>
        <v>335699493.46825069</v>
      </c>
      <c r="I13" s="233">
        <f>'6-PlantInService'!I12</f>
        <v>1232564516.1714423</v>
      </c>
      <c r="J13" s="233">
        <f>'6-PlantInService'!J12</f>
        <v>185656754.46065056</v>
      </c>
      <c r="K13" s="233">
        <f>'6-PlantInService'!K12</f>
        <v>81997920.308720946</v>
      </c>
      <c r="L13" s="233">
        <f>'6-PlantInService'!L12</f>
        <v>160125967.75832444</v>
      </c>
      <c r="M13" s="233">
        <f>'6-PlantInService'!M12</f>
        <v>8253264889.1308718</v>
      </c>
    </row>
    <row r="14" spans="1:13">
      <c r="A14" s="571">
        <f t="shared" ref="A14:A76" si="0">A13+1</f>
        <v>3</v>
      </c>
      <c r="B14" s="966" t="s">
        <v>2618</v>
      </c>
      <c r="C14" s="233">
        <f>'6-PlantInService'!C13</f>
        <v>82013020.485065579</v>
      </c>
      <c r="D14" s="233">
        <f>'6-PlantInService'!D13</f>
        <v>165784066.13681194</v>
      </c>
      <c r="E14" s="233">
        <f>'6-PlantInService'!E13</f>
        <v>534882417.92989409</v>
      </c>
      <c r="F14" s="233">
        <f>'6-PlantInService'!F13</f>
        <v>3256654353.0725117</v>
      </c>
      <c r="G14" s="233">
        <f>'6-PlantInService'!G13</f>
        <v>2213130982.1333771</v>
      </c>
      <c r="H14" s="233">
        <f>'6-PlantInService'!H13</f>
        <v>339965913.33329707</v>
      </c>
      <c r="I14" s="233">
        <f>'6-PlantInService'!I13</f>
        <v>1235030893.795954</v>
      </c>
      <c r="J14" s="233">
        <f>'6-PlantInService'!J13</f>
        <v>186119194.09506792</v>
      </c>
      <c r="K14" s="233">
        <f>'6-PlantInService'!K13</f>
        <v>82775424.321385443</v>
      </c>
      <c r="L14" s="233">
        <f>'6-PlantInService'!L13</f>
        <v>161709714.73974848</v>
      </c>
      <c r="M14" s="233">
        <f>'6-PlantInService'!M13</f>
        <v>8258065980.0431118</v>
      </c>
    </row>
    <row r="15" spans="1:13">
      <c r="A15" s="571">
        <f t="shared" si="0"/>
        <v>4</v>
      </c>
      <c r="B15" s="966" t="s">
        <v>2619</v>
      </c>
      <c r="C15" s="233">
        <f>'6-PlantInService'!C14</f>
        <v>82413676.780734852</v>
      </c>
      <c r="D15" s="233">
        <f>'6-PlantInService'!D14</f>
        <v>165733853.1359542</v>
      </c>
      <c r="E15" s="233">
        <f>'6-PlantInService'!E14</f>
        <v>532806953.88800937</v>
      </c>
      <c r="F15" s="233">
        <f>'6-PlantInService'!F14</f>
        <v>3260114606.4719715</v>
      </c>
      <c r="G15" s="233">
        <f>'6-PlantInService'!G14</f>
        <v>2225922423.015646</v>
      </c>
      <c r="H15" s="233">
        <f>'6-PlantInService'!H14</f>
        <v>342740513.52006418</v>
      </c>
      <c r="I15" s="233">
        <f>'6-PlantInService'!I14</f>
        <v>1241178224.9469056</v>
      </c>
      <c r="J15" s="233">
        <f>'6-PlantInService'!J14</f>
        <v>186361376.5458791</v>
      </c>
      <c r="K15" s="233">
        <f>'6-PlantInService'!K14</f>
        <v>83455650.891343445</v>
      </c>
      <c r="L15" s="233">
        <f>'6-PlantInService'!L14</f>
        <v>161453728.52818018</v>
      </c>
      <c r="M15" s="233">
        <f>'6-PlantInService'!M14</f>
        <v>8282181007.7246895</v>
      </c>
    </row>
    <row r="16" spans="1:13">
      <c r="A16" s="571">
        <f t="shared" si="0"/>
        <v>5</v>
      </c>
      <c r="B16" s="966" t="s">
        <v>2620</v>
      </c>
      <c r="C16" s="233">
        <f>'6-PlantInService'!C15</f>
        <v>82424960.000734851</v>
      </c>
      <c r="D16" s="233">
        <f>'6-PlantInService'!D15</f>
        <v>165734428.73346913</v>
      </c>
      <c r="E16" s="233">
        <f>'6-PlantInService'!E15</f>
        <v>540340484.50312638</v>
      </c>
      <c r="F16" s="233">
        <f>'6-PlantInService'!F15</f>
        <v>3290596931.5240779</v>
      </c>
      <c r="G16" s="233">
        <f>'6-PlantInService'!G15</f>
        <v>2251979964.6914034</v>
      </c>
      <c r="H16" s="233">
        <f>'6-PlantInService'!H15</f>
        <v>344598338.85794425</v>
      </c>
      <c r="I16" s="233">
        <f>'6-PlantInService'!I15</f>
        <v>1244265047.7625117</v>
      </c>
      <c r="J16" s="233">
        <f>'6-PlantInService'!J15</f>
        <v>186611561.35820594</v>
      </c>
      <c r="K16" s="233">
        <f>'6-PlantInService'!K15</f>
        <v>83540944.255076736</v>
      </c>
      <c r="L16" s="233">
        <f>'6-PlantInService'!L15</f>
        <v>161600158.1218653</v>
      </c>
      <c r="M16" s="233">
        <f>'6-PlantInService'!M15</f>
        <v>8351692819.8084164</v>
      </c>
    </row>
    <row r="17" spans="1:14">
      <c r="A17" s="571">
        <f t="shared" si="0"/>
        <v>6</v>
      </c>
      <c r="B17" s="966" t="s">
        <v>2621</v>
      </c>
      <c r="C17" s="233">
        <f>'6-PlantInService'!C16</f>
        <v>82438879.958219945</v>
      </c>
      <c r="D17" s="233">
        <f>'6-PlantInService'!D16</f>
        <v>165704350.73919225</v>
      </c>
      <c r="E17" s="233">
        <f>'6-PlantInService'!E16</f>
        <v>548767497.36873901</v>
      </c>
      <c r="F17" s="233">
        <f>'6-PlantInService'!F16</f>
        <v>3303060549.2557364</v>
      </c>
      <c r="G17" s="233">
        <f>'6-PlantInService'!G16</f>
        <v>2258078708.9137988</v>
      </c>
      <c r="H17" s="233">
        <f>'6-PlantInService'!H16</f>
        <v>345368677.19838327</v>
      </c>
      <c r="I17" s="233">
        <f>'6-PlantInService'!I16</f>
        <v>1242476528.4366479</v>
      </c>
      <c r="J17" s="233">
        <f>'6-PlantInService'!J16</f>
        <v>187117539.03635201</v>
      </c>
      <c r="K17" s="233">
        <f>'6-PlantInService'!K16</f>
        <v>83717688.500994444</v>
      </c>
      <c r="L17" s="233">
        <f>'6-PlantInService'!L16</f>
        <v>168349231.71443564</v>
      </c>
      <c r="M17" s="233">
        <f>'6-PlantInService'!M16</f>
        <v>8385079651.1225004</v>
      </c>
    </row>
    <row r="18" spans="1:14">
      <c r="A18" s="571">
        <f t="shared" si="0"/>
        <v>7</v>
      </c>
      <c r="B18" s="966" t="s">
        <v>2622</v>
      </c>
      <c r="C18" s="233">
        <f>'6-PlantInService'!C17</f>
        <v>81409531.041870818</v>
      </c>
      <c r="D18" s="233">
        <f>'6-PlantInService'!D17</f>
        <v>165534488.25595289</v>
      </c>
      <c r="E18" s="233">
        <f>'6-PlantInService'!E17</f>
        <v>552041269.8048203</v>
      </c>
      <c r="F18" s="233">
        <f>'6-PlantInService'!F17</f>
        <v>3313909561.1628776</v>
      </c>
      <c r="G18" s="233">
        <f>'6-PlantInService'!G17</f>
        <v>2261350618.4544725</v>
      </c>
      <c r="H18" s="233">
        <f>'6-PlantInService'!H17</f>
        <v>347377533.8652634</v>
      </c>
      <c r="I18" s="233">
        <f>'6-PlantInService'!I17</f>
        <v>1244803717.1369219</v>
      </c>
      <c r="J18" s="233">
        <f>'6-PlantInService'!J17</f>
        <v>188491606.57570153</v>
      </c>
      <c r="K18" s="233">
        <f>'6-PlantInService'!K17</f>
        <v>84190542.091635212</v>
      </c>
      <c r="L18" s="233">
        <f>'6-PlantInService'!L17</f>
        <v>167806375.11891511</v>
      </c>
      <c r="M18" s="233">
        <f>'6-PlantInService'!M17</f>
        <v>8406915243.5084305</v>
      </c>
    </row>
    <row r="19" spans="1:14">
      <c r="A19" s="571">
        <f t="shared" si="0"/>
        <v>8</v>
      </c>
      <c r="B19" s="966" t="s">
        <v>2623</v>
      </c>
      <c r="C19" s="233">
        <f>'6-PlantInService'!C18</f>
        <v>81421876.403887019</v>
      </c>
      <c r="D19" s="233">
        <f>'6-PlantInService'!D18</f>
        <v>165199674.61073655</v>
      </c>
      <c r="E19" s="233">
        <f>'6-PlantInService'!E18</f>
        <v>554107048.7279923</v>
      </c>
      <c r="F19" s="233">
        <f>'6-PlantInService'!F18</f>
        <v>3321544470.6075063</v>
      </c>
      <c r="G19" s="233">
        <f>'6-PlantInService'!G18</f>
        <v>2263663367.962369</v>
      </c>
      <c r="H19" s="233">
        <f>'6-PlantInService'!H18</f>
        <v>350109484.59682691</v>
      </c>
      <c r="I19" s="233">
        <f>'6-PlantInService'!I18</f>
        <v>1244039915.8336692</v>
      </c>
      <c r="J19" s="233">
        <f>'6-PlantInService'!J18</f>
        <v>188624718.09472644</v>
      </c>
      <c r="K19" s="233">
        <f>'6-PlantInService'!K18</f>
        <v>84257049.666369125</v>
      </c>
      <c r="L19" s="233">
        <f>'6-PlantInService'!L18</f>
        <v>167839950.27240404</v>
      </c>
      <c r="M19" s="233">
        <f>'6-PlantInService'!M18</f>
        <v>8420807556.7764864</v>
      </c>
    </row>
    <row r="20" spans="1:14">
      <c r="A20" s="571">
        <f t="shared" si="0"/>
        <v>9</v>
      </c>
      <c r="B20" s="966" t="s">
        <v>2624</v>
      </c>
      <c r="C20" s="233">
        <f>'6-PlantInService'!C19</f>
        <v>81875010.633887053</v>
      </c>
      <c r="D20" s="233">
        <f>'6-PlantInService'!D19</f>
        <v>164728138.38125554</v>
      </c>
      <c r="E20" s="233">
        <f>'6-PlantInService'!E19</f>
        <v>558293841.55568182</v>
      </c>
      <c r="F20" s="233">
        <f>'6-PlantInService'!F19</f>
        <v>3350799128.8351703</v>
      </c>
      <c r="G20" s="233">
        <f>'6-PlantInService'!G19</f>
        <v>2265082996.3457894</v>
      </c>
      <c r="H20" s="233">
        <f>'6-PlantInService'!H19</f>
        <v>350778177.54014826</v>
      </c>
      <c r="I20" s="233">
        <f>'6-PlantInService'!I19</f>
        <v>1246103080.4025316</v>
      </c>
      <c r="J20" s="233">
        <f>'6-PlantInService'!J19</f>
        <v>188962876.00330049</v>
      </c>
      <c r="K20" s="233">
        <f>'6-PlantInService'!K19</f>
        <v>84383655.945058659</v>
      </c>
      <c r="L20" s="233">
        <f>'6-PlantInService'!L19</f>
        <v>168194578.75962457</v>
      </c>
      <c r="M20" s="233">
        <f>'6-PlantInService'!M19</f>
        <v>8459201484.4024467</v>
      </c>
    </row>
    <row r="21" spans="1:14">
      <c r="A21" s="571">
        <f t="shared" si="0"/>
        <v>10</v>
      </c>
      <c r="B21" s="966" t="s">
        <v>2625</v>
      </c>
      <c r="C21" s="233">
        <f>'6-PlantInService'!C20</f>
        <v>81886831.423887074</v>
      </c>
      <c r="D21" s="233">
        <f>'6-PlantInService'!D20</f>
        <v>164709519.96722952</v>
      </c>
      <c r="E21" s="233">
        <f>'6-PlantInService'!E20</f>
        <v>560085940.2329005</v>
      </c>
      <c r="F21" s="233">
        <f>'6-PlantInService'!F20</f>
        <v>3354129788.6444764</v>
      </c>
      <c r="G21" s="233">
        <f>'6-PlantInService'!G20</f>
        <v>2263017843.9178081</v>
      </c>
      <c r="H21" s="233">
        <f>'6-PlantInService'!H20</f>
        <v>354174066.57641131</v>
      </c>
      <c r="I21" s="233">
        <f>'6-PlantInService'!I20</f>
        <v>1247812336.6400785</v>
      </c>
      <c r="J21" s="233">
        <f>'6-PlantInService'!J20</f>
        <v>189290135.91687733</v>
      </c>
      <c r="K21" s="233">
        <f>'6-PlantInService'!K20</f>
        <v>84485994.066605121</v>
      </c>
      <c r="L21" s="233">
        <f>'6-PlantInService'!L20</f>
        <v>168808262.22314706</v>
      </c>
      <c r="M21" s="233">
        <f>'6-PlantInService'!M20</f>
        <v>8468400719.6094227</v>
      </c>
    </row>
    <row r="22" spans="1:14">
      <c r="A22" s="571">
        <f t="shared" si="0"/>
        <v>11</v>
      </c>
      <c r="B22" s="966" t="s">
        <v>2626</v>
      </c>
      <c r="C22" s="233">
        <f>'6-PlantInService'!C21</f>
        <v>81898670.463887021</v>
      </c>
      <c r="D22" s="233">
        <f>'6-PlantInService'!D21</f>
        <v>164708798.40418896</v>
      </c>
      <c r="E22" s="233">
        <f>'6-PlantInService'!E21</f>
        <v>557690364.6600107</v>
      </c>
      <c r="F22" s="233">
        <f>'6-PlantInService'!F21</f>
        <v>3337803869.7518563</v>
      </c>
      <c r="G22" s="233">
        <f>'6-PlantInService'!G21</f>
        <v>2267000465.6816745</v>
      </c>
      <c r="H22" s="233">
        <f>'6-PlantInService'!H21</f>
        <v>357358231.11677372</v>
      </c>
      <c r="I22" s="233">
        <f>'6-PlantInService'!I21</f>
        <v>1247335361.2178495</v>
      </c>
      <c r="J22" s="233">
        <f>'6-PlantInService'!J21</f>
        <v>189937864.06722775</v>
      </c>
      <c r="K22" s="233">
        <f>'6-PlantInService'!K21</f>
        <v>84808332.546487942</v>
      </c>
      <c r="L22" s="233">
        <f>'6-PlantInService'!L21</f>
        <v>169009659.89762434</v>
      </c>
      <c r="M22" s="233">
        <f>'6-PlantInService'!M21</f>
        <v>8457551617.80758</v>
      </c>
    </row>
    <row r="23" spans="1:14">
      <c r="A23" s="571">
        <f t="shared" si="0"/>
        <v>12</v>
      </c>
      <c r="B23" s="966" t="s">
        <v>2627</v>
      </c>
      <c r="C23" s="233">
        <f>'6-PlantInService'!C22</f>
        <v>87866111.14856644</v>
      </c>
      <c r="D23" s="233">
        <f>'6-PlantInService'!D22</f>
        <v>164907956.70031324</v>
      </c>
      <c r="E23" s="233">
        <f>'6-PlantInService'!E22</f>
        <v>559289848.66007018</v>
      </c>
      <c r="F23" s="233">
        <f>'6-PlantInService'!F22</f>
        <v>3340005248.8568726</v>
      </c>
      <c r="G23" s="233">
        <f>'6-PlantInService'!G22</f>
        <v>2268750108.1658549</v>
      </c>
      <c r="H23" s="233">
        <f>'6-PlantInService'!H22</f>
        <v>362445560.88366669</v>
      </c>
      <c r="I23" s="233">
        <f>'6-PlantInService'!I22</f>
        <v>1244772135.9283471</v>
      </c>
      <c r="J23" s="233">
        <f>'6-PlantInService'!J22</f>
        <v>190107795.93953431</v>
      </c>
      <c r="K23" s="233">
        <f>'6-PlantInService'!K22</f>
        <v>84849890.172531247</v>
      </c>
      <c r="L23" s="233">
        <f>'6-PlantInService'!L22</f>
        <v>171154663.06990889</v>
      </c>
      <c r="M23" s="233">
        <f>'6-PlantInService'!M22</f>
        <v>8474149319.5256653</v>
      </c>
    </row>
    <row r="24" spans="1:14">
      <c r="A24" s="571">
        <f t="shared" si="0"/>
        <v>13</v>
      </c>
      <c r="B24" s="966" t="s">
        <v>2628</v>
      </c>
      <c r="C24" s="233">
        <f>'6-PlantInService'!C23</f>
        <v>87876203.008566424</v>
      </c>
      <c r="D24" s="233">
        <f>'6-PlantInService'!D23</f>
        <v>164901118.05652422</v>
      </c>
      <c r="E24" s="233">
        <f>'6-PlantInService'!E23</f>
        <v>569698022.82553017</v>
      </c>
      <c r="F24" s="233">
        <f>'6-PlantInService'!F23</f>
        <v>3409447773.6593328</v>
      </c>
      <c r="G24" s="233">
        <f>'6-PlantInService'!G23</f>
        <v>2283380921.6603918</v>
      </c>
      <c r="H24" s="233">
        <f>'6-PlantInService'!H23</f>
        <v>364424080.39844126</v>
      </c>
      <c r="I24" s="233">
        <f>'6-PlantInService'!I23</f>
        <v>1245933686.1010468</v>
      </c>
      <c r="J24" s="233">
        <f>'6-PlantInService'!J23</f>
        <v>190222488.72271055</v>
      </c>
      <c r="K24" s="233">
        <f>'6-PlantInService'!K23</f>
        <v>84920373.966592565</v>
      </c>
      <c r="L24" s="233">
        <f>'6-PlantInService'!L23</f>
        <v>172640884.93140152</v>
      </c>
      <c r="M24" s="233">
        <f>'6-PlantInService'!M23</f>
        <v>8573445553.3305378</v>
      </c>
    </row>
    <row r="25" spans="1:14">
      <c r="A25" s="571">
        <f t="shared" si="0"/>
        <v>14</v>
      </c>
      <c r="B25" s="231"/>
      <c r="C25" s="231"/>
      <c r="D25" s="231"/>
      <c r="E25" s="231"/>
      <c r="F25" s="231"/>
      <c r="G25" s="231"/>
      <c r="H25" s="231"/>
      <c r="I25" s="231"/>
      <c r="J25" s="231"/>
      <c r="K25" s="231"/>
      <c r="L25" s="231"/>
      <c r="M25" s="231"/>
    </row>
    <row r="26" spans="1:14">
      <c r="A26" s="571">
        <f t="shared" si="0"/>
        <v>15</v>
      </c>
      <c r="B26" s="634" t="s">
        <v>2845</v>
      </c>
      <c r="C26" s="240"/>
      <c r="D26" s="240"/>
      <c r="E26" s="240"/>
      <c r="F26" s="240"/>
      <c r="G26" s="240"/>
      <c r="H26" s="240"/>
      <c r="I26" s="231"/>
      <c r="J26" s="231"/>
      <c r="K26" s="231"/>
      <c r="L26" s="231"/>
      <c r="M26" s="231"/>
    </row>
    <row r="27" spans="1:14">
      <c r="A27" s="571"/>
      <c r="B27" s="111"/>
      <c r="C27" s="240"/>
      <c r="D27" s="240"/>
      <c r="E27" s="240"/>
      <c r="F27" s="240"/>
      <c r="G27" s="231"/>
      <c r="H27" s="231"/>
      <c r="I27" s="231"/>
      <c r="J27" s="231"/>
      <c r="K27" s="231"/>
      <c r="L27" s="231"/>
      <c r="M27" s="231"/>
    </row>
    <row r="28" spans="1:14">
      <c r="A28" s="571">
        <f>A26+1</f>
        <v>16</v>
      </c>
      <c r="B28" s="125" t="s">
        <v>1771</v>
      </c>
      <c r="C28" s="359">
        <v>350.1</v>
      </c>
      <c r="D28" s="359">
        <v>350.2</v>
      </c>
      <c r="E28" s="359">
        <v>352</v>
      </c>
      <c r="F28" s="359">
        <v>353</v>
      </c>
      <c r="G28" s="84">
        <v>354</v>
      </c>
      <c r="H28" s="84">
        <v>355</v>
      </c>
      <c r="I28" s="84">
        <v>356</v>
      </c>
      <c r="J28" s="84">
        <v>357</v>
      </c>
      <c r="K28" s="84">
        <v>358</v>
      </c>
      <c r="L28" s="84">
        <v>359</v>
      </c>
      <c r="M28" s="3"/>
    </row>
    <row r="29" spans="1:14">
      <c r="A29" s="571" t="s">
        <v>2038</v>
      </c>
      <c r="B29" s="966" t="s">
        <v>2408</v>
      </c>
      <c r="C29" s="725">
        <v>0</v>
      </c>
      <c r="D29" s="725">
        <v>1.66E-2</v>
      </c>
      <c r="E29" s="725">
        <v>2.5700000000000001E-2</v>
      </c>
      <c r="F29" s="725">
        <v>2.47E-2</v>
      </c>
      <c r="G29" s="725">
        <v>2.4400000000000002E-2</v>
      </c>
      <c r="H29" s="725">
        <v>3.6700000000000003E-2</v>
      </c>
      <c r="I29" s="725">
        <v>3.0499999999999999E-2</v>
      </c>
      <c r="J29" s="725">
        <v>1.6500000000000001E-2</v>
      </c>
      <c r="K29" s="725">
        <v>3.8699999999999998E-2</v>
      </c>
      <c r="L29" s="725">
        <v>1.5599999999999999E-2</v>
      </c>
      <c r="M29" s="231"/>
      <c r="N29" s="518"/>
    </row>
    <row r="30" spans="1:14">
      <c r="A30" s="571" t="s">
        <v>2039</v>
      </c>
      <c r="B30" s="966" t="s">
        <v>2617</v>
      </c>
      <c r="C30" s="725">
        <v>0</v>
      </c>
      <c r="D30" s="725">
        <v>1.66E-2</v>
      </c>
      <c r="E30" s="725">
        <v>2.5700000000000001E-2</v>
      </c>
      <c r="F30" s="725">
        <v>2.47E-2</v>
      </c>
      <c r="G30" s="725">
        <v>2.4400000000000002E-2</v>
      </c>
      <c r="H30" s="725">
        <v>3.6700000000000003E-2</v>
      </c>
      <c r="I30" s="725">
        <v>3.0499999999999999E-2</v>
      </c>
      <c r="J30" s="725">
        <v>1.6500000000000001E-2</v>
      </c>
      <c r="K30" s="725">
        <v>3.8699999999999998E-2</v>
      </c>
      <c r="L30" s="725">
        <v>1.5599999999999999E-2</v>
      </c>
      <c r="M30" s="231"/>
      <c r="N30" s="518"/>
    </row>
    <row r="31" spans="1:14">
      <c r="A31" s="571" t="s">
        <v>2040</v>
      </c>
      <c r="B31" s="966" t="s">
        <v>2618</v>
      </c>
      <c r="C31" s="725">
        <v>0</v>
      </c>
      <c r="D31" s="725">
        <v>1.66E-2</v>
      </c>
      <c r="E31" s="725">
        <v>2.5700000000000001E-2</v>
      </c>
      <c r="F31" s="725">
        <v>2.47E-2</v>
      </c>
      <c r="G31" s="725">
        <v>2.4400000000000002E-2</v>
      </c>
      <c r="H31" s="725">
        <v>3.6700000000000003E-2</v>
      </c>
      <c r="I31" s="725">
        <v>3.0499999999999999E-2</v>
      </c>
      <c r="J31" s="725">
        <v>1.6500000000000001E-2</v>
      </c>
      <c r="K31" s="725">
        <v>3.8699999999999998E-2</v>
      </c>
      <c r="L31" s="725">
        <v>1.5599999999999999E-2</v>
      </c>
      <c r="M31" s="231"/>
      <c r="N31" s="518"/>
    </row>
    <row r="32" spans="1:14">
      <c r="A32" s="571" t="s">
        <v>2041</v>
      </c>
      <c r="B32" s="966" t="s">
        <v>2619</v>
      </c>
      <c r="C32" s="725">
        <v>0</v>
      </c>
      <c r="D32" s="725">
        <v>1.66E-2</v>
      </c>
      <c r="E32" s="725">
        <v>2.5700000000000001E-2</v>
      </c>
      <c r="F32" s="725">
        <v>2.47E-2</v>
      </c>
      <c r="G32" s="725">
        <v>2.4400000000000002E-2</v>
      </c>
      <c r="H32" s="725">
        <v>3.6700000000000003E-2</v>
      </c>
      <c r="I32" s="725">
        <v>3.0499999999999999E-2</v>
      </c>
      <c r="J32" s="725">
        <v>1.6500000000000001E-2</v>
      </c>
      <c r="K32" s="725">
        <v>3.8699999999999998E-2</v>
      </c>
      <c r="L32" s="725">
        <v>1.5599999999999999E-2</v>
      </c>
      <c r="M32" s="231"/>
      <c r="N32" s="518"/>
    </row>
    <row r="33" spans="1:14">
      <c r="A33" s="571" t="s">
        <v>2042</v>
      </c>
      <c r="B33" s="966" t="s">
        <v>2620</v>
      </c>
      <c r="C33" s="725">
        <v>0</v>
      </c>
      <c r="D33" s="725">
        <v>1.66E-2</v>
      </c>
      <c r="E33" s="725">
        <v>2.5700000000000001E-2</v>
      </c>
      <c r="F33" s="725">
        <v>2.47E-2</v>
      </c>
      <c r="G33" s="725">
        <v>2.4400000000000002E-2</v>
      </c>
      <c r="H33" s="725">
        <v>3.6700000000000003E-2</v>
      </c>
      <c r="I33" s="725">
        <v>3.0499999999999999E-2</v>
      </c>
      <c r="J33" s="725">
        <v>1.6500000000000001E-2</v>
      </c>
      <c r="K33" s="725">
        <v>3.8699999999999998E-2</v>
      </c>
      <c r="L33" s="725">
        <v>1.5599999999999999E-2</v>
      </c>
      <c r="M33" s="231"/>
      <c r="N33" s="518"/>
    </row>
    <row r="34" spans="1:14">
      <c r="A34" s="571" t="s">
        <v>2043</v>
      </c>
      <c r="B34" s="966" t="s">
        <v>2621</v>
      </c>
      <c r="C34" s="725">
        <v>0</v>
      </c>
      <c r="D34" s="725">
        <v>1.66E-2</v>
      </c>
      <c r="E34" s="725">
        <v>2.5700000000000001E-2</v>
      </c>
      <c r="F34" s="725">
        <v>2.47E-2</v>
      </c>
      <c r="G34" s="725">
        <v>2.4400000000000002E-2</v>
      </c>
      <c r="H34" s="725">
        <v>3.6700000000000003E-2</v>
      </c>
      <c r="I34" s="725">
        <v>3.0499999999999999E-2</v>
      </c>
      <c r="J34" s="725">
        <v>1.6500000000000001E-2</v>
      </c>
      <c r="K34" s="725">
        <v>3.8699999999999998E-2</v>
      </c>
      <c r="L34" s="725">
        <v>1.5599999999999999E-2</v>
      </c>
      <c r="M34" s="231"/>
      <c r="N34" s="518"/>
    </row>
    <row r="35" spans="1:14">
      <c r="A35" s="571" t="s">
        <v>2044</v>
      </c>
      <c r="B35" s="966" t="s">
        <v>2622</v>
      </c>
      <c r="C35" s="725">
        <v>0</v>
      </c>
      <c r="D35" s="725">
        <v>1.66E-2</v>
      </c>
      <c r="E35" s="725">
        <v>2.5700000000000001E-2</v>
      </c>
      <c r="F35" s="725">
        <v>2.47E-2</v>
      </c>
      <c r="G35" s="725">
        <v>2.4400000000000002E-2</v>
      </c>
      <c r="H35" s="725">
        <v>3.6700000000000003E-2</v>
      </c>
      <c r="I35" s="725">
        <v>3.0499999999999999E-2</v>
      </c>
      <c r="J35" s="725">
        <v>1.6500000000000001E-2</v>
      </c>
      <c r="K35" s="725">
        <v>3.8699999999999998E-2</v>
      </c>
      <c r="L35" s="725">
        <v>1.5599999999999999E-2</v>
      </c>
      <c r="M35" s="231"/>
      <c r="N35" s="518"/>
    </row>
    <row r="36" spans="1:14">
      <c r="A36" s="571" t="s">
        <v>2045</v>
      </c>
      <c r="B36" s="966" t="s">
        <v>2623</v>
      </c>
      <c r="C36" s="725">
        <v>0</v>
      </c>
      <c r="D36" s="725">
        <v>1.66E-2</v>
      </c>
      <c r="E36" s="725">
        <v>2.5700000000000001E-2</v>
      </c>
      <c r="F36" s="725">
        <v>2.47E-2</v>
      </c>
      <c r="G36" s="725">
        <v>2.4400000000000002E-2</v>
      </c>
      <c r="H36" s="725">
        <v>3.6700000000000003E-2</v>
      </c>
      <c r="I36" s="725">
        <v>3.0499999999999999E-2</v>
      </c>
      <c r="J36" s="725">
        <v>1.6500000000000001E-2</v>
      </c>
      <c r="K36" s="725">
        <v>3.8699999999999998E-2</v>
      </c>
      <c r="L36" s="725">
        <v>1.5599999999999999E-2</v>
      </c>
      <c r="M36" s="231"/>
      <c r="N36" s="518"/>
    </row>
    <row r="37" spans="1:14">
      <c r="A37" s="571" t="s">
        <v>2046</v>
      </c>
      <c r="B37" s="966" t="s">
        <v>2624</v>
      </c>
      <c r="C37" s="725">
        <v>0</v>
      </c>
      <c r="D37" s="725">
        <v>1.66E-2</v>
      </c>
      <c r="E37" s="725">
        <v>2.5700000000000001E-2</v>
      </c>
      <c r="F37" s="725">
        <v>2.47E-2</v>
      </c>
      <c r="G37" s="725">
        <v>2.4400000000000002E-2</v>
      </c>
      <c r="H37" s="725">
        <v>3.6700000000000003E-2</v>
      </c>
      <c r="I37" s="725">
        <v>3.0499999999999999E-2</v>
      </c>
      <c r="J37" s="725">
        <v>1.6500000000000001E-2</v>
      </c>
      <c r="K37" s="725">
        <v>3.8699999999999998E-2</v>
      </c>
      <c r="L37" s="725">
        <v>1.5599999999999999E-2</v>
      </c>
      <c r="M37" s="231"/>
      <c r="N37" s="518"/>
    </row>
    <row r="38" spans="1:14">
      <c r="A38" s="571" t="s">
        <v>2047</v>
      </c>
      <c r="B38" s="966" t="s">
        <v>2625</v>
      </c>
      <c r="C38" s="725">
        <v>0</v>
      </c>
      <c r="D38" s="725">
        <v>1.66E-2</v>
      </c>
      <c r="E38" s="725">
        <v>2.5700000000000001E-2</v>
      </c>
      <c r="F38" s="725">
        <v>2.47E-2</v>
      </c>
      <c r="G38" s="725">
        <v>2.4400000000000002E-2</v>
      </c>
      <c r="H38" s="725">
        <v>3.6700000000000003E-2</v>
      </c>
      <c r="I38" s="725">
        <v>3.0499999999999999E-2</v>
      </c>
      <c r="J38" s="725">
        <v>1.6500000000000001E-2</v>
      </c>
      <c r="K38" s="725">
        <v>3.8699999999999998E-2</v>
      </c>
      <c r="L38" s="725">
        <v>1.5599999999999999E-2</v>
      </c>
      <c r="M38" s="231"/>
      <c r="N38" s="518"/>
    </row>
    <row r="39" spans="1:14">
      <c r="A39" s="571" t="s">
        <v>2048</v>
      </c>
      <c r="B39" s="966" t="s">
        <v>2626</v>
      </c>
      <c r="C39" s="725">
        <v>0</v>
      </c>
      <c r="D39" s="725">
        <v>1.66E-2</v>
      </c>
      <c r="E39" s="725">
        <v>2.5700000000000001E-2</v>
      </c>
      <c r="F39" s="725">
        <v>2.47E-2</v>
      </c>
      <c r="G39" s="725">
        <v>2.4400000000000002E-2</v>
      </c>
      <c r="H39" s="725">
        <v>3.6700000000000003E-2</v>
      </c>
      <c r="I39" s="725">
        <v>3.0499999999999999E-2</v>
      </c>
      <c r="J39" s="725">
        <v>1.6500000000000001E-2</v>
      </c>
      <c r="K39" s="725">
        <v>3.8699999999999998E-2</v>
      </c>
      <c r="L39" s="725">
        <v>1.5599999999999999E-2</v>
      </c>
      <c r="M39" s="231"/>
    </row>
    <row r="40" spans="1:14">
      <c r="A40" s="571" t="s">
        <v>2049</v>
      </c>
      <c r="B40" s="966" t="s">
        <v>2627</v>
      </c>
      <c r="C40" s="725">
        <v>0</v>
      </c>
      <c r="D40" s="725">
        <v>1.66E-2</v>
      </c>
      <c r="E40" s="725">
        <v>2.5700000000000001E-2</v>
      </c>
      <c r="F40" s="725">
        <v>2.47E-2</v>
      </c>
      <c r="G40" s="725">
        <v>2.4400000000000002E-2</v>
      </c>
      <c r="H40" s="725">
        <v>3.6700000000000003E-2</v>
      </c>
      <c r="I40" s="725">
        <v>3.0499999999999999E-2</v>
      </c>
      <c r="J40" s="725">
        <v>1.6500000000000001E-2</v>
      </c>
      <c r="K40" s="725">
        <v>3.8699999999999998E-2</v>
      </c>
      <c r="L40" s="725">
        <v>1.5599999999999999E-2</v>
      </c>
      <c r="M40" s="231"/>
    </row>
    <row r="41" spans="1:14">
      <c r="A41" s="571" t="s">
        <v>2050</v>
      </c>
      <c r="B41" s="966" t="s">
        <v>2628</v>
      </c>
      <c r="C41" s="725">
        <v>0</v>
      </c>
      <c r="D41" s="725">
        <v>1.66E-2</v>
      </c>
      <c r="E41" s="725">
        <v>2.5700000000000001E-2</v>
      </c>
      <c r="F41" s="725">
        <v>2.47E-2</v>
      </c>
      <c r="G41" s="725">
        <v>2.4400000000000002E-2</v>
      </c>
      <c r="H41" s="725">
        <v>3.6700000000000003E-2</v>
      </c>
      <c r="I41" s="725">
        <v>3.0499999999999999E-2</v>
      </c>
      <c r="J41" s="725">
        <v>1.6500000000000001E-2</v>
      </c>
      <c r="K41" s="725">
        <v>3.8699999999999998E-2</v>
      </c>
      <c r="L41" s="725">
        <v>1.5599999999999999E-2</v>
      </c>
      <c r="M41" s="231"/>
    </row>
    <row r="42" spans="1:14">
      <c r="A42" s="571">
        <v>18</v>
      </c>
      <c r="C42" s="367"/>
      <c r="D42" s="367"/>
      <c r="E42" s="367"/>
      <c r="F42" s="367"/>
      <c r="G42" s="367"/>
      <c r="H42" s="367"/>
      <c r="I42" s="367"/>
      <c r="J42" s="367"/>
      <c r="K42" s="367"/>
      <c r="L42" s="367"/>
      <c r="M42" s="231"/>
    </row>
    <row r="43" spans="1:14">
      <c r="A43" s="571">
        <f t="shared" si="0"/>
        <v>19</v>
      </c>
      <c r="B43" s="479" t="s">
        <v>975</v>
      </c>
      <c r="C43" s="241"/>
      <c r="D43" s="241"/>
      <c r="E43" s="241"/>
      <c r="F43" s="241"/>
      <c r="G43" s="518" t="s">
        <v>1706</v>
      </c>
      <c r="H43" s="241"/>
      <c r="I43" s="367"/>
      <c r="J43" s="367"/>
      <c r="K43" s="367"/>
      <c r="L43" s="367"/>
      <c r="M43" s="231"/>
    </row>
    <row r="44" spans="1:14">
      <c r="A44" s="571">
        <f t="shared" si="0"/>
        <v>20</v>
      </c>
      <c r="B44" s="240"/>
      <c r="C44" s="240"/>
      <c r="D44" s="240"/>
      <c r="E44" s="240"/>
      <c r="F44" s="240"/>
      <c r="G44" s="240"/>
      <c r="H44" s="240"/>
      <c r="I44" s="231"/>
      <c r="J44" s="231"/>
      <c r="K44" s="231"/>
      <c r="L44" s="231"/>
      <c r="M44" s="231"/>
    </row>
    <row r="45" spans="1:14">
      <c r="A45" s="571">
        <f t="shared" si="0"/>
        <v>21</v>
      </c>
      <c r="B45" s="111"/>
      <c r="C45" s="845" t="s">
        <v>12</v>
      </c>
      <c r="D45" s="240"/>
      <c r="E45" s="240"/>
      <c r="F45" s="240"/>
      <c r="G45" s="240"/>
      <c r="H45" s="240"/>
      <c r="I45" s="231"/>
      <c r="J45" s="231"/>
      <c r="K45" s="231"/>
      <c r="L45" s="231"/>
      <c r="M45" s="231"/>
    </row>
    <row r="46" spans="1:14">
      <c r="A46" s="571">
        <f t="shared" si="0"/>
        <v>22</v>
      </c>
      <c r="B46" s="111"/>
      <c r="C46" s="845" t="s">
        <v>972</v>
      </c>
      <c r="D46" s="240"/>
      <c r="E46" s="240"/>
      <c r="F46" s="240"/>
      <c r="G46" s="240"/>
      <c r="H46" s="240"/>
      <c r="I46" s="231"/>
      <c r="J46" s="231"/>
      <c r="K46" s="231"/>
      <c r="L46" s="231"/>
      <c r="M46" s="571" t="s">
        <v>192</v>
      </c>
    </row>
    <row r="47" spans="1:14">
      <c r="A47" s="571">
        <f t="shared" si="0"/>
        <v>23</v>
      </c>
      <c r="B47" s="125" t="s">
        <v>1771</v>
      </c>
      <c r="C47" s="359">
        <v>350.1</v>
      </c>
      <c r="D47" s="359">
        <v>350.2</v>
      </c>
      <c r="E47" s="359">
        <v>352</v>
      </c>
      <c r="F47" s="359">
        <v>353</v>
      </c>
      <c r="G47" s="359">
        <v>354</v>
      </c>
      <c r="H47" s="359">
        <v>355</v>
      </c>
      <c r="I47" s="359">
        <v>356</v>
      </c>
      <c r="J47" s="359">
        <v>357</v>
      </c>
      <c r="K47" s="359">
        <v>358</v>
      </c>
      <c r="L47" s="359">
        <v>359</v>
      </c>
      <c r="M47" s="125" t="s">
        <v>196</v>
      </c>
    </row>
    <row r="48" spans="1:14">
      <c r="A48" s="571">
        <f t="shared" si="0"/>
        <v>24</v>
      </c>
      <c r="B48" s="966" t="s">
        <v>2617</v>
      </c>
      <c r="C48" s="235">
        <f>C12*$C$30/12</f>
        <v>0</v>
      </c>
      <c r="D48" s="235">
        <f t="shared" ref="D48:D59" si="1">D12*$D30/12</f>
        <v>228702.24939958984</v>
      </c>
      <c r="E48" s="235">
        <f t="shared" ref="E48:E59" si="2">E12*$E30/12</f>
        <v>1138472.7581982927</v>
      </c>
      <c r="F48" s="235">
        <f t="shared" ref="F48:F59" si="3">F12*$F30/12</f>
        <v>6687886.1321742674</v>
      </c>
      <c r="G48" s="235">
        <f t="shared" ref="G48:G59" si="4">G12*$G30/12</f>
        <v>4542448.8387965197</v>
      </c>
      <c r="H48" s="235">
        <f t="shared" ref="H48:H59" si="5">H12*$H30/12</f>
        <v>991689.74679432239</v>
      </c>
      <c r="I48" s="235">
        <f t="shared" ref="I48:I59" si="6">I12*$I30/12</f>
        <v>3141255.4677464361</v>
      </c>
      <c r="J48" s="235">
        <f t="shared" ref="J48:J59" si="7">J12*$J30/12</f>
        <v>255073.77020730244</v>
      </c>
      <c r="K48" s="235">
        <f t="shared" ref="K48:K59" si="8">K12*$K30/12</f>
        <v>264292.2070505388</v>
      </c>
      <c r="L48" s="235">
        <f t="shared" ref="L48:L59" si="9">L12*$L30/12</f>
        <v>236635.21123455852</v>
      </c>
      <c r="M48" s="233">
        <f>SUM(C48:L48)</f>
        <v>17486456.381601829</v>
      </c>
    </row>
    <row r="49" spans="1:13">
      <c r="A49" s="571">
        <f t="shared" si="0"/>
        <v>25</v>
      </c>
      <c r="B49" s="966" t="s">
        <v>2618</v>
      </c>
      <c r="C49" s="235">
        <f>C13*$C$31/12</f>
        <v>0</v>
      </c>
      <c r="D49" s="235">
        <f t="shared" si="1"/>
        <v>228707.04949708984</v>
      </c>
      <c r="E49" s="235">
        <f t="shared" si="2"/>
        <v>1132629.1609729489</v>
      </c>
      <c r="F49" s="235">
        <f t="shared" si="3"/>
        <v>6689659.9672608264</v>
      </c>
      <c r="G49" s="235">
        <f t="shared" si="4"/>
        <v>4536368.7292893995</v>
      </c>
      <c r="H49" s="235">
        <f t="shared" si="5"/>
        <v>1026680.9508570669</v>
      </c>
      <c r="I49" s="235">
        <f t="shared" si="6"/>
        <v>3132768.1452690824</v>
      </c>
      <c r="J49" s="235">
        <f t="shared" si="7"/>
        <v>255278.03738339455</v>
      </c>
      <c r="K49" s="235">
        <f t="shared" si="8"/>
        <v>264443.29299562506</v>
      </c>
      <c r="L49" s="235">
        <f t="shared" si="9"/>
        <v>208163.75808582176</v>
      </c>
      <c r="M49" s="233">
        <f t="shared" ref="M49:M59" si="10">SUM(C49:L49)</f>
        <v>17474699.091611255</v>
      </c>
    </row>
    <row r="50" spans="1:13">
      <c r="A50" s="571">
        <f t="shared" si="0"/>
        <v>26</v>
      </c>
      <c r="B50" s="966" t="s">
        <v>2619</v>
      </c>
      <c r="C50" s="235">
        <f>C14*$C$32/12</f>
        <v>0</v>
      </c>
      <c r="D50" s="235">
        <f t="shared" si="1"/>
        <v>229334.62482258983</v>
      </c>
      <c r="E50" s="235">
        <f t="shared" si="2"/>
        <v>1145539.8450665232</v>
      </c>
      <c r="F50" s="235">
        <f t="shared" si="3"/>
        <v>6703280.2100742534</v>
      </c>
      <c r="G50" s="235">
        <f t="shared" si="4"/>
        <v>4500032.9970045341</v>
      </c>
      <c r="H50" s="235">
        <f t="shared" si="5"/>
        <v>1039729.0849443338</v>
      </c>
      <c r="I50" s="235">
        <f t="shared" si="6"/>
        <v>3139036.8550647162</v>
      </c>
      <c r="J50" s="235">
        <f t="shared" si="7"/>
        <v>255913.89188071841</v>
      </c>
      <c r="K50" s="235">
        <f t="shared" si="8"/>
        <v>266950.74343646801</v>
      </c>
      <c r="L50" s="235">
        <f t="shared" si="9"/>
        <v>210222.62916167302</v>
      </c>
      <c r="M50" s="233">
        <f t="shared" si="10"/>
        <v>17490040.881455809</v>
      </c>
    </row>
    <row r="51" spans="1:13">
      <c r="A51" s="571">
        <f t="shared" si="0"/>
        <v>27</v>
      </c>
      <c r="B51" s="966" t="s">
        <v>2620</v>
      </c>
      <c r="C51" s="235">
        <f>C15*$C$33/12</f>
        <v>0</v>
      </c>
      <c r="D51" s="235">
        <f t="shared" si="1"/>
        <v>229265.16350473664</v>
      </c>
      <c r="E51" s="235">
        <f t="shared" si="2"/>
        <v>1141094.8929101534</v>
      </c>
      <c r="F51" s="235">
        <f t="shared" si="3"/>
        <v>6710402.5649881409</v>
      </c>
      <c r="G51" s="235">
        <f t="shared" si="4"/>
        <v>4526042.2601318136</v>
      </c>
      <c r="H51" s="235">
        <f t="shared" si="5"/>
        <v>1048214.7371821963</v>
      </c>
      <c r="I51" s="235">
        <f t="shared" si="6"/>
        <v>3154661.3217400517</v>
      </c>
      <c r="J51" s="235">
        <f t="shared" si="7"/>
        <v>256246.89275058379</v>
      </c>
      <c r="K51" s="235">
        <f t="shared" si="8"/>
        <v>269144.4741245826</v>
      </c>
      <c r="L51" s="235">
        <f t="shared" si="9"/>
        <v>209889.84708663422</v>
      </c>
      <c r="M51" s="233">
        <f t="shared" si="10"/>
        <v>17544962.154418893</v>
      </c>
    </row>
    <row r="52" spans="1:13">
      <c r="A52" s="571">
        <f t="shared" si="0"/>
        <v>28</v>
      </c>
      <c r="B52" s="966" t="s">
        <v>2621</v>
      </c>
      <c r="C52" s="235">
        <f>C16*$C$34/12</f>
        <v>0</v>
      </c>
      <c r="D52" s="235">
        <f t="shared" si="1"/>
        <v>229265.95974796565</v>
      </c>
      <c r="E52" s="235">
        <f t="shared" si="2"/>
        <v>1157229.2043108623</v>
      </c>
      <c r="F52" s="235">
        <f t="shared" si="3"/>
        <v>6773145.3507203935</v>
      </c>
      <c r="G52" s="235">
        <f t="shared" si="4"/>
        <v>4579025.9282058543</v>
      </c>
      <c r="H52" s="235">
        <f t="shared" si="5"/>
        <v>1053896.5863405464</v>
      </c>
      <c r="I52" s="235">
        <f t="shared" si="6"/>
        <v>3162506.9963963837</v>
      </c>
      <c r="J52" s="235">
        <f t="shared" si="7"/>
        <v>256590.89686753319</v>
      </c>
      <c r="K52" s="235">
        <f t="shared" si="8"/>
        <v>269419.54522262246</v>
      </c>
      <c r="L52" s="235">
        <f t="shared" si="9"/>
        <v>210080.2055584249</v>
      </c>
      <c r="M52" s="233">
        <f t="shared" si="10"/>
        <v>17691160.673370589</v>
      </c>
    </row>
    <row r="53" spans="1:13">
      <c r="A53" s="571">
        <f t="shared" si="0"/>
        <v>29</v>
      </c>
      <c r="B53" s="966" t="s">
        <v>2622</v>
      </c>
      <c r="C53" s="235">
        <f>C17*$C$35/12</f>
        <v>0</v>
      </c>
      <c r="D53" s="235">
        <f t="shared" si="1"/>
        <v>229224.35185588259</v>
      </c>
      <c r="E53" s="235">
        <f t="shared" si="2"/>
        <v>1175277.0568647161</v>
      </c>
      <c r="F53" s="235">
        <f t="shared" si="3"/>
        <v>6798799.6305513903</v>
      </c>
      <c r="G53" s="235">
        <f t="shared" si="4"/>
        <v>4591426.7081247242</v>
      </c>
      <c r="H53" s="235">
        <f t="shared" si="5"/>
        <v>1056252.5377650557</v>
      </c>
      <c r="I53" s="235">
        <f t="shared" si="6"/>
        <v>3157961.1764431465</v>
      </c>
      <c r="J53" s="235">
        <f t="shared" si="7"/>
        <v>257286.61617498402</v>
      </c>
      <c r="K53" s="235">
        <f t="shared" si="8"/>
        <v>269989.54541570711</v>
      </c>
      <c r="L53" s="235">
        <f t="shared" si="9"/>
        <v>218854.00122876631</v>
      </c>
      <c r="M53" s="233">
        <f t="shared" si="10"/>
        <v>17755071.624424372</v>
      </c>
    </row>
    <row r="54" spans="1:13">
      <c r="A54" s="571">
        <f t="shared" si="0"/>
        <v>30</v>
      </c>
      <c r="B54" s="966" t="s">
        <v>2623</v>
      </c>
      <c r="C54" s="235">
        <f>C18*$C$36/12</f>
        <v>0</v>
      </c>
      <c r="D54" s="235">
        <f t="shared" si="1"/>
        <v>228989.37542073484</v>
      </c>
      <c r="E54" s="235">
        <f t="shared" si="2"/>
        <v>1182288.3861653234</v>
      </c>
      <c r="F54" s="235">
        <f t="shared" si="3"/>
        <v>6821130.5133935893</v>
      </c>
      <c r="G54" s="235">
        <f t="shared" si="4"/>
        <v>4598079.5908574276</v>
      </c>
      <c r="H54" s="235">
        <f t="shared" si="5"/>
        <v>1062396.2910712641</v>
      </c>
      <c r="I54" s="235">
        <f t="shared" si="6"/>
        <v>3163876.1143896766</v>
      </c>
      <c r="J54" s="235">
        <f t="shared" si="7"/>
        <v>259175.95904158964</v>
      </c>
      <c r="K54" s="235">
        <f t="shared" si="8"/>
        <v>271514.49824552354</v>
      </c>
      <c r="L54" s="235">
        <f t="shared" si="9"/>
        <v>218148.28765458963</v>
      </c>
      <c r="M54" s="233">
        <f t="shared" si="10"/>
        <v>17805599.016239714</v>
      </c>
    </row>
    <row r="55" spans="1:13">
      <c r="A55" s="571">
        <f t="shared" si="0"/>
        <v>31</v>
      </c>
      <c r="B55" s="966" t="s">
        <v>2624</v>
      </c>
      <c r="C55" s="235">
        <f>C19*$C$37/12</f>
        <v>0</v>
      </c>
      <c r="D55" s="235">
        <f t="shared" si="1"/>
        <v>228526.21654485224</v>
      </c>
      <c r="E55" s="235">
        <f t="shared" si="2"/>
        <v>1186712.5960257836</v>
      </c>
      <c r="F55" s="235">
        <f t="shared" si="3"/>
        <v>6836845.7020004503</v>
      </c>
      <c r="G55" s="235">
        <f t="shared" si="4"/>
        <v>4602782.1815234842</v>
      </c>
      <c r="H55" s="235">
        <f t="shared" si="5"/>
        <v>1070751.5070586291</v>
      </c>
      <c r="I55" s="235">
        <f t="shared" si="6"/>
        <v>3161934.7860772423</v>
      </c>
      <c r="J55" s="235">
        <f t="shared" si="7"/>
        <v>259358.98738024887</v>
      </c>
      <c r="K55" s="235">
        <f t="shared" si="8"/>
        <v>271728.98517404043</v>
      </c>
      <c r="L55" s="235">
        <f t="shared" si="9"/>
        <v>218191.93535412525</v>
      </c>
      <c r="M55" s="233">
        <f t="shared" si="10"/>
        <v>17836832.897138853</v>
      </c>
    </row>
    <row r="56" spans="1:13">
      <c r="A56" s="571">
        <f t="shared" si="0"/>
        <v>32</v>
      </c>
      <c r="B56" s="966" t="s">
        <v>2625</v>
      </c>
      <c r="C56" s="235">
        <f>C20*$C$38/12</f>
        <v>0</v>
      </c>
      <c r="D56" s="235">
        <f t="shared" si="1"/>
        <v>227873.92476073685</v>
      </c>
      <c r="E56" s="235">
        <f t="shared" si="2"/>
        <v>1195679.3106650852</v>
      </c>
      <c r="F56" s="235">
        <f t="shared" si="3"/>
        <v>6897061.5401857262</v>
      </c>
      <c r="G56" s="235">
        <f t="shared" si="4"/>
        <v>4605668.7592364391</v>
      </c>
      <c r="H56" s="235">
        <f t="shared" si="5"/>
        <v>1072796.5929769536</v>
      </c>
      <c r="I56" s="235">
        <f t="shared" si="6"/>
        <v>3167178.6626897678</v>
      </c>
      <c r="J56" s="235">
        <f t="shared" si="7"/>
        <v>259823.95450453818</v>
      </c>
      <c r="K56" s="235">
        <f t="shared" si="8"/>
        <v>272137.29042281414</v>
      </c>
      <c r="L56" s="235">
        <f t="shared" si="9"/>
        <v>218652.95238751193</v>
      </c>
      <c r="M56" s="233">
        <f t="shared" si="10"/>
        <v>17916872.987829573</v>
      </c>
    </row>
    <row r="57" spans="1:13">
      <c r="A57" s="571">
        <f t="shared" si="0"/>
        <v>33</v>
      </c>
      <c r="B57" s="966" t="s">
        <v>2626</v>
      </c>
      <c r="C57" s="235">
        <f>C21*$C$39/12</f>
        <v>0</v>
      </c>
      <c r="D57" s="235">
        <f t="shared" si="1"/>
        <v>227848.16928800082</v>
      </c>
      <c r="E57" s="235">
        <f t="shared" si="2"/>
        <v>1199517.3886654619</v>
      </c>
      <c r="F57" s="235">
        <f t="shared" si="3"/>
        <v>6903917.148293213</v>
      </c>
      <c r="G57" s="235">
        <f t="shared" si="4"/>
        <v>4601469.6159662101</v>
      </c>
      <c r="H57" s="235">
        <f t="shared" si="5"/>
        <v>1083182.3536128581</v>
      </c>
      <c r="I57" s="235">
        <f t="shared" si="6"/>
        <v>3171523.0222935327</v>
      </c>
      <c r="J57" s="235">
        <f t="shared" si="7"/>
        <v>260273.93688570635</v>
      </c>
      <c r="K57" s="235">
        <f t="shared" si="8"/>
        <v>272467.33086480148</v>
      </c>
      <c r="L57" s="235">
        <f t="shared" si="9"/>
        <v>219450.74089009117</v>
      </c>
      <c r="M57" s="233">
        <f t="shared" si="10"/>
        <v>17939649.706759878</v>
      </c>
    </row>
    <row r="58" spans="1:13">
      <c r="A58" s="571">
        <f t="shared" si="0"/>
        <v>34</v>
      </c>
      <c r="B58" s="966" t="s">
        <v>2627</v>
      </c>
      <c r="C58" s="235">
        <f>C22*$C$40/12</f>
        <v>0</v>
      </c>
      <c r="D58" s="235">
        <f t="shared" si="1"/>
        <v>227847.17112579473</v>
      </c>
      <c r="E58" s="235">
        <f t="shared" si="2"/>
        <v>1194386.8643135231</v>
      </c>
      <c r="F58" s="235">
        <f t="shared" si="3"/>
        <v>6870312.965239238</v>
      </c>
      <c r="G58" s="235">
        <f t="shared" si="4"/>
        <v>4609567.6135527389</v>
      </c>
      <c r="H58" s="235">
        <f t="shared" si="5"/>
        <v>1092920.5901654663</v>
      </c>
      <c r="I58" s="235">
        <f t="shared" si="6"/>
        <v>3170310.7097620345</v>
      </c>
      <c r="J58" s="235">
        <f t="shared" si="7"/>
        <v>261164.56309243815</v>
      </c>
      <c r="K58" s="235">
        <f t="shared" si="8"/>
        <v>273506.87246242358</v>
      </c>
      <c r="L58" s="235">
        <f t="shared" si="9"/>
        <v>219712.55786691164</v>
      </c>
      <c r="M58" s="233">
        <f t="shared" si="10"/>
        <v>17919729.907580569</v>
      </c>
    </row>
    <row r="59" spans="1:13">
      <c r="A59" s="571">
        <f t="shared" si="0"/>
        <v>35</v>
      </c>
      <c r="B59" s="966" t="s">
        <v>2628</v>
      </c>
      <c r="C59" s="235">
        <f>C23*$C$41/12</f>
        <v>0</v>
      </c>
      <c r="D59" s="235">
        <f t="shared" si="1"/>
        <v>228122.6734354333</v>
      </c>
      <c r="E59" s="235">
        <f t="shared" si="2"/>
        <v>1197812.4258803169</v>
      </c>
      <c r="F59" s="235">
        <f t="shared" si="3"/>
        <v>6874844.1372303963</v>
      </c>
      <c r="G59" s="235">
        <f t="shared" si="4"/>
        <v>4613125.2199372388</v>
      </c>
      <c r="H59" s="235">
        <f t="shared" si="5"/>
        <v>1108479.3403692141</v>
      </c>
      <c r="I59" s="235">
        <f t="shared" si="6"/>
        <v>3163795.8454845487</v>
      </c>
      <c r="J59" s="235">
        <f t="shared" si="7"/>
        <v>261398.21941685968</v>
      </c>
      <c r="K59" s="235">
        <f t="shared" si="8"/>
        <v>273640.89580641326</v>
      </c>
      <c r="L59" s="235">
        <f t="shared" si="9"/>
        <v>222501.06199088154</v>
      </c>
      <c r="M59" s="91">
        <f t="shared" si="10"/>
        <v>17943719.819551304</v>
      </c>
    </row>
    <row r="60" spans="1:13">
      <c r="A60" s="571">
        <f t="shared" si="0"/>
        <v>36</v>
      </c>
      <c r="B60" s="232" t="s">
        <v>197</v>
      </c>
      <c r="C60" s="233">
        <f>SUM(C48:C59)</f>
        <v>0</v>
      </c>
      <c r="D60" s="233">
        <f t="shared" ref="D60:K60" si="11">SUM(D48:D59)</f>
        <v>2743706.929403407</v>
      </c>
      <c r="E60" s="233">
        <f t="shared" si="11"/>
        <v>14046639.890038989</v>
      </c>
      <c r="F60" s="233">
        <f t="shared" si="11"/>
        <v>81567285.862111896</v>
      </c>
      <c r="G60" s="233">
        <f t="shared" si="11"/>
        <v>54906038.442626387</v>
      </c>
      <c r="H60" s="233">
        <f>SUM(H48:H59)</f>
        <v>12706990.319137907</v>
      </c>
      <c r="I60" s="233">
        <f t="shared" si="11"/>
        <v>37886809.103356615</v>
      </c>
      <c r="J60" s="233">
        <f t="shared" si="11"/>
        <v>3097585.725585897</v>
      </c>
      <c r="K60" s="233">
        <f t="shared" si="11"/>
        <v>3239235.6812215601</v>
      </c>
      <c r="L60" s="233">
        <f>SUM(L48:L59)</f>
        <v>2610503.1884999899</v>
      </c>
      <c r="M60" s="7"/>
    </row>
    <row r="61" spans="1:13">
      <c r="A61" s="571">
        <f t="shared" si="0"/>
        <v>37</v>
      </c>
      <c r="B61" s="231"/>
      <c r="C61" s="231"/>
      <c r="D61" s="231"/>
      <c r="E61" s="231"/>
      <c r="F61" s="231"/>
      <c r="G61" s="231"/>
      <c r="H61" s="231"/>
      <c r="I61" s="231"/>
      <c r="J61" s="231"/>
      <c r="K61" s="231"/>
      <c r="L61" s="475" t="s">
        <v>977</v>
      </c>
      <c r="M61" s="233">
        <f>SUM(M48:M59)</f>
        <v>212804795.14198261</v>
      </c>
    </row>
    <row r="62" spans="1:13">
      <c r="A62" s="571">
        <f t="shared" si="0"/>
        <v>38</v>
      </c>
      <c r="B62" s="231"/>
      <c r="C62" s="231"/>
      <c r="D62" s="231"/>
      <c r="E62" s="231"/>
      <c r="F62" s="231"/>
      <c r="G62" s="231"/>
      <c r="H62" s="231"/>
      <c r="I62" s="231"/>
      <c r="J62" s="231"/>
      <c r="K62" s="231"/>
      <c r="L62" s="726" t="s">
        <v>978</v>
      </c>
      <c r="M62" s="231"/>
    </row>
    <row r="63" spans="1:13">
      <c r="A63" s="571">
        <f t="shared" si="0"/>
        <v>39</v>
      </c>
      <c r="B63" s="1" t="s">
        <v>1014</v>
      </c>
      <c r="C63" s="231"/>
      <c r="D63" s="231"/>
      <c r="E63" s="231"/>
      <c r="F63" s="231"/>
      <c r="G63" s="231"/>
      <c r="H63" s="231"/>
      <c r="I63" s="231"/>
      <c r="J63" s="231"/>
      <c r="K63" s="231"/>
      <c r="L63" s="231"/>
      <c r="M63" s="231"/>
    </row>
    <row r="64" spans="1:13">
      <c r="A64" s="571">
        <f t="shared" si="0"/>
        <v>40</v>
      </c>
      <c r="B64" s="231"/>
      <c r="C64" s="231"/>
      <c r="D64" s="231"/>
      <c r="E64" s="231"/>
      <c r="F64" s="231"/>
      <c r="G64" s="231"/>
      <c r="H64" s="231"/>
      <c r="I64" s="231"/>
      <c r="J64" s="231"/>
      <c r="K64" s="231"/>
      <c r="L64" s="231"/>
      <c r="M64" s="231"/>
    </row>
    <row r="65" spans="1:13">
      <c r="A65" s="571">
        <f t="shared" si="0"/>
        <v>41</v>
      </c>
      <c r="B65" s="231"/>
      <c r="C65" s="231"/>
      <c r="D65" s="84">
        <v>360</v>
      </c>
      <c r="E65" s="84">
        <v>361</v>
      </c>
      <c r="F65" s="84">
        <v>362</v>
      </c>
      <c r="G65" s="231"/>
      <c r="H65" s="51" t="s">
        <v>179</v>
      </c>
      <c r="I65" s="3"/>
      <c r="J65" s="231"/>
      <c r="K65" s="231"/>
      <c r="L65" s="231"/>
      <c r="M65" s="231"/>
    </row>
    <row r="66" spans="1:13">
      <c r="A66" s="571">
        <f t="shared" si="0"/>
        <v>42</v>
      </c>
      <c r="B66" s="477" t="s">
        <v>1015</v>
      </c>
      <c r="C66" s="231"/>
      <c r="D66" s="235">
        <f>'6-PlantInService'!C34</f>
        <v>0</v>
      </c>
      <c r="E66" s="235">
        <f>'6-PlantInService'!D34</f>
        <v>0</v>
      </c>
      <c r="F66" s="235">
        <f>'6-PlantInService'!E34</f>
        <v>0</v>
      </c>
      <c r="G66" s="240"/>
      <c r="H66" s="479" t="s">
        <v>2226</v>
      </c>
      <c r="I66" s="476"/>
      <c r="J66" s="231"/>
      <c r="K66" s="231"/>
      <c r="L66" s="231"/>
      <c r="M66" s="231"/>
    </row>
    <row r="67" spans="1:13">
      <c r="A67" s="571">
        <f t="shared" si="0"/>
        <v>43</v>
      </c>
      <c r="B67" s="477" t="s">
        <v>1016</v>
      </c>
      <c r="C67" s="231"/>
      <c r="D67" s="459">
        <f>'6-PlantInService'!C35</f>
        <v>0</v>
      </c>
      <c r="E67" s="459">
        <f>'6-PlantInService'!D35</f>
        <v>0</v>
      </c>
      <c r="F67" s="459">
        <f>'6-PlantInService'!E35</f>
        <v>0</v>
      </c>
      <c r="G67" s="240"/>
      <c r="H67" s="479" t="s">
        <v>2227</v>
      </c>
      <c r="I67" s="240"/>
      <c r="J67" s="231"/>
      <c r="K67" s="231"/>
      <c r="M67" s="231"/>
    </row>
    <row r="68" spans="1:13">
      <c r="A68" s="571">
        <f t="shared" si="0"/>
        <v>44</v>
      </c>
      <c r="B68" s="477" t="s">
        <v>1017</v>
      </c>
      <c r="C68" s="231"/>
      <c r="D68" s="235">
        <f>AVERAGE(D66:D67)</f>
        <v>0</v>
      </c>
      <c r="E68" s="235">
        <f>AVERAGE(E66:E67)</f>
        <v>0</v>
      </c>
      <c r="F68" s="235">
        <f>AVERAGE(F66:F67)</f>
        <v>0</v>
      </c>
      <c r="G68" s="240"/>
      <c r="H68" s="909"/>
      <c r="I68" s="481"/>
      <c r="J68" s="231"/>
      <c r="K68" s="231"/>
      <c r="M68" s="231"/>
    </row>
    <row r="69" spans="1:13">
      <c r="A69" s="571">
        <f t="shared" si="0"/>
        <v>45</v>
      </c>
      <c r="D69" s="14"/>
      <c r="E69" s="14"/>
      <c r="F69" s="14"/>
      <c r="G69" s="14"/>
      <c r="H69" s="14"/>
      <c r="J69" s="231"/>
      <c r="K69" s="231"/>
      <c r="M69" s="231"/>
    </row>
    <row r="70" spans="1:13">
      <c r="A70" s="571">
        <f t="shared" si="0"/>
        <v>46</v>
      </c>
      <c r="B70" s="634" t="s">
        <v>1789</v>
      </c>
      <c r="C70" s="231"/>
      <c r="D70" s="240"/>
      <c r="E70" s="240"/>
      <c r="F70" s="14"/>
      <c r="G70" s="14"/>
      <c r="H70" s="14"/>
      <c r="J70" s="240"/>
      <c r="K70" s="240"/>
      <c r="L70" s="235"/>
      <c r="M70" s="231"/>
    </row>
    <row r="71" spans="1:13">
      <c r="A71" s="571">
        <f t="shared" si="0"/>
        <v>47</v>
      </c>
      <c r="B71" s="231"/>
      <c r="D71" s="359">
        <v>360</v>
      </c>
      <c r="E71" s="359">
        <v>361</v>
      </c>
      <c r="F71" s="359">
        <v>362</v>
      </c>
      <c r="G71" s="14"/>
      <c r="H71" s="14"/>
      <c r="J71" s="240"/>
      <c r="K71" s="240"/>
      <c r="L71" s="235"/>
      <c r="M71" s="231"/>
    </row>
    <row r="72" spans="1:13">
      <c r="A72" s="571">
        <f t="shared" si="0"/>
        <v>48</v>
      </c>
      <c r="D72" s="241">
        <f>'18-DepRates'!$G20</f>
        <v>1.67E-2</v>
      </c>
      <c r="E72" s="241">
        <f>'18-DepRates'!$G21</f>
        <v>2.3900000000000001E-2</v>
      </c>
      <c r="F72" s="241">
        <f>'18-DepRates'!$G22</f>
        <v>2.01E-2</v>
      </c>
      <c r="G72" s="14"/>
      <c r="H72" s="14"/>
      <c r="J72" s="240"/>
      <c r="K72" s="240"/>
      <c r="L72" s="235"/>
      <c r="M72" s="231"/>
    </row>
    <row r="73" spans="1:13">
      <c r="A73" s="571">
        <f t="shared" si="0"/>
        <v>49</v>
      </c>
      <c r="D73" s="14"/>
      <c r="E73" s="14"/>
      <c r="F73" s="14"/>
      <c r="G73" s="14"/>
      <c r="H73" s="14"/>
      <c r="J73" s="240"/>
      <c r="K73" s="240"/>
      <c r="L73" s="112"/>
      <c r="M73" s="231"/>
    </row>
    <row r="74" spans="1:13">
      <c r="A74" s="571">
        <f t="shared" si="0"/>
        <v>50</v>
      </c>
      <c r="B74" t="s">
        <v>363</v>
      </c>
      <c r="D74" s="14"/>
      <c r="E74" s="14"/>
      <c r="F74" s="479" t="s">
        <v>1707</v>
      </c>
      <c r="G74" s="14"/>
      <c r="H74" s="14"/>
      <c r="J74" s="240"/>
      <c r="K74" s="240"/>
      <c r="L74" s="241"/>
      <c r="M74" s="231"/>
    </row>
    <row r="75" spans="1:13">
      <c r="A75" s="571">
        <f t="shared" si="0"/>
        <v>51</v>
      </c>
      <c r="J75" s="240"/>
      <c r="K75" s="240"/>
      <c r="L75" s="241"/>
      <c r="M75" s="231"/>
    </row>
    <row r="76" spans="1:13">
      <c r="A76" s="571">
        <f t="shared" si="0"/>
        <v>52</v>
      </c>
      <c r="D76" s="84">
        <v>360</v>
      </c>
      <c r="E76" s="84">
        <v>361</v>
      </c>
      <c r="F76" s="84">
        <v>362</v>
      </c>
      <c r="G76" s="369" t="s">
        <v>196</v>
      </c>
      <c r="J76" s="240"/>
      <c r="K76" s="240"/>
      <c r="L76" s="241"/>
      <c r="M76" s="231"/>
    </row>
    <row r="77" spans="1:13">
      <c r="A77" s="571">
        <f t="shared" ref="A77:A90" si="12">A76+1</f>
        <v>53</v>
      </c>
      <c r="D77" s="7">
        <f xml:space="preserve"> D68*D72</f>
        <v>0</v>
      </c>
      <c r="E77" s="7">
        <f xml:space="preserve"> E68*E72</f>
        <v>0</v>
      </c>
      <c r="F77" s="7">
        <f xml:space="preserve"> F68*F72</f>
        <v>0</v>
      </c>
      <c r="G77" s="7">
        <f>SUM(D77:F77)</f>
        <v>0</v>
      </c>
      <c r="H77" s="16" t="s">
        <v>1018</v>
      </c>
      <c r="J77" s="240"/>
      <c r="K77" s="240"/>
      <c r="L77" s="235"/>
      <c r="M77" s="231"/>
    </row>
    <row r="78" spans="1:13">
      <c r="A78" s="571">
        <f t="shared" si="12"/>
        <v>54</v>
      </c>
      <c r="H78" s="16" t="s">
        <v>1019</v>
      </c>
      <c r="J78" s="240"/>
      <c r="K78" s="240"/>
      <c r="L78" s="240"/>
      <c r="M78" s="231"/>
    </row>
    <row r="79" spans="1:13">
      <c r="A79" s="571">
        <f t="shared" si="12"/>
        <v>55</v>
      </c>
      <c r="J79" s="240"/>
      <c r="K79" s="240"/>
      <c r="L79" s="240"/>
      <c r="M79" s="231"/>
    </row>
    <row r="80" spans="1:13">
      <c r="A80" s="571">
        <f t="shared" si="12"/>
        <v>56</v>
      </c>
      <c r="B80" s="1" t="s">
        <v>1020</v>
      </c>
      <c r="J80" s="240"/>
      <c r="K80" s="240"/>
      <c r="L80" s="240"/>
      <c r="M80" s="231"/>
    </row>
    <row r="81" spans="1:13">
      <c r="A81" s="571">
        <f t="shared" si="12"/>
        <v>57</v>
      </c>
      <c r="B81" s="231"/>
      <c r="C81" s="231"/>
      <c r="D81" s="231"/>
      <c r="E81" s="231"/>
      <c r="F81" s="231"/>
      <c r="G81" s="231"/>
      <c r="H81" s="231"/>
      <c r="I81" s="231"/>
      <c r="J81" s="231"/>
      <c r="K81" s="231"/>
      <c r="L81" s="231"/>
      <c r="M81" s="231"/>
    </row>
    <row r="82" spans="1:13">
      <c r="A82" s="571">
        <f t="shared" si="12"/>
        <v>58</v>
      </c>
      <c r="B82" s="551" t="s">
        <v>979</v>
      </c>
      <c r="C82" s="231"/>
      <c r="D82" s="231"/>
      <c r="E82" s="231"/>
      <c r="F82" s="231"/>
      <c r="G82" s="231"/>
      <c r="H82" s="370">
        <v>236723303</v>
      </c>
      <c r="I82" s="481" t="s">
        <v>981</v>
      </c>
      <c r="J82" s="231"/>
      <c r="K82" s="231"/>
      <c r="L82" s="231"/>
      <c r="M82" s="231"/>
    </row>
    <row r="83" spans="1:13">
      <c r="A83" s="571">
        <f t="shared" si="12"/>
        <v>59</v>
      </c>
      <c r="B83" s="477" t="s">
        <v>980</v>
      </c>
      <c r="C83" s="231"/>
      <c r="D83" s="231"/>
      <c r="E83" s="231"/>
      <c r="F83" s="231"/>
      <c r="G83" s="231"/>
      <c r="H83" s="100">
        <v>238988799</v>
      </c>
      <c r="I83" s="481" t="s">
        <v>982</v>
      </c>
      <c r="J83" s="231"/>
      <c r="K83" s="231"/>
      <c r="L83" s="231"/>
      <c r="M83" s="231"/>
    </row>
    <row r="84" spans="1:13">
      <c r="A84" s="571">
        <f t="shared" si="12"/>
        <v>60</v>
      </c>
      <c r="B84" s="551" t="s">
        <v>983</v>
      </c>
      <c r="C84" s="231"/>
      <c r="D84" s="231"/>
      <c r="E84" s="231"/>
      <c r="F84" s="231"/>
      <c r="G84" s="231"/>
      <c r="H84" s="233">
        <f>SUM(H82:H83)</f>
        <v>475712102</v>
      </c>
      <c r="I84" s="476" t="str">
        <f>"Line "&amp;A82&amp;" + Line "&amp;A83&amp;""</f>
        <v>Line 58 + Line 59</v>
      </c>
      <c r="J84" s="240"/>
      <c r="K84" s="231"/>
      <c r="L84" s="231"/>
      <c r="M84" s="231"/>
    </row>
    <row r="85" spans="1:13">
      <c r="A85" s="571">
        <f t="shared" si="12"/>
        <v>61</v>
      </c>
      <c r="B85" s="551" t="s">
        <v>93</v>
      </c>
      <c r="C85" s="231"/>
      <c r="D85" s="231"/>
      <c r="E85" s="231"/>
      <c r="F85" s="231"/>
      <c r="G85" s="231"/>
      <c r="H85" s="247">
        <f>'27-Allocators'!G14</f>
        <v>6.0143362776597958E-2</v>
      </c>
      <c r="I85" s="114" t="str">
        <f>"27-Allocators, Line "&amp;'27-Allocators'!A14&amp;""</f>
        <v>27-Allocators, Line 9</v>
      </c>
      <c r="J85" s="240"/>
      <c r="K85" s="231"/>
      <c r="L85" s="231"/>
      <c r="M85" s="231"/>
    </row>
    <row r="86" spans="1:13">
      <c r="A86" s="571">
        <f t="shared" si="12"/>
        <v>62</v>
      </c>
      <c r="B86" s="551" t="s">
        <v>984</v>
      </c>
      <c r="C86" s="231"/>
      <c r="D86" s="231"/>
      <c r="E86" s="231"/>
      <c r="F86" s="231"/>
      <c r="G86" s="231"/>
      <c r="H86" s="233">
        <f>H84*H85</f>
        <v>28610925.527803972</v>
      </c>
      <c r="I86" s="476" t="str">
        <f>"Line "&amp;A84&amp;" * Line "&amp;A85&amp;""</f>
        <v>Line 60 * Line 61</v>
      </c>
      <c r="J86" s="240"/>
      <c r="K86" s="231"/>
      <c r="L86" s="231"/>
      <c r="M86" s="231"/>
    </row>
    <row r="87" spans="1:13">
      <c r="A87" s="571">
        <f t="shared" si="12"/>
        <v>63</v>
      </c>
      <c r="B87" s="551"/>
      <c r="C87" s="477"/>
      <c r="D87" s="231"/>
      <c r="E87" s="231"/>
      <c r="F87" s="231"/>
      <c r="G87" s="231"/>
      <c r="H87" s="231"/>
      <c r="I87" s="231"/>
      <c r="J87" s="231"/>
      <c r="K87" s="231"/>
      <c r="L87" s="231"/>
      <c r="M87" s="231"/>
    </row>
    <row r="88" spans="1:13">
      <c r="A88" s="571">
        <f t="shared" si="12"/>
        <v>64</v>
      </c>
      <c r="B88" s="83" t="s">
        <v>1676</v>
      </c>
      <c r="C88" s="231"/>
      <c r="D88" s="231"/>
      <c r="E88" s="231"/>
      <c r="F88" s="231"/>
      <c r="G88" s="231"/>
      <c r="H88" s="231"/>
      <c r="I88" s="231"/>
      <c r="J88" s="231"/>
      <c r="K88" s="231"/>
      <c r="L88" s="231"/>
      <c r="M88" s="231"/>
    </row>
    <row r="89" spans="1:13">
      <c r="A89" s="571">
        <f t="shared" si="12"/>
        <v>65</v>
      </c>
      <c r="B89" s="551"/>
      <c r="C89" s="477"/>
      <c r="D89" s="231"/>
      <c r="E89" s="231"/>
      <c r="F89" s="231"/>
      <c r="G89" s="231"/>
      <c r="H89" s="231"/>
      <c r="I89" s="231"/>
      <c r="J89" s="231"/>
      <c r="K89" s="231"/>
      <c r="L89" s="231"/>
      <c r="M89" s="231"/>
    </row>
    <row r="90" spans="1:13">
      <c r="A90" s="571">
        <f t="shared" si="12"/>
        <v>66</v>
      </c>
      <c r="B90" s="551" t="s">
        <v>1675</v>
      </c>
      <c r="C90" s="231"/>
      <c r="D90" s="231"/>
      <c r="E90" s="231"/>
      <c r="F90" s="3" t="s">
        <v>175</v>
      </c>
      <c r="G90" s="3" t="s">
        <v>179</v>
      </c>
      <c r="H90" s="231"/>
      <c r="I90" s="231"/>
    </row>
    <row r="91" spans="1:13">
      <c r="A91" s="571">
        <f>A90+1</f>
        <v>67</v>
      </c>
      <c r="B91" s="481" t="s">
        <v>970</v>
      </c>
      <c r="C91" s="231"/>
      <c r="D91" s="231"/>
      <c r="E91" s="231"/>
      <c r="F91" s="233">
        <f>M61</f>
        <v>212804795.14198261</v>
      </c>
      <c r="G91" s="481" t="str">
        <f>"Line "&amp;A61&amp;", Col 12"</f>
        <v>Line 37, Col 12</v>
      </c>
      <c r="H91" s="231"/>
      <c r="I91" s="231"/>
    </row>
    <row r="92" spans="1:13">
      <c r="A92" s="571">
        <f>A91+1</f>
        <v>68</v>
      </c>
      <c r="B92" s="481" t="s">
        <v>986</v>
      </c>
      <c r="C92" s="231"/>
      <c r="D92" s="231"/>
      <c r="E92" s="231"/>
      <c r="F92" s="233">
        <f>G77</f>
        <v>0</v>
      </c>
      <c r="G92" s="481" t="str">
        <f>"Line "&amp;A77&amp;""</f>
        <v>Line 53</v>
      </c>
      <c r="H92" s="231"/>
      <c r="I92" s="231"/>
    </row>
    <row r="93" spans="1:13">
      <c r="A93" s="571">
        <f>A92+1</f>
        <v>69</v>
      </c>
      <c r="B93" s="481" t="s">
        <v>985</v>
      </c>
      <c r="C93" s="231"/>
      <c r="D93" s="231"/>
      <c r="E93" s="231"/>
      <c r="F93" s="91">
        <f>H86</f>
        <v>28610925.527803972</v>
      </c>
      <c r="G93" s="481" t="str">
        <f>"Line "&amp;A86&amp;""</f>
        <v>Line 62</v>
      </c>
      <c r="H93" s="231"/>
      <c r="I93" s="231"/>
    </row>
    <row r="94" spans="1:13">
      <c r="A94" s="571">
        <f>A93+1</f>
        <v>70</v>
      </c>
      <c r="B94" s="231"/>
      <c r="C94" s="231"/>
      <c r="D94" s="231"/>
      <c r="E94" s="232" t="s">
        <v>1021</v>
      </c>
      <c r="F94" s="233">
        <f>SUM(F91:F93)</f>
        <v>241415720.66978657</v>
      </c>
      <c r="G94" s="481" t="str">
        <f>"Line "&amp;A91&amp;" + Line "&amp;A92&amp;" + Line "&amp;A93&amp;""</f>
        <v>Line 67 + Line 68 + Line 69</v>
      </c>
      <c r="H94" s="231"/>
      <c r="I94" s="231"/>
    </row>
    <row r="95" spans="1:13">
      <c r="A95" s="231"/>
      <c r="B95" s="1" t="s">
        <v>232</v>
      </c>
      <c r="C95" s="231"/>
      <c r="D95" s="231"/>
      <c r="E95" s="231"/>
      <c r="F95" s="231"/>
      <c r="G95" s="231"/>
      <c r="H95" s="231"/>
      <c r="I95" s="231"/>
    </row>
    <row r="96" spans="1:13">
      <c r="A96" s="231"/>
      <c r="B96" s="477" t="s">
        <v>1437</v>
      </c>
      <c r="C96" s="231"/>
      <c r="D96" s="231"/>
      <c r="E96" s="231"/>
      <c r="F96" s="231"/>
      <c r="G96" s="231"/>
      <c r="H96" s="231"/>
      <c r="I96" s="231"/>
    </row>
    <row r="97" spans="1:10">
      <c r="A97" s="231"/>
      <c r="B97" s="479" t="str">
        <f>"same account, times the Monthly Depreciation Rate for that account.  Monthly rate = annual rates on Line "&amp;A29&amp;" etc. divided by 12."</f>
        <v>same account, times the Monthly Depreciation Rate for that account.  Monthly rate = annual rates on Line 17a etc. divided by 12.</v>
      </c>
      <c r="C97" s="240"/>
      <c r="D97" s="240"/>
      <c r="E97" s="240"/>
      <c r="F97" s="240"/>
      <c r="G97" s="240"/>
      <c r="H97" s="240"/>
      <c r="I97" s="240"/>
      <c r="J97" s="14"/>
    </row>
    <row r="98" spans="1:10">
      <c r="A98" s="231"/>
      <c r="B98" s="479" t="str">
        <f>"2) Depreciation Expense for each account is equal to the Average BOY/EOY value on Line "&amp;A68&amp;" times the"</f>
        <v>2) Depreciation Expense for each account is equal to the Average BOY/EOY value on Line 44 times the</v>
      </c>
      <c r="C98" s="240"/>
      <c r="D98" s="240"/>
      <c r="E98" s="240"/>
      <c r="F98" s="240"/>
      <c r="G98" s="240"/>
      <c r="H98" s="240"/>
      <c r="I98" s="240"/>
      <c r="J98" s="14"/>
    </row>
    <row r="99" spans="1:10">
      <c r="B99" s="479" t="str">
        <f>"Depreciation Rate on Line "&amp;A72&amp;"."</f>
        <v>Depreciation Rate on Line 48.</v>
      </c>
      <c r="C99" s="14"/>
      <c r="D99" s="14"/>
      <c r="E99" s="14"/>
      <c r="F99" s="14"/>
      <c r="G99" s="14"/>
      <c r="H99" s="14"/>
      <c r="I99" s="14"/>
      <c r="J99" s="14"/>
    </row>
    <row r="100" spans="1:10">
      <c r="B100" s="44" t="s">
        <v>379</v>
      </c>
      <c r="C100" s="14"/>
      <c r="D100" s="14"/>
      <c r="E100" s="14"/>
      <c r="F100" s="14"/>
      <c r="G100" s="14"/>
      <c r="H100" s="14"/>
      <c r="I100" s="14"/>
      <c r="J100" s="14"/>
    </row>
    <row r="101" spans="1:10">
      <c r="B101" s="477" t="s">
        <v>2846</v>
      </c>
      <c r="C101" s="14"/>
      <c r="D101" s="14"/>
      <c r="E101" s="14"/>
      <c r="F101" s="14"/>
      <c r="G101" s="14"/>
      <c r="H101" s="14"/>
      <c r="I101" s="14"/>
      <c r="J101" s="14"/>
    </row>
    <row r="102" spans="1:10">
      <c r="B102" s="477" t="s">
        <v>2843</v>
      </c>
      <c r="C102" s="14"/>
      <c r="D102" s="14"/>
      <c r="E102" s="14"/>
      <c r="F102" s="14"/>
      <c r="G102" s="14"/>
      <c r="H102" s="14"/>
      <c r="I102" s="14"/>
      <c r="J102" s="14"/>
    </row>
    <row r="103" spans="1:10">
      <c r="B103" s="479" t="s">
        <v>1776</v>
      </c>
      <c r="C103" s="14"/>
      <c r="D103" s="14"/>
      <c r="E103" s="14"/>
      <c r="F103" s="14"/>
      <c r="G103" s="14"/>
      <c r="H103" s="14"/>
      <c r="I103" s="14"/>
      <c r="J103" s="14"/>
    </row>
    <row r="104" spans="1:10">
      <c r="B104" s="479" t="str">
        <f>"for Distribution Plant - ISO on Line "&amp;A77&amp;" utilizing the weighted-average (by time) of the annual depreciation rates in effect in the Prior Year."</f>
        <v>for Distribution Plant - ISO on Line 53 utilizing the weighted-average (by time) of the annual depreciation rates in effect in the Prior Year.</v>
      </c>
      <c r="C104" s="14"/>
      <c r="D104" s="14"/>
      <c r="E104" s="14"/>
      <c r="F104" s="14"/>
      <c r="G104" s="14"/>
      <c r="H104" s="14"/>
      <c r="I104" s="14"/>
      <c r="J104" s="14"/>
    </row>
  </sheetData>
  <pageMargins left="0.7" right="0.7" top="0.75" bottom="0.75" header="0.3" footer="0.3"/>
  <pageSetup scale="63" orientation="landscape" cellComments="asDisplayed" r:id="rId1"/>
  <headerFooter>
    <oddHeader>&amp;CSchedule 17
Depreciation Expense
&amp;RExhibit SCE-4
TO2019A Formula Rate Spreadsheet</oddHeader>
    <oddFooter>&amp;R17-Depreciation</oddFooter>
  </headerFooter>
  <rowBreaks count="1" manualBreakCount="1">
    <brk id="62"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Normal="100" workbookViewId="0"/>
  </sheetViews>
  <sheetFormatPr defaultColWidth="8.88671875" defaultRowHeight="13.2"/>
  <cols>
    <col min="1" max="1" width="4.6640625" style="999" customWidth="1"/>
    <col min="2" max="3" width="8.88671875" style="999"/>
    <col min="4" max="4" width="38.6640625" style="999" customWidth="1"/>
    <col min="5" max="7" width="8.88671875" style="477"/>
    <col min="8" max="16384" width="8.88671875" style="999"/>
  </cols>
  <sheetData>
    <row r="1" spans="1:16">
      <c r="A1" s="396" t="s">
        <v>1022</v>
      </c>
      <c r="B1" s="477"/>
      <c r="C1" s="477"/>
      <c r="D1" s="477"/>
      <c r="P1" s="999" t="s">
        <v>2763</v>
      </c>
    </row>
    <row r="2" spans="1:16">
      <c r="A2" s="477"/>
      <c r="B2" s="477"/>
      <c r="C2" s="477"/>
      <c r="D2" s="477"/>
    </row>
    <row r="3" spans="1:16">
      <c r="A3" s="477"/>
      <c r="B3" s="396" t="s">
        <v>322</v>
      </c>
      <c r="C3" s="477"/>
      <c r="D3" s="477"/>
      <c r="E3" s="571" t="s">
        <v>373</v>
      </c>
      <c r="F3" s="571"/>
      <c r="G3" s="571"/>
    </row>
    <row r="4" spans="1:16">
      <c r="A4" s="477"/>
      <c r="B4" s="477"/>
      <c r="C4" s="234" t="s">
        <v>12</v>
      </c>
      <c r="D4" s="477"/>
      <c r="E4" s="571" t="s">
        <v>1023</v>
      </c>
      <c r="F4" s="4" t="s">
        <v>1024</v>
      </c>
      <c r="G4" s="4"/>
    </row>
    <row r="5" spans="1:16">
      <c r="A5" s="51" t="s">
        <v>331</v>
      </c>
      <c r="B5" s="477"/>
      <c r="C5" s="369" t="s">
        <v>99</v>
      </c>
      <c r="D5" s="369" t="s">
        <v>100</v>
      </c>
      <c r="E5" s="3" t="s">
        <v>1025</v>
      </c>
      <c r="F5" s="3" t="s">
        <v>1026</v>
      </c>
      <c r="G5" s="3" t="s">
        <v>196</v>
      </c>
    </row>
    <row r="6" spans="1:16" ht="15" customHeight="1">
      <c r="A6" s="571">
        <v>1</v>
      </c>
      <c r="B6" s="477"/>
      <c r="C6" s="726">
        <v>350.1</v>
      </c>
      <c r="D6" s="481" t="s">
        <v>1027</v>
      </c>
      <c r="E6" s="518">
        <v>0</v>
      </c>
      <c r="F6" s="518">
        <v>0</v>
      </c>
      <c r="G6" s="518">
        <v>0</v>
      </c>
    </row>
    <row r="7" spans="1:16" ht="15" customHeight="1">
      <c r="A7" s="571">
        <f>A6+1</f>
        <v>2</v>
      </c>
      <c r="B7" s="477"/>
      <c r="C7" s="726">
        <v>350.2</v>
      </c>
      <c r="D7" s="481" t="s">
        <v>1028</v>
      </c>
      <c r="E7" s="518">
        <v>1.67E-2</v>
      </c>
      <c r="F7" s="518">
        <v>0</v>
      </c>
      <c r="G7" s="518">
        <v>1.67E-2</v>
      </c>
    </row>
    <row r="8" spans="1:16">
      <c r="A8" s="571">
        <f t="shared" ref="A8:A16" si="0">A7+1</f>
        <v>3</v>
      </c>
      <c r="B8" s="477"/>
      <c r="C8" s="726">
        <v>352</v>
      </c>
      <c r="D8" s="481" t="s">
        <v>1029</v>
      </c>
      <c r="E8" s="518">
        <v>1.7899999999999999E-2</v>
      </c>
      <c r="F8" s="518">
        <v>6.1999999999999998E-3</v>
      </c>
      <c r="G8" s="518">
        <v>2.41E-2</v>
      </c>
    </row>
    <row r="9" spans="1:16">
      <c r="A9" s="571">
        <f t="shared" si="0"/>
        <v>4</v>
      </c>
      <c r="B9" s="477"/>
      <c r="C9" s="726">
        <v>353</v>
      </c>
      <c r="D9" s="481" t="s">
        <v>1030</v>
      </c>
      <c r="E9" s="518">
        <v>2.3900000000000001E-2</v>
      </c>
      <c r="F9" s="518">
        <v>4.4999999999999997E-3</v>
      </c>
      <c r="G9" s="518">
        <v>2.8400000000000002E-2</v>
      </c>
    </row>
    <row r="10" spans="1:16">
      <c r="A10" s="571">
        <f t="shared" si="0"/>
        <v>5</v>
      </c>
      <c r="B10" s="477"/>
      <c r="C10" s="726">
        <v>354</v>
      </c>
      <c r="D10" s="481" t="s">
        <v>1206</v>
      </c>
      <c r="E10" s="518">
        <v>1.2000000000000002E-2</v>
      </c>
      <c r="F10" s="518">
        <v>1.5299999999999999E-2</v>
      </c>
      <c r="G10" s="518">
        <v>2.7300000000000001E-2</v>
      </c>
    </row>
    <row r="11" spans="1:16">
      <c r="A11" s="571">
        <f t="shared" si="0"/>
        <v>6</v>
      </c>
      <c r="B11" s="477"/>
      <c r="C11" s="726">
        <v>355</v>
      </c>
      <c r="D11" s="481" t="s">
        <v>1031</v>
      </c>
      <c r="E11" s="518">
        <v>1.0600000000000002E-2</v>
      </c>
      <c r="F11" s="518">
        <v>1.78E-2</v>
      </c>
      <c r="G11" s="518">
        <v>2.8400000000000002E-2</v>
      </c>
    </row>
    <row r="12" spans="1:16">
      <c r="A12" s="571">
        <f t="shared" si="0"/>
        <v>7</v>
      </c>
      <c r="B12" s="477"/>
      <c r="C12" s="726">
        <v>356</v>
      </c>
      <c r="D12" s="481" t="s">
        <v>1032</v>
      </c>
      <c r="E12" s="518">
        <v>7.7999999999999979E-3</v>
      </c>
      <c r="F12" s="518">
        <v>2.46E-2</v>
      </c>
      <c r="G12" s="518">
        <v>3.2399999999999998E-2</v>
      </c>
    </row>
    <row r="13" spans="1:16">
      <c r="A13" s="571">
        <f t="shared" si="0"/>
        <v>8</v>
      </c>
      <c r="B13" s="477"/>
      <c r="C13" s="726">
        <v>357</v>
      </c>
      <c r="D13" s="481" t="s">
        <v>1033</v>
      </c>
      <c r="E13" s="518">
        <v>1.7299999999999999E-2</v>
      </c>
      <c r="F13" s="518">
        <v>0</v>
      </c>
      <c r="G13" s="518">
        <v>1.7299999999999999E-2</v>
      </c>
    </row>
    <row r="14" spans="1:16">
      <c r="A14" s="571">
        <f t="shared" si="0"/>
        <v>9</v>
      </c>
      <c r="B14" s="477"/>
      <c r="C14" s="726">
        <v>358</v>
      </c>
      <c r="D14" s="481" t="s">
        <v>1034</v>
      </c>
      <c r="E14" s="518">
        <v>1.6199999999999999E-2</v>
      </c>
      <c r="F14" s="518">
        <v>7.9000000000000008E-3</v>
      </c>
      <c r="G14" s="518">
        <v>2.41E-2</v>
      </c>
    </row>
    <row r="15" spans="1:16">
      <c r="A15" s="571">
        <f t="shared" si="0"/>
        <v>10</v>
      </c>
      <c r="B15" s="477"/>
      <c r="C15" s="726">
        <v>359</v>
      </c>
      <c r="D15" s="481" t="s">
        <v>1035</v>
      </c>
      <c r="E15" s="518">
        <v>1.6500000000000001E-2</v>
      </c>
      <c r="F15" s="518">
        <v>0</v>
      </c>
      <c r="G15" s="518">
        <v>1.6500000000000001E-2</v>
      </c>
    </row>
    <row r="16" spans="1:16">
      <c r="A16" s="571">
        <f t="shared" si="0"/>
        <v>11</v>
      </c>
      <c r="B16" s="477"/>
      <c r="C16" s="477"/>
      <c r="D16" s="477"/>
    </row>
    <row r="17" spans="1:7">
      <c r="A17" s="477"/>
      <c r="B17" s="396" t="s">
        <v>323</v>
      </c>
      <c r="C17" s="477"/>
      <c r="D17" s="477"/>
      <c r="E17" s="571" t="s">
        <v>373</v>
      </c>
      <c r="F17" s="571"/>
      <c r="G17" s="571"/>
    </row>
    <row r="18" spans="1:7">
      <c r="A18" s="477"/>
      <c r="B18" s="477"/>
      <c r="C18" s="234" t="s">
        <v>12</v>
      </c>
      <c r="D18" s="477"/>
      <c r="E18" s="571" t="s">
        <v>1023</v>
      </c>
      <c r="F18" s="4" t="s">
        <v>1024</v>
      </c>
      <c r="G18" s="4"/>
    </row>
    <row r="19" spans="1:7">
      <c r="A19" s="477"/>
      <c r="B19" s="477"/>
      <c r="C19" s="369" t="s">
        <v>99</v>
      </c>
      <c r="D19" s="369" t="s">
        <v>100</v>
      </c>
      <c r="E19" s="3" t="s">
        <v>1025</v>
      </c>
      <c r="F19" s="3" t="s">
        <v>1026</v>
      </c>
      <c r="G19" s="3" t="s">
        <v>196</v>
      </c>
    </row>
    <row r="20" spans="1:7">
      <c r="A20" s="571">
        <f>A16+1</f>
        <v>12</v>
      </c>
      <c r="B20" s="477"/>
      <c r="C20" s="477">
        <v>360</v>
      </c>
      <c r="D20" s="481" t="s">
        <v>1036</v>
      </c>
      <c r="E20" s="866">
        <v>1.67E-2</v>
      </c>
      <c r="F20" s="866">
        <v>0</v>
      </c>
      <c r="G20" s="866">
        <v>1.67E-2</v>
      </c>
    </row>
    <row r="21" spans="1:7">
      <c r="A21" s="571">
        <f>A20+1</f>
        <v>13</v>
      </c>
      <c r="B21" s="477"/>
      <c r="C21" s="477">
        <v>361</v>
      </c>
      <c r="D21" s="481" t="s">
        <v>1029</v>
      </c>
      <c r="E21" s="866">
        <v>1.7500000000000002E-2</v>
      </c>
      <c r="F21" s="866">
        <v>6.4000000000000003E-3</v>
      </c>
      <c r="G21" s="866">
        <v>2.3900000000000001E-2</v>
      </c>
    </row>
    <row r="22" spans="1:7">
      <c r="A22" s="571">
        <f>A21+1</f>
        <v>14</v>
      </c>
      <c r="B22" s="477"/>
      <c r="C22" s="477">
        <v>362</v>
      </c>
      <c r="D22" s="481" t="s">
        <v>1030</v>
      </c>
      <c r="E22" s="866">
        <v>1.32E-2</v>
      </c>
      <c r="F22" s="866">
        <v>6.8999999999999999E-3</v>
      </c>
      <c r="G22" s="866">
        <v>2.01E-2</v>
      </c>
    </row>
    <row r="23" spans="1:7">
      <c r="A23" s="477"/>
      <c r="B23" s="477"/>
      <c r="C23" s="477"/>
      <c r="D23" s="477"/>
    </row>
    <row r="24" spans="1:7">
      <c r="A24" s="477"/>
      <c r="B24" s="396" t="s">
        <v>1037</v>
      </c>
      <c r="C24" s="477"/>
      <c r="D24" s="477"/>
      <c r="E24" s="571" t="s">
        <v>373</v>
      </c>
    </row>
    <row r="25" spans="1:7">
      <c r="A25" s="477"/>
      <c r="B25" s="477"/>
      <c r="C25" s="234" t="s">
        <v>12</v>
      </c>
      <c r="D25" s="477"/>
      <c r="E25" s="571" t="s">
        <v>1023</v>
      </c>
      <c r="F25" s="4" t="s">
        <v>1024</v>
      </c>
      <c r="G25" s="4"/>
    </row>
    <row r="26" spans="1:7">
      <c r="A26" s="477"/>
      <c r="B26" s="477"/>
      <c r="C26" s="369" t="s">
        <v>99</v>
      </c>
      <c r="D26" s="369" t="s">
        <v>100</v>
      </c>
      <c r="E26" s="3" t="s">
        <v>1025</v>
      </c>
      <c r="F26" s="3" t="s">
        <v>1026</v>
      </c>
      <c r="G26" s="3" t="s">
        <v>196</v>
      </c>
    </row>
    <row r="27" spans="1:7">
      <c r="A27" s="571">
        <f>A22+1</f>
        <v>15</v>
      </c>
      <c r="B27" s="477"/>
      <c r="C27" s="477">
        <v>389</v>
      </c>
      <c r="D27" s="481" t="s">
        <v>1036</v>
      </c>
      <c r="E27" s="866">
        <v>1.67E-2</v>
      </c>
      <c r="F27" s="866">
        <v>0</v>
      </c>
      <c r="G27" s="866">
        <v>1.67E-2</v>
      </c>
    </row>
    <row r="28" spans="1:7">
      <c r="A28" s="571">
        <f t="shared" ref="A28:A42" si="1">A27+1</f>
        <v>16</v>
      </c>
      <c r="B28" s="477"/>
      <c r="C28" s="477">
        <v>390</v>
      </c>
      <c r="D28" s="481" t="s">
        <v>1029</v>
      </c>
      <c r="E28" s="866">
        <v>1.8099999999999998E-2</v>
      </c>
      <c r="F28" s="866">
        <v>2.7000000000000001E-3</v>
      </c>
      <c r="G28" s="866">
        <v>2.0799999999999999E-2</v>
      </c>
    </row>
    <row r="29" spans="1:7">
      <c r="A29" s="571">
        <f t="shared" si="1"/>
        <v>17</v>
      </c>
      <c r="B29" s="477"/>
      <c r="C29" s="477">
        <v>391.1</v>
      </c>
      <c r="D29" s="866" t="s">
        <v>1038</v>
      </c>
      <c r="E29" s="866">
        <v>0.05</v>
      </c>
      <c r="F29" s="866">
        <v>0</v>
      </c>
      <c r="G29" s="866">
        <v>0.05</v>
      </c>
    </row>
    <row r="30" spans="1:7">
      <c r="A30" s="571">
        <f t="shared" si="1"/>
        <v>18</v>
      </c>
      <c r="B30" s="477"/>
      <c r="C30" s="477">
        <v>391.5</v>
      </c>
      <c r="D30" s="866" t="s">
        <v>1600</v>
      </c>
      <c r="E30" s="866">
        <v>0.2</v>
      </c>
      <c r="F30" s="866">
        <v>0</v>
      </c>
      <c r="G30" s="866">
        <v>0.2</v>
      </c>
    </row>
    <row r="31" spans="1:7">
      <c r="A31" s="571">
        <f t="shared" si="1"/>
        <v>19</v>
      </c>
      <c r="B31" s="477"/>
      <c r="C31" s="477">
        <v>391.6</v>
      </c>
      <c r="D31" s="866" t="s">
        <v>1601</v>
      </c>
      <c r="E31" s="866">
        <v>0.2</v>
      </c>
      <c r="F31" s="866">
        <v>0</v>
      </c>
      <c r="G31" s="866">
        <v>0.2</v>
      </c>
    </row>
    <row r="32" spans="1:7">
      <c r="A32" s="571">
        <f t="shared" si="1"/>
        <v>20</v>
      </c>
      <c r="B32" s="477"/>
      <c r="C32" s="477">
        <v>391.2</v>
      </c>
      <c r="D32" s="866" t="s">
        <v>1602</v>
      </c>
      <c r="E32" s="866">
        <v>0.2</v>
      </c>
      <c r="F32" s="866">
        <v>0</v>
      </c>
      <c r="G32" s="866">
        <v>0.2</v>
      </c>
    </row>
    <row r="33" spans="1:11">
      <c r="A33" s="571">
        <f t="shared" si="1"/>
        <v>21</v>
      </c>
      <c r="B33" s="477"/>
      <c r="C33" s="477">
        <v>391.3</v>
      </c>
      <c r="D33" s="866" t="s">
        <v>1603</v>
      </c>
      <c r="E33" s="866">
        <v>0.2</v>
      </c>
      <c r="F33" s="866">
        <v>0</v>
      </c>
      <c r="G33" s="866">
        <v>0.2</v>
      </c>
    </row>
    <row r="34" spans="1:11">
      <c r="A34" s="571">
        <f t="shared" si="1"/>
        <v>22</v>
      </c>
      <c r="B34" s="477"/>
      <c r="C34" s="475">
        <v>391.7</v>
      </c>
      <c r="D34" s="866" t="s">
        <v>1604</v>
      </c>
      <c r="E34" s="866">
        <v>0.2</v>
      </c>
      <c r="F34" s="866">
        <v>0</v>
      </c>
      <c r="G34" s="866">
        <v>0.2</v>
      </c>
    </row>
    <row r="35" spans="1:11">
      <c r="A35" s="571">
        <f t="shared" si="1"/>
        <v>23</v>
      </c>
      <c r="B35" s="477"/>
      <c r="C35" s="475">
        <v>391.4</v>
      </c>
      <c r="D35" s="866" t="s">
        <v>1605</v>
      </c>
      <c r="E35" s="866">
        <v>0.1429</v>
      </c>
      <c r="F35" s="866">
        <v>0</v>
      </c>
      <c r="G35" s="866">
        <v>0.1429</v>
      </c>
    </row>
    <row r="36" spans="1:11">
      <c r="A36" s="571">
        <f t="shared" si="1"/>
        <v>24</v>
      </c>
      <c r="B36" s="477"/>
      <c r="C36" s="477">
        <v>391.4</v>
      </c>
      <c r="D36" s="866" t="s">
        <v>1606</v>
      </c>
      <c r="E36" s="866">
        <v>0.1</v>
      </c>
      <c r="F36" s="866">
        <v>0</v>
      </c>
      <c r="G36" s="866">
        <v>0.1</v>
      </c>
    </row>
    <row r="37" spans="1:11">
      <c r="A37" s="571">
        <f t="shared" si="1"/>
        <v>25</v>
      </c>
      <c r="B37" s="477"/>
      <c r="C37" s="475">
        <v>391.4</v>
      </c>
      <c r="D37" s="866" t="s">
        <v>1607</v>
      </c>
      <c r="E37" s="866">
        <v>6.6699999999999995E-2</v>
      </c>
      <c r="F37" s="866">
        <v>0</v>
      </c>
      <c r="G37" s="866">
        <v>6.6699999999999995E-2</v>
      </c>
    </row>
    <row r="38" spans="1:11">
      <c r="A38" s="571">
        <f t="shared" si="1"/>
        <v>26</v>
      </c>
      <c r="B38" s="477"/>
      <c r="C38" s="475">
        <v>391.4</v>
      </c>
      <c r="D38" s="866" t="s">
        <v>1608</v>
      </c>
      <c r="E38" s="866">
        <v>0.05</v>
      </c>
      <c r="F38" s="866">
        <v>0</v>
      </c>
      <c r="G38" s="866">
        <v>0.05</v>
      </c>
    </row>
    <row r="39" spans="1:11" ht="14.4">
      <c r="A39" s="571">
        <f t="shared" si="1"/>
        <v>27</v>
      </c>
      <c r="B39" s="477"/>
      <c r="C39" s="475">
        <v>391.4</v>
      </c>
      <c r="D39" s="866" t="s">
        <v>1609</v>
      </c>
      <c r="E39" s="866">
        <v>0.04</v>
      </c>
      <c r="F39" s="866">
        <v>0</v>
      </c>
      <c r="G39" s="866">
        <v>0.04</v>
      </c>
      <c r="I39" s="372"/>
      <c r="J39" s="372"/>
      <c r="K39" s="372"/>
    </row>
    <row r="40" spans="1:11" ht="14.4">
      <c r="A40" s="571">
        <f t="shared" si="1"/>
        <v>28</v>
      </c>
      <c r="B40" s="477"/>
      <c r="C40" s="475">
        <v>393</v>
      </c>
      <c r="D40" s="477" t="s">
        <v>1610</v>
      </c>
      <c r="E40" s="866">
        <v>0.05</v>
      </c>
      <c r="F40" s="866">
        <v>0</v>
      </c>
      <c r="G40" s="866">
        <v>0.05</v>
      </c>
      <c r="I40" s="372"/>
      <c r="J40" s="372"/>
      <c r="K40" s="372"/>
    </row>
    <row r="41" spans="1:11" ht="14.4">
      <c r="A41" s="571">
        <f t="shared" si="1"/>
        <v>29</v>
      </c>
      <c r="B41" s="477"/>
      <c r="C41" s="475">
        <v>395</v>
      </c>
      <c r="D41" s="477" t="s">
        <v>1611</v>
      </c>
      <c r="E41" s="866">
        <v>6.6699999999999995E-2</v>
      </c>
      <c r="F41" s="866">
        <v>0</v>
      </c>
      <c r="G41" s="866">
        <v>6.6699999999999995E-2</v>
      </c>
      <c r="I41" s="372"/>
      <c r="J41" s="372"/>
      <c r="K41" s="372"/>
    </row>
    <row r="42" spans="1:11" ht="14.4">
      <c r="A42" s="571">
        <f t="shared" si="1"/>
        <v>30</v>
      </c>
      <c r="B42" s="477"/>
      <c r="C42" s="475">
        <v>398</v>
      </c>
      <c r="D42" s="477" t="s">
        <v>1612</v>
      </c>
      <c r="E42" s="866">
        <v>0.05</v>
      </c>
      <c r="F42" s="866">
        <v>0</v>
      </c>
      <c r="G42" s="866">
        <v>0.05</v>
      </c>
      <c r="I42" s="372"/>
      <c r="J42" s="372"/>
      <c r="K42" s="372"/>
    </row>
    <row r="43" spans="1:11" ht="14.4">
      <c r="A43" s="571">
        <f>A42+1</f>
        <v>31</v>
      </c>
      <c r="B43" s="477"/>
      <c r="C43" s="475">
        <v>397</v>
      </c>
      <c r="D43" s="477" t="s">
        <v>2238</v>
      </c>
      <c r="E43" s="866">
        <v>0.2</v>
      </c>
      <c r="F43" s="866">
        <v>0</v>
      </c>
      <c r="G43" s="866">
        <v>0.2</v>
      </c>
      <c r="I43" s="372"/>
      <c r="J43" s="372"/>
      <c r="K43" s="372"/>
    </row>
    <row r="44" spans="1:11" ht="14.4">
      <c r="A44" s="571">
        <f t="shared" ref="A44:A53" si="2">A43+1</f>
        <v>32</v>
      </c>
      <c r="B44" s="477"/>
      <c r="C44" s="475">
        <v>397</v>
      </c>
      <c r="D44" s="477" t="s">
        <v>1613</v>
      </c>
      <c r="E44" s="866">
        <v>0.1429</v>
      </c>
      <c r="F44" s="866">
        <v>0</v>
      </c>
      <c r="G44" s="866">
        <v>0.1429</v>
      </c>
      <c r="I44" s="372"/>
      <c r="J44" s="372"/>
      <c r="K44" s="372"/>
    </row>
    <row r="45" spans="1:11" ht="14.4">
      <c r="A45" s="571">
        <f t="shared" si="2"/>
        <v>33</v>
      </c>
      <c r="B45" s="477"/>
      <c r="C45" s="475">
        <v>397</v>
      </c>
      <c r="D45" s="477" t="s">
        <v>1614</v>
      </c>
      <c r="E45" s="866">
        <v>0.1</v>
      </c>
      <c r="F45" s="866">
        <v>0</v>
      </c>
      <c r="G45" s="866">
        <v>0.1</v>
      </c>
      <c r="I45" s="372"/>
      <c r="J45" s="372"/>
      <c r="K45" s="372"/>
    </row>
    <row r="46" spans="1:11" ht="14.4">
      <c r="A46" s="571">
        <f t="shared" si="2"/>
        <v>34</v>
      </c>
      <c r="B46" s="477"/>
      <c r="C46" s="475">
        <v>397</v>
      </c>
      <c r="D46" s="477" t="s">
        <v>1615</v>
      </c>
      <c r="E46" s="866">
        <v>6.6699999999999995E-2</v>
      </c>
      <c r="F46" s="866">
        <v>0</v>
      </c>
      <c r="G46" s="866">
        <v>6.6699999999999995E-2</v>
      </c>
      <c r="I46" s="372"/>
      <c r="J46" s="372"/>
      <c r="K46" s="372"/>
    </row>
    <row r="47" spans="1:11" ht="14.4">
      <c r="A47" s="571">
        <f t="shared" si="2"/>
        <v>35</v>
      </c>
      <c r="B47" s="477"/>
      <c r="C47" s="475">
        <v>397</v>
      </c>
      <c r="D47" s="477" t="s">
        <v>2239</v>
      </c>
      <c r="E47" s="1047">
        <v>0.05</v>
      </c>
      <c r="F47" s="866">
        <v>0</v>
      </c>
      <c r="G47" s="1047">
        <v>0.05</v>
      </c>
      <c r="I47" s="372"/>
      <c r="J47" s="372"/>
      <c r="K47" s="372"/>
    </row>
    <row r="48" spans="1:11">
      <c r="A48" s="571">
        <f t="shared" si="2"/>
        <v>36</v>
      </c>
      <c r="B48" s="477"/>
      <c r="C48" s="475">
        <v>397</v>
      </c>
      <c r="D48" s="477" t="s">
        <v>1616</v>
      </c>
      <c r="E48" s="866">
        <v>0.04</v>
      </c>
      <c r="F48" s="866">
        <v>0</v>
      </c>
      <c r="G48" s="866">
        <v>0.04</v>
      </c>
    </row>
    <row r="49" spans="1:7">
      <c r="A49" s="571">
        <f t="shared" si="2"/>
        <v>37</v>
      </c>
      <c r="B49" s="477"/>
      <c r="C49" s="475">
        <v>397</v>
      </c>
      <c r="D49" s="477" t="s">
        <v>1617</v>
      </c>
      <c r="E49" s="866">
        <v>2.5000000000000001E-2</v>
      </c>
      <c r="F49" s="866">
        <v>0</v>
      </c>
      <c r="G49" s="866">
        <v>2.5000000000000001E-2</v>
      </c>
    </row>
    <row r="50" spans="1:7">
      <c r="A50" s="571">
        <f t="shared" si="2"/>
        <v>38</v>
      </c>
      <c r="B50" s="477"/>
      <c r="C50" s="475">
        <v>392</v>
      </c>
      <c r="D50" s="477" t="s">
        <v>1618</v>
      </c>
      <c r="E50" s="866">
        <v>0.1429</v>
      </c>
      <c r="F50" s="866">
        <v>0</v>
      </c>
      <c r="G50" s="866">
        <v>0.1429</v>
      </c>
    </row>
    <row r="51" spans="1:7">
      <c r="A51" s="571">
        <f t="shared" si="2"/>
        <v>39</v>
      </c>
      <c r="B51" s="477"/>
      <c r="C51" s="475">
        <v>394.4</v>
      </c>
      <c r="D51" s="477" t="s">
        <v>1619</v>
      </c>
      <c r="E51" s="866">
        <v>0.1</v>
      </c>
      <c r="F51" s="866">
        <v>0</v>
      </c>
      <c r="G51" s="866">
        <v>0.1</v>
      </c>
    </row>
    <row r="52" spans="1:7">
      <c r="A52" s="571">
        <f t="shared" si="2"/>
        <v>40</v>
      </c>
      <c r="B52" s="477"/>
      <c r="C52" s="475">
        <v>394.5</v>
      </c>
      <c r="D52" s="477" t="s">
        <v>1620</v>
      </c>
      <c r="E52" s="866">
        <v>0.1</v>
      </c>
      <c r="F52" s="866">
        <v>0</v>
      </c>
      <c r="G52" s="866">
        <v>0.1</v>
      </c>
    </row>
    <row r="53" spans="1:7">
      <c r="A53" s="571">
        <f t="shared" si="2"/>
        <v>41</v>
      </c>
      <c r="B53" s="477"/>
      <c r="C53" s="475">
        <v>396</v>
      </c>
      <c r="D53" s="477" t="s">
        <v>1621</v>
      </c>
      <c r="E53" s="866">
        <v>6.6699999999999995E-2</v>
      </c>
      <c r="F53" s="866">
        <v>0</v>
      </c>
      <c r="G53" s="866">
        <v>6.6699999999999995E-2</v>
      </c>
    </row>
    <row r="54" spans="1:7">
      <c r="A54" s="477"/>
      <c r="B54" s="477"/>
      <c r="C54" s="477"/>
      <c r="D54" s="477"/>
    </row>
    <row r="55" spans="1:7">
      <c r="A55" s="477"/>
      <c r="B55" s="396" t="s">
        <v>1039</v>
      </c>
      <c r="C55" s="477"/>
      <c r="D55" s="477"/>
      <c r="E55" s="571" t="s">
        <v>373</v>
      </c>
    </row>
    <row r="56" spans="1:7">
      <c r="A56" s="477"/>
      <c r="B56" s="477"/>
      <c r="C56" s="234" t="s">
        <v>12</v>
      </c>
      <c r="D56" s="477"/>
      <c r="E56" s="571" t="s">
        <v>1023</v>
      </c>
      <c r="F56" s="4" t="s">
        <v>1024</v>
      </c>
      <c r="G56" s="4"/>
    </row>
    <row r="57" spans="1:7">
      <c r="A57" s="477"/>
      <c r="B57" s="477"/>
      <c r="C57" s="369" t="s">
        <v>99</v>
      </c>
      <c r="D57" s="369" t="s">
        <v>100</v>
      </c>
      <c r="E57" s="3" t="s">
        <v>1025</v>
      </c>
      <c r="F57" s="3" t="s">
        <v>1026</v>
      </c>
      <c r="G57" s="3" t="s">
        <v>196</v>
      </c>
    </row>
    <row r="58" spans="1:7">
      <c r="A58" s="571">
        <f>A53+1</f>
        <v>42</v>
      </c>
      <c r="B58" s="477"/>
      <c r="C58" s="475">
        <v>302</v>
      </c>
      <c r="D58" s="481" t="s">
        <v>1040</v>
      </c>
      <c r="E58" s="866">
        <v>2.47E-2</v>
      </c>
      <c r="F58" s="866">
        <v>0</v>
      </c>
      <c r="G58" s="866">
        <v>2.47E-2</v>
      </c>
    </row>
    <row r="59" spans="1:7">
      <c r="A59" s="571">
        <f t="shared" ref="A59:A64" si="3">A58+1</f>
        <v>43</v>
      </c>
      <c r="B59" s="477"/>
      <c r="C59" s="475">
        <v>303</v>
      </c>
      <c r="D59" s="481" t="s">
        <v>1041</v>
      </c>
      <c r="E59" s="866">
        <v>2.5000000000000001E-2</v>
      </c>
      <c r="F59" s="866">
        <v>0</v>
      </c>
      <c r="G59" s="866">
        <v>2.5000000000000001E-2</v>
      </c>
    </row>
    <row r="60" spans="1:7">
      <c r="A60" s="571">
        <f t="shared" si="3"/>
        <v>44</v>
      </c>
      <c r="B60" s="477"/>
      <c r="C60" s="475">
        <v>301</v>
      </c>
      <c r="D60" s="481" t="s">
        <v>1042</v>
      </c>
      <c r="E60" s="866">
        <v>0.05</v>
      </c>
      <c r="F60" s="866">
        <v>0</v>
      </c>
      <c r="G60" s="866">
        <v>0.05</v>
      </c>
    </row>
    <row r="61" spans="1:7">
      <c r="A61" s="571">
        <f t="shared" si="3"/>
        <v>45</v>
      </c>
      <c r="B61" s="477"/>
      <c r="C61" s="475">
        <v>303</v>
      </c>
      <c r="D61" s="481" t="s">
        <v>1043</v>
      </c>
      <c r="E61" s="866">
        <v>0.2031</v>
      </c>
      <c r="F61" s="866">
        <v>0</v>
      </c>
      <c r="G61" s="866">
        <v>0.2031</v>
      </c>
    </row>
    <row r="62" spans="1:7">
      <c r="A62" s="571">
        <f t="shared" si="3"/>
        <v>46</v>
      </c>
      <c r="B62" s="477"/>
      <c r="C62" s="475">
        <v>303</v>
      </c>
      <c r="D62" s="481" t="s">
        <v>1044</v>
      </c>
      <c r="E62" s="866">
        <v>0.1462</v>
      </c>
      <c r="F62" s="866">
        <v>0</v>
      </c>
      <c r="G62" s="866">
        <v>0.1462</v>
      </c>
    </row>
    <row r="63" spans="1:7">
      <c r="A63" s="571">
        <f t="shared" si="3"/>
        <v>47</v>
      </c>
      <c r="B63" s="477"/>
      <c r="C63" s="475">
        <v>303</v>
      </c>
      <c r="D63" s="481" t="s">
        <v>1045</v>
      </c>
      <c r="E63" s="866">
        <v>0.1293</v>
      </c>
      <c r="F63" s="866">
        <v>0</v>
      </c>
      <c r="G63" s="866">
        <v>0.1293</v>
      </c>
    </row>
    <row r="64" spans="1:7">
      <c r="A64" s="571">
        <f t="shared" si="3"/>
        <v>48</v>
      </c>
      <c r="B64" s="477"/>
      <c r="C64" s="475">
        <v>303</v>
      </c>
      <c r="D64" s="481" t="s">
        <v>1046</v>
      </c>
      <c r="E64" s="866">
        <v>8.48E-2</v>
      </c>
      <c r="F64" s="866">
        <v>0</v>
      </c>
      <c r="G64" s="866">
        <v>8.48E-2</v>
      </c>
    </row>
    <row r="65" spans="1:6">
      <c r="A65" s="477"/>
      <c r="B65" s="479" t="s">
        <v>1742</v>
      </c>
      <c r="C65" s="479"/>
      <c r="D65" s="479"/>
      <c r="E65" s="479"/>
      <c r="F65" s="479"/>
    </row>
    <row r="66" spans="1:6">
      <c r="A66" s="477"/>
      <c r="B66" s="479" t="s">
        <v>2473</v>
      </c>
      <c r="C66" s="479"/>
      <c r="D66" s="479"/>
      <c r="E66" s="479"/>
      <c r="F66" s="479"/>
    </row>
  </sheetData>
  <pageMargins left="0.7" right="0.7" top="0.75" bottom="0.75" header="0.3" footer="0.3"/>
  <pageSetup scale="75" orientation="portrait" cellComments="asDisplayed" r:id="rId1"/>
  <headerFooter>
    <oddHeader>&amp;CSchedule 18
Depreciation Rates
&amp;RExhibit SCE-4
TO2019A Formula Rate Spreadsheet</oddHeader>
    <oddFooter>&amp;R18-DepRates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zoomScaleNormal="100" zoomScaleSheetLayoutView="40" workbookViewId="0"/>
  </sheetViews>
  <sheetFormatPr defaultColWidth="9.109375" defaultRowHeight="13.2"/>
  <cols>
    <col min="1" max="1" width="5.6640625" style="490" customWidth="1"/>
    <col min="2" max="2" width="50.6640625" style="490" customWidth="1"/>
    <col min="3" max="3" width="14.6640625" style="488" customWidth="1"/>
    <col min="4" max="4" width="16.33203125" style="488" customWidth="1"/>
    <col min="5" max="5" width="14.6640625" style="488" customWidth="1"/>
    <col min="6" max="6" width="12.6640625" style="854" customWidth="1"/>
    <col min="7" max="7" width="16.6640625" style="813" customWidth="1"/>
    <col min="8" max="9" width="14.6640625" style="814" customWidth="1"/>
    <col min="10" max="12" width="14.6640625" style="490" customWidth="1"/>
    <col min="13" max="13" width="9.109375" style="477"/>
    <col min="14" max="14" width="10.6640625" style="477" bestFit="1" customWidth="1"/>
    <col min="15" max="16384" width="9.109375" style="477"/>
  </cols>
  <sheetData>
    <row r="1" spans="1:12" ht="12.75" customHeight="1">
      <c r="A1" s="411" t="s">
        <v>1273</v>
      </c>
      <c r="C1" s="412"/>
      <c r="D1" s="413"/>
      <c r="E1" s="413"/>
      <c r="F1" s="414"/>
      <c r="G1" s="415"/>
      <c r="H1" s="415"/>
      <c r="I1" s="415"/>
      <c r="J1" s="415"/>
      <c r="K1" s="477"/>
      <c r="L1" s="477"/>
    </row>
    <row r="2" spans="1:12" ht="12.75" customHeight="1">
      <c r="A2" s="416"/>
      <c r="C2" s="412"/>
      <c r="D2" s="413"/>
      <c r="E2" s="413"/>
      <c r="F2" s="417"/>
      <c r="G2" s="691" t="s">
        <v>303</v>
      </c>
      <c r="H2" s="487"/>
      <c r="I2" s="413"/>
      <c r="J2" s="415"/>
      <c r="K2" s="415"/>
      <c r="L2" s="415"/>
    </row>
    <row r="3" spans="1:12" ht="12.75" customHeight="1">
      <c r="A3" s="418"/>
      <c r="B3" s="419" t="s">
        <v>1274</v>
      </c>
      <c r="C3" s="421"/>
      <c r="D3" s="421"/>
      <c r="E3" s="421"/>
      <c r="F3" s="422"/>
      <c r="G3" s="420"/>
      <c r="H3" s="420"/>
      <c r="I3" s="420"/>
      <c r="J3" s="420"/>
      <c r="K3" s="420"/>
      <c r="L3" s="423"/>
    </row>
    <row r="4" spans="1:12" ht="12.75" customHeight="1">
      <c r="A4" s="424"/>
      <c r="B4" s="416"/>
      <c r="C4" s="425"/>
      <c r="D4" s="425"/>
      <c r="E4" s="425"/>
      <c r="F4" s="426"/>
      <c r="G4" s="26"/>
      <c r="H4" s="26"/>
      <c r="I4" s="26"/>
      <c r="J4" s="26"/>
      <c r="K4" s="26"/>
      <c r="L4" s="415"/>
    </row>
    <row r="5" spans="1:12" ht="12.75" customHeight="1">
      <c r="A5" s="420"/>
      <c r="B5" s="427" t="s">
        <v>360</v>
      </c>
      <c r="C5" s="427" t="s">
        <v>344</v>
      </c>
      <c r="D5" s="427" t="s">
        <v>345</v>
      </c>
      <c r="E5" s="427" t="s">
        <v>346</v>
      </c>
      <c r="F5" s="428" t="s">
        <v>347</v>
      </c>
      <c r="G5" s="427" t="s">
        <v>348</v>
      </c>
      <c r="H5" s="427" t="s">
        <v>349</v>
      </c>
      <c r="I5" s="427" t="s">
        <v>541</v>
      </c>
      <c r="J5" s="427" t="s">
        <v>958</v>
      </c>
      <c r="K5" s="427" t="s">
        <v>971</v>
      </c>
      <c r="L5" s="427" t="s">
        <v>974</v>
      </c>
    </row>
    <row r="6" spans="1:12" ht="12.75" customHeight="1">
      <c r="A6" s="424"/>
      <c r="B6" s="416"/>
      <c r="C6" s="1302" t="s">
        <v>1275</v>
      </c>
      <c r="D6" s="425"/>
      <c r="E6" s="425"/>
      <c r="F6" s="809" t="s">
        <v>362</v>
      </c>
      <c r="G6" s="1302" t="s">
        <v>1276</v>
      </c>
      <c r="H6" s="1309"/>
      <c r="I6" s="1309"/>
      <c r="J6" s="1302" t="s">
        <v>1277</v>
      </c>
      <c r="K6" s="1302" t="s">
        <v>1278</v>
      </c>
      <c r="L6" s="1303" t="s">
        <v>1279</v>
      </c>
    </row>
    <row r="7" spans="1:12" ht="12.75" customHeight="1">
      <c r="C7" s="810"/>
      <c r="D7" s="811"/>
      <c r="E7" s="811"/>
      <c r="F7" s="812"/>
      <c r="J7" s="815"/>
    </row>
    <row r="8" spans="1:12">
      <c r="A8" s="430"/>
      <c r="B8" s="1385" t="s">
        <v>1280</v>
      </c>
      <c r="C8" s="1387" t="s">
        <v>1281</v>
      </c>
      <c r="D8" s="1387"/>
      <c r="E8" s="1387"/>
      <c r="F8" s="431"/>
      <c r="G8" s="1388" t="s">
        <v>1282</v>
      </c>
      <c r="H8" s="1388"/>
      <c r="I8" s="1389"/>
      <c r="J8" s="1391" t="s">
        <v>1283</v>
      </c>
      <c r="K8" s="1388"/>
      <c r="L8" s="1389"/>
    </row>
    <row r="9" spans="1:12">
      <c r="A9" s="51"/>
      <c r="B9" s="1386"/>
      <c r="C9" s="808" t="s">
        <v>196</v>
      </c>
      <c r="D9" s="808" t="s">
        <v>1284</v>
      </c>
      <c r="E9" s="432" t="s">
        <v>1285</v>
      </c>
      <c r="F9" s="433" t="s">
        <v>1227</v>
      </c>
      <c r="G9" s="432" t="s">
        <v>196</v>
      </c>
      <c r="H9" s="432" t="s">
        <v>1284</v>
      </c>
      <c r="I9" s="432" t="s">
        <v>1285</v>
      </c>
      <c r="J9" s="808" t="s">
        <v>196</v>
      </c>
      <c r="K9" s="432" t="s">
        <v>1284</v>
      </c>
      <c r="L9" s="432" t="s">
        <v>1285</v>
      </c>
    </row>
    <row r="10" spans="1:12">
      <c r="A10" s="51" t="s">
        <v>331</v>
      </c>
      <c r="B10" s="434" t="s">
        <v>1286</v>
      </c>
      <c r="C10" s="255"/>
      <c r="D10" s="255"/>
      <c r="E10" s="435"/>
      <c r="F10" s="436"/>
      <c r="G10" s="435"/>
      <c r="H10" s="435"/>
      <c r="I10" s="435"/>
      <c r="J10" s="255"/>
      <c r="K10" s="435"/>
      <c r="L10" s="435"/>
    </row>
    <row r="11" spans="1:12">
      <c r="A11" s="571">
        <v>1</v>
      </c>
      <c r="B11" s="495" t="s">
        <v>2372</v>
      </c>
      <c r="C11" s="816">
        <f>SUM(D11:E11)</f>
        <v>7342063.9400000004</v>
      </c>
      <c r="D11" s="994">
        <v>3520700.4444488105</v>
      </c>
      <c r="E11" s="994">
        <v>3821363.4955511899</v>
      </c>
      <c r="F11" s="1097" t="s">
        <v>564</v>
      </c>
      <c r="G11" s="817">
        <f t="shared" ref="G11:G42" si="0">SUM(H11:I11)</f>
        <v>-208296</v>
      </c>
      <c r="H11" s="994">
        <v>0</v>
      </c>
      <c r="I11" s="994">
        <v>-208296</v>
      </c>
      <c r="J11" s="594">
        <f>SUM(K11:L11)</f>
        <v>7133767.9400000004</v>
      </c>
      <c r="K11" s="594">
        <f>D11+H11</f>
        <v>3520700.4444488105</v>
      </c>
      <c r="L11" s="594">
        <f>E11+I11</f>
        <v>3613067.4955511899</v>
      </c>
    </row>
    <row r="12" spans="1:12">
      <c r="A12" s="571">
        <f>A11+1</f>
        <v>2</v>
      </c>
      <c r="B12" s="495" t="s">
        <v>1287</v>
      </c>
      <c r="C12" s="816">
        <f>SUM(D12:E12)</f>
        <v>147368.85</v>
      </c>
      <c r="D12" s="994">
        <v>0</v>
      </c>
      <c r="E12" s="994">
        <v>147368.85</v>
      </c>
      <c r="F12" s="1097"/>
      <c r="G12" s="817">
        <f t="shared" si="0"/>
        <v>0</v>
      </c>
      <c r="H12" s="994">
        <v>0</v>
      </c>
      <c r="I12" s="994">
        <v>0</v>
      </c>
      <c r="J12" s="594">
        <f t="shared" ref="J12:J42" si="1">SUM(K12:L12)</f>
        <v>147368.85</v>
      </c>
      <c r="K12" s="594">
        <f t="shared" ref="K12:L27" si="2">D12+H12</f>
        <v>0</v>
      </c>
      <c r="L12" s="594">
        <f t="shared" si="2"/>
        <v>147368.85</v>
      </c>
    </row>
    <row r="13" spans="1:12">
      <c r="A13" s="571">
        <f t="shared" ref="A13:A44" si="3">A12+1</f>
        <v>3</v>
      </c>
      <c r="B13" s="592" t="s">
        <v>2373</v>
      </c>
      <c r="C13" s="816">
        <f t="shared" ref="C13:C40" si="4">SUM(D13:E13)</f>
        <v>10517816.310000001</v>
      </c>
      <c r="D13" s="994">
        <v>8215416.3825770821</v>
      </c>
      <c r="E13" s="994">
        <v>2302399.9274229184</v>
      </c>
      <c r="F13" s="1097"/>
      <c r="G13" s="817">
        <f t="shared" si="0"/>
        <v>0</v>
      </c>
      <c r="H13" s="994">
        <v>0</v>
      </c>
      <c r="I13" s="994">
        <v>0</v>
      </c>
      <c r="J13" s="594">
        <f t="shared" si="1"/>
        <v>10517816.310000001</v>
      </c>
      <c r="K13" s="594">
        <f t="shared" si="2"/>
        <v>8215416.3825770821</v>
      </c>
      <c r="L13" s="594">
        <f t="shared" si="2"/>
        <v>2302399.9274229184</v>
      </c>
    </row>
    <row r="14" spans="1:12">
      <c r="A14" s="571">
        <f t="shared" si="3"/>
        <v>4</v>
      </c>
      <c r="B14" s="592" t="s">
        <v>1288</v>
      </c>
      <c r="C14" s="816">
        <f t="shared" si="4"/>
        <v>39115071.090000004</v>
      </c>
      <c r="D14" s="994">
        <v>0</v>
      </c>
      <c r="E14" s="994">
        <v>39115071.090000004</v>
      </c>
      <c r="F14" s="1097" t="s">
        <v>558</v>
      </c>
      <c r="G14" s="817">
        <f t="shared" si="0"/>
        <v>-39115071.090000004</v>
      </c>
      <c r="H14" s="994">
        <v>0</v>
      </c>
      <c r="I14" s="994">
        <v>-39115071.090000004</v>
      </c>
      <c r="J14" s="594">
        <f t="shared" si="1"/>
        <v>0</v>
      </c>
      <c r="K14" s="594">
        <f t="shared" si="2"/>
        <v>0</v>
      </c>
      <c r="L14" s="594">
        <f t="shared" si="2"/>
        <v>0</v>
      </c>
    </row>
    <row r="15" spans="1:12">
      <c r="A15" s="571">
        <f t="shared" si="3"/>
        <v>5</v>
      </c>
      <c r="B15" s="592" t="s">
        <v>2374</v>
      </c>
      <c r="C15" s="816">
        <f t="shared" si="4"/>
        <v>5180970.9600000009</v>
      </c>
      <c r="D15" s="994">
        <v>3963546.0231334683</v>
      </c>
      <c r="E15" s="994">
        <v>1217424.9368665328</v>
      </c>
      <c r="F15" s="1097"/>
      <c r="G15" s="817">
        <f t="shared" si="0"/>
        <v>0</v>
      </c>
      <c r="H15" s="994">
        <v>0</v>
      </c>
      <c r="I15" s="994">
        <v>0</v>
      </c>
      <c r="J15" s="594">
        <f t="shared" si="1"/>
        <v>5180970.9600000009</v>
      </c>
      <c r="K15" s="594">
        <f t="shared" si="2"/>
        <v>3963546.0231334683</v>
      </c>
      <c r="L15" s="594">
        <f t="shared" si="2"/>
        <v>1217424.9368665328</v>
      </c>
    </row>
    <row r="16" spans="1:12">
      <c r="A16" s="571">
        <f t="shared" si="3"/>
        <v>6</v>
      </c>
      <c r="B16" s="592" t="s">
        <v>2375</v>
      </c>
      <c r="C16" s="816">
        <f t="shared" si="4"/>
        <v>21150923.760000002</v>
      </c>
      <c r="D16" s="994">
        <v>17264528.921706598</v>
      </c>
      <c r="E16" s="994">
        <v>3886394.8382934034</v>
      </c>
      <c r="F16" s="1097"/>
      <c r="G16" s="817">
        <f t="shared" si="0"/>
        <v>0</v>
      </c>
      <c r="H16" s="994">
        <v>0</v>
      </c>
      <c r="I16" s="994">
        <v>0</v>
      </c>
      <c r="J16" s="594">
        <f t="shared" si="1"/>
        <v>21150923.760000002</v>
      </c>
      <c r="K16" s="594">
        <f t="shared" si="2"/>
        <v>17264528.921706598</v>
      </c>
      <c r="L16" s="594">
        <f t="shared" si="2"/>
        <v>3886394.8382934034</v>
      </c>
    </row>
    <row r="17" spans="1:12">
      <c r="A17" s="571">
        <f t="shared" si="3"/>
        <v>7</v>
      </c>
      <c r="B17" s="592" t="s">
        <v>1289</v>
      </c>
      <c r="C17" s="816">
        <f t="shared" si="4"/>
        <v>73.83</v>
      </c>
      <c r="D17" s="994">
        <v>0</v>
      </c>
      <c r="E17" s="994">
        <v>73.83</v>
      </c>
      <c r="F17" s="1097" t="s">
        <v>559</v>
      </c>
      <c r="G17" s="817">
        <f t="shared" si="0"/>
        <v>-73.83</v>
      </c>
      <c r="H17" s="994">
        <v>0</v>
      </c>
      <c r="I17" s="994">
        <v>-73.83</v>
      </c>
      <c r="J17" s="594">
        <f t="shared" si="1"/>
        <v>0</v>
      </c>
      <c r="K17" s="594">
        <f t="shared" si="2"/>
        <v>0</v>
      </c>
      <c r="L17" s="594">
        <f t="shared" si="2"/>
        <v>0</v>
      </c>
    </row>
    <row r="18" spans="1:12">
      <c r="A18" s="571">
        <f t="shared" si="3"/>
        <v>8</v>
      </c>
      <c r="B18" s="592" t="s">
        <v>1290</v>
      </c>
      <c r="C18" s="816">
        <f t="shared" si="4"/>
        <v>1032205.1200000001</v>
      </c>
      <c r="D18" s="994">
        <v>0</v>
      </c>
      <c r="E18" s="994">
        <v>1032205.1200000001</v>
      </c>
      <c r="F18" s="1097"/>
      <c r="G18" s="817">
        <f t="shared" si="0"/>
        <v>0</v>
      </c>
      <c r="H18" s="994">
        <v>0</v>
      </c>
      <c r="I18" s="994">
        <v>0</v>
      </c>
      <c r="J18" s="594">
        <f t="shared" si="1"/>
        <v>1032205.1200000001</v>
      </c>
      <c r="K18" s="594">
        <f t="shared" si="2"/>
        <v>0</v>
      </c>
      <c r="L18" s="594">
        <f t="shared" si="2"/>
        <v>1032205.1200000001</v>
      </c>
    </row>
    <row r="19" spans="1:12">
      <c r="A19" s="571">
        <f t="shared" si="3"/>
        <v>9</v>
      </c>
      <c r="B19" s="592" t="s">
        <v>2376</v>
      </c>
      <c r="C19" s="816">
        <f t="shared" si="4"/>
        <v>4733731.24</v>
      </c>
      <c r="D19" s="994">
        <v>3855138.5199945122</v>
      </c>
      <c r="E19" s="994">
        <v>878592.72000548814</v>
      </c>
      <c r="F19" s="1097"/>
      <c r="G19" s="817">
        <f t="shared" si="0"/>
        <v>0</v>
      </c>
      <c r="H19" s="994">
        <v>0</v>
      </c>
      <c r="I19" s="994">
        <v>0</v>
      </c>
      <c r="J19" s="594">
        <f t="shared" si="1"/>
        <v>4733731.24</v>
      </c>
      <c r="K19" s="594">
        <f t="shared" si="2"/>
        <v>3855138.5199945122</v>
      </c>
      <c r="L19" s="594">
        <f t="shared" si="2"/>
        <v>878592.72000548814</v>
      </c>
    </row>
    <row r="20" spans="1:12">
      <c r="A20" s="571">
        <f t="shared" si="3"/>
        <v>10</v>
      </c>
      <c r="B20" s="592" t="s">
        <v>2377</v>
      </c>
      <c r="C20" s="816">
        <f t="shared" si="4"/>
        <v>1390335.0200000003</v>
      </c>
      <c r="D20" s="994">
        <v>1156421.97503766</v>
      </c>
      <c r="E20" s="994">
        <v>233913.0449623403</v>
      </c>
      <c r="F20" s="1097"/>
      <c r="G20" s="817">
        <f t="shared" si="0"/>
        <v>0</v>
      </c>
      <c r="H20" s="994">
        <v>0</v>
      </c>
      <c r="I20" s="994">
        <v>0</v>
      </c>
      <c r="J20" s="594">
        <f t="shared" si="1"/>
        <v>1390335.0200000003</v>
      </c>
      <c r="K20" s="594">
        <f t="shared" si="2"/>
        <v>1156421.97503766</v>
      </c>
      <c r="L20" s="594">
        <f t="shared" si="2"/>
        <v>233913.0449623403</v>
      </c>
    </row>
    <row r="21" spans="1:12">
      <c r="A21" s="571">
        <f t="shared" si="3"/>
        <v>11</v>
      </c>
      <c r="B21" s="592" t="s">
        <v>2378</v>
      </c>
      <c r="C21" s="816">
        <f t="shared" si="4"/>
        <v>-267656.76</v>
      </c>
      <c r="D21" s="994">
        <v>0</v>
      </c>
      <c r="E21" s="994">
        <v>-267656.76</v>
      </c>
      <c r="F21" s="1097"/>
      <c r="G21" s="817">
        <f t="shared" si="0"/>
        <v>0</v>
      </c>
      <c r="H21" s="994">
        <v>0</v>
      </c>
      <c r="I21" s="994">
        <v>0</v>
      </c>
      <c r="J21" s="594">
        <f t="shared" si="1"/>
        <v>-267656.76</v>
      </c>
      <c r="K21" s="594">
        <f t="shared" si="2"/>
        <v>0</v>
      </c>
      <c r="L21" s="594">
        <f t="shared" si="2"/>
        <v>-267656.76</v>
      </c>
    </row>
    <row r="22" spans="1:12">
      <c r="A22" s="571">
        <f t="shared" si="3"/>
        <v>12</v>
      </c>
      <c r="B22" s="592" t="s">
        <v>1292</v>
      </c>
      <c r="C22" s="816">
        <f t="shared" si="4"/>
        <v>9539402.9500000011</v>
      </c>
      <c r="D22" s="994">
        <v>0</v>
      </c>
      <c r="E22" s="994">
        <v>9539402.9500000011</v>
      </c>
      <c r="F22" s="1097" t="s">
        <v>560</v>
      </c>
      <c r="G22" s="818">
        <f t="shared" si="0"/>
        <v>-9539402.9500000011</v>
      </c>
      <c r="H22" s="994">
        <v>0</v>
      </c>
      <c r="I22" s="994">
        <v>-9539402.9500000011</v>
      </c>
      <c r="J22" s="594">
        <f t="shared" si="1"/>
        <v>0</v>
      </c>
      <c r="K22" s="594">
        <f t="shared" si="2"/>
        <v>0</v>
      </c>
      <c r="L22" s="594">
        <f t="shared" si="2"/>
        <v>0</v>
      </c>
    </row>
    <row r="23" spans="1:12">
      <c r="A23" s="571">
        <f t="shared" si="3"/>
        <v>13</v>
      </c>
      <c r="B23" s="592" t="s">
        <v>1293</v>
      </c>
      <c r="C23" s="816">
        <f t="shared" si="4"/>
        <v>243419.62</v>
      </c>
      <c r="D23" s="994">
        <v>0</v>
      </c>
      <c r="E23" s="994">
        <v>243419.62</v>
      </c>
      <c r="F23" s="1097"/>
      <c r="G23" s="817">
        <f t="shared" si="0"/>
        <v>0</v>
      </c>
      <c r="H23" s="994">
        <v>0</v>
      </c>
      <c r="I23" s="994">
        <v>0</v>
      </c>
      <c r="J23" s="594">
        <f t="shared" si="1"/>
        <v>243419.62</v>
      </c>
      <c r="K23" s="594">
        <f t="shared" si="2"/>
        <v>0</v>
      </c>
      <c r="L23" s="594">
        <f t="shared" si="2"/>
        <v>243419.62</v>
      </c>
    </row>
    <row r="24" spans="1:12">
      <c r="A24" s="571">
        <f t="shared" si="3"/>
        <v>14</v>
      </c>
      <c r="B24" s="592" t="s">
        <v>2379</v>
      </c>
      <c r="C24" s="816">
        <f t="shared" si="4"/>
        <v>44312184.370000005</v>
      </c>
      <c r="D24" s="994">
        <v>21104375.955378231</v>
      </c>
      <c r="E24" s="994">
        <v>23207808.414621774</v>
      </c>
      <c r="F24" s="1097" t="s">
        <v>563</v>
      </c>
      <c r="G24" s="817">
        <f>SUM(H24:I24)</f>
        <v>-10311.210000000001</v>
      </c>
      <c r="H24" s="994">
        <v>-6802.3782991421504</v>
      </c>
      <c r="I24" s="994">
        <v>-3508.8317008578501</v>
      </c>
      <c r="J24" s="594">
        <f>SUM(K24:L24)</f>
        <v>44301873.160000004</v>
      </c>
      <c r="K24" s="594">
        <f t="shared" si="2"/>
        <v>21097573.577079087</v>
      </c>
      <c r="L24" s="594">
        <f t="shared" si="2"/>
        <v>23204299.582920916</v>
      </c>
    </row>
    <row r="25" spans="1:12">
      <c r="A25" s="571">
        <f t="shared" si="3"/>
        <v>15</v>
      </c>
      <c r="B25" s="592" t="s">
        <v>1294</v>
      </c>
      <c r="C25" s="816">
        <f t="shared" si="4"/>
        <v>-34008592.770000003</v>
      </c>
      <c r="D25" s="994">
        <v>59372.142903069354</v>
      </c>
      <c r="E25" s="994">
        <v>-34067964.91290307</v>
      </c>
      <c r="F25" s="1097" t="s">
        <v>561</v>
      </c>
      <c r="G25" s="817">
        <f>SUM(H25:I25)</f>
        <v>34008592.770000003</v>
      </c>
      <c r="H25" s="994">
        <v>-59372.142903069398</v>
      </c>
      <c r="I25" s="994">
        <v>34067964.91290307</v>
      </c>
      <c r="J25" s="594">
        <f t="shared" si="1"/>
        <v>0</v>
      </c>
      <c r="K25" s="594">
        <f t="shared" si="2"/>
        <v>0</v>
      </c>
      <c r="L25" s="594">
        <f t="shared" si="2"/>
        <v>0</v>
      </c>
    </row>
    <row r="26" spans="1:12">
      <c r="A26" s="571">
        <f t="shared" si="3"/>
        <v>16</v>
      </c>
      <c r="B26" s="592" t="s">
        <v>1295</v>
      </c>
      <c r="C26" s="816">
        <f t="shared" si="4"/>
        <v>944337.63000000012</v>
      </c>
      <c r="D26" s="994">
        <v>0</v>
      </c>
      <c r="E26" s="994">
        <v>944337.63000000012</v>
      </c>
      <c r="F26" s="1097"/>
      <c r="G26" s="817">
        <f t="shared" si="0"/>
        <v>0</v>
      </c>
      <c r="H26" s="994">
        <v>0</v>
      </c>
      <c r="I26" s="994">
        <v>0</v>
      </c>
      <c r="J26" s="594">
        <f t="shared" si="1"/>
        <v>944337.63000000012</v>
      </c>
      <c r="K26" s="594">
        <f t="shared" si="2"/>
        <v>0</v>
      </c>
      <c r="L26" s="594">
        <f t="shared" si="2"/>
        <v>944337.63000000012</v>
      </c>
    </row>
    <row r="27" spans="1:12">
      <c r="A27" s="571">
        <f t="shared" si="3"/>
        <v>17</v>
      </c>
      <c r="B27" s="592" t="s">
        <v>2367</v>
      </c>
      <c r="C27" s="816">
        <f t="shared" si="4"/>
        <v>15401559.169999998</v>
      </c>
      <c r="D27" s="994">
        <v>5528.6026917413601</v>
      </c>
      <c r="E27" s="994">
        <v>15396030.567308256</v>
      </c>
      <c r="F27" s="1097"/>
      <c r="G27" s="818">
        <f t="shared" si="0"/>
        <v>0</v>
      </c>
      <c r="H27" s="994">
        <v>0</v>
      </c>
      <c r="I27" s="994">
        <v>0</v>
      </c>
      <c r="J27" s="594">
        <f t="shared" si="1"/>
        <v>15401559.169999998</v>
      </c>
      <c r="K27" s="594">
        <f t="shared" si="2"/>
        <v>5528.6026917413601</v>
      </c>
      <c r="L27" s="594">
        <f t="shared" si="2"/>
        <v>15396030.567308256</v>
      </c>
    </row>
    <row r="28" spans="1:12">
      <c r="A28" s="111">
        <f t="shared" si="3"/>
        <v>18</v>
      </c>
      <c r="B28" s="592" t="s">
        <v>1296</v>
      </c>
      <c r="C28" s="816">
        <f t="shared" si="4"/>
        <v>107252.15000000001</v>
      </c>
      <c r="D28" s="994">
        <v>0</v>
      </c>
      <c r="E28" s="994">
        <v>107252.15000000001</v>
      </c>
      <c r="F28" s="1097"/>
      <c r="G28" s="817">
        <f t="shared" si="0"/>
        <v>0</v>
      </c>
      <c r="H28" s="994">
        <v>0</v>
      </c>
      <c r="I28" s="994">
        <v>0</v>
      </c>
      <c r="J28" s="835">
        <f t="shared" si="1"/>
        <v>107252.15000000001</v>
      </c>
      <c r="K28" s="835">
        <f t="shared" ref="K28:L40" si="5">D28+H28</f>
        <v>0</v>
      </c>
      <c r="L28" s="835">
        <f t="shared" si="5"/>
        <v>107252.15000000001</v>
      </c>
    </row>
    <row r="29" spans="1:12">
      <c r="A29" s="111">
        <f t="shared" si="3"/>
        <v>19</v>
      </c>
      <c r="B29" s="592" t="s">
        <v>1297</v>
      </c>
      <c r="C29" s="816">
        <f t="shared" si="4"/>
        <v>189601.02000000002</v>
      </c>
      <c r="D29" s="994">
        <v>0</v>
      </c>
      <c r="E29" s="994">
        <v>189601.02000000002</v>
      </c>
      <c r="F29" s="1097"/>
      <c r="G29" s="818">
        <f t="shared" si="0"/>
        <v>0</v>
      </c>
      <c r="H29" s="994">
        <v>0</v>
      </c>
      <c r="I29" s="994">
        <v>0</v>
      </c>
      <c r="J29" s="835">
        <f t="shared" ref="J29" si="6">SUM(K29:L29)</f>
        <v>189601.02000000002</v>
      </c>
      <c r="K29" s="835">
        <f t="shared" ref="K29" si="7">D29+H29</f>
        <v>0</v>
      </c>
      <c r="L29" s="835">
        <f t="shared" ref="L29" si="8">E29+I29</f>
        <v>189601.02000000002</v>
      </c>
    </row>
    <row r="30" spans="1:12">
      <c r="A30" s="111">
        <f t="shared" si="3"/>
        <v>20</v>
      </c>
      <c r="B30" s="592" t="s">
        <v>2380</v>
      </c>
      <c r="C30" s="816">
        <f t="shared" si="4"/>
        <v>2384823.7600000002</v>
      </c>
      <c r="D30" s="994">
        <v>2049481.7976254995</v>
      </c>
      <c r="E30" s="994">
        <v>335341.96237450064</v>
      </c>
      <c r="F30" s="1097"/>
      <c r="G30" s="817">
        <f t="shared" si="0"/>
        <v>0</v>
      </c>
      <c r="H30" s="994">
        <v>0</v>
      </c>
      <c r="I30" s="994">
        <v>0</v>
      </c>
      <c r="J30" s="594">
        <f t="shared" si="1"/>
        <v>2384823.7600000002</v>
      </c>
      <c r="K30" s="594">
        <f t="shared" si="5"/>
        <v>2049481.7976254995</v>
      </c>
      <c r="L30" s="594">
        <f t="shared" si="5"/>
        <v>335341.96237450064</v>
      </c>
    </row>
    <row r="31" spans="1:12">
      <c r="A31" s="111">
        <f t="shared" si="3"/>
        <v>21</v>
      </c>
      <c r="B31" s="592" t="s">
        <v>1298</v>
      </c>
      <c r="C31" s="816">
        <f t="shared" si="4"/>
        <v>192593.95</v>
      </c>
      <c r="D31" s="994">
        <v>0</v>
      </c>
      <c r="E31" s="994">
        <v>192593.95</v>
      </c>
      <c r="F31" s="1097"/>
      <c r="G31" s="817">
        <f t="shared" si="0"/>
        <v>0</v>
      </c>
      <c r="H31" s="994">
        <v>0</v>
      </c>
      <c r="I31" s="994">
        <v>0</v>
      </c>
      <c r="J31" s="594">
        <f t="shared" si="1"/>
        <v>192593.95</v>
      </c>
      <c r="K31" s="594">
        <f t="shared" si="5"/>
        <v>0</v>
      </c>
      <c r="L31" s="594">
        <f t="shared" si="5"/>
        <v>192593.95</v>
      </c>
    </row>
    <row r="32" spans="1:12">
      <c r="A32" s="111">
        <f t="shared" si="3"/>
        <v>22</v>
      </c>
      <c r="B32" s="592" t="s">
        <v>2381</v>
      </c>
      <c r="C32" s="816">
        <f t="shared" si="4"/>
        <v>36080405.620000005</v>
      </c>
      <c r="D32" s="994">
        <v>42016.736451102086</v>
      </c>
      <c r="E32" s="994">
        <v>36038388.8835489</v>
      </c>
      <c r="F32" s="1097" t="s">
        <v>562</v>
      </c>
      <c r="G32" s="817">
        <f t="shared" si="0"/>
        <v>-32917251</v>
      </c>
      <c r="H32" s="994">
        <v>0</v>
      </c>
      <c r="I32" s="994">
        <v>-32917251</v>
      </c>
      <c r="J32" s="594">
        <f t="shared" si="1"/>
        <v>3163154.6200000024</v>
      </c>
      <c r="K32" s="594">
        <f t="shared" si="5"/>
        <v>42016.736451102086</v>
      </c>
      <c r="L32" s="594">
        <f t="shared" si="5"/>
        <v>3121137.8835489005</v>
      </c>
    </row>
    <row r="33" spans="1:12">
      <c r="A33" s="111">
        <f t="shared" si="3"/>
        <v>23</v>
      </c>
      <c r="B33" s="592" t="s">
        <v>1299</v>
      </c>
      <c r="C33" s="816">
        <f t="shared" si="4"/>
        <v>242950.01</v>
      </c>
      <c r="D33" s="994">
        <v>0</v>
      </c>
      <c r="E33" s="994">
        <v>242950.01</v>
      </c>
      <c r="F33" s="1097"/>
      <c r="G33" s="817">
        <f t="shared" si="0"/>
        <v>0</v>
      </c>
      <c r="H33" s="994">
        <v>0</v>
      </c>
      <c r="I33" s="994">
        <v>0</v>
      </c>
      <c r="J33" s="594">
        <f t="shared" si="1"/>
        <v>242950.01</v>
      </c>
      <c r="K33" s="594">
        <f t="shared" si="5"/>
        <v>0</v>
      </c>
      <c r="L33" s="594">
        <f t="shared" si="5"/>
        <v>242950.01</v>
      </c>
    </row>
    <row r="34" spans="1:12">
      <c r="A34" s="111">
        <f t="shared" si="3"/>
        <v>24</v>
      </c>
      <c r="B34" s="592" t="s">
        <v>2382</v>
      </c>
      <c r="C34" s="816">
        <f t="shared" si="4"/>
        <v>10828014.199999999</v>
      </c>
      <c r="D34" s="994">
        <v>5048010.0304463394</v>
      </c>
      <c r="E34" s="994">
        <v>5780004.1695536599</v>
      </c>
      <c r="F34" s="1097"/>
      <c r="G34" s="817">
        <f t="shared" si="0"/>
        <v>0</v>
      </c>
      <c r="H34" s="994">
        <v>0</v>
      </c>
      <c r="I34" s="994">
        <v>0</v>
      </c>
      <c r="J34" s="594">
        <f t="shared" si="1"/>
        <v>10828014.199999999</v>
      </c>
      <c r="K34" s="594">
        <f t="shared" si="5"/>
        <v>5048010.0304463394</v>
      </c>
      <c r="L34" s="594">
        <f t="shared" si="5"/>
        <v>5780004.1695536599</v>
      </c>
    </row>
    <row r="35" spans="1:12">
      <c r="A35" s="111">
        <f t="shared" si="3"/>
        <v>25</v>
      </c>
      <c r="B35" s="592" t="s">
        <v>1300</v>
      </c>
      <c r="C35" s="816">
        <f t="shared" si="4"/>
        <v>1655072.69</v>
      </c>
      <c r="D35" s="994">
        <v>744.12999999999988</v>
      </c>
      <c r="E35" s="994">
        <v>1654328.56</v>
      </c>
      <c r="F35" s="1097"/>
      <c r="G35" s="817">
        <f t="shared" si="0"/>
        <v>0</v>
      </c>
      <c r="H35" s="994">
        <v>0</v>
      </c>
      <c r="I35" s="994">
        <v>0</v>
      </c>
      <c r="J35" s="594">
        <f t="shared" si="1"/>
        <v>1655072.69</v>
      </c>
      <c r="K35" s="594">
        <f t="shared" si="5"/>
        <v>744.12999999999988</v>
      </c>
      <c r="L35" s="594">
        <f t="shared" si="5"/>
        <v>1654328.56</v>
      </c>
    </row>
    <row r="36" spans="1:12">
      <c r="A36" s="111">
        <f t="shared" si="3"/>
        <v>26</v>
      </c>
      <c r="B36" s="592" t="s">
        <v>2383</v>
      </c>
      <c r="C36" s="816">
        <f t="shared" si="4"/>
        <v>38881911.770000011</v>
      </c>
      <c r="D36" s="994">
        <v>9142174.4406099934</v>
      </c>
      <c r="E36" s="994">
        <v>29739737.329390019</v>
      </c>
      <c r="F36" s="1097" t="s">
        <v>563</v>
      </c>
      <c r="G36" s="817">
        <f t="shared" si="0"/>
        <v>-4213791.8000000007</v>
      </c>
      <c r="H36" s="994">
        <v>-7563.5265959953003</v>
      </c>
      <c r="I36" s="994">
        <v>-4206228.273404005</v>
      </c>
      <c r="J36" s="594">
        <f t="shared" si="1"/>
        <v>34668119.970000014</v>
      </c>
      <c r="K36" s="594">
        <f t="shared" si="5"/>
        <v>9134610.9140139986</v>
      </c>
      <c r="L36" s="594">
        <f t="shared" si="5"/>
        <v>25533509.055986013</v>
      </c>
    </row>
    <row r="37" spans="1:12">
      <c r="A37" s="111">
        <f t="shared" si="3"/>
        <v>27</v>
      </c>
      <c r="B37" s="592" t="s">
        <v>1301</v>
      </c>
      <c r="C37" s="816">
        <f t="shared" si="4"/>
        <v>393016.65</v>
      </c>
      <c r="D37" s="994">
        <v>0</v>
      </c>
      <c r="E37" s="994">
        <v>393016.65</v>
      </c>
      <c r="F37" s="1097"/>
      <c r="G37" s="817">
        <f t="shared" si="0"/>
        <v>0</v>
      </c>
      <c r="H37" s="994">
        <v>0</v>
      </c>
      <c r="I37" s="994">
        <v>0</v>
      </c>
      <c r="J37" s="594">
        <f t="shared" si="1"/>
        <v>393016.65</v>
      </c>
      <c r="K37" s="594">
        <f t="shared" si="5"/>
        <v>0</v>
      </c>
      <c r="L37" s="594">
        <f t="shared" si="5"/>
        <v>393016.65</v>
      </c>
    </row>
    <row r="38" spans="1:12">
      <c r="A38" s="111">
        <f t="shared" si="3"/>
        <v>28</v>
      </c>
      <c r="B38" s="592" t="s">
        <v>2384</v>
      </c>
      <c r="C38" s="816">
        <f t="shared" si="4"/>
        <v>388986.69</v>
      </c>
      <c r="D38" s="994">
        <v>203477.59688660022</v>
      </c>
      <c r="E38" s="994">
        <v>185509.09311339978</v>
      </c>
      <c r="F38" s="1097"/>
      <c r="G38" s="817">
        <f t="shared" si="0"/>
        <v>0</v>
      </c>
      <c r="H38" s="994">
        <v>0</v>
      </c>
      <c r="I38" s="994">
        <v>0</v>
      </c>
      <c r="J38" s="594">
        <f t="shared" si="1"/>
        <v>388986.69</v>
      </c>
      <c r="K38" s="594">
        <f t="shared" si="5"/>
        <v>203477.59688660022</v>
      </c>
      <c r="L38" s="594">
        <f t="shared" si="5"/>
        <v>185509.09311339978</v>
      </c>
    </row>
    <row r="39" spans="1:12">
      <c r="A39" s="111">
        <f t="shared" si="3"/>
        <v>29</v>
      </c>
      <c r="B39" s="592" t="s">
        <v>1303</v>
      </c>
      <c r="C39" s="816">
        <f t="shared" si="4"/>
        <v>2321.62</v>
      </c>
      <c r="D39" s="994">
        <v>0</v>
      </c>
      <c r="E39" s="994">
        <v>2321.62</v>
      </c>
      <c r="F39" s="1097"/>
      <c r="G39" s="817">
        <f t="shared" si="0"/>
        <v>0</v>
      </c>
      <c r="H39" s="994">
        <v>0</v>
      </c>
      <c r="I39" s="994">
        <v>0</v>
      </c>
      <c r="J39" s="594">
        <f t="shared" si="1"/>
        <v>2321.62</v>
      </c>
      <c r="K39" s="594">
        <f t="shared" si="5"/>
        <v>0</v>
      </c>
      <c r="L39" s="594">
        <f t="shared" si="5"/>
        <v>2321.62</v>
      </c>
    </row>
    <row r="40" spans="1:12">
      <c r="A40" s="111">
        <f t="shared" si="3"/>
        <v>30</v>
      </c>
      <c r="B40" s="592" t="s">
        <v>2385</v>
      </c>
      <c r="C40" s="816">
        <f t="shared" si="4"/>
        <v>2970933.63</v>
      </c>
      <c r="D40" s="994">
        <v>1053186.9550977601</v>
      </c>
      <c r="E40" s="994">
        <v>1917746.67490224</v>
      </c>
      <c r="F40" s="1097"/>
      <c r="G40" s="817">
        <f t="shared" si="0"/>
        <v>0</v>
      </c>
      <c r="H40" s="994">
        <v>0</v>
      </c>
      <c r="I40" s="994">
        <v>0</v>
      </c>
      <c r="J40" s="594">
        <f t="shared" si="1"/>
        <v>2970933.63</v>
      </c>
      <c r="K40" s="594">
        <f t="shared" si="5"/>
        <v>1053186.9550977601</v>
      </c>
      <c r="L40" s="594">
        <f t="shared" si="5"/>
        <v>1917746.67490224</v>
      </c>
    </row>
    <row r="41" spans="1:12" ht="15">
      <c r="A41" s="111">
        <f t="shared" si="3"/>
        <v>31</v>
      </c>
      <c r="B41" s="532" t="s">
        <v>510</v>
      </c>
      <c r="C41" s="821" t="s">
        <v>76</v>
      </c>
      <c r="D41" s="821" t="s">
        <v>76</v>
      </c>
      <c r="E41" s="821" t="s">
        <v>76</v>
      </c>
      <c r="F41" s="821" t="s">
        <v>76</v>
      </c>
      <c r="G41" s="818">
        <f t="shared" si="0"/>
        <v>0</v>
      </c>
      <c r="H41" s="821" t="s">
        <v>76</v>
      </c>
      <c r="I41" s="821" t="s">
        <v>76</v>
      </c>
      <c r="J41" s="437"/>
      <c r="K41" s="437"/>
      <c r="L41" s="437"/>
    </row>
    <row r="42" spans="1:12">
      <c r="A42" s="111">
        <f t="shared" si="3"/>
        <v>32</v>
      </c>
      <c r="B42" s="592" t="s">
        <v>2020</v>
      </c>
      <c r="C42" s="822">
        <v>0</v>
      </c>
      <c r="D42" s="822">
        <v>0</v>
      </c>
      <c r="E42" s="822">
        <v>0</v>
      </c>
      <c r="F42" s="837"/>
      <c r="G42" s="823">
        <f t="shared" si="0"/>
        <v>11010551.80557367</v>
      </c>
      <c r="H42" s="824">
        <f>+C64*C145</f>
        <v>11010551.80557367</v>
      </c>
      <c r="I42" s="824">
        <v>0</v>
      </c>
      <c r="J42" s="825">
        <f t="shared" si="1"/>
        <v>11010551.80557367</v>
      </c>
      <c r="K42" s="825">
        <f>D42+H42</f>
        <v>11010551.80557367</v>
      </c>
      <c r="L42" s="825">
        <f>E42+I42</f>
        <v>0</v>
      </c>
    </row>
    <row r="43" spans="1:12">
      <c r="A43" s="111">
        <f t="shared" si="3"/>
        <v>33</v>
      </c>
      <c r="B43" s="438" t="s">
        <v>1304</v>
      </c>
      <c r="C43" s="816">
        <f>SUM(C11:C42)</f>
        <v>221093098.09</v>
      </c>
      <c r="D43" s="826">
        <f>SUM(D11:D42)</f>
        <v>76684120.654988483</v>
      </c>
      <c r="E43" s="826">
        <f>SUM(E11:E42)</f>
        <v>144408977.43501157</v>
      </c>
      <c r="F43" s="827"/>
      <c r="G43" s="827">
        <f t="shared" ref="G43:L43" si="9">SUM(G11:G42)</f>
        <v>-40985053.304426327</v>
      </c>
      <c r="H43" s="828">
        <f t="shared" si="9"/>
        <v>10936813.757775463</v>
      </c>
      <c r="I43" s="828">
        <f t="shared" si="9"/>
        <v>-51921867.062201798</v>
      </c>
      <c r="J43" s="828">
        <f t="shared" si="9"/>
        <v>180108044.78557372</v>
      </c>
      <c r="K43" s="828">
        <f t="shared" si="9"/>
        <v>87620934.412763938</v>
      </c>
      <c r="L43" s="828">
        <f t="shared" si="9"/>
        <v>92487110.372809768</v>
      </c>
    </row>
    <row r="44" spans="1:12">
      <c r="A44" s="111">
        <f t="shared" si="3"/>
        <v>34</v>
      </c>
      <c r="B44" s="514"/>
      <c r="C44" s="829"/>
      <c r="D44" s="830"/>
      <c r="E44" s="830"/>
      <c r="F44" s="831"/>
      <c r="G44" s="832"/>
      <c r="H44" s="833"/>
      <c r="I44" s="833"/>
      <c r="J44" s="594"/>
      <c r="K44" s="594"/>
      <c r="L44" s="594"/>
    </row>
    <row r="45" spans="1:12">
      <c r="A45" s="571"/>
      <c r="B45" s="438"/>
      <c r="C45" s="830"/>
      <c r="D45" s="830"/>
      <c r="E45" s="830"/>
      <c r="F45" s="831"/>
      <c r="G45" s="834"/>
      <c r="H45" s="830"/>
      <c r="I45" s="830"/>
      <c r="J45" s="830"/>
      <c r="K45" s="830"/>
      <c r="L45" s="830"/>
    </row>
    <row r="46" spans="1:12">
      <c r="A46" s="571"/>
      <c r="B46" s="427" t="s">
        <v>360</v>
      </c>
      <c r="C46" s="427" t="s">
        <v>344</v>
      </c>
      <c r="D46" s="427" t="s">
        <v>345</v>
      </c>
      <c r="E46" s="427" t="s">
        <v>346</v>
      </c>
      <c r="F46" s="428" t="s">
        <v>347</v>
      </c>
      <c r="G46" s="427" t="s">
        <v>348</v>
      </c>
      <c r="H46" s="427" t="s">
        <v>349</v>
      </c>
      <c r="I46" s="427" t="s">
        <v>541</v>
      </c>
      <c r="J46" s="427" t="s">
        <v>958</v>
      </c>
      <c r="K46" s="427" t="s">
        <v>971</v>
      </c>
      <c r="L46" s="427" t="s">
        <v>974</v>
      </c>
    </row>
    <row r="47" spans="1:12">
      <c r="A47" s="571"/>
      <c r="B47" s="438"/>
      <c r="C47" s="1302" t="s">
        <v>1275</v>
      </c>
      <c r="D47" s="425"/>
      <c r="E47" s="425"/>
      <c r="F47" s="809" t="s">
        <v>362</v>
      </c>
      <c r="G47" s="1302" t="s">
        <v>1276</v>
      </c>
      <c r="H47" s="429"/>
      <c r="I47" s="429"/>
      <c r="J47" s="1302" t="s">
        <v>1277</v>
      </c>
      <c r="K47" s="1302" t="s">
        <v>1278</v>
      </c>
      <c r="L47" s="1303" t="s">
        <v>1279</v>
      </c>
    </row>
    <row r="48" spans="1:12">
      <c r="A48" s="571"/>
      <c r="C48" s="829"/>
      <c r="D48" s="830"/>
      <c r="E48" s="830"/>
      <c r="F48" s="831"/>
      <c r="G48" s="832"/>
      <c r="H48" s="830"/>
      <c r="I48" s="830"/>
      <c r="J48" s="594"/>
      <c r="K48" s="594"/>
      <c r="L48" s="594"/>
    </row>
    <row r="49" spans="1:12">
      <c r="A49" s="571"/>
      <c r="B49" s="1385" t="s">
        <v>1280</v>
      </c>
      <c r="C49" s="1387" t="s">
        <v>1281</v>
      </c>
      <c r="D49" s="1387"/>
      <c r="E49" s="1387"/>
      <c r="F49" s="431"/>
      <c r="G49" s="1388" t="s">
        <v>1282</v>
      </c>
      <c r="H49" s="1388"/>
      <c r="I49" s="1389"/>
      <c r="J49" s="1391" t="s">
        <v>1283</v>
      </c>
      <c r="K49" s="1388"/>
      <c r="L49" s="1389"/>
    </row>
    <row r="50" spans="1:12">
      <c r="A50" s="571"/>
      <c r="B50" s="1386"/>
      <c r="C50" s="808" t="s">
        <v>196</v>
      </c>
      <c r="D50" s="808" t="s">
        <v>1284</v>
      </c>
      <c r="E50" s="432" t="s">
        <v>1285</v>
      </c>
      <c r="F50" s="433" t="s">
        <v>1227</v>
      </c>
      <c r="G50" s="432" t="s">
        <v>196</v>
      </c>
      <c r="H50" s="432" t="s">
        <v>1284</v>
      </c>
      <c r="I50" s="432" t="s">
        <v>1285</v>
      </c>
      <c r="J50" s="808" t="s">
        <v>196</v>
      </c>
      <c r="K50" s="432" t="s">
        <v>1284</v>
      </c>
      <c r="L50" s="432" t="s">
        <v>1285</v>
      </c>
    </row>
    <row r="51" spans="1:12">
      <c r="A51" s="571"/>
      <c r="B51" s="439" t="s">
        <v>1305</v>
      </c>
      <c r="C51" s="255"/>
      <c r="D51" s="255"/>
      <c r="E51" s="435"/>
      <c r="F51" s="436"/>
      <c r="G51" s="435"/>
      <c r="H51" s="435"/>
      <c r="I51" s="435"/>
      <c r="J51" s="255"/>
      <c r="K51" s="435"/>
      <c r="L51" s="435"/>
    </row>
    <row r="52" spans="1:12">
      <c r="A52" s="111">
        <f>A44+1</f>
        <v>35</v>
      </c>
      <c r="B52" s="592" t="s">
        <v>2370</v>
      </c>
      <c r="C52" s="835">
        <f t="shared" ref="C52:C56" si="10">SUM(D52:E52)</f>
        <v>35012490.969999999</v>
      </c>
      <c r="D52" s="994">
        <v>26445837.651692614</v>
      </c>
      <c r="E52" s="994">
        <v>8566653.3183073848</v>
      </c>
      <c r="F52" s="1097"/>
      <c r="G52" s="832">
        <f t="shared" ref="G52:G56" si="11">SUM(H52:I52)</f>
        <v>0</v>
      </c>
      <c r="H52" s="994">
        <v>0</v>
      </c>
      <c r="I52" s="994">
        <v>0</v>
      </c>
      <c r="J52" s="594">
        <f t="shared" ref="J52:J56" si="12">SUM(K52:L52)</f>
        <v>35012490.969999999</v>
      </c>
      <c r="K52" s="594">
        <f t="shared" ref="K52:L57" si="13">D52+H52</f>
        <v>26445837.651692614</v>
      </c>
      <c r="L52" s="594">
        <f t="shared" si="13"/>
        <v>8566653.3183073848</v>
      </c>
    </row>
    <row r="53" spans="1:12">
      <c r="A53" s="111">
        <f t="shared" ref="A53:A62" si="14">A52+1</f>
        <v>36</v>
      </c>
      <c r="B53" s="592" t="s">
        <v>1306</v>
      </c>
      <c r="C53" s="835">
        <f t="shared" si="10"/>
        <v>2386347.5300000007</v>
      </c>
      <c r="D53" s="994">
        <v>2048868.7541387454</v>
      </c>
      <c r="E53" s="994">
        <v>337478.77586125542</v>
      </c>
      <c r="F53" s="1097"/>
      <c r="G53" s="832">
        <f t="shared" si="11"/>
        <v>0</v>
      </c>
      <c r="H53" s="994">
        <v>0</v>
      </c>
      <c r="I53" s="994">
        <v>0</v>
      </c>
      <c r="J53" s="594">
        <f t="shared" si="12"/>
        <v>2386347.5300000007</v>
      </c>
      <c r="K53" s="594">
        <f t="shared" si="13"/>
        <v>2048868.7541387454</v>
      </c>
      <c r="L53" s="594">
        <f t="shared" si="13"/>
        <v>337478.77586125542</v>
      </c>
    </row>
    <row r="54" spans="1:12">
      <c r="A54" s="111">
        <f t="shared" si="14"/>
        <v>37</v>
      </c>
      <c r="B54" s="592" t="s">
        <v>1307</v>
      </c>
      <c r="C54" s="835">
        <f t="shared" si="10"/>
        <v>72359.460000000006</v>
      </c>
      <c r="D54" s="994">
        <v>7390.4000511447894</v>
      </c>
      <c r="E54" s="994">
        <v>64969.059948855211</v>
      </c>
      <c r="F54" s="1097"/>
      <c r="G54" s="832">
        <f t="shared" si="11"/>
        <v>0</v>
      </c>
      <c r="H54" s="994">
        <v>0</v>
      </c>
      <c r="I54" s="994">
        <v>0</v>
      </c>
      <c r="J54" s="594">
        <f t="shared" si="12"/>
        <v>72359.460000000006</v>
      </c>
      <c r="K54" s="594">
        <f t="shared" si="13"/>
        <v>7390.4000511447894</v>
      </c>
      <c r="L54" s="594">
        <f t="shared" si="13"/>
        <v>64969.059948855211</v>
      </c>
    </row>
    <row r="55" spans="1:12">
      <c r="A55" s="111">
        <f t="shared" si="14"/>
        <v>38</v>
      </c>
      <c r="B55" s="592" t="s">
        <v>2371</v>
      </c>
      <c r="C55" s="835">
        <f t="shared" si="10"/>
        <v>10261821.489999998</v>
      </c>
      <c r="D55" s="994">
        <v>5375621.5328013962</v>
      </c>
      <c r="E55" s="994">
        <v>4886199.9571986021</v>
      </c>
      <c r="F55" s="1097"/>
      <c r="G55" s="832">
        <f t="shared" si="11"/>
        <v>0</v>
      </c>
      <c r="H55" s="994">
        <v>0</v>
      </c>
      <c r="I55" s="994">
        <v>0</v>
      </c>
      <c r="J55" s="594">
        <f t="shared" si="12"/>
        <v>10261821.489999998</v>
      </c>
      <c r="K55" s="594">
        <f t="shared" si="13"/>
        <v>5375621.5328013962</v>
      </c>
      <c r="L55" s="594">
        <f t="shared" si="13"/>
        <v>4886199.9571986021</v>
      </c>
    </row>
    <row r="56" spans="1:12">
      <c r="A56" s="111">
        <f t="shared" si="14"/>
        <v>39</v>
      </c>
      <c r="B56" s="592" t="s">
        <v>1308</v>
      </c>
      <c r="C56" s="835">
        <f t="shared" si="10"/>
        <v>475672744.4000001</v>
      </c>
      <c r="D56" s="994">
        <v>203269818.45850527</v>
      </c>
      <c r="E56" s="994">
        <v>272402925.94149482</v>
      </c>
      <c r="F56" s="1097" t="s">
        <v>563</v>
      </c>
      <c r="G56" s="910">
        <f t="shared" si="11"/>
        <v>-7072864.9400000023</v>
      </c>
      <c r="H56" s="994">
        <v>-458228.88625109714</v>
      </c>
      <c r="I56" s="994">
        <v>-6614636.0537489047</v>
      </c>
      <c r="J56" s="594">
        <f t="shared" si="12"/>
        <v>468599879.4600001</v>
      </c>
      <c r="K56" s="594">
        <f t="shared" si="13"/>
        <v>202811589.57225418</v>
      </c>
      <c r="L56" s="594">
        <f t="shared" si="13"/>
        <v>265788289.88774592</v>
      </c>
    </row>
    <row r="57" spans="1:12">
      <c r="A57" s="111">
        <f>A56+1</f>
        <v>40</v>
      </c>
      <c r="B57" s="592" t="s">
        <v>2021</v>
      </c>
      <c r="C57" s="822">
        <v>0</v>
      </c>
      <c r="D57" s="822">
        <v>0</v>
      </c>
      <c r="E57" s="822">
        <v>0</v>
      </c>
      <c r="F57" s="837"/>
      <c r="G57" s="836">
        <f>SUM(H57:I57)</f>
        <v>34050403.358179212</v>
      </c>
      <c r="H57" s="837">
        <f>+C64*C146</f>
        <v>34050403.358179212</v>
      </c>
      <c r="I57" s="837">
        <v>0</v>
      </c>
      <c r="J57" s="838">
        <f>SUM(K57:L57)</f>
        <v>34050403.358179212</v>
      </c>
      <c r="K57" s="838">
        <f t="shared" si="13"/>
        <v>34050403.358179212</v>
      </c>
      <c r="L57" s="838">
        <f t="shared" si="13"/>
        <v>0</v>
      </c>
    </row>
    <row r="58" spans="1:12">
      <c r="A58" s="111">
        <f t="shared" si="14"/>
        <v>41</v>
      </c>
      <c r="B58" s="438" t="s">
        <v>1309</v>
      </c>
      <c r="C58" s="830">
        <f>SUM(C52:C57)</f>
        <v>523405763.85000008</v>
      </c>
      <c r="D58" s="830">
        <f>SUM(D52:D57)</f>
        <v>237147536.79718918</v>
      </c>
      <c r="E58" s="830">
        <f>SUM(E52:E57)</f>
        <v>286258227.05281091</v>
      </c>
      <c r="F58" s="831"/>
      <c r="G58" s="834">
        <f t="shared" ref="G58:L58" si="15">SUM(G52:G57)</f>
        <v>26977538.41817921</v>
      </c>
      <c r="H58" s="830">
        <f t="shared" si="15"/>
        <v>33592174.471928112</v>
      </c>
      <c r="I58" s="830">
        <f t="shared" si="15"/>
        <v>-6614636.0537489047</v>
      </c>
      <c r="J58" s="830">
        <f>SUM(J52:J57)</f>
        <v>550383302.2681793</v>
      </c>
      <c r="K58" s="830">
        <f t="shared" si="15"/>
        <v>270739711.2691173</v>
      </c>
      <c r="L58" s="830">
        <f t="shared" si="15"/>
        <v>279643590.999062</v>
      </c>
    </row>
    <row r="59" spans="1:12">
      <c r="A59" s="111">
        <f t="shared" si="14"/>
        <v>42</v>
      </c>
      <c r="B59" s="829"/>
      <c r="C59" s="835"/>
      <c r="D59" s="830"/>
      <c r="E59" s="830"/>
      <c r="F59" s="839"/>
      <c r="G59" s="832"/>
      <c r="H59" s="833"/>
      <c r="I59" s="833"/>
      <c r="J59" s="594"/>
      <c r="K59" s="594"/>
      <c r="L59" s="594"/>
    </row>
    <row r="60" spans="1:12">
      <c r="A60" s="111">
        <f t="shared" si="14"/>
        <v>43</v>
      </c>
      <c r="B60" s="438" t="s">
        <v>1310</v>
      </c>
      <c r="C60" s="835">
        <f>+C43+C58</f>
        <v>744498861.94000006</v>
      </c>
      <c r="D60" s="835">
        <f>D58+D43</f>
        <v>313831657.45217764</v>
      </c>
      <c r="E60" s="835">
        <f>E58+E43</f>
        <v>430667204.48782247</v>
      </c>
      <c r="F60" s="840"/>
      <c r="G60" s="832">
        <f>+G43+G58</f>
        <v>-14007514.886247117</v>
      </c>
      <c r="H60" s="594">
        <f>H58+H43</f>
        <v>44528988.229703575</v>
      </c>
      <c r="I60" s="594">
        <f>I58+I43</f>
        <v>-58536503.115950704</v>
      </c>
      <c r="J60" s="594">
        <f>J58+J43</f>
        <v>730491347.05375302</v>
      </c>
      <c r="K60" s="594">
        <f>K58+K43</f>
        <v>358360645.68188125</v>
      </c>
      <c r="L60" s="594">
        <f>L58+L43</f>
        <v>372130701.37187177</v>
      </c>
    </row>
    <row r="61" spans="1:12">
      <c r="A61" s="111">
        <f t="shared" si="14"/>
        <v>44</v>
      </c>
      <c r="B61" s="829"/>
      <c r="C61" s="829"/>
      <c r="D61" s="829"/>
      <c r="E61" s="829"/>
      <c r="F61" s="840"/>
      <c r="G61" s="841"/>
      <c r="H61" s="833"/>
      <c r="I61" s="833"/>
      <c r="J61" s="514"/>
      <c r="K61" s="514"/>
      <c r="L61" s="514"/>
    </row>
    <row r="62" spans="1:12">
      <c r="A62" s="111">
        <f t="shared" si="14"/>
        <v>45</v>
      </c>
      <c r="B62" s="592" t="s">
        <v>1311</v>
      </c>
      <c r="C62" s="1096">
        <v>221093099</v>
      </c>
      <c r="D62" s="842" t="s">
        <v>1312</v>
      </c>
      <c r="E62" s="835" t="str">
        <f>"Must equal Line "&amp;A43&amp;", Column 2."</f>
        <v>Must equal Line 33, Column 2.</v>
      </c>
      <c r="F62" s="840"/>
      <c r="G62" s="440"/>
      <c r="H62" s="441"/>
      <c r="I62" s="441"/>
      <c r="J62" s="441"/>
      <c r="K62" s="441"/>
      <c r="L62" s="441"/>
    </row>
    <row r="63" spans="1:12">
      <c r="A63" s="111">
        <f>A62+1</f>
        <v>46</v>
      </c>
      <c r="B63" s="592" t="s">
        <v>1313</v>
      </c>
      <c r="C63" s="1096">
        <v>523405763</v>
      </c>
      <c r="D63" s="842" t="s">
        <v>2629</v>
      </c>
      <c r="E63" s="835" t="str">
        <f>"Must equal Line "&amp;A58&amp;", Column 2."</f>
        <v>Must equal Line 41, Column 2.</v>
      </c>
      <c r="F63" s="840"/>
      <c r="G63" s="832"/>
      <c r="H63" s="594"/>
      <c r="I63" s="594"/>
      <c r="J63" s="594"/>
      <c r="K63" s="594"/>
      <c r="L63" s="594"/>
    </row>
    <row r="64" spans="1:12">
      <c r="A64" s="111">
        <f>A63+1</f>
        <v>47</v>
      </c>
      <c r="B64" s="592" t="s">
        <v>2022</v>
      </c>
      <c r="C64" s="843">
        <f>'20-AandG'!E62</f>
        <v>45060955.163752876</v>
      </c>
      <c r="D64" s="842" t="str">
        <f>"20-AandG, Note 2, "&amp;'20-AandG'!B62&amp;""</f>
        <v>20-AandG, Note 2, f</v>
      </c>
      <c r="E64" s="835"/>
      <c r="F64" s="111"/>
      <c r="G64" s="832"/>
      <c r="H64" s="594"/>
      <c r="I64" s="594"/>
      <c r="J64" s="594"/>
      <c r="K64" s="594"/>
      <c r="L64" s="594"/>
    </row>
    <row r="65" spans="1:12">
      <c r="A65" s="442"/>
      <c r="C65" s="443"/>
      <c r="D65" s="835"/>
      <c r="E65" s="835"/>
      <c r="F65" s="840"/>
      <c r="G65" s="832"/>
      <c r="H65" s="594"/>
      <c r="I65" s="594"/>
      <c r="J65" s="594"/>
      <c r="K65" s="594"/>
      <c r="L65" s="594"/>
    </row>
    <row r="66" spans="1:12">
      <c r="A66" s="514"/>
      <c r="B66" s="416" t="s">
        <v>1386</v>
      </c>
      <c r="C66" s="829"/>
      <c r="D66" s="829"/>
      <c r="E66" s="829"/>
      <c r="F66" s="840"/>
      <c r="G66" s="841"/>
      <c r="H66" s="514"/>
      <c r="I66" s="514"/>
      <c r="J66" s="514"/>
      <c r="K66" s="514"/>
      <c r="L66" s="514"/>
    </row>
    <row r="67" spans="1:12">
      <c r="A67" s="514"/>
      <c r="C67" s="829"/>
      <c r="D67" s="829"/>
      <c r="E67" s="829"/>
      <c r="F67" s="840"/>
      <c r="G67" s="841"/>
      <c r="H67" s="514"/>
      <c r="I67" s="514"/>
      <c r="J67" s="514"/>
      <c r="K67" s="514"/>
      <c r="L67" s="514"/>
    </row>
    <row r="68" spans="1:12">
      <c r="A68" s="514"/>
      <c r="B68" s="84" t="s">
        <v>360</v>
      </c>
      <c r="C68" s="427" t="s">
        <v>344</v>
      </c>
      <c r="D68" s="427" t="s">
        <v>345</v>
      </c>
      <c r="E68" s="427" t="s">
        <v>346</v>
      </c>
      <c r="F68" s="428" t="s">
        <v>347</v>
      </c>
      <c r="G68" s="427" t="s">
        <v>348</v>
      </c>
      <c r="H68" s="427" t="s">
        <v>349</v>
      </c>
      <c r="I68" s="427" t="s">
        <v>541</v>
      </c>
      <c r="J68" s="911" t="s">
        <v>958</v>
      </c>
      <c r="K68" s="359"/>
      <c r="L68" s="84"/>
    </row>
    <row r="69" spans="1:12">
      <c r="A69" s="514"/>
      <c r="C69" s="829" t="s">
        <v>1314</v>
      </c>
      <c r="D69" s="829" t="s">
        <v>1315</v>
      </c>
      <c r="E69" s="829" t="s">
        <v>1316</v>
      </c>
      <c r="F69" s="1304" t="s">
        <v>1188</v>
      </c>
      <c r="G69" s="1303" t="s">
        <v>1276</v>
      </c>
      <c r="H69" s="1305" t="s">
        <v>1677</v>
      </c>
      <c r="I69" s="1305" t="s">
        <v>1678</v>
      </c>
      <c r="J69" s="488"/>
      <c r="K69" s="829"/>
      <c r="L69" s="514"/>
    </row>
    <row r="70" spans="1:12">
      <c r="C70" s="829"/>
      <c r="D70" s="829"/>
      <c r="E70" s="829"/>
      <c r="F70" s="840"/>
      <c r="G70" s="841"/>
      <c r="H70" s="514"/>
      <c r="I70" s="514"/>
      <c r="J70" s="829"/>
      <c r="K70" s="829"/>
      <c r="L70" s="514"/>
    </row>
    <row r="71" spans="1:12">
      <c r="A71" s="430"/>
      <c r="B71" s="1390" t="s">
        <v>1280</v>
      </c>
      <c r="C71" s="1391" t="s">
        <v>1283</v>
      </c>
      <c r="D71" s="1388"/>
      <c r="E71" s="1389"/>
      <c r="F71" s="444" t="s">
        <v>1445</v>
      </c>
      <c r="G71" s="1382" t="s">
        <v>1317</v>
      </c>
      <c r="H71" s="1383"/>
      <c r="I71" s="1384"/>
      <c r="J71" s="912" t="s">
        <v>1744</v>
      </c>
      <c r="K71" s="829"/>
    </row>
    <row r="72" spans="1:12">
      <c r="B72" s="1390"/>
      <c r="C72" s="808" t="s">
        <v>196</v>
      </c>
      <c r="D72" s="432" t="s">
        <v>1284</v>
      </c>
      <c r="E72" s="432" t="s">
        <v>1285</v>
      </c>
      <c r="F72" s="444" t="s">
        <v>432</v>
      </c>
      <c r="G72" s="808" t="s">
        <v>196</v>
      </c>
      <c r="H72" s="432" t="s">
        <v>1284</v>
      </c>
      <c r="I72" s="432" t="s">
        <v>1285</v>
      </c>
      <c r="J72" s="867" t="s">
        <v>205</v>
      </c>
      <c r="K72" s="829"/>
      <c r="L72" s="514"/>
    </row>
    <row r="73" spans="1:12">
      <c r="A73" s="51" t="s">
        <v>331</v>
      </c>
      <c r="B73" s="434" t="s">
        <v>1286</v>
      </c>
      <c r="C73" s="255"/>
      <c r="D73" s="435"/>
      <c r="E73" s="435"/>
      <c r="F73" s="445"/>
      <c r="G73" s="255"/>
      <c r="H73" s="435"/>
      <c r="I73" s="435"/>
      <c r="J73" s="488"/>
      <c r="K73" s="829"/>
      <c r="L73" s="514"/>
    </row>
    <row r="74" spans="1:12">
      <c r="A74" s="111">
        <f>A64+1</f>
        <v>48</v>
      </c>
      <c r="B74" s="495" t="s">
        <v>2372</v>
      </c>
      <c r="C74" s="835">
        <f t="shared" ref="C74:C103" si="16">J11</f>
        <v>7133767.9400000004</v>
      </c>
      <c r="D74" s="835">
        <f t="shared" ref="D74:D103" si="17">K11</f>
        <v>3520700.4444488105</v>
      </c>
      <c r="E74" s="835">
        <f t="shared" ref="E74:E103" si="18">L11</f>
        <v>3613067.4955511899</v>
      </c>
      <c r="F74" s="851">
        <f>'27-Allocators'!$D$47</f>
        <v>0.36648418491484186</v>
      </c>
      <c r="G74" s="844">
        <f>SUM(H74:I74)</f>
        <v>2614413.1288625309</v>
      </c>
      <c r="H74" s="844">
        <f>D74*F74</f>
        <v>1290281.0327131439</v>
      </c>
      <c r="I74" s="844">
        <f>E74*F74</f>
        <v>1324132.0961493868</v>
      </c>
      <c r="J74" s="614" t="s">
        <v>2386</v>
      </c>
      <c r="K74" s="829"/>
    </row>
    <row r="75" spans="1:12">
      <c r="A75" s="111">
        <f t="shared" ref="A75:A107" si="19">A74+1</f>
        <v>49</v>
      </c>
      <c r="B75" s="495" t="s">
        <v>1287</v>
      </c>
      <c r="C75" s="835">
        <f t="shared" si="16"/>
        <v>147368.85</v>
      </c>
      <c r="D75" s="835">
        <f t="shared" si="17"/>
        <v>0</v>
      </c>
      <c r="E75" s="835">
        <f t="shared" si="18"/>
        <v>147368.85</v>
      </c>
      <c r="F75" s="851">
        <v>1</v>
      </c>
      <c r="G75" s="844">
        <f t="shared" ref="G75:G103" si="20">SUM(H75:I75)</f>
        <v>147368.85</v>
      </c>
      <c r="H75" s="844">
        <f t="shared" ref="H75:H103" si="21">D75*F75</f>
        <v>0</v>
      </c>
      <c r="I75" s="844">
        <f t="shared" ref="I75:I103" si="22">E75*F75</f>
        <v>147368.85</v>
      </c>
      <c r="J75" s="1306" t="s">
        <v>2474</v>
      </c>
      <c r="K75" s="829"/>
    </row>
    <row r="76" spans="1:12">
      <c r="A76" s="111">
        <f t="shared" si="19"/>
        <v>50</v>
      </c>
      <c r="B76" s="592" t="s">
        <v>2373</v>
      </c>
      <c r="C76" s="835">
        <f t="shared" si="16"/>
        <v>10517816.310000001</v>
      </c>
      <c r="D76" s="835">
        <f t="shared" si="17"/>
        <v>8215416.3825770821</v>
      </c>
      <c r="E76" s="835">
        <f t="shared" si="18"/>
        <v>2302399.9274229184</v>
      </c>
      <c r="F76" s="851">
        <f>'27-Allocators'!$D$47</f>
        <v>0.36648418491484186</v>
      </c>
      <c r="G76" s="844">
        <f t="shared" si="20"/>
        <v>3854613.33745438</v>
      </c>
      <c r="H76" s="844">
        <f t="shared" si="21"/>
        <v>3010820.1767048007</v>
      </c>
      <c r="I76" s="844">
        <f t="shared" si="22"/>
        <v>843793.16074957931</v>
      </c>
      <c r="J76" s="614" t="s">
        <v>2386</v>
      </c>
      <c r="K76" s="829"/>
    </row>
    <row r="77" spans="1:12">
      <c r="A77" s="111">
        <f t="shared" si="19"/>
        <v>51</v>
      </c>
      <c r="B77" s="592" t="s">
        <v>1288</v>
      </c>
      <c r="C77" s="835">
        <f t="shared" si="16"/>
        <v>0</v>
      </c>
      <c r="D77" s="835">
        <f t="shared" si="17"/>
        <v>0</v>
      </c>
      <c r="E77" s="835">
        <f t="shared" si="18"/>
        <v>0</v>
      </c>
      <c r="F77" s="851">
        <v>0</v>
      </c>
      <c r="G77" s="844">
        <f t="shared" si="20"/>
        <v>0</v>
      </c>
      <c r="H77" s="844">
        <f t="shared" si="21"/>
        <v>0</v>
      </c>
      <c r="I77" s="844">
        <f t="shared" si="22"/>
        <v>0</v>
      </c>
      <c r="J77" s="1306" t="s">
        <v>2475</v>
      </c>
      <c r="K77" s="829"/>
    </row>
    <row r="78" spans="1:12">
      <c r="A78" s="111">
        <f t="shared" si="19"/>
        <v>52</v>
      </c>
      <c r="B78" s="592" t="s">
        <v>2374</v>
      </c>
      <c r="C78" s="835">
        <f t="shared" si="16"/>
        <v>5180970.9600000009</v>
      </c>
      <c r="D78" s="835">
        <f t="shared" si="17"/>
        <v>3963546.0231334683</v>
      </c>
      <c r="E78" s="835">
        <f t="shared" si="18"/>
        <v>1217424.9368665328</v>
      </c>
      <c r="F78" s="851">
        <v>1</v>
      </c>
      <c r="G78" s="844">
        <f t="shared" si="20"/>
        <v>5180970.9600000009</v>
      </c>
      <c r="H78" s="844">
        <f t="shared" si="21"/>
        <v>3963546.0231334683</v>
      </c>
      <c r="I78" s="844">
        <f t="shared" si="22"/>
        <v>1217424.9368665328</v>
      </c>
      <c r="J78" s="1306" t="s">
        <v>2474</v>
      </c>
      <c r="K78" s="829"/>
    </row>
    <row r="79" spans="1:12">
      <c r="A79" s="111">
        <f t="shared" si="19"/>
        <v>53</v>
      </c>
      <c r="B79" s="592" t="s">
        <v>2375</v>
      </c>
      <c r="C79" s="835">
        <f t="shared" si="16"/>
        <v>21150923.760000002</v>
      </c>
      <c r="D79" s="835">
        <f t="shared" si="17"/>
        <v>17264528.921706598</v>
      </c>
      <c r="E79" s="835">
        <f t="shared" si="18"/>
        <v>3886394.8382934034</v>
      </c>
      <c r="F79" s="851">
        <f>'27-Allocators'!$D$47</f>
        <v>0.36648418491484186</v>
      </c>
      <c r="G79" s="844">
        <f t="shared" si="20"/>
        <v>7751479.0543795628</v>
      </c>
      <c r="H79" s="844">
        <f t="shared" si="21"/>
        <v>6327176.8098103562</v>
      </c>
      <c r="I79" s="844">
        <f t="shared" si="22"/>
        <v>1424302.2445692066</v>
      </c>
      <c r="J79" s="614" t="s">
        <v>2386</v>
      </c>
      <c r="K79" s="829"/>
    </row>
    <row r="80" spans="1:12">
      <c r="A80" s="111">
        <f t="shared" si="19"/>
        <v>54</v>
      </c>
      <c r="B80" s="592" t="s">
        <v>1289</v>
      </c>
      <c r="C80" s="835">
        <f t="shared" si="16"/>
        <v>0</v>
      </c>
      <c r="D80" s="835">
        <f t="shared" si="17"/>
        <v>0</v>
      </c>
      <c r="E80" s="835">
        <f t="shared" si="18"/>
        <v>0</v>
      </c>
      <c r="F80" s="851">
        <v>0</v>
      </c>
      <c r="G80" s="844">
        <f t="shared" si="20"/>
        <v>0</v>
      </c>
      <c r="H80" s="844">
        <f t="shared" si="21"/>
        <v>0</v>
      </c>
      <c r="I80" s="844">
        <f t="shared" si="22"/>
        <v>0</v>
      </c>
      <c r="J80" s="1306" t="s">
        <v>2475</v>
      </c>
      <c r="K80" s="829"/>
    </row>
    <row r="81" spans="1:11">
      <c r="A81" s="111">
        <f t="shared" si="19"/>
        <v>55</v>
      </c>
      <c r="B81" s="592" t="s">
        <v>1290</v>
      </c>
      <c r="C81" s="835">
        <f t="shared" si="16"/>
        <v>1032205.1200000001</v>
      </c>
      <c r="D81" s="835">
        <f t="shared" si="17"/>
        <v>0</v>
      </c>
      <c r="E81" s="835">
        <f t="shared" si="18"/>
        <v>1032205.1200000001</v>
      </c>
      <c r="F81" s="851">
        <v>1</v>
      </c>
      <c r="G81" s="844">
        <f t="shared" si="20"/>
        <v>1032205.1200000001</v>
      </c>
      <c r="H81" s="844">
        <f t="shared" si="21"/>
        <v>0</v>
      </c>
      <c r="I81" s="844">
        <f t="shared" si="22"/>
        <v>1032205.1200000001</v>
      </c>
      <c r="J81" s="1306" t="s">
        <v>2474</v>
      </c>
      <c r="K81" s="835"/>
    </row>
    <row r="82" spans="1:11">
      <c r="A82" s="111">
        <f t="shared" si="19"/>
        <v>56</v>
      </c>
      <c r="B82" s="592" t="s">
        <v>2376</v>
      </c>
      <c r="C82" s="835">
        <f t="shared" si="16"/>
        <v>4733731.24</v>
      </c>
      <c r="D82" s="835">
        <f t="shared" si="17"/>
        <v>3855138.5199945122</v>
      </c>
      <c r="E82" s="835">
        <f t="shared" si="18"/>
        <v>878592.72000548814</v>
      </c>
      <c r="F82" s="851">
        <f>'27-Allocators'!$D$35</f>
        <v>0.46754315015460779</v>
      </c>
      <c r="G82" s="844">
        <f t="shared" si="20"/>
        <v>2213223.6159348777</v>
      </c>
      <c r="H82" s="844">
        <f t="shared" si="21"/>
        <v>1802443.6079206066</v>
      </c>
      <c r="I82" s="844">
        <f t="shared" si="22"/>
        <v>410780.00801427121</v>
      </c>
      <c r="J82" s="614" t="s">
        <v>2387</v>
      </c>
      <c r="K82" s="829"/>
    </row>
    <row r="83" spans="1:11" ht="12.75" customHeight="1">
      <c r="A83" s="111">
        <f t="shared" si="19"/>
        <v>57</v>
      </c>
      <c r="B83" s="592" t="s">
        <v>2377</v>
      </c>
      <c r="C83" s="842">
        <f t="shared" si="16"/>
        <v>1390335.0200000003</v>
      </c>
      <c r="D83" s="842">
        <f t="shared" si="17"/>
        <v>1156421.97503766</v>
      </c>
      <c r="E83" s="842">
        <f t="shared" si="18"/>
        <v>233913.0449623403</v>
      </c>
      <c r="F83" s="851">
        <f>'27-Allocators'!$D$41</f>
        <v>1.4473399263697395E-2</v>
      </c>
      <c r="G83" s="846">
        <f t="shared" si="20"/>
        <v>20122.873854760706</v>
      </c>
      <c r="H83" s="846">
        <f t="shared" si="21"/>
        <v>16737.356962033555</v>
      </c>
      <c r="I83" s="846">
        <f t="shared" si="22"/>
        <v>3385.5168927271516</v>
      </c>
      <c r="J83" s="614" t="s">
        <v>2388</v>
      </c>
      <c r="K83" s="835"/>
    </row>
    <row r="84" spans="1:11">
      <c r="A84" s="111">
        <f t="shared" si="19"/>
        <v>58</v>
      </c>
      <c r="B84" s="592" t="s">
        <v>2378</v>
      </c>
      <c r="C84" s="835">
        <f t="shared" si="16"/>
        <v>-267656.76</v>
      </c>
      <c r="D84" s="835">
        <f t="shared" si="17"/>
        <v>0</v>
      </c>
      <c r="E84" s="835">
        <f t="shared" si="18"/>
        <v>-267656.76</v>
      </c>
      <c r="F84" s="851">
        <v>1</v>
      </c>
      <c r="G84" s="844">
        <f t="shared" si="20"/>
        <v>-267656.76</v>
      </c>
      <c r="H84" s="844">
        <f t="shared" si="21"/>
        <v>0</v>
      </c>
      <c r="I84" s="844">
        <f t="shared" si="22"/>
        <v>-267656.76</v>
      </c>
      <c r="J84" s="1306" t="s">
        <v>2474</v>
      </c>
      <c r="K84" s="829"/>
    </row>
    <row r="85" spans="1:11">
      <c r="A85" s="111">
        <f t="shared" si="19"/>
        <v>59</v>
      </c>
      <c r="B85" s="592" t="s">
        <v>1292</v>
      </c>
      <c r="C85" s="835">
        <f t="shared" si="16"/>
        <v>0</v>
      </c>
      <c r="D85" s="835">
        <f t="shared" si="17"/>
        <v>0</v>
      </c>
      <c r="E85" s="835">
        <f t="shared" si="18"/>
        <v>0</v>
      </c>
      <c r="F85" s="851">
        <v>0</v>
      </c>
      <c r="G85" s="844">
        <f t="shared" si="20"/>
        <v>0</v>
      </c>
      <c r="H85" s="844">
        <f t="shared" si="21"/>
        <v>0</v>
      </c>
      <c r="I85" s="844">
        <f t="shared" si="22"/>
        <v>0</v>
      </c>
      <c r="J85" s="1306" t="s">
        <v>2475</v>
      </c>
      <c r="K85" s="829"/>
    </row>
    <row r="86" spans="1:11">
      <c r="A86" s="111">
        <f t="shared" si="19"/>
        <v>60</v>
      </c>
      <c r="B86" s="592" t="s">
        <v>1293</v>
      </c>
      <c r="C86" s="835">
        <f t="shared" si="16"/>
        <v>243419.62</v>
      </c>
      <c r="D86" s="835">
        <f t="shared" si="17"/>
        <v>0</v>
      </c>
      <c r="E86" s="835">
        <f t="shared" si="18"/>
        <v>243419.62</v>
      </c>
      <c r="F86" s="851">
        <v>0</v>
      </c>
      <c r="G86" s="844">
        <f t="shared" si="20"/>
        <v>0</v>
      </c>
      <c r="H86" s="844">
        <f t="shared" si="21"/>
        <v>0</v>
      </c>
      <c r="I86" s="844">
        <f t="shared" si="22"/>
        <v>0</v>
      </c>
      <c r="J86" s="1306" t="s">
        <v>2475</v>
      </c>
      <c r="K86" s="829"/>
    </row>
    <row r="87" spans="1:11">
      <c r="A87" s="111">
        <f t="shared" si="19"/>
        <v>61</v>
      </c>
      <c r="B87" s="592" t="s">
        <v>2379</v>
      </c>
      <c r="C87" s="835">
        <f t="shared" si="16"/>
        <v>44301873.160000004</v>
      </c>
      <c r="D87" s="835">
        <f t="shared" si="17"/>
        <v>21097573.577079087</v>
      </c>
      <c r="E87" s="835">
        <f t="shared" si="18"/>
        <v>23204299.582920916</v>
      </c>
      <c r="F87" s="851">
        <f>'27-Allocators'!$D$47</f>
        <v>0.36648418491484186</v>
      </c>
      <c r="G87" s="844">
        <f t="shared" si="20"/>
        <v>16235935.87524331</v>
      </c>
      <c r="H87" s="844">
        <f t="shared" si="21"/>
        <v>7731927.0560767343</v>
      </c>
      <c r="I87" s="844">
        <f t="shared" si="22"/>
        <v>8504008.8191665765</v>
      </c>
      <c r="J87" s="614" t="s">
        <v>2386</v>
      </c>
      <c r="K87" s="835"/>
    </row>
    <row r="88" spans="1:11">
      <c r="A88" s="111">
        <f t="shared" si="19"/>
        <v>62</v>
      </c>
      <c r="B88" s="592" t="s">
        <v>1294</v>
      </c>
      <c r="C88" s="835">
        <f t="shared" si="16"/>
        <v>0</v>
      </c>
      <c r="D88" s="835">
        <f t="shared" si="17"/>
        <v>0</v>
      </c>
      <c r="E88" s="835">
        <f t="shared" si="18"/>
        <v>0</v>
      </c>
      <c r="F88" s="851">
        <v>0</v>
      </c>
      <c r="G88" s="844">
        <f t="shared" si="20"/>
        <v>0</v>
      </c>
      <c r="H88" s="844">
        <f t="shared" si="21"/>
        <v>0</v>
      </c>
      <c r="I88" s="844">
        <f t="shared" si="22"/>
        <v>0</v>
      </c>
      <c r="J88" s="1306" t="s">
        <v>2475</v>
      </c>
      <c r="K88" s="829"/>
    </row>
    <row r="89" spans="1:11">
      <c r="A89" s="111">
        <f t="shared" si="19"/>
        <v>63</v>
      </c>
      <c r="B89" s="592" t="s">
        <v>1295</v>
      </c>
      <c r="C89" s="835">
        <f t="shared" si="16"/>
        <v>944337.63000000012</v>
      </c>
      <c r="D89" s="835">
        <f t="shared" si="17"/>
        <v>0</v>
      </c>
      <c r="E89" s="835">
        <f t="shared" si="18"/>
        <v>944337.63000000012</v>
      </c>
      <c r="F89" s="851">
        <v>1</v>
      </c>
      <c r="G89" s="844">
        <f t="shared" si="20"/>
        <v>944337.63000000012</v>
      </c>
      <c r="H89" s="844">
        <f t="shared" si="21"/>
        <v>0</v>
      </c>
      <c r="I89" s="844">
        <f t="shared" si="22"/>
        <v>944337.63000000012</v>
      </c>
      <c r="J89" s="1306" t="s">
        <v>2474</v>
      </c>
      <c r="K89" s="829"/>
    </row>
    <row r="90" spans="1:11">
      <c r="A90" s="111">
        <f t="shared" si="19"/>
        <v>64</v>
      </c>
      <c r="B90" s="592" t="s">
        <v>2367</v>
      </c>
      <c r="C90" s="835">
        <f t="shared" si="16"/>
        <v>15401559.169999998</v>
      </c>
      <c r="D90" s="835">
        <f t="shared" si="17"/>
        <v>5528.6026917413601</v>
      </c>
      <c r="E90" s="835">
        <f t="shared" si="18"/>
        <v>15396030.567308256</v>
      </c>
      <c r="F90" s="851">
        <f>'27-Allocators'!$D$35</f>
        <v>0.46754315015460779</v>
      </c>
      <c r="G90" s="844">
        <f t="shared" si="20"/>
        <v>7200893.4916343857</v>
      </c>
      <c r="H90" s="844">
        <f t="shared" si="21"/>
        <v>2584.8603184499993</v>
      </c>
      <c r="I90" s="844">
        <f t="shared" si="22"/>
        <v>7198308.6313159354</v>
      </c>
      <c r="J90" s="614" t="s">
        <v>2387</v>
      </c>
      <c r="K90" s="835"/>
    </row>
    <row r="91" spans="1:11">
      <c r="A91" s="111">
        <f t="shared" si="19"/>
        <v>65</v>
      </c>
      <c r="B91" s="592" t="s">
        <v>1296</v>
      </c>
      <c r="C91" s="835">
        <f t="shared" si="16"/>
        <v>107252.15000000001</v>
      </c>
      <c r="D91" s="835">
        <f t="shared" si="17"/>
        <v>0</v>
      </c>
      <c r="E91" s="835">
        <f t="shared" si="18"/>
        <v>107252.15000000001</v>
      </c>
      <c r="F91" s="851">
        <v>1</v>
      </c>
      <c r="G91" s="844">
        <f t="shared" si="20"/>
        <v>107252.15000000001</v>
      </c>
      <c r="H91" s="844">
        <f t="shared" si="21"/>
        <v>0</v>
      </c>
      <c r="I91" s="844">
        <f t="shared" si="22"/>
        <v>107252.15000000001</v>
      </c>
      <c r="J91" s="1306" t="s">
        <v>2474</v>
      </c>
      <c r="K91" s="488"/>
    </row>
    <row r="92" spans="1:11">
      <c r="A92" s="111">
        <f t="shared" si="19"/>
        <v>66</v>
      </c>
      <c r="B92" s="592" t="s">
        <v>1297</v>
      </c>
      <c r="C92" s="835">
        <f t="shared" si="16"/>
        <v>189601.02000000002</v>
      </c>
      <c r="D92" s="835">
        <f t="shared" si="17"/>
        <v>0</v>
      </c>
      <c r="E92" s="835">
        <f t="shared" si="18"/>
        <v>189601.02000000002</v>
      </c>
      <c r="F92" s="851">
        <v>1</v>
      </c>
      <c r="G92" s="844">
        <f t="shared" ref="G92" si="23">SUM(H92:I92)</f>
        <v>189601.02000000002</v>
      </c>
      <c r="H92" s="844">
        <f t="shared" ref="H92" si="24">D92*F92</f>
        <v>0</v>
      </c>
      <c r="I92" s="844">
        <f t="shared" ref="I92" si="25">E92*F92</f>
        <v>189601.02000000002</v>
      </c>
      <c r="J92" s="1306" t="s">
        <v>2474</v>
      </c>
      <c r="K92" s="488"/>
    </row>
    <row r="93" spans="1:11">
      <c r="A93" s="111">
        <f t="shared" si="19"/>
        <v>67</v>
      </c>
      <c r="B93" s="592" t="s">
        <v>2380</v>
      </c>
      <c r="C93" s="835">
        <f t="shared" si="16"/>
        <v>2384823.7600000002</v>
      </c>
      <c r="D93" s="835">
        <f t="shared" si="17"/>
        <v>2049481.7976254995</v>
      </c>
      <c r="E93" s="835">
        <f t="shared" si="18"/>
        <v>335341.96237450064</v>
      </c>
      <c r="F93" s="851">
        <f>'27-Allocators'!$D$47</f>
        <v>0.36648418491484186</v>
      </c>
      <c r="G93" s="844">
        <f t="shared" si="20"/>
        <v>874000.19184914848</v>
      </c>
      <c r="H93" s="844">
        <f t="shared" si="21"/>
        <v>751102.66610058607</v>
      </c>
      <c r="I93" s="844">
        <f t="shared" si="22"/>
        <v>122897.52574856243</v>
      </c>
      <c r="J93" s="614" t="s">
        <v>2386</v>
      </c>
      <c r="K93" s="829"/>
    </row>
    <row r="94" spans="1:11">
      <c r="A94" s="111">
        <f t="shared" si="19"/>
        <v>68</v>
      </c>
      <c r="B94" s="592" t="s">
        <v>1298</v>
      </c>
      <c r="C94" s="835">
        <f t="shared" si="16"/>
        <v>192593.95</v>
      </c>
      <c r="D94" s="835">
        <f t="shared" si="17"/>
        <v>0</v>
      </c>
      <c r="E94" s="835">
        <f t="shared" si="18"/>
        <v>192593.95</v>
      </c>
      <c r="F94" s="851">
        <v>1</v>
      </c>
      <c r="G94" s="844">
        <f t="shared" si="20"/>
        <v>192593.95</v>
      </c>
      <c r="H94" s="844">
        <f t="shared" si="21"/>
        <v>0</v>
      </c>
      <c r="I94" s="844">
        <f t="shared" si="22"/>
        <v>192593.95</v>
      </c>
      <c r="J94" s="1306" t="s">
        <v>2474</v>
      </c>
      <c r="K94" s="835"/>
    </row>
    <row r="95" spans="1:11">
      <c r="A95" s="111">
        <f t="shared" si="19"/>
        <v>69</v>
      </c>
      <c r="B95" s="592" t="s">
        <v>2381</v>
      </c>
      <c r="C95" s="835">
        <f t="shared" si="16"/>
        <v>3163154.6200000024</v>
      </c>
      <c r="D95" s="835">
        <f t="shared" si="17"/>
        <v>42016.736451102086</v>
      </c>
      <c r="E95" s="835">
        <f t="shared" si="18"/>
        <v>3121137.8835489005</v>
      </c>
      <c r="F95" s="851">
        <f>'27-Allocators'!$D$47</f>
        <v>0.36648418491484186</v>
      </c>
      <c r="G95" s="844">
        <f t="shared" si="20"/>
        <v>1159246.1426703173</v>
      </c>
      <c r="H95" s="844">
        <f t="shared" si="21"/>
        <v>15398.469411063874</v>
      </c>
      <c r="I95" s="844">
        <f t="shared" si="22"/>
        <v>1143847.6732592534</v>
      </c>
      <c r="J95" s="614" t="s">
        <v>2386</v>
      </c>
      <c r="K95" s="488"/>
    </row>
    <row r="96" spans="1:11">
      <c r="A96" s="111">
        <f t="shared" si="19"/>
        <v>70</v>
      </c>
      <c r="B96" s="592" t="s">
        <v>1299</v>
      </c>
      <c r="C96" s="835">
        <f t="shared" si="16"/>
        <v>242950.01</v>
      </c>
      <c r="D96" s="835">
        <f t="shared" si="17"/>
        <v>0</v>
      </c>
      <c r="E96" s="835">
        <f t="shared" si="18"/>
        <v>242950.01</v>
      </c>
      <c r="F96" s="851">
        <v>1</v>
      </c>
      <c r="G96" s="844">
        <f t="shared" si="20"/>
        <v>242950.01</v>
      </c>
      <c r="H96" s="844">
        <f t="shared" si="21"/>
        <v>0</v>
      </c>
      <c r="I96" s="844">
        <f t="shared" si="22"/>
        <v>242950.01</v>
      </c>
      <c r="J96" s="1306" t="s">
        <v>2474</v>
      </c>
      <c r="K96" s="488"/>
    </row>
    <row r="97" spans="1:12">
      <c r="A97" s="111">
        <f t="shared" si="19"/>
        <v>71</v>
      </c>
      <c r="B97" s="592" t="s">
        <v>2382</v>
      </c>
      <c r="C97" s="835">
        <f t="shared" si="16"/>
        <v>10828014.199999999</v>
      </c>
      <c r="D97" s="835">
        <f t="shared" si="17"/>
        <v>5048010.0304463394</v>
      </c>
      <c r="E97" s="835">
        <f t="shared" si="18"/>
        <v>5780004.1695536599</v>
      </c>
      <c r="F97" s="851">
        <f>'27-Allocators'!$D$47</f>
        <v>0.36648418491484186</v>
      </c>
      <c r="G97" s="844">
        <f t="shared" si="20"/>
        <v>3968295.9583333335</v>
      </c>
      <c r="H97" s="844">
        <f t="shared" si="21"/>
        <v>1850015.8414500728</v>
      </c>
      <c r="I97" s="844">
        <f t="shared" si="22"/>
        <v>2118280.1168832607</v>
      </c>
      <c r="J97" s="614" t="s">
        <v>2386</v>
      </c>
      <c r="K97" s="488"/>
    </row>
    <row r="98" spans="1:12">
      <c r="A98" s="111">
        <f t="shared" si="19"/>
        <v>72</v>
      </c>
      <c r="B98" s="592" t="s">
        <v>1300</v>
      </c>
      <c r="C98" s="835">
        <f t="shared" si="16"/>
        <v>1655072.69</v>
      </c>
      <c r="D98" s="835">
        <f t="shared" si="17"/>
        <v>744.12999999999988</v>
      </c>
      <c r="E98" s="835">
        <f t="shared" si="18"/>
        <v>1654328.56</v>
      </c>
      <c r="F98" s="851">
        <v>1</v>
      </c>
      <c r="G98" s="844">
        <f t="shared" si="20"/>
        <v>1655072.69</v>
      </c>
      <c r="H98" s="844">
        <f t="shared" si="21"/>
        <v>744.12999999999988</v>
      </c>
      <c r="I98" s="844">
        <f t="shared" si="22"/>
        <v>1654328.56</v>
      </c>
      <c r="J98" s="1306" t="s">
        <v>2474</v>
      </c>
      <c r="K98" s="488"/>
    </row>
    <row r="99" spans="1:12">
      <c r="A99" s="111">
        <f t="shared" si="19"/>
        <v>73</v>
      </c>
      <c r="B99" s="592" t="s">
        <v>2383</v>
      </c>
      <c r="C99" s="835">
        <f t="shared" si="16"/>
        <v>34668119.970000014</v>
      </c>
      <c r="D99" s="835">
        <f t="shared" si="17"/>
        <v>9134610.9140139986</v>
      </c>
      <c r="E99" s="835">
        <f t="shared" si="18"/>
        <v>25533509.055986013</v>
      </c>
      <c r="F99" s="851">
        <f>'27-Allocators'!$D$35</f>
        <v>0.46754315015460779</v>
      </c>
      <c r="G99" s="844">
        <f t="shared" si="20"/>
        <v>16208842.020711672</v>
      </c>
      <c r="H99" s="844">
        <f t="shared" si="21"/>
        <v>4270824.7621747656</v>
      </c>
      <c r="I99" s="844">
        <f t="shared" si="22"/>
        <v>11938017.258536907</v>
      </c>
      <c r="J99" s="614" t="s">
        <v>2387</v>
      </c>
      <c r="K99" s="488"/>
    </row>
    <row r="100" spans="1:12">
      <c r="A100" s="111">
        <f t="shared" si="19"/>
        <v>74</v>
      </c>
      <c r="B100" s="592" t="s">
        <v>1301</v>
      </c>
      <c r="C100" s="835">
        <f t="shared" si="16"/>
        <v>393016.65</v>
      </c>
      <c r="D100" s="835">
        <f t="shared" si="17"/>
        <v>0</v>
      </c>
      <c r="E100" s="835">
        <f t="shared" si="18"/>
        <v>393016.65</v>
      </c>
      <c r="F100" s="851">
        <v>1</v>
      </c>
      <c r="G100" s="844">
        <f t="shared" si="20"/>
        <v>393016.65</v>
      </c>
      <c r="H100" s="844">
        <f t="shared" si="21"/>
        <v>0</v>
      </c>
      <c r="I100" s="844">
        <f t="shared" si="22"/>
        <v>393016.65</v>
      </c>
      <c r="J100" s="1306" t="s">
        <v>2474</v>
      </c>
      <c r="K100" s="488"/>
    </row>
    <row r="101" spans="1:12">
      <c r="A101" s="111">
        <f t="shared" si="19"/>
        <v>75</v>
      </c>
      <c r="B101" s="592" t="s">
        <v>2384</v>
      </c>
      <c r="C101" s="835">
        <f t="shared" si="16"/>
        <v>388986.69</v>
      </c>
      <c r="D101" s="835">
        <f t="shared" si="17"/>
        <v>203477.59688660022</v>
      </c>
      <c r="E101" s="835">
        <f t="shared" si="18"/>
        <v>185509.09311339978</v>
      </c>
      <c r="F101" s="851">
        <f>'27-Allocators'!$D$41</f>
        <v>1.4473399263697395E-2</v>
      </c>
      <c r="G101" s="844">
        <f t="shared" si="20"/>
        <v>5629.9596726340869</v>
      </c>
      <c r="H101" s="844">
        <f t="shared" si="21"/>
        <v>2945.0125009574349</v>
      </c>
      <c r="I101" s="844">
        <f t="shared" si="22"/>
        <v>2684.947171676652</v>
      </c>
      <c r="J101" s="614" t="s">
        <v>2388</v>
      </c>
      <c r="K101" s="488"/>
    </row>
    <row r="102" spans="1:12">
      <c r="A102" s="111">
        <f t="shared" si="19"/>
        <v>76</v>
      </c>
      <c r="B102" s="592" t="s">
        <v>1303</v>
      </c>
      <c r="C102" s="835">
        <f t="shared" si="16"/>
        <v>2321.62</v>
      </c>
      <c r="D102" s="835">
        <f t="shared" si="17"/>
        <v>0</v>
      </c>
      <c r="E102" s="835">
        <f t="shared" si="18"/>
        <v>2321.62</v>
      </c>
      <c r="F102" s="851">
        <v>1</v>
      </c>
      <c r="G102" s="844">
        <f t="shared" si="20"/>
        <v>2321.62</v>
      </c>
      <c r="H102" s="844">
        <f t="shared" si="21"/>
        <v>0</v>
      </c>
      <c r="I102" s="844">
        <f t="shared" si="22"/>
        <v>2321.62</v>
      </c>
      <c r="J102" s="1306" t="s">
        <v>2474</v>
      </c>
      <c r="K102" s="488"/>
    </row>
    <row r="103" spans="1:12">
      <c r="A103" s="111">
        <f t="shared" si="19"/>
        <v>77</v>
      </c>
      <c r="B103" s="592" t="s">
        <v>2385</v>
      </c>
      <c r="C103" s="835">
        <f t="shared" si="16"/>
        <v>2970933.63</v>
      </c>
      <c r="D103" s="835">
        <f t="shared" si="17"/>
        <v>1053186.9550977601</v>
      </c>
      <c r="E103" s="835">
        <f t="shared" si="18"/>
        <v>1917746.67490224</v>
      </c>
      <c r="F103" s="851">
        <f>'27-Allocators'!$D$47</f>
        <v>0.36648418491484186</v>
      </c>
      <c r="G103" s="844">
        <f t="shared" si="20"/>
        <v>1088800.1898266424</v>
      </c>
      <c r="H103" s="844">
        <f t="shared" si="21"/>
        <v>385976.36280194676</v>
      </c>
      <c r="I103" s="844">
        <f t="shared" si="22"/>
        <v>702823.8270246957</v>
      </c>
      <c r="J103" s="614" t="s">
        <v>2386</v>
      </c>
      <c r="K103" s="488"/>
    </row>
    <row r="104" spans="1:12">
      <c r="A104" s="111">
        <f t="shared" si="19"/>
        <v>78</v>
      </c>
      <c r="B104" s="592" t="s">
        <v>510</v>
      </c>
      <c r="C104" s="1307" t="s">
        <v>76</v>
      </c>
      <c r="D104" s="1307" t="s">
        <v>76</v>
      </c>
      <c r="E104" s="1307" t="s">
        <v>76</v>
      </c>
      <c r="F104" s="1307" t="s">
        <v>76</v>
      </c>
      <c r="G104" s="1307" t="s">
        <v>76</v>
      </c>
      <c r="H104" s="1307" t="s">
        <v>76</v>
      </c>
      <c r="I104" s="1307" t="s">
        <v>76</v>
      </c>
      <c r="J104" s="488"/>
      <c r="K104" s="488"/>
    </row>
    <row r="105" spans="1:12">
      <c r="A105" s="111">
        <f t="shared" si="19"/>
        <v>79</v>
      </c>
      <c r="B105" s="592" t="s">
        <v>2023</v>
      </c>
      <c r="C105" s="847">
        <f>J42</f>
        <v>11010551.80557367</v>
      </c>
      <c r="D105" s="847">
        <f>K42</f>
        <v>11010551.80557367</v>
      </c>
      <c r="E105" s="847">
        <f>L42</f>
        <v>0</v>
      </c>
      <c r="F105" s="848"/>
      <c r="G105" s="849">
        <f>SUM(H105:I105)</f>
        <v>4516089.3137486102</v>
      </c>
      <c r="H105" s="849">
        <f>D105*C150</f>
        <v>4516089.3137486102</v>
      </c>
      <c r="I105" s="849">
        <v>0</v>
      </c>
      <c r="J105" s="488"/>
      <c r="K105" s="488"/>
    </row>
    <row r="106" spans="1:12">
      <c r="A106" s="111">
        <f t="shared" si="19"/>
        <v>80</v>
      </c>
      <c r="B106" s="438" t="s">
        <v>1318</v>
      </c>
      <c r="C106" s="833">
        <f>SUM(C74:C105)</f>
        <v>180108044.78557372</v>
      </c>
      <c r="D106" s="833">
        <f>SUM(D74:D105)</f>
        <v>87620934.412763938</v>
      </c>
      <c r="E106" s="833">
        <f>SUM(E74:E105)</f>
        <v>92487110.372809768</v>
      </c>
      <c r="F106" s="850"/>
      <c r="G106" s="833">
        <f>SUM(G74:G105)</f>
        <v>77531619.044176176</v>
      </c>
      <c r="H106" s="833">
        <f>SUM(H74:H105)</f>
        <v>35938613.481827594</v>
      </c>
      <c r="I106" s="833">
        <f>SUM(I74:I105)</f>
        <v>41593005.562348567</v>
      </c>
      <c r="J106" s="488"/>
      <c r="K106" s="810"/>
      <c r="L106" s="488"/>
    </row>
    <row r="107" spans="1:12">
      <c r="A107" s="111">
        <f t="shared" si="19"/>
        <v>81</v>
      </c>
      <c r="B107" s="514"/>
      <c r="C107" s="594"/>
      <c r="D107" s="594"/>
      <c r="E107" s="594"/>
      <c r="F107" s="850"/>
      <c r="G107" s="851"/>
      <c r="H107" s="844"/>
      <c r="I107" s="844"/>
      <c r="J107" s="844"/>
      <c r="K107" s="810"/>
    </row>
    <row r="108" spans="1:12">
      <c r="A108" s="111"/>
      <c r="B108" s="438"/>
      <c r="C108" s="446"/>
      <c r="D108" s="446"/>
      <c r="E108" s="446"/>
      <c r="F108" s="447"/>
      <c r="G108" s="448"/>
      <c r="H108" s="446"/>
      <c r="I108" s="446"/>
      <c r="J108" s="446"/>
      <c r="K108" s="488"/>
    </row>
    <row r="109" spans="1:12">
      <c r="A109" s="111"/>
      <c r="B109" s="84" t="s">
        <v>360</v>
      </c>
      <c r="C109" s="427" t="s">
        <v>344</v>
      </c>
      <c r="D109" s="427" t="s">
        <v>345</v>
      </c>
      <c r="E109" s="427" t="s">
        <v>346</v>
      </c>
      <c r="F109" s="428" t="s">
        <v>347</v>
      </c>
      <c r="G109" s="427" t="s">
        <v>348</v>
      </c>
      <c r="H109" s="427" t="s">
        <v>349</v>
      </c>
      <c r="I109" s="427" t="s">
        <v>541</v>
      </c>
      <c r="J109" s="911" t="s">
        <v>958</v>
      </c>
      <c r="K109" s="488"/>
    </row>
    <row r="110" spans="1:12">
      <c r="A110" s="111"/>
      <c r="C110" s="829" t="s">
        <v>1314</v>
      </c>
      <c r="D110" s="829" t="s">
        <v>1315</v>
      </c>
      <c r="E110" s="829" t="s">
        <v>1316</v>
      </c>
      <c r="F110" s="1304" t="s">
        <v>1188</v>
      </c>
      <c r="G110" s="1303" t="s">
        <v>1276</v>
      </c>
      <c r="H110" s="1305" t="s">
        <v>1677</v>
      </c>
      <c r="I110" s="1305" t="s">
        <v>1678</v>
      </c>
      <c r="J110" s="488"/>
      <c r="K110" s="488"/>
    </row>
    <row r="111" spans="1:12">
      <c r="A111" s="111"/>
      <c r="C111" s="829"/>
      <c r="D111" s="829"/>
      <c r="E111" s="829"/>
      <c r="F111" s="840"/>
      <c r="G111" s="841"/>
      <c r="H111" s="514"/>
      <c r="I111" s="514"/>
      <c r="J111" s="829"/>
      <c r="K111" s="488"/>
    </row>
    <row r="112" spans="1:12">
      <c r="A112" s="111"/>
      <c r="B112" s="1390" t="s">
        <v>1280</v>
      </c>
      <c r="C112" s="1391" t="s">
        <v>1283</v>
      </c>
      <c r="D112" s="1388"/>
      <c r="E112" s="1389"/>
      <c r="F112" s="444" t="s">
        <v>1445</v>
      </c>
      <c r="G112" s="1382" t="s">
        <v>1317</v>
      </c>
      <c r="H112" s="1383"/>
      <c r="I112" s="1384"/>
      <c r="J112" s="912" t="s">
        <v>1744</v>
      </c>
      <c r="K112" s="488"/>
    </row>
    <row r="113" spans="1:11">
      <c r="A113" s="111"/>
      <c r="B113" s="1390"/>
      <c r="C113" s="808" t="s">
        <v>196</v>
      </c>
      <c r="D113" s="432" t="s">
        <v>1284</v>
      </c>
      <c r="E113" s="432" t="s">
        <v>1285</v>
      </c>
      <c r="F113" s="444" t="s">
        <v>432</v>
      </c>
      <c r="G113" s="808" t="s">
        <v>196</v>
      </c>
      <c r="H113" s="432" t="s">
        <v>1284</v>
      </c>
      <c r="I113" s="432" t="s">
        <v>1285</v>
      </c>
      <c r="J113" s="867" t="s">
        <v>205</v>
      </c>
      <c r="K113" s="488"/>
    </row>
    <row r="114" spans="1:11" ht="12.75" customHeight="1">
      <c r="A114" s="111"/>
      <c r="B114" s="439" t="s">
        <v>1305</v>
      </c>
      <c r="C114" s="594"/>
      <c r="D114" s="594"/>
      <c r="E114" s="594"/>
      <c r="F114" s="850"/>
      <c r="G114" s="851"/>
      <c r="H114" s="844"/>
      <c r="I114" s="844"/>
      <c r="J114" s="844"/>
      <c r="K114" s="488"/>
    </row>
    <row r="115" spans="1:11" ht="12.75" customHeight="1">
      <c r="A115" s="111">
        <f>A107+1</f>
        <v>82</v>
      </c>
      <c r="B115" s="592" t="s">
        <v>2370</v>
      </c>
      <c r="C115" s="594">
        <f t="shared" ref="C115:E118" si="26">J52</f>
        <v>35012490.969999999</v>
      </c>
      <c r="D115" s="594">
        <f t="shared" si="26"/>
        <v>26445837.651692614</v>
      </c>
      <c r="E115" s="594">
        <f t="shared" si="26"/>
        <v>8566653.3183073848</v>
      </c>
      <c r="F115" s="851">
        <f>'27-Allocators'!$D$53</f>
        <v>0</v>
      </c>
      <c r="G115" s="844">
        <f t="shared" ref="G115:G119" si="27">SUM(H115:I115)</f>
        <v>0</v>
      </c>
      <c r="H115" s="844">
        <f>D115*F115</f>
        <v>0</v>
      </c>
      <c r="I115" s="844">
        <f>E115*F115</f>
        <v>0</v>
      </c>
      <c r="J115" s="614" t="s">
        <v>2389</v>
      </c>
      <c r="K115" s="488"/>
    </row>
    <row r="116" spans="1:11" ht="12.75" customHeight="1">
      <c r="A116" s="111">
        <f t="shared" ref="A116:A125" si="28">A115+1</f>
        <v>83</v>
      </c>
      <c r="B116" s="592" t="s">
        <v>1306</v>
      </c>
      <c r="C116" s="594">
        <f t="shared" si="26"/>
        <v>2386347.5300000007</v>
      </c>
      <c r="D116" s="594">
        <f t="shared" si="26"/>
        <v>2048868.7541387454</v>
      </c>
      <c r="E116" s="594">
        <f t="shared" si="26"/>
        <v>337478.77586125542</v>
      </c>
      <c r="F116" s="851">
        <f>'27-Allocators'!$D$53</f>
        <v>0</v>
      </c>
      <c r="G116" s="844">
        <f t="shared" si="27"/>
        <v>0</v>
      </c>
      <c r="H116" s="844">
        <f t="shared" ref="H116:H119" si="29">D116*F116</f>
        <v>0</v>
      </c>
      <c r="I116" s="844">
        <f t="shared" ref="I116:I119" si="30">E116*F116</f>
        <v>0</v>
      </c>
      <c r="J116" s="614" t="s">
        <v>2389</v>
      </c>
      <c r="K116" s="488"/>
    </row>
    <row r="117" spans="1:11" ht="12.75" customHeight="1">
      <c r="A117" s="111">
        <f t="shared" si="28"/>
        <v>84</v>
      </c>
      <c r="B117" s="592" t="s">
        <v>1307</v>
      </c>
      <c r="C117" s="594">
        <f t="shared" si="26"/>
        <v>72359.460000000006</v>
      </c>
      <c r="D117" s="594">
        <f t="shared" si="26"/>
        <v>7390.4000511447894</v>
      </c>
      <c r="E117" s="594">
        <f t="shared" si="26"/>
        <v>64969.059948855211</v>
      </c>
      <c r="F117" s="851">
        <f>'27-Allocators'!$D$53</f>
        <v>0</v>
      </c>
      <c r="G117" s="844">
        <f t="shared" si="27"/>
        <v>0</v>
      </c>
      <c r="H117" s="844">
        <f t="shared" si="29"/>
        <v>0</v>
      </c>
      <c r="I117" s="844">
        <f t="shared" si="30"/>
        <v>0</v>
      </c>
      <c r="J117" s="614" t="s">
        <v>2389</v>
      </c>
      <c r="K117" s="488"/>
    </row>
    <row r="118" spans="1:11" ht="12.75" customHeight="1">
      <c r="A118" s="111">
        <f t="shared" si="28"/>
        <v>85</v>
      </c>
      <c r="B118" s="592" t="s">
        <v>2371</v>
      </c>
      <c r="C118" s="594">
        <f t="shared" si="26"/>
        <v>10261821.489999998</v>
      </c>
      <c r="D118" s="594">
        <f t="shared" si="26"/>
        <v>5375621.5328013962</v>
      </c>
      <c r="E118" s="594">
        <f t="shared" si="26"/>
        <v>4886199.9571986021</v>
      </c>
      <c r="F118" s="851">
        <f>'27-Allocators'!$D$53</f>
        <v>0</v>
      </c>
      <c r="G118" s="844">
        <f t="shared" si="27"/>
        <v>0</v>
      </c>
      <c r="H118" s="844">
        <f t="shared" si="29"/>
        <v>0</v>
      </c>
      <c r="I118" s="844">
        <f t="shared" si="30"/>
        <v>0</v>
      </c>
      <c r="J118" s="614" t="s">
        <v>2389</v>
      </c>
      <c r="K118" s="488"/>
    </row>
    <row r="119" spans="1:11" ht="12.75" customHeight="1">
      <c r="A119" s="1275">
        <f t="shared" si="28"/>
        <v>86</v>
      </c>
      <c r="B119" s="852" t="s">
        <v>1308</v>
      </c>
      <c r="C119" s="853">
        <f t="shared" ref="C119:E120" si="31">J56</f>
        <v>468599879.4600001</v>
      </c>
      <c r="D119" s="1274">
        <f t="shared" si="31"/>
        <v>202811589.57225418</v>
      </c>
      <c r="E119" s="1274">
        <f t="shared" si="31"/>
        <v>265788289.88774592</v>
      </c>
      <c r="F119" s="1276">
        <v>0</v>
      </c>
      <c r="G119" s="844">
        <f t="shared" si="27"/>
        <v>0</v>
      </c>
      <c r="H119" s="844">
        <f t="shared" si="29"/>
        <v>0</v>
      </c>
      <c r="I119" s="844">
        <f t="shared" si="30"/>
        <v>0</v>
      </c>
      <c r="J119" s="1308" t="s">
        <v>2475</v>
      </c>
      <c r="K119" s="488"/>
    </row>
    <row r="120" spans="1:11" ht="12.75" customHeight="1">
      <c r="A120" s="111">
        <f t="shared" si="28"/>
        <v>87</v>
      </c>
      <c r="B120" s="592" t="s">
        <v>2024</v>
      </c>
      <c r="C120" s="838">
        <f t="shared" si="31"/>
        <v>34050403.358179212</v>
      </c>
      <c r="D120" s="838">
        <f t="shared" si="31"/>
        <v>34050403.358179212</v>
      </c>
      <c r="E120" s="838">
        <f t="shared" si="31"/>
        <v>0</v>
      </c>
      <c r="F120" s="1277">
        <v>0</v>
      </c>
      <c r="G120" s="849">
        <f>SUM(H120:I120)</f>
        <v>0</v>
      </c>
      <c r="H120" s="849">
        <f>D120*F120</f>
        <v>0</v>
      </c>
      <c r="I120" s="849">
        <f>E120*F120</f>
        <v>0</v>
      </c>
      <c r="J120" s="913" t="s">
        <v>2475</v>
      </c>
      <c r="K120" s="488"/>
    </row>
    <row r="121" spans="1:11">
      <c r="A121" s="111">
        <f t="shared" si="28"/>
        <v>88</v>
      </c>
      <c r="B121" s="438" t="s">
        <v>1319</v>
      </c>
      <c r="C121" s="594">
        <f>SUM(C115:C120)</f>
        <v>550383302.2681793</v>
      </c>
      <c r="D121" s="594">
        <f>SUM(D115:D120)</f>
        <v>270739711.2691173</v>
      </c>
      <c r="E121" s="594">
        <f>SUM(E115:E120)</f>
        <v>279643590.999062</v>
      </c>
      <c r="F121" s="447"/>
      <c r="G121" s="833">
        <f>SUM(G115:G120)</f>
        <v>0</v>
      </c>
      <c r="H121" s="833">
        <f>SUM(H115:H120)</f>
        <v>0</v>
      </c>
      <c r="I121" s="833">
        <f>SUM(I115:I120)</f>
        <v>0</v>
      </c>
      <c r="J121" s="488"/>
      <c r="K121" s="488"/>
    </row>
    <row r="122" spans="1:11">
      <c r="A122" s="111">
        <f t="shared" si="28"/>
        <v>89</v>
      </c>
      <c r="B122" s="438"/>
      <c r="C122" s="594"/>
      <c r="D122" s="594"/>
      <c r="E122" s="594"/>
      <c r="F122" s="447"/>
      <c r="G122" s="833"/>
      <c r="H122" s="830"/>
      <c r="I122" s="449"/>
      <c r="J122" s="488"/>
      <c r="K122" s="488"/>
    </row>
    <row r="123" spans="1:11">
      <c r="A123" s="111">
        <f t="shared" si="28"/>
        <v>90</v>
      </c>
      <c r="B123" s="829"/>
      <c r="C123" s="835"/>
      <c r="D123" s="835"/>
      <c r="E123" s="835"/>
      <c r="F123" s="850"/>
      <c r="G123" s="844"/>
      <c r="H123" s="844"/>
      <c r="I123" s="844"/>
    </row>
    <row r="124" spans="1:11">
      <c r="A124" s="111">
        <f t="shared" si="28"/>
        <v>91</v>
      </c>
      <c r="B124" s="438" t="s">
        <v>1680</v>
      </c>
      <c r="C124" s="835">
        <f>+C106+C121</f>
        <v>730491347.05375302</v>
      </c>
      <c r="D124" s="835">
        <f>+D106+D121</f>
        <v>358360645.68188125</v>
      </c>
      <c r="E124" s="835">
        <f>+E106+E121</f>
        <v>372130701.37187177</v>
      </c>
      <c r="F124" s="436"/>
      <c r="G124" s="844">
        <f>+G106+G121</f>
        <v>77531619.044176176</v>
      </c>
      <c r="H124" s="835">
        <f>+H106+H121</f>
        <v>35938613.481827594</v>
      </c>
      <c r="I124" s="835">
        <f>+I106+I121</f>
        <v>41593005.562348567</v>
      </c>
    </row>
    <row r="125" spans="1:11">
      <c r="A125" s="111">
        <f t="shared" si="28"/>
        <v>92</v>
      </c>
      <c r="B125" s="488" t="str">
        <f>"Line "&amp;A106&amp;" +  Line "&amp;A121&amp;""</f>
        <v>Line 80 +  Line 88</v>
      </c>
    </row>
    <row r="126" spans="1:11">
      <c r="A126" s="488"/>
    </row>
    <row r="127" spans="1:11">
      <c r="A127" s="488"/>
      <c r="B127" s="450" t="s">
        <v>232</v>
      </c>
    </row>
    <row r="128" spans="1:11">
      <c r="A128" s="488"/>
      <c r="B128" s="855" t="s">
        <v>1320</v>
      </c>
      <c r="G128" s="856"/>
      <c r="H128" s="857"/>
      <c r="I128" s="857"/>
      <c r="J128" s="488"/>
      <c r="K128" s="488"/>
    </row>
    <row r="129" spans="1:12">
      <c r="A129" s="488"/>
      <c r="B129" s="858" t="s">
        <v>1321</v>
      </c>
      <c r="G129" s="856"/>
      <c r="H129" s="857"/>
      <c r="I129" s="857"/>
      <c r="J129" s="488"/>
      <c r="K129" s="488"/>
    </row>
    <row r="130" spans="1:12">
      <c r="A130" s="488"/>
      <c r="B130" s="859" t="s">
        <v>1322</v>
      </c>
      <c r="G130" s="856"/>
      <c r="H130" s="857"/>
      <c r="I130" s="857"/>
      <c r="J130" s="488"/>
      <c r="K130" s="488"/>
    </row>
    <row r="131" spans="1:12">
      <c r="A131" s="488"/>
      <c r="B131" s="597" t="s">
        <v>1323</v>
      </c>
      <c r="G131" s="856"/>
      <c r="H131" s="857"/>
      <c r="I131" s="857"/>
      <c r="J131" s="488"/>
      <c r="K131" s="488"/>
    </row>
    <row r="132" spans="1:12">
      <c r="A132" s="488"/>
      <c r="B132" s="597" t="s">
        <v>1324</v>
      </c>
      <c r="G132" s="856"/>
      <c r="H132" s="857"/>
      <c r="I132" s="857"/>
      <c r="J132" s="488"/>
      <c r="K132" s="488"/>
    </row>
    <row r="133" spans="1:12">
      <c r="A133" s="488"/>
      <c r="B133" s="597" t="s">
        <v>1325</v>
      </c>
      <c r="G133" s="856"/>
      <c r="H133" s="857"/>
      <c r="I133" s="857"/>
      <c r="J133" s="488"/>
      <c r="K133" s="488"/>
    </row>
    <row r="134" spans="1:12">
      <c r="A134" s="488"/>
      <c r="B134" s="914" t="s">
        <v>2228</v>
      </c>
      <c r="G134" s="856"/>
      <c r="H134" s="857"/>
      <c r="I134" s="857"/>
      <c r="J134" s="488"/>
      <c r="K134" s="488"/>
    </row>
    <row r="135" spans="1:12">
      <c r="A135" s="488"/>
      <c r="B135" s="597" t="s">
        <v>2323</v>
      </c>
      <c r="G135" s="856"/>
      <c r="H135" s="857"/>
      <c r="I135" s="857"/>
      <c r="J135" s="488"/>
      <c r="K135" s="488"/>
    </row>
    <row r="136" spans="1:12">
      <c r="A136" s="488"/>
      <c r="B136" s="597" t="s">
        <v>2324</v>
      </c>
      <c r="G136" s="856"/>
      <c r="H136" s="857"/>
      <c r="I136" s="857"/>
      <c r="J136" s="488"/>
      <c r="K136" s="488"/>
    </row>
    <row r="137" spans="1:12">
      <c r="A137" s="488"/>
      <c r="B137" s="1249" t="s">
        <v>2765</v>
      </c>
      <c r="C137" s="997"/>
      <c r="D137" s="997"/>
      <c r="E137" s="819"/>
      <c r="F137" s="820"/>
      <c r="G137" s="861"/>
      <c r="H137" s="862"/>
      <c r="I137" s="862"/>
      <c r="J137" s="819"/>
      <c r="K137" s="488"/>
      <c r="L137" s="488"/>
    </row>
    <row r="138" spans="1:12">
      <c r="A138" s="488"/>
      <c r="B138" s="860"/>
      <c r="C138" s="1044"/>
      <c r="D138" s="1044"/>
      <c r="E138" s="1044"/>
      <c r="F138" s="820"/>
      <c r="G138" s="861"/>
      <c r="H138" s="862"/>
      <c r="I138" s="862"/>
      <c r="J138" s="819"/>
      <c r="K138" s="488"/>
      <c r="L138" s="488"/>
    </row>
    <row r="139" spans="1:12">
      <c r="A139" s="488"/>
      <c r="B139" s="488" t="s">
        <v>2034</v>
      </c>
      <c r="G139" s="856"/>
      <c r="H139" s="857"/>
      <c r="I139" s="857"/>
      <c r="J139" s="488"/>
      <c r="K139" s="488"/>
    </row>
    <row r="140" spans="1:12">
      <c r="A140" s="488"/>
      <c r="B140" s="488" t="s">
        <v>2025</v>
      </c>
      <c r="G140" s="856"/>
      <c r="H140" s="857"/>
      <c r="I140" s="857"/>
      <c r="J140" s="488"/>
      <c r="K140" s="488"/>
    </row>
    <row r="141" spans="1:12">
      <c r="A141" s="488"/>
      <c r="G141" s="856"/>
      <c r="H141" s="857"/>
      <c r="I141" s="857"/>
      <c r="J141" s="488"/>
      <c r="K141" s="488"/>
    </row>
    <row r="142" spans="1:12">
      <c r="A142" s="488"/>
      <c r="B142" s="915" t="s">
        <v>2026</v>
      </c>
      <c r="C142" s="819">
        <v>47</v>
      </c>
      <c r="G142" s="856"/>
      <c r="H142" s="857"/>
      <c r="I142" s="857"/>
      <c r="J142" s="488"/>
      <c r="K142" s="488"/>
    </row>
    <row r="143" spans="1:12">
      <c r="A143" s="488"/>
      <c r="G143" s="856"/>
      <c r="H143" s="857"/>
      <c r="I143" s="857"/>
      <c r="J143" s="488"/>
      <c r="K143" s="488"/>
    </row>
    <row r="144" spans="1:12">
      <c r="A144" s="488"/>
      <c r="B144" s="863"/>
      <c r="C144" s="469" t="s">
        <v>1446</v>
      </c>
      <c r="D144" s="469" t="s">
        <v>154</v>
      </c>
      <c r="G144" s="856"/>
      <c r="H144" s="857"/>
      <c r="I144" s="857"/>
      <c r="J144" s="488"/>
      <c r="K144" s="488"/>
    </row>
    <row r="145" spans="1:11">
      <c r="A145" s="488"/>
      <c r="B145" s="863" t="s">
        <v>2027</v>
      </c>
      <c r="C145" s="864">
        <f>D43/D60</f>
        <v>0.24434794525684134</v>
      </c>
      <c r="D145" s="863" t="str">
        <f>"Line "&amp;A43&amp;", Col 3 / Line "&amp;A60&amp;", Col 3"</f>
        <v>Line 33, Col 3 / Line 43, Col 3</v>
      </c>
      <c r="G145" s="856"/>
      <c r="H145" s="857"/>
      <c r="I145" s="857"/>
      <c r="J145" s="488"/>
      <c r="K145" s="488"/>
    </row>
    <row r="146" spans="1:11">
      <c r="A146" s="488"/>
      <c r="B146" s="863" t="s">
        <v>2028</v>
      </c>
      <c r="C146" s="864">
        <f>D58/D60</f>
        <v>0.75565205474315877</v>
      </c>
      <c r="D146" s="863" t="str">
        <f>"Line "&amp;A58&amp;", Col 3 / Line "&amp;A60&amp;", Col 3"</f>
        <v>Line 41, Col 3 / Line 43, Col 3</v>
      </c>
      <c r="G146" s="856"/>
      <c r="H146" s="857"/>
      <c r="I146" s="857"/>
      <c r="J146" s="488"/>
      <c r="K146" s="488"/>
    </row>
    <row r="147" spans="1:11">
      <c r="A147" s="488"/>
      <c r="G147" s="856"/>
      <c r="H147" s="857"/>
      <c r="I147" s="857"/>
      <c r="J147" s="488"/>
      <c r="K147" s="488"/>
    </row>
    <row r="148" spans="1:11">
      <c r="A148" s="488"/>
      <c r="B148" s="488" t="s">
        <v>2029</v>
      </c>
      <c r="G148" s="856"/>
      <c r="H148" s="857"/>
      <c r="I148" s="857"/>
      <c r="J148" s="488"/>
      <c r="K148" s="488"/>
    </row>
    <row r="149" spans="1:11">
      <c r="A149" s="488"/>
      <c r="B149" s="488" t="s">
        <v>2030</v>
      </c>
      <c r="G149" s="856"/>
      <c r="H149" s="857"/>
      <c r="I149" s="857"/>
      <c r="J149" s="488"/>
      <c r="K149" s="488"/>
    </row>
    <row r="150" spans="1:11">
      <c r="A150" s="488"/>
      <c r="B150" s="488" t="s">
        <v>1743</v>
      </c>
      <c r="C150" s="916">
        <f>(SUM(H74:H103)/SUM(D74:D103))</f>
        <v>0.41016012580427741</v>
      </c>
      <c r="G150" s="856"/>
      <c r="H150" s="857"/>
      <c r="I150" s="857"/>
      <c r="J150" s="488"/>
      <c r="K150" s="488"/>
    </row>
    <row r="151" spans="1:11">
      <c r="A151" s="488"/>
      <c r="B151" s="488" t="s">
        <v>1679</v>
      </c>
      <c r="G151" s="856"/>
      <c r="H151" s="857"/>
      <c r="I151" s="857"/>
      <c r="J151" s="488"/>
      <c r="K151" s="488"/>
    </row>
    <row r="152" spans="1:11">
      <c r="A152" s="488"/>
      <c r="B152" s="488" t="s">
        <v>2476</v>
      </c>
      <c r="G152" s="856"/>
      <c r="H152" s="857"/>
      <c r="I152" s="857"/>
      <c r="J152" s="488"/>
      <c r="K152" s="488"/>
    </row>
    <row r="153" spans="1:11">
      <c r="A153" s="488"/>
      <c r="B153" s="488" t="s">
        <v>1827</v>
      </c>
      <c r="G153" s="856"/>
      <c r="H153" s="857"/>
      <c r="I153" s="857"/>
      <c r="J153" s="488"/>
      <c r="K153" s="488"/>
    </row>
    <row r="154" spans="1:11">
      <c r="A154" s="488"/>
      <c r="B154" s="488"/>
      <c r="G154" s="856"/>
      <c r="H154" s="857"/>
      <c r="I154" s="857"/>
      <c r="J154" s="488"/>
      <c r="K154" s="488"/>
    </row>
    <row r="155" spans="1:11">
      <c r="A155" s="488"/>
    </row>
    <row r="156" spans="1:11">
      <c r="A156" s="488"/>
    </row>
  </sheetData>
  <mergeCells count="14">
    <mergeCell ref="J8:L8"/>
    <mergeCell ref="B49:B50"/>
    <mergeCell ref="C49:E49"/>
    <mergeCell ref="G49:I49"/>
    <mergeCell ref="J49:L49"/>
    <mergeCell ref="G112:I112"/>
    <mergeCell ref="G71:I71"/>
    <mergeCell ref="B8:B9"/>
    <mergeCell ref="C8:E8"/>
    <mergeCell ref="G8:I8"/>
    <mergeCell ref="B71:B72"/>
    <mergeCell ref="C71:E71"/>
    <mergeCell ref="B112:B113"/>
    <mergeCell ref="C112:E112"/>
  </mergeCells>
  <pageMargins left="0.7" right="0.7" top="0.75" bottom="0.75" header="0.3" footer="0.3"/>
  <pageSetup scale="60" orientation="landscape" cellComments="asDisplayed" r:id="rId1"/>
  <headerFooter>
    <oddHeader>&amp;CSchedule 19
Operations and Maintenance
&amp;RExhibit SCE-4
TO2019A Formula Rate Spreadsheet</oddHeader>
    <oddFooter>&amp;R&amp;A</oddFooter>
  </headerFooter>
  <rowBreaks count="3" manualBreakCount="3">
    <brk id="45" max="11" man="1"/>
    <brk id="65" max="16383" man="1"/>
    <brk id="10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zoomScaleNormal="100" workbookViewId="0"/>
  </sheetViews>
  <sheetFormatPr defaultRowHeight="13.2"/>
  <cols>
    <col min="1" max="1" width="4.6640625" customWidth="1"/>
    <col min="2" max="2" width="2.6640625" customWidth="1"/>
    <col min="3" max="3" width="8.6640625" customWidth="1"/>
    <col min="4" max="4" width="32.5546875" customWidth="1"/>
    <col min="5" max="5" width="14.6640625" customWidth="1"/>
    <col min="6" max="6" width="15.6640625" customWidth="1"/>
    <col min="7" max="8" width="14.6640625" customWidth="1"/>
    <col min="9" max="9" width="20" customWidth="1"/>
    <col min="10" max="10" width="15.88671875" customWidth="1"/>
    <col min="11" max="11" width="11" bestFit="1" customWidth="1"/>
  </cols>
  <sheetData>
    <row r="1" spans="1:24">
      <c r="A1" s="1" t="s">
        <v>282</v>
      </c>
      <c r="F1" s="43" t="s">
        <v>17</v>
      </c>
      <c r="G1" s="97"/>
      <c r="H1" s="61"/>
      <c r="I1" s="61"/>
    </row>
    <row r="2" spans="1:24">
      <c r="E2" s="84" t="s">
        <v>360</v>
      </c>
      <c r="F2" s="84" t="s">
        <v>344</v>
      </c>
      <c r="G2" s="84" t="s">
        <v>345</v>
      </c>
      <c r="H2" s="84" t="s">
        <v>346</v>
      </c>
      <c r="I2" s="61"/>
    </row>
    <row r="3" spans="1:24">
      <c r="G3" s="61" t="s">
        <v>212</v>
      </c>
    </row>
    <row r="4" spans="1:24">
      <c r="E4" s="2" t="s">
        <v>481</v>
      </c>
      <c r="F4" s="26" t="s">
        <v>194</v>
      </c>
      <c r="G4" s="2" t="s">
        <v>1385</v>
      </c>
      <c r="I4" s="2"/>
    </row>
    <row r="5" spans="1:24">
      <c r="A5" s="53" t="s">
        <v>321</v>
      </c>
      <c r="B5" s="3"/>
      <c r="C5" s="3" t="s">
        <v>115</v>
      </c>
      <c r="D5" s="3" t="s">
        <v>100</v>
      </c>
      <c r="E5" s="3" t="s">
        <v>175</v>
      </c>
      <c r="F5" s="25" t="s">
        <v>179</v>
      </c>
      <c r="G5" s="3" t="s">
        <v>116</v>
      </c>
      <c r="H5" s="3" t="s">
        <v>266</v>
      </c>
      <c r="I5" s="3" t="s">
        <v>168</v>
      </c>
      <c r="K5" s="3"/>
      <c r="L5" s="3"/>
      <c r="M5" s="3"/>
      <c r="N5" s="3"/>
      <c r="O5" s="3"/>
      <c r="P5" s="3"/>
      <c r="Q5" s="3"/>
      <c r="R5" s="3"/>
      <c r="S5" s="3"/>
      <c r="T5" s="3"/>
      <c r="U5" s="3"/>
      <c r="V5" s="3"/>
      <c r="W5" s="3"/>
      <c r="X5" s="3"/>
    </row>
    <row r="6" spans="1:24">
      <c r="A6" s="2">
        <v>1</v>
      </c>
      <c r="C6" s="61">
        <v>920</v>
      </c>
      <c r="D6" t="s">
        <v>102</v>
      </c>
      <c r="E6" s="80">
        <v>354859044</v>
      </c>
      <c r="F6" s="61" t="s">
        <v>117</v>
      </c>
      <c r="G6" s="63">
        <f>D37</f>
        <v>44861860.830003619</v>
      </c>
      <c r="H6" s="7">
        <f t="shared" ref="H6:H19" si="0">E6-G6</f>
        <v>309997183.16999638</v>
      </c>
      <c r="J6" s="477"/>
    </row>
    <row r="7" spans="1:24">
      <c r="A7" s="2">
        <f>A6+1</f>
        <v>2</v>
      </c>
      <c r="C7" s="61">
        <v>921</v>
      </c>
      <c r="D7" t="s">
        <v>103</v>
      </c>
      <c r="E7" s="80">
        <v>249803334</v>
      </c>
      <c r="F7" s="61" t="s">
        <v>118</v>
      </c>
      <c r="G7" s="63">
        <f t="shared" ref="G7:G19" si="1">D38</f>
        <v>5610135.4679282326</v>
      </c>
      <c r="H7" s="7">
        <f t="shared" si="0"/>
        <v>244193198.53207177</v>
      </c>
      <c r="J7" s="477"/>
    </row>
    <row r="8" spans="1:24">
      <c r="A8" s="2">
        <f>A7+1</f>
        <v>3</v>
      </c>
      <c r="C8" s="61">
        <v>922</v>
      </c>
      <c r="D8" t="s">
        <v>104</v>
      </c>
      <c r="E8" s="80">
        <v>-145897634</v>
      </c>
      <c r="F8" s="61" t="s">
        <v>119</v>
      </c>
      <c r="G8" s="63">
        <f t="shared" si="1"/>
        <v>-48972720.492640004</v>
      </c>
      <c r="H8" s="7">
        <f t="shared" si="0"/>
        <v>-96924913.507359996</v>
      </c>
      <c r="I8" s="114" t="s">
        <v>1767</v>
      </c>
      <c r="J8" s="477"/>
    </row>
    <row r="9" spans="1:24">
      <c r="A9" s="2">
        <f t="shared" ref="A9:A20" si="2">A8+1</f>
        <v>4</v>
      </c>
      <c r="B9" s="2"/>
      <c r="C9" s="61">
        <v>923</v>
      </c>
      <c r="D9" t="s">
        <v>105</v>
      </c>
      <c r="E9" s="80">
        <v>54121017</v>
      </c>
      <c r="F9" s="61" t="s">
        <v>120</v>
      </c>
      <c r="G9" s="63">
        <f t="shared" si="1"/>
        <v>7684282</v>
      </c>
      <c r="H9" s="7">
        <f t="shared" si="0"/>
        <v>46436735</v>
      </c>
      <c r="J9" s="477"/>
    </row>
    <row r="10" spans="1:24">
      <c r="A10" s="2">
        <f t="shared" si="2"/>
        <v>5</v>
      </c>
      <c r="B10" s="2"/>
      <c r="C10" s="61">
        <v>924</v>
      </c>
      <c r="D10" t="s">
        <v>106</v>
      </c>
      <c r="E10" s="80">
        <v>14497978</v>
      </c>
      <c r="F10" s="61" t="s">
        <v>121</v>
      </c>
      <c r="G10" s="63">
        <f t="shared" si="1"/>
        <v>0</v>
      </c>
      <c r="H10" s="7">
        <f t="shared" si="0"/>
        <v>14497978</v>
      </c>
      <c r="J10" s="477"/>
    </row>
    <row r="11" spans="1:24">
      <c r="A11" s="2">
        <f t="shared" si="2"/>
        <v>6</v>
      </c>
      <c r="B11" s="2"/>
      <c r="C11" s="61">
        <v>925</v>
      </c>
      <c r="D11" t="s">
        <v>107</v>
      </c>
      <c r="E11" s="80">
        <v>117581984</v>
      </c>
      <c r="F11" s="61" t="s">
        <v>122</v>
      </c>
      <c r="G11" s="63">
        <f t="shared" si="1"/>
        <v>-695634</v>
      </c>
      <c r="H11" s="7">
        <f t="shared" si="0"/>
        <v>118277618</v>
      </c>
      <c r="J11" s="477"/>
    </row>
    <row r="12" spans="1:24">
      <c r="A12" s="2">
        <f t="shared" si="2"/>
        <v>7</v>
      </c>
      <c r="B12" s="2"/>
      <c r="C12" s="61">
        <v>926</v>
      </c>
      <c r="D12" t="s">
        <v>108</v>
      </c>
      <c r="E12" s="80">
        <v>142806958</v>
      </c>
      <c r="F12" s="61" t="s">
        <v>123</v>
      </c>
      <c r="G12" s="63">
        <f t="shared" si="1"/>
        <v>-37470823.897359997</v>
      </c>
      <c r="H12" s="7">
        <f t="shared" si="0"/>
        <v>180277781.89736</v>
      </c>
      <c r="J12" s="477"/>
    </row>
    <row r="13" spans="1:24">
      <c r="A13" s="2">
        <f t="shared" si="2"/>
        <v>8</v>
      </c>
      <c r="B13" s="2"/>
      <c r="C13" s="61">
        <v>927</v>
      </c>
      <c r="D13" t="s">
        <v>109</v>
      </c>
      <c r="E13" s="80">
        <v>110632750</v>
      </c>
      <c r="F13" s="61" t="s">
        <v>124</v>
      </c>
      <c r="G13" s="63">
        <f t="shared" si="1"/>
        <v>110632750</v>
      </c>
      <c r="H13" s="7">
        <f t="shared" si="0"/>
        <v>0</v>
      </c>
      <c r="J13" s="477"/>
    </row>
    <row r="14" spans="1:24">
      <c r="A14" s="2">
        <f t="shared" si="2"/>
        <v>9</v>
      </c>
      <c r="B14" s="2"/>
      <c r="C14" s="61">
        <v>928</v>
      </c>
      <c r="D14" s="12" t="s">
        <v>110</v>
      </c>
      <c r="E14" s="80">
        <v>16012736</v>
      </c>
      <c r="F14" s="61" t="s">
        <v>125</v>
      </c>
      <c r="G14" s="63">
        <f t="shared" si="1"/>
        <v>17351998</v>
      </c>
      <c r="H14" s="7">
        <f t="shared" si="0"/>
        <v>-1339262</v>
      </c>
      <c r="J14" s="477"/>
    </row>
    <row r="15" spans="1:24">
      <c r="A15" s="2">
        <f t="shared" si="2"/>
        <v>10</v>
      </c>
      <c r="B15" s="2"/>
      <c r="C15" s="61">
        <v>929</v>
      </c>
      <c r="D15" t="s">
        <v>111</v>
      </c>
      <c r="E15" s="80">
        <v>0</v>
      </c>
      <c r="F15" s="61" t="s">
        <v>126</v>
      </c>
      <c r="G15" s="63">
        <f t="shared" si="1"/>
        <v>0</v>
      </c>
      <c r="H15" s="7">
        <f t="shared" si="0"/>
        <v>0</v>
      </c>
      <c r="J15" s="477"/>
    </row>
    <row r="16" spans="1:24">
      <c r="A16" s="2">
        <f t="shared" si="2"/>
        <v>11</v>
      </c>
      <c r="B16" s="2"/>
      <c r="C16" s="61">
        <v>930.1</v>
      </c>
      <c r="D16" t="s">
        <v>112</v>
      </c>
      <c r="E16" s="80">
        <v>5718074</v>
      </c>
      <c r="F16" s="61" t="s">
        <v>127</v>
      </c>
      <c r="G16" s="63">
        <f t="shared" si="1"/>
        <v>0</v>
      </c>
      <c r="H16" s="7">
        <f t="shared" si="0"/>
        <v>5718074</v>
      </c>
      <c r="J16" s="477"/>
    </row>
    <row r="17" spans="1:11">
      <c r="A17" s="2">
        <f t="shared" si="2"/>
        <v>12</v>
      </c>
      <c r="B17" s="2"/>
      <c r="C17" s="61">
        <v>930.2</v>
      </c>
      <c r="D17" t="s">
        <v>88</v>
      </c>
      <c r="E17" s="80">
        <v>34422373</v>
      </c>
      <c r="F17" s="61" t="s">
        <v>128</v>
      </c>
      <c r="G17" s="63">
        <f t="shared" si="1"/>
        <v>24004995.530000001</v>
      </c>
      <c r="H17" s="7">
        <f t="shared" si="0"/>
        <v>10417377.469999999</v>
      </c>
      <c r="J17" s="477"/>
    </row>
    <row r="18" spans="1:11">
      <c r="A18" s="2">
        <f t="shared" si="2"/>
        <v>13</v>
      </c>
      <c r="B18" s="2"/>
      <c r="C18" s="61">
        <v>931</v>
      </c>
      <c r="D18" t="s">
        <v>113</v>
      </c>
      <c r="E18" s="80">
        <v>6627867</v>
      </c>
      <c r="F18" s="61" t="s">
        <v>129</v>
      </c>
      <c r="G18" s="63">
        <f t="shared" si="1"/>
        <v>11411119</v>
      </c>
      <c r="H18" s="7">
        <f t="shared" si="0"/>
        <v>-4783252</v>
      </c>
      <c r="J18" s="477"/>
    </row>
    <row r="19" spans="1:11">
      <c r="A19" s="2">
        <f t="shared" si="2"/>
        <v>14</v>
      </c>
      <c r="B19" s="2"/>
      <c r="C19" s="61">
        <v>935</v>
      </c>
      <c r="D19" t="s">
        <v>114</v>
      </c>
      <c r="E19" s="1102">
        <v>13296044</v>
      </c>
      <c r="F19" s="61" t="s">
        <v>130</v>
      </c>
      <c r="G19" s="63">
        <f t="shared" si="1"/>
        <v>697671</v>
      </c>
      <c r="H19" s="91">
        <f t="shared" si="0"/>
        <v>12598373</v>
      </c>
      <c r="J19" s="477"/>
    </row>
    <row r="20" spans="1:11">
      <c r="A20" s="2">
        <f t="shared" si="2"/>
        <v>15</v>
      </c>
      <c r="E20" s="7">
        <f>SUM(E6:E19)</f>
        <v>974482525</v>
      </c>
      <c r="G20" s="37" t="s">
        <v>131</v>
      </c>
      <c r="H20" s="101">
        <f>SUM(H6:H19)</f>
        <v>839366891.5620681</v>
      </c>
    </row>
    <row r="22" spans="1:11">
      <c r="F22" s="3" t="s">
        <v>175</v>
      </c>
      <c r="G22" s="3" t="s">
        <v>179</v>
      </c>
    </row>
    <row r="23" spans="1:11">
      <c r="A23" s="2">
        <f>A20+1</f>
        <v>16</v>
      </c>
      <c r="E23" s="874" t="s">
        <v>2010</v>
      </c>
      <c r="F23" s="63">
        <f>H20</f>
        <v>839366891.5620681</v>
      </c>
      <c r="G23" s="46" t="str">
        <f>"Line "&amp;A20&amp;""</f>
        <v>Line 15</v>
      </c>
      <c r="H23" s="14"/>
      <c r="I23" s="14"/>
      <c r="J23" s="14"/>
      <c r="K23" s="14"/>
    </row>
    <row r="24" spans="1:11">
      <c r="A24" s="2">
        <f t="shared" ref="A24:A30" si="3">A23+1</f>
        <v>17</v>
      </c>
      <c r="E24" s="364" t="s">
        <v>294</v>
      </c>
      <c r="F24" s="112">
        <f>E10</f>
        <v>14497978</v>
      </c>
      <c r="G24" s="46" t="str">
        <f>"Line "&amp;A10&amp;""</f>
        <v>Line 5</v>
      </c>
      <c r="H24" s="14"/>
      <c r="I24" s="14"/>
      <c r="J24" s="14"/>
      <c r="K24" s="14"/>
    </row>
    <row r="25" spans="1:11">
      <c r="A25" s="2">
        <f t="shared" si="3"/>
        <v>18</v>
      </c>
      <c r="E25" s="364" t="s">
        <v>1380</v>
      </c>
      <c r="F25" s="63">
        <f>F23-F24</f>
        <v>824868913.5620681</v>
      </c>
      <c r="G25" s="46" t="str">
        <f>"Line "&amp;A23&amp;" - Line "&amp;A24&amp;""</f>
        <v>Line 16 - Line 17</v>
      </c>
      <c r="H25" s="14"/>
      <c r="I25" s="14"/>
      <c r="J25" s="14"/>
      <c r="K25" s="14"/>
    </row>
    <row r="26" spans="1:11">
      <c r="A26" s="2">
        <f t="shared" si="3"/>
        <v>19</v>
      </c>
      <c r="E26" s="79" t="s">
        <v>132</v>
      </c>
      <c r="F26" s="917">
        <f>'27-Allocators'!G14</f>
        <v>6.0143362776597958E-2</v>
      </c>
      <c r="G26" s="46" t="str">
        <f>"27-Allocators, Line "&amp;'27-Allocators'!A14&amp;""</f>
        <v>27-Allocators, Line 9</v>
      </c>
      <c r="H26" s="14"/>
      <c r="I26" s="14"/>
      <c r="J26" s="14"/>
      <c r="K26" s="14"/>
    </row>
    <row r="27" spans="1:11">
      <c r="A27" s="2">
        <f t="shared" si="3"/>
        <v>20</v>
      </c>
      <c r="E27" s="364" t="s">
        <v>1381</v>
      </c>
      <c r="F27" s="63">
        <f>F25*F26</f>
        <v>49610390.311501689</v>
      </c>
      <c r="G27" s="46" t="str">
        <f>"Line "&amp;A25&amp;" * Line "&amp;A26&amp;""</f>
        <v>Line 18 * Line 19</v>
      </c>
      <c r="H27" s="14"/>
      <c r="I27" s="14"/>
      <c r="J27" s="14"/>
      <c r="K27" s="14"/>
    </row>
    <row r="28" spans="1:11">
      <c r="A28" s="2">
        <f t="shared" si="3"/>
        <v>21</v>
      </c>
      <c r="E28" s="364" t="s">
        <v>94</v>
      </c>
      <c r="F28" s="67">
        <f>'27-Allocators'!G27</f>
        <v>0.19148424914638884</v>
      </c>
      <c r="G28" s="114" t="str">
        <f>"27-Allocators, Line "&amp;'27-Allocators'!A27&amp;""</f>
        <v>27-Allocators, Line 22</v>
      </c>
      <c r="H28" s="14"/>
      <c r="I28" s="14"/>
      <c r="J28" s="14"/>
      <c r="K28" s="14"/>
    </row>
    <row r="29" spans="1:11">
      <c r="A29" s="2">
        <f t="shared" si="3"/>
        <v>22</v>
      </c>
      <c r="E29" s="364" t="s">
        <v>295</v>
      </c>
      <c r="F29" s="112">
        <f>H10*F28</f>
        <v>2776134.431470864</v>
      </c>
      <c r="G29" s="46" t="str">
        <f>"Line "&amp;A10&amp;" Col 4 * Line "&amp;A28&amp;""</f>
        <v>Line 5 Col 4 * Line 21</v>
      </c>
      <c r="H29" s="14"/>
      <c r="I29" s="14"/>
      <c r="J29" s="14"/>
      <c r="K29" s="14"/>
    </row>
    <row r="30" spans="1:11">
      <c r="A30" s="2">
        <f t="shared" si="3"/>
        <v>23</v>
      </c>
      <c r="E30" s="364" t="s">
        <v>296</v>
      </c>
      <c r="F30" s="491">
        <f>F27+F29</f>
        <v>52386524.742972553</v>
      </c>
      <c r="G30" s="46" t="str">
        <f>"Line "&amp;A27&amp;" + Line "&amp;A29&amp;""</f>
        <v>Line 20 + Line 22</v>
      </c>
      <c r="H30" s="14"/>
      <c r="I30" s="14"/>
      <c r="J30" s="14"/>
      <c r="K30" s="14"/>
    </row>
    <row r="31" spans="1:11">
      <c r="E31" s="14"/>
      <c r="F31" s="14"/>
      <c r="G31" s="14"/>
      <c r="H31" s="14"/>
      <c r="I31" s="14"/>
      <c r="J31" s="14"/>
      <c r="K31" s="14"/>
    </row>
    <row r="32" spans="1:11">
      <c r="B32" s="1" t="s">
        <v>488</v>
      </c>
      <c r="E32" s="359" t="s">
        <v>360</v>
      </c>
      <c r="F32" s="359" t="s">
        <v>344</v>
      </c>
      <c r="G32" s="359" t="s">
        <v>345</v>
      </c>
      <c r="H32" s="359" t="s">
        <v>346</v>
      </c>
      <c r="I32" s="14"/>
      <c r="J32" s="14"/>
      <c r="K32" s="14"/>
    </row>
    <row r="33" spans="1:11">
      <c r="B33" s="1"/>
      <c r="E33" s="111" t="s">
        <v>483</v>
      </c>
      <c r="F33" s="359"/>
      <c r="G33" s="359"/>
      <c r="H33" s="359"/>
      <c r="I33" s="14"/>
      <c r="J33" s="14"/>
      <c r="K33" s="14"/>
    </row>
    <row r="34" spans="1:11">
      <c r="E34" s="111" t="s">
        <v>549</v>
      </c>
      <c r="F34" s="14"/>
      <c r="G34" s="14"/>
      <c r="H34" s="14"/>
      <c r="I34" s="14"/>
      <c r="J34" s="14"/>
      <c r="K34" s="14"/>
    </row>
    <row r="35" spans="1:11">
      <c r="D35" s="2" t="s">
        <v>482</v>
      </c>
      <c r="E35" s="111" t="s">
        <v>548</v>
      </c>
      <c r="F35" s="111" t="s">
        <v>484</v>
      </c>
      <c r="G35" s="111"/>
      <c r="H35" s="111"/>
      <c r="I35" s="14"/>
      <c r="J35" s="14"/>
      <c r="K35" s="14"/>
    </row>
    <row r="36" spans="1:11">
      <c r="C36" s="3" t="s">
        <v>115</v>
      </c>
      <c r="D36" s="359" t="s">
        <v>1106</v>
      </c>
      <c r="E36" s="125" t="s">
        <v>1282</v>
      </c>
      <c r="F36" s="125" t="s">
        <v>485</v>
      </c>
      <c r="G36" s="125" t="s">
        <v>2011</v>
      </c>
      <c r="H36" s="125" t="s">
        <v>486</v>
      </c>
      <c r="I36" s="125" t="s">
        <v>168</v>
      </c>
      <c r="J36" s="14"/>
      <c r="K36" s="14"/>
    </row>
    <row r="37" spans="1:11">
      <c r="A37" s="2">
        <f>A30+1</f>
        <v>24</v>
      </c>
      <c r="C37" s="61">
        <v>920</v>
      </c>
      <c r="D37" s="142">
        <f>SUM(E37:H37)</f>
        <v>44861860.830003619</v>
      </c>
      <c r="E37" s="511">
        <v>-28840749.100680005</v>
      </c>
      <c r="F37" s="107"/>
      <c r="G37" s="63">
        <f>G57</f>
        <v>73702609.930683628</v>
      </c>
      <c r="H37" s="107"/>
      <c r="I37" s="476" t="s">
        <v>1777</v>
      </c>
      <c r="J37" s="14"/>
    </row>
    <row r="38" spans="1:11">
      <c r="A38" s="2">
        <f>A37+1</f>
        <v>25</v>
      </c>
      <c r="C38" s="61">
        <v>921</v>
      </c>
      <c r="D38" s="142">
        <f t="shared" ref="D38:D50" si="4">SUM(E38:H38)</f>
        <v>5610135.4679282326</v>
      </c>
      <c r="E38" s="511">
        <v>5610135.4679282326</v>
      </c>
      <c r="F38" s="107"/>
      <c r="G38" s="1023">
        <v>0</v>
      </c>
      <c r="H38" s="107"/>
      <c r="I38" s="114"/>
      <c r="J38" s="14"/>
    </row>
    <row r="39" spans="1:11">
      <c r="A39" s="2">
        <f t="shared" ref="A39:A50" si="5">A38+1</f>
        <v>26</v>
      </c>
      <c r="C39" s="61">
        <v>922</v>
      </c>
      <c r="D39" s="142">
        <f t="shared" si="4"/>
        <v>-48972720.492640004</v>
      </c>
      <c r="E39" s="511">
        <v>-7655813.4926399998</v>
      </c>
      <c r="F39" s="107"/>
      <c r="G39" s="998">
        <v>-41316907</v>
      </c>
      <c r="H39" s="107"/>
      <c r="I39" s="114"/>
      <c r="J39" s="14"/>
    </row>
    <row r="40" spans="1:11">
      <c r="A40" s="2">
        <f t="shared" si="5"/>
        <v>27</v>
      </c>
      <c r="C40" s="61">
        <v>923</v>
      </c>
      <c r="D40" s="142">
        <f t="shared" si="4"/>
        <v>7684282</v>
      </c>
      <c r="E40" s="1027">
        <v>7684282</v>
      </c>
      <c r="F40" s="107"/>
      <c r="G40" s="1023">
        <v>0</v>
      </c>
      <c r="H40" s="107"/>
      <c r="I40" s="114"/>
      <c r="J40" s="125"/>
      <c r="K40" s="3"/>
    </row>
    <row r="41" spans="1:11">
      <c r="A41" s="2">
        <f t="shared" si="5"/>
        <v>28</v>
      </c>
      <c r="C41" s="61">
        <v>924</v>
      </c>
      <c r="D41" s="142">
        <f t="shared" si="4"/>
        <v>0</v>
      </c>
      <c r="E41" s="511">
        <v>0</v>
      </c>
      <c r="F41" s="107"/>
      <c r="G41" s="1023">
        <v>0</v>
      </c>
      <c r="H41" s="107"/>
      <c r="I41" s="114"/>
      <c r="J41" s="14"/>
      <c r="K41" s="7"/>
    </row>
    <row r="42" spans="1:11">
      <c r="A42" s="2">
        <f t="shared" si="5"/>
        <v>29</v>
      </c>
      <c r="C42" s="61">
        <v>925</v>
      </c>
      <c r="D42" s="142">
        <f t="shared" si="4"/>
        <v>-695634</v>
      </c>
      <c r="E42" s="511">
        <v>-695634</v>
      </c>
      <c r="F42" s="107"/>
      <c r="G42" s="1023">
        <v>0</v>
      </c>
      <c r="H42" s="107"/>
      <c r="I42" s="46"/>
      <c r="J42" s="14"/>
      <c r="K42" s="7"/>
    </row>
    <row r="43" spans="1:11">
      <c r="A43" s="2">
        <f t="shared" si="5"/>
        <v>30</v>
      </c>
      <c r="C43" s="61">
        <v>926</v>
      </c>
      <c r="D43" s="142">
        <f t="shared" si="4"/>
        <v>-37470823.897359997</v>
      </c>
      <c r="E43" s="511">
        <v>-2461671.8973599998</v>
      </c>
      <c r="F43" s="107"/>
      <c r="G43" s="1023">
        <v>0</v>
      </c>
      <c r="H43" s="63">
        <f>E70</f>
        <v>-35009152</v>
      </c>
      <c r="I43" s="46" t="s">
        <v>283</v>
      </c>
      <c r="J43" s="14"/>
      <c r="K43" s="7"/>
    </row>
    <row r="44" spans="1:11">
      <c r="A44" s="2">
        <f t="shared" si="5"/>
        <v>31</v>
      </c>
      <c r="C44" s="61">
        <v>927</v>
      </c>
      <c r="D44" s="142">
        <f t="shared" si="4"/>
        <v>110632750</v>
      </c>
      <c r="E44" s="63">
        <v>0</v>
      </c>
      <c r="F44" s="472">
        <f>E13</f>
        <v>110632750</v>
      </c>
      <c r="G44" s="63">
        <v>0</v>
      </c>
      <c r="H44" s="63">
        <v>0</v>
      </c>
      <c r="I44" s="114" t="s">
        <v>960</v>
      </c>
      <c r="J44" s="14"/>
      <c r="K44" s="7"/>
    </row>
    <row r="45" spans="1:11">
      <c r="A45" s="2">
        <f t="shared" si="5"/>
        <v>32</v>
      </c>
      <c r="C45" s="61">
        <v>928</v>
      </c>
      <c r="D45" s="142">
        <f t="shared" si="4"/>
        <v>17351998</v>
      </c>
      <c r="E45" s="1027">
        <v>17351998</v>
      </c>
      <c r="F45" s="1023"/>
      <c r="G45" s="1023">
        <v>0</v>
      </c>
      <c r="H45" s="1023"/>
      <c r="I45" s="114"/>
      <c r="J45" s="14"/>
      <c r="K45" s="7"/>
    </row>
    <row r="46" spans="1:11">
      <c r="A46" s="2">
        <f t="shared" si="5"/>
        <v>33</v>
      </c>
      <c r="C46" s="61">
        <v>929</v>
      </c>
      <c r="D46" s="142">
        <f t="shared" si="4"/>
        <v>0</v>
      </c>
      <c r="E46" s="511">
        <v>0</v>
      </c>
      <c r="F46" s="1023"/>
      <c r="G46" s="1023">
        <v>0</v>
      </c>
      <c r="H46" s="1023"/>
      <c r="I46" s="16"/>
      <c r="K46" s="7"/>
    </row>
    <row r="47" spans="1:11">
      <c r="A47" s="2">
        <f t="shared" si="5"/>
        <v>34</v>
      </c>
      <c r="C47" s="61">
        <v>930.1</v>
      </c>
      <c r="D47" s="142">
        <f t="shared" si="4"/>
        <v>0</v>
      </c>
      <c r="E47" s="511">
        <v>0</v>
      </c>
      <c r="F47" s="1023"/>
      <c r="G47" s="1023">
        <v>0</v>
      </c>
      <c r="H47" s="1023"/>
      <c r="I47" s="16"/>
      <c r="K47" s="7"/>
    </row>
    <row r="48" spans="1:11">
      <c r="A48" s="2">
        <f t="shared" si="5"/>
        <v>35</v>
      </c>
      <c r="C48" s="61">
        <v>930.2</v>
      </c>
      <c r="D48" s="142">
        <f t="shared" si="4"/>
        <v>24004995.530000001</v>
      </c>
      <c r="E48" s="511">
        <v>24004995.530000001</v>
      </c>
      <c r="F48" s="1023"/>
      <c r="G48" s="1023">
        <v>0</v>
      </c>
      <c r="H48" s="1023"/>
      <c r="I48" s="16"/>
      <c r="J48" s="484"/>
    </row>
    <row r="49" spans="1:10">
      <c r="A49" s="2">
        <f t="shared" si="5"/>
        <v>36</v>
      </c>
      <c r="C49" s="61">
        <v>931</v>
      </c>
      <c r="D49" s="142">
        <f t="shared" si="4"/>
        <v>11411119</v>
      </c>
      <c r="E49" s="511">
        <v>11411119</v>
      </c>
      <c r="F49" s="1023"/>
      <c r="G49" s="1023">
        <v>0</v>
      </c>
      <c r="H49" s="1023"/>
      <c r="I49" s="16"/>
      <c r="J49" s="7"/>
    </row>
    <row r="50" spans="1:10">
      <c r="A50" s="2">
        <f t="shared" si="5"/>
        <v>37</v>
      </c>
      <c r="C50" s="61">
        <v>935</v>
      </c>
      <c r="D50" s="142">
        <f t="shared" si="4"/>
        <v>697671</v>
      </c>
      <c r="E50" s="511">
        <v>697671</v>
      </c>
      <c r="F50" s="1023"/>
      <c r="G50" s="1023">
        <v>0</v>
      </c>
      <c r="H50" s="1023"/>
      <c r="I50" s="16"/>
    </row>
    <row r="51" spans="1:10">
      <c r="B51" s="44" t="s">
        <v>2012</v>
      </c>
      <c r="C51" s="14"/>
      <c r="D51" s="14"/>
      <c r="E51" s="14"/>
      <c r="F51" s="14"/>
      <c r="G51" s="14"/>
      <c r="H51" s="14"/>
    </row>
    <row r="52" spans="1:10">
      <c r="B52" s="44"/>
      <c r="C52" s="479" t="s">
        <v>2013</v>
      </c>
      <c r="D52" s="14"/>
      <c r="E52" s="14"/>
      <c r="F52" s="14"/>
      <c r="G52" s="111"/>
      <c r="H52" s="111"/>
    </row>
    <row r="53" spans="1:10">
      <c r="B53" s="44"/>
      <c r="C53" s="614" t="s">
        <v>2188</v>
      </c>
      <c r="D53" s="598"/>
      <c r="E53" s="598"/>
      <c r="F53" s="14"/>
      <c r="G53" s="111"/>
      <c r="H53" s="111"/>
    </row>
    <row r="54" spans="1:10">
      <c r="B54" s="44"/>
      <c r="C54" s="14"/>
      <c r="D54" s="14"/>
      <c r="E54" s="14"/>
      <c r="F54" s="14"/>
      <c r="G54" s="125" t="s">
        <v>175</v>
      </c>
      <c r="H54" s="125" t="s">
        <v>179</v>
      </c>
    </row>
    <row r="55" spans="1:10">
      <c r="A55" s="2"/>
      <c r="B55" s="571" t="s">
        <v>1690</v>
      </c>
      <c r="E55" s="14"/>
      <c r="F55" s="874" t="s">
        <v>2014</v>
      </c>
      <c r="G55" s="511">
        <v>103811324.56999999</v>
      </c>
      <c r="H55" s="476" t="s">
        <v>33</v>
      </c>
    </row>
    <row r="56" spans="1:10">
      <c r="A56" s="2"/>
      <c r="B56" s="571" t="s">
        <v>1691</v>
      </c>
      <c r="C56" s="12"/>
      <c r="E56" s="14"/>
      <c r="F56" s="874" t="s">
        <v>2015</v>
      </c>
      <c r="G56" s="102">
        <f>E60</f>
        <v>30108714.639316365</v>
      </c>
      <c r="H56" s="481" t="str">
        <f>"Note 2, "&amp;B60&amp;""</f>
        <v>Note 2, d</v>
      </c>
    </row>
    <row r="57" spans="1:10">
      <c r="A57" s="2"/>
      <c r="B57" s="571" t="s">
        <v>1692</v>
      </c>
      <c r="F57" s="475" t="s">
        <v>1696</v>
      </c>
      <c r="G57" s="7">
        <f>G55-G56</f>
        <v>73702609.930683628</v>
      </c>
    </row>
    <row r="58" spans="1:10">
      <c r="A58" s="2"/>
      <c r="C58" s="614" t="s">
        <v>2187</v>
      </c>
      <c r="D58" s="598"/>
      <c r="E58" s="598"/>
      <c r="G58" s="7"/>
    </row>
    <row r="59" spans="1:10">
      <c r="A59" s="2"/>
      <c r="D59" s="51" t="s">
        <v>1382</v>
      </c>
      <c r="E59" s="3" t="s">
        <v>175</v>
      </c>
      <c r="F59" s="62" t="s">
        <v>179</v>
      </c>
      <c r="G59" s="7"/>
    </row>
    <row r="60" spans="1:10">
      <c r="A60" s="2"/>
      <c r="B60" s="571" t="s">
        <v>1693</v>
      </c>
      <c r="D60" t="s">
        <v>1383</v>
      </c>
      <c r="E60" s="998">
        <v>30108714.639316365</v>
      </c>
      <c r="F60" s="476" t="s">
        <v>2009</v>
      </c>
      <c r="G60" s="63"/>
      <c r="I60" s="14"/>
    </row>
    <row r="61" spans="1:10">
      <c r="A61" s="2"/>
      <c r="B61" s="111" t="s">
        <v>1694</v>
      </c>
      <c r="C61" s="14"/>
      <c r="D61" s="479" t="s">
        <v>358</v>
      </c>
      <c r="E61" s="998">
        <v>13613012.517520862</v>
      </c>
      <c r="F61" s="476" t="s">
        <v>2009</v>
      </c>
      <c r="G61" s="63"/>
      <c r="I61" s="602"/>
    </row>
    <row r="62" spans="1:10">
      <c r="A62" s="2"/>
      <c r="B62" s="111" t="s">
        <v>1695</v>
      </c>
      <c r="C62" s="14"/>
      <c r="D62" s="479" t="s">
        <v>1384</v>
      </c>
      <c r="E62" s="731">
        <v>45060955.163752876</v>
      </c>
      <c r="F62" s="476" t="s">
        <v>2009</v>
      </c>
      <c r="G62" s="63"/>
      <c r="I62" s="63"/>
    </row>
    <row r="63" spans="1:10">
      <c r="A63" s="2"/>
      <c r="B63" s="111" t="s">
        <v>1697</v>
      </c>
      <c r="C63" s="14"/>
      <c r="D63" s="364" t="s">
        <v>4</v>
      </c>
      <c r="E63" s="7">
        <f>SUM(E60:E62)</f>
        <v>88782682.320590109</v>
      </c>
      <c r="F63" s="46" t="str">
        <f>"Sum of "&amp;B60&amp;" to "&amp;B62&amp;""</f>
        <v>Sum of d to f</v>
      </c>
      <c r="G63" s="63"/>
      <c r="I63" s="14"/>
    </row>
    <row r="64" spans="1:10">
      <c r="F64" s="14"/>
      <c r="G64" s="14"/>
    </row>
    <row r="65" spans="1:10">
      <c r="B65" s="1031" t="s">
        <v>490</v>
      </c>
      <c r="C65" s="60"/>
      <c r="D65" s="60"/>
      <c r="E65" s="60"/>
      <c r="F65" s="534"/>
      <c r="G65" s="534"/>
    </row>
    <row r="66" spans="1:10">
      <c r="B66" s="60"/>
      <c r="C66" s="60"/>
      <c r="D66" s="60"/>
      <c r="E66" s="62" t="s">
        <v>175</v>
      </c>
      <c r="F66" s="1028" t="s">
        <v>238</v>
      </c>
      <c r="G66" s="534"/>
    </row>
    <row r="67" spans="1:10">
      <c r="A67" s="2"/>
      <c r="B67" s="193" t="s">
        <v>1690</v>
      </c>
      <c r="C67" s="60"/>
      <c r="D67" s="1035" t="s">
        <v>1980</v>
      </c>
      <c r="E67" s="1045">
        <v>18219000</v>
      </c>
      <c r="F67" s="5" t="s">
        <v>492</v>
      </c>
      <c r="G67" s="534"/>
    </row>
    <row r="68" spans="1:10" s="999" customFormat="1">
      <c r="A68" s="571"/>
      <c r="B68" s="193" t="s">
        <v>1691</v>
      </c>
      <c r="C68" s="60"/>
      <c r="D68" s="1035" t="s">
        <v>2469</v>
      </c>
      <c r="E68" s="1147">
        <v>40055779</v>
      </c>
      <c r="F68" s="1033" t="s">
        <v>2470</v>
      </c>
      <c r="G68" s="534"/>
    </row>
    <row r="69" spans="1:10">
      <c r="A69" s="2"/>
      <c r="B69" s="193" t="s">
        <v>1692</v>
      </c>
      <c r="C69" s="60"/>
      <c r="D69" s="1035" t="s">
        <v>487</v>
      </c>
      <c r="E69" s="1030">
        <v>5046627</v>
      </c>
      <c r="F69" s="900" t="s">
        <v>33</v>
      </c>
      <c r="G69" s="534"/>
    </row>
    <row r="70" spans="1:10">
      <c r="A70" s="2"/>
      <c r="B70" s="193" t="s">
        <v>1693</v>
      </c>
      <c r="C70" s="60"/>
      <c r="D70" s="1029" t="s">
        <v>489</v>
      </c>
      <c r="E70" s="1032">
        <f>E69-E68</f>
        <v>-35009152</v>
      </c>
      <c r="F70" s="5" t="str">
        <f>""&amp;B69&amp;" - "&amp;B68&amp;""</f>
        <v>c - b</v>
      </c>
      <c r="G70" s="60"/>
    </row>
    <row r="71" spans="1:10">
      <c r="A71" s="471"/>
      <c r="B71" s="1" t="s">
        <v>1457</v>
      </c>
      <c r="D71" s="94"/>
      <c r="E71" s="143"/>
      <c r="F71" s="13"/>
    </row>
    <row r="72" spans="1:10">
      <c r="A72" s="471"/>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94"/>
      <c r="E72" s="143"/>
      <c r="F72" s="13"/>
    </row>
    <row r="73" spans="1:10">
      <c r="A73" s="471"/>
      <c r="B73" s="1"/>
      <c r="C73" s="12" t="s">
        <v>1458</v>
      </c>
      <c r="D73" s="94"/>
      <c r="E73" s="143"/>
      <c r="F73" s="13"/>
    </row>
    <row r="75" spans="1:10">
      <c r="B75" s="1" t="s">
        <v>379</v>
      </c>
    </row>
    <row r="76" spans="1:10">
      <c r="C76" s="15" t="str">
        <f>"1) Enter amounts of A&amp;G expenses from FERC Form 1 in Lines "&amp;A6&amp;" to "&amp;A19&amp;"."</f>
        <v>1) Enter amounts of A&amp;G expenses from FERC Form 1 in Lines 1 to 14.</v>
      </c>
      <c r="D76" s="14"/>
      <c r="E76" s="14"/>
      <c r="F76" s="14"/>
      <c r="G76" s="14"/>
      <c r="H76" s="14"/>
      <c r="I76" s="14"/>
      <c r="J76" s="14"/>
    </row>
    <row r="77" spans="1:10">
      <c r="C77" s="479" t="s">
        <v>2016</v>
      </c>
      <c r="D77" s="14"/>
      <c r="E77" s="14"/>
      <c r="F77" s="14"/>
      <c r="G77" s="14" t="str">
        <f>"Column 3, Line "&amp;A37&amp;""</f>
        <v>Column 3, Line 24</v>
      </c>
      <c r="H77" s="14"/>
      <c r="I77" s="14"/>
      <c r="J77" s="14"/>
    </row>
    <row r="78" spans="1:10">
      <c r="C78" s="476"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c r="C79" s="476" t="s">
        <v>1681</v>
      </c>
      <c r="D79" s="14"/>
      <c r="E79" s="14"/>
      <c r="F79" s="14"/>
      <c r="G79" s="14"/>
      <c r="H79" s="14"/>
      <c r="I79" s="14"/>
      <c r="J79" s="14"/>
    </row>
    <row r="80" spans="1:10">
      <c r="C80" s="476" t="s">
        <v>1765</v>
      </c>
      <c r="D80" s="364"/>
      <c r="E80" s="472"/>
      <c r="F80" s="46"/>
      <c r="G80" s="14"/>
      <c r="H80" s="14"/>
      <c r="I80" s="14"/>
      <c r="J80" s="14"/>
    </row>
    <row r="81" spans="3:10">
      <c r="C81" s="476" t="s">
        <v>1761</v>
      </c>
      <c r="D81" s="364"/>
      <c r="E81" s="472"/>
      <c r="F81" s="46"/>
      <c r="G81" s="14"/>
      <c r="H81" s="14"/>
      <c r="I81" s="14"/>
      <c r="J81" s="14"/>
    </row>
    <row r="82" spans="3:10">
      <c r="C82" s="476" t="s">
        <v>1762</v>
      </c>
      <c r="D82" s="14"/>
      <c r="E82" s="14"/>
      <c r="F82" s="14"/>
      <c r="G82" s="14"/>
      <c r="H82" s="14"/>
      <c r="I82" s="14"/>
      <c r="J82" s="14"/>
    </row>
    <row r="83" spans="3:10">
      <c r="C83" s="46" t="s">
        <v>491</v>
      </c>
      <c r="D83" s="14"/>
      <c r="E83" s="14"/>
      <c r="F83" s="14"/>
      <c r="G83" s="14"/>
      <c r="H83" s="14"/>
      <c r="I83" s="14"/>
      <c r="J83" s="14"/>
    </row>
    <row r="84" spans="3:10">
      <c r="C84" s="476" t="s">
        <v>1763</v>
      </c>
      <c r="D84" s="14"/>
      <c r="E84" s="14"/>
      <c r="F84" s="14"/>
      <c r="G84" s="14"/>
      <c r="H84" s="14"/>
      <c r="I84" s="14"/>
      <c r="J84" s="14"/>
    </row>
    <row r="85" spans="3:10">
      <c r="C85" s="476" t="s">
        <v>1466</v>
      </c>
      <c r="D85" s="14"/>
      <c r="E85" s="14"/>
      <c r="F85" s="14"/>
      <c r="G85" s="14"/>
      <c r="H85" s="14"/>
      <c r="I85" s="14"/>
      <c r="J85" s="14"/>
    </row>
    <row r="86" spans="3:10">
      <c r="C86" s="476" t="s">
        <v>1764</v>
      </c>
      <c r="D86" s="14"/>
      <c r="E86" s="14"/>
      <c r="F86" s="14"/>
      <c r="G86" s="14"/>
      <c r="H86" s="14"/>
      <c r="I86" s="14"/>
      <c r="J86" s="14"/>
    </row>
    <row r="87" spans="3:10">
      <c r="C87" s="476" t="s">
        <v>1785</v>
      </c>
      <c r="D87" s="479"/>
      <c r="E87" s="918"/>
      <c r="F87" s="918"/>
      <c r="G87" s="918"/>
      <c r="H87" s="14"/>
      <c r="I87" s="14"/>
      <c r="J87" s="14"/>
    </row>
    <row r="88" spans="3:10">
      <c r="C88" s="877" t="s">
        <v>1783</v>
      </c>
      <c r="D88" s="479"/>
      <c r="E88" s="918"/>
      <c r="F88" s="918"/>
      <c r="G88" s="918"/>
      <c r="H88" s="14"/>
      <c r="I88" s="14"/>
      <c r="J88" s="14"/>
    </row>
    <row r="89" spans="3:10">
      <c r="C89" s="877" t="s">
        <v>1784</v>
      </c>
      <c r="D89" s="479"/>
      <c r="E89" s="918"/>
      <c r="F89" s="918"/>
      <c r="G89" s="918"/>
      <c r="H89" s="14"/>
      <c r="I89" s="14"/>
      <c r="J89" s="14"/>
    </row>
    <row r="90" spans="3:10">
      <c r="C90" s="877" t="s">
        <v>1786</v>
      </c>
      <c r="D90" s="479"/>
      <c r="E90" s="918"/>
      <c r="F90" s="918"/>
      <c r="G90" s="918"/>
      <c r="H90" s="14"/>
      <c r="I90" s="14"/>
      <c r="J90" s="14"/>
    </row>
    <row r="91" spans="3:10">
      <c r="C91" s="476" t="s">
        <v>1862</v>
      </c>
      <c r="D91" s="479"/>
      <c r="E91" s="918"/>
      <c r="F91" s="918"/>
      <c r="G91" s="918"/>
      <c r="H91" s="14"/>
      <c r="I91" s="14"/>
      <c r="J91" s="14"/>
    </row>
    <row r="92" spans="3:10">
      <c r="C92" s="877" t="s">
        <v>1860</v>
      </c>
      <c r="D92" s="479"/>
      <c r="E92" s="918"/>
      <c r="F92" s="918"/>
      <c r="G92" s="918"/>
      <c r="H92" s="14"/>
      <c r="I92" s="14"/>
      <c r="J92" s="14"/>
    </row>
    <row r="93" spans="3:10">
      <c r="C93" s="877" t="s">
        <v>1861</v>
      </c>
      <c r="D93" s="479"/>
      <c r="E93" s="918"/>
      <c r="F93" s="918"/>
      <c r="G93" s="918"/>
      <c r="H93" s="14"/>
      <c r="I93" s="14"/>
      <c r="J93" s="14"/>
    </row>
    <row r="94" spans="3:10">
      <c r="C94" s="877" t="s">
        <v>2401</v>
      </c>
      <c r="D94" s="479"/>
      <c r="E94" s="918"/>
      <c r="F94" s="918"/>
      <c r="G94" s="918"/>
      <c r="H94" s="14"/>
      <c r="I94" s="14"/>
      <c r="J94" s="14"/>
    </row>
    <row r="95" spans="3:10">
      <c r="C95" s="877" t="s">
        <v>1863</v>
      </c>
      <c r="D95" s="479"/>
      <c r="E95" s="918"/>
      <c r="F95" s="918"/>
      <c r="G95" s="918"/>
      <c r="H95" s="14"/>
      <c r="I95" s="14"/>
      <c r="J95" s="14"/>
    </row>
    <row r="96" spans="3:10">
      <c r="C96" s="919" t="s">
        <v>2017</v>
      </c>
      <c r="D96" s="598"/>
      <c r="E96" s="598"/>
      <c r="F96" s="598"/>
      <c r="G96" s="598"/>
      <c r="H96" s="598"/>
      <c r="I96" s="598"/>
      <c r="J96" s="598"/>
    </row>
    <row r="97" spans="3:10">
      <c r="C97" s="479" t="s">
        <v>2018</v>
      </c>
      <c r="D97" s="14"/>
      <c r="E97" s="14"/>
      <c r="F97" s="14"/>
      <c r="G97" s="14"/>
      <c r="H97" s="14"/>
      <c r="I97" s="14"/>
      <c r="J97" s="14"/>
    </row>
    <row r="98" spans="3:10">
      <c r="C98" s="919" t="s">
        <v>2019</v>
      </c>
      <c r="D98" s="614"/>
      <c r="E98" s="614"/>
      <c r="F98" s="614"/>
      <c r="G98" s="614"/>
      <c r="H98" s="614"/>
      <c r="I98" s="614"/>
      <c r="J98" s="14"/>
    </row>
    <row r="99" spans="3:10">
      <c r="C99" s="15" t="str">
        <f>"4) Determine the PBOPs exclusion.  The authorized amount of PBOPs expense (line "&amp;B67&amp;") may only be revised"</f>
        <v>4) Determine the PBOPs exclusion.  The authorized amount of PBOPs expense (line a) may only be revised</v>
      </c>
      <c r="D99" s="14"/>
      <c r="E99" s="14"/>
      <c r="F99" s="14"/>
      <c r="G99" s="14"/>
      <c r="H99" s="14"/>
      <c r="I99" s="14"/>
      <c r="J99" s="14"/>
    </row>
    <row r="100" spans="3:10">
      <c r="C100" s="15" t="s">
        <v>1105</v>
      </c>
      <c r="D100" s="14"/>
      <c r="E100" s="14"/>
      <c r="F100" s="14"/>
      <c r="G100" s="14"/>
      <c r="H100" s="14"/>
      <c r="I100" s="14"/>
      <c r="J100" s="14"/>
    </row>
    <row r="101" spans="3:10">
      <c r="C101" s="479" t="s">
        <v>2471</v>
      </c>
      <c r="D101" s="14"/>
      <c r="E101" s="14"/>
      <c r="F101" s="14"/>
      <c r="G101" s="14"/>
      <c r="H101" s="14"/>
      <c r="I101" s="14"/>
      <c r="J101" s="14"/>
    </row>
    <row r="102" spans="3:10">
      <c r="C102" s="479" t="s">
        <v>2472</v>
      </c>
      <c r="D102" s="14"/>
      <c r="E102" s="14"/>
      <c r="F102" s="14"/>
      <c r="G102" s="14"/>
      <c r="H102" s="14"/>
      <c r="I102" s="1034" t="s">
        <v>2870</v>
      </c>
      <c r="J102" s="1034"/>
    </row>
    <row r="103" spans="3:10">
      <c r="C103" s="479" t="s">
        <v>1828</v>
      </c>
      <c r="D103" s="14"/>
      <c r="E103" s="14"/>
      <c r="F103" s="14"/>
      <c r="G103" s="14"/>
      <c r="H103" s="14"/>
      <c r="I103" s="14"/>
    </row>
  </sheetData>
  <phoneticPr fontId="22" type="noConversion"/>
  <pageMargins left="0.75" right="0.75" top="1" bottom="1" header="0.5" footer="0.5"/>
  <pageSetup scale="73" orientation="landscape" cellComments="asDisplayed" r:id="rId1"/>
  <headerFooter alignWithMargins="0">
    <oddHeader>&amp;CSchedule 20
Administrative and General Expenses
&amp;RExhibit SCE-4
TO2019A Formula Rate Spreadsheet</oddHeader>
    <oddFooter>&amp;R&amp;A</oddFooter>
  </headerFooter>
  <rowBreaks count="2" manualBreakCount="2">
    <brk id="50" max="9" man="1"/>
    <brk id="7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5"/>
  <sheetViews>
    <sheetView zoomScaleNormal="100" zoomScalePageLayoutView="80" workbookViewId="0">
      <selection activeCell="A3" sqref="A3"/>
    </sheetView>
  </sheetViews>
  <sheetFormatPr defaultRowHeight="13.2"/>
  <cols>
    <col min="1" max="1" width="6.33203125" style="224" customWidth="1"/>
    <col min="2" max="2" width="8.5546875" style="41" customWidth="1"/>
    <col min="3" max="3" width="9.88671875" style="224" customWidth="1"/>
    <col min="4" max="4" width="51.5546875" style="41" customWidth="1"/>
    <col min="5" max="5" width="16.33203125" style="358" customWidth="1"/>
    <col min="6" max="6" width="16.109375" style="358" customWidth="1"/>
    <col min="7" max="7" width="18.44140625" style="358" bestFit="1" customWidth="1"/>
    <col min="8" max="8" width="15.88671875" style="222" bestFit="1" customWidth="1"/>
    <col min="9" max="9" width="16.88671875" style="222" bestFit="1" customWidth="1"/>
    <col min="10" max="10" width="15.6640625" style="358" customWidth="1"/>
    <col min="11" max="11" width="6.5546875" style="314" customWidth="1"/>
    <col min="12" max="12" width="16.44140625" style="300" customWidth="1"/>
    <col min="13" max="13" width="17.109375" style="214" bestFit="1" customWidth="1"/>
    <col min="14" max="14" width="18.44140625" style="358" bestFit="1" customWidth="1"/>
    <col min="15" max="15" width="8.5546875" style="214" customWidth="1"/>
  </cols>
  <sheetData>
    <row r="1" spans="1:15">
      <c r="A1" s="336"/>
      <c r="B1" s="194" t="s">
        <v>558</v>
      </c>
      <c r="C1" s="195" t="s">
        <v>559</v>
      </c>
      <c r="D1" s="194" t="s">
        <v>560</v>
      </c>
      <c r="E1" s="195" t="s">
        <v>561</v>
      </c>
      <c r="F1" s="194" t="s">
        <v>562</v>
      </c>
      <c r="G1" s="195" t="s">
        <v>563</v>
      </c>
      <c r="H1" s="194" t="s">
        <v>564</v>
      </c>
      <c r="I1" s="195" t="s">
        <v>565</v>
      </c>
      <c r="J1" s="194" t="s">
        <v>566</v>
      </c>
      <c r="K1" s="195" t="s">
        <v>567</v>
      </c>
      <c r="L1" s="194" t="s">
        <v>568</v>
      </c>
      <c r="M1" s="195" t="s">
        <v>569</v>
      </c>
      <c r="N1" s="194" t="s">
        <v>570</v>
      </c>
      <c r="O1" s="195" t="s">
        <v>571</v>
      </c>
    </row>
    <row r="2" spans="1:15">
      <c r="A2" s="333"/>
      <c r="B2" s="334"/>
      <c r="C2" s="334"/>
      <c r="D2" s="334"/>
      <c r="E2" s="335"/>
      <c r="F2" s="335"/>
      <c r="G2" s="1395" t="s">
        <v>572</v>
      </c>
      <c r="H2" s="1396"/>
      <c r="I2" s="1397"/>
      <c r="J2" s="1395" t="s">
        <v>573</v>
      </c>
      <c r="K2" s="1396"/>
      <c r="L2" s="1396"/>
      <c r="M2" s="1397"/>
      <c r="N2" s="317" t="s">
        <v>574</v>
      </c>
      <c r="O2" s="333"/>
    </row>
    <row r="3" spans="1:15" ht="26.25" customHeight="1">
      <c r="A3" s="196" t="s">
        <v>331</v>
      </c>
      <c r="B3" s="197" t="s">
        <v>575</v>
      </c>
      <c r="C3" s="198" t="s">
        <v>576</v>
      </c>
      <c r="D3" s="197" t="s">
        <v>577</v>
      </c>
      <c r="E3" s="291" t="s">
        <v>578</v>
      </c>
      <c r="F3" s="292" t="s">
        <v>579</v>
      </c>
      <c r="G3" s="292" t="s">
        <v>196</v>
      </c>
      <c r="H3" s="199" t="s">
        <v>432</v>
      </c>
      <c r="I3" s="199" t="s">
        <v>580</v>
      </c>
      <c r="J3" s="291" t="s">
        <v>196</v>
      </c>
      <c r="K3" s="313" t="s">
        <v>581</v>
      </c>
      <c r="L3" s="294" t="s">
        <v>582</v>
      </c>
      <c r="M3" s="200" t="s">
        <v>298</v>
      </c>
      <c r="N3" s="291" t="s">
        <v>196</v>
      </c>
      <c r="O3" s="200" t="s">
        <v>168</v>
      </c>
    </row>
    <row r="4" spans="1:15">
      <c r="A4" s="201" t="s">
        <v>583</v>
      </c>
      <c r="B4" s="202">
        <v>450</v>
      </c>
      <c r="C4" s="202" t="s">
        <v>584</v>
      </c>
      <c r="D4" s="203" t="s">
        <v>1209</v>
      </c>
      <c r="E4" s="1020">
        <v>5873550.0599999996</v>
      </c>
      <c r="F4" s="302" t="s">
        <v>572</v>
      </c>
      <c r="G4" s="298">
        <f>IF(F4=$G$2,E4,0)</f>
        <v>5873550.0599999996</v>
      </c>
      <c r="H4" s="204">
        <v>0</v>
      </c>
      <c r="I4" s="205">
        <f>G4-H4</f>
        <v>5873550.0599999996</v>
      </c>
      <c r="J4" s="298">
        <f>IF(F4=$J$2,E4,0)</f>
        <v>0</v>
      </c>
      <c r="K4" s="293"/>
      <c r="L4" s="302"/>
      <c r="M4" s="205">
        <f>J4-L4</f>
        <v>0</v>
      </c>
      <c r="N4" s="298">
        <f>IF(F4=$N$2,E4,0)</f>
        <v>0</v>
      </c>
      <c r="O4" s="204">
        <v>1</v>
      </c>
    </row>
    <row r="5" spans="1:15">
      <c r="A5" s="206" t="s">
        <v>585</v>
      </c>
      <c r="B5" s="202">
        <v>450</v>
      </c>
      <c r="C5" s="207" t="s">
        <v>586</v>
      </c>
      <c r="D5" s="203" t="s">
        <v>587</v>
      </c>
      <c r="E5" s="1020">
        <v>11837660.35</v>
      </c>
      <c r="F5" s="302" t="s">
        <v>572</v>
      </c>
      <c r="G5" s="298">
        <f>IF(F5=$G$2,E5,0)</f>
        <v>11837660.35</v>
      </c>
      <c r="H5" s="204">
        <v>0</v>
      </c>
      <c r="I5" s="205">
        <f>G5-H5</f>
        <v>11837660.35</v>
      </c>
      <c r="J5" s="298">
        <f>IF(F5=$J$2,E5,0)</f>
        <v>0</v>
      </c>
      <c r="K5" s="293"/>
      <c r="L5" s="302"/>
      <c r="M5" s="205">
        <f>J5-L5</f>
        <v>0</v>
      </c>
      <c r="N5" s="298">
        <f>IF(F5=$N$2,E5,0)</f>
        <v>0</v>
      </c>
      <c r="O5" s="204">
        <v>1</v>
      </c>
    </row>
    <row r="6" spans="1:15">
      <c r="A6" s="332"/>
      <c r="B6" s="328"/>
      <c r="C6" s="327"/>
      <c r="D6" s="329"/>
      <c r="E6" s="307"/>
      <c r="F6" s="307"/>
      <c r="G6" s="302"/>
      <c r="H6" s="303"/>
      <c r="I6" s="304"/>
      <c r="J6" s="302"/>
      <c r="K6" s="306"/>
      <c r="L6" s="302"/>
      <c r="M6" s="304"/>
      <c r="N6" s="302"/>
      <c r="O6" s="303"/>
    </row>
    <row r="7" spans="1:15">
      <c r="A7" s="332"/>
      <c r="B7" s="328"/>
      <c r="C7" s="327"/>
      <c r="D7" s="329"/>
      <c r="E7" s="307"/>
      <c r="F7" s="307"/>
      <c r="G7" s="302"/>
      <c r="H7" s="303"/>
      <c r="I7" s="304"/>
      <c r="J7" s="302"/>
      <c r="K7" s="306"/>
      <c r="L7" s="302"/>
      <c r="M7" s="304"/>
      <c r="N7" s="302"/>
      <c r="O7" s="303"/>
    </row>
    <row r="8" spans="1:15">
      <c r="A8" s="206">
        <v>2</v>
      </c>
      <c r="B8" s="1406" t="s">
        <v>589</v>
      </c>
      <c r="C8" s="1404"/>
      <c r="D8" s="1405"/>
      <c r="E8" s="311">
        <f>SUM(E4:E7)</f>
        <v>17711210.41</v>
      </c>
      <c r="F8" s="320"/>
      <c r="G8" s="311">
        <f>SUM(G4:G7)</f>
        <v>17711210.41</v>
      </c>
      <c r="H8" s="195">
        <f>SUM(H4:H7)</f>
        <v>0</v>
      </c>
      <c r="I8" s="311">
        <f>SUM(I4:I7)</f>
        <v>17711210.41</v>
      </c>
      <c r="J8" s="311">
        <f>SUM(J4:J7)</f>
        <v>0</v>
      </c>
      <c r="K8" s="320"/>
      <c r="L8" s="311">
        <f>SUM(L4:L7)</f>
        <v>0</v>
      </c>
      <c r="M8" s="311">
        <f>SUM(M4:M7)</f>
        <v>0</v>
      </c>
      <c r="N8" s="311">
        <f>SUM(N4:N7)</f>
        <v>0</v>
      </c>
      <c r="O8" s="204"/>
    </row>
    <row r="9" spans="1:15" ht="12.75" customHeight="1">
      <c r="A9" s="206">
        <v>3</v>
      </c>
      <c r="B9" s="1398" t="s">
        <v>1241</v>
      </c>
      <c r="C9" s="1399"/>
      <c r="D9" s="1400"/>
      <c r="E9" s="1130">
        <v>17711210</v>
      </c>
      <c r="F9" s="310"/>
      <c r="G9" s="297"/>
      <c r="H9" s="310"/>
      <c r="I9" s="310"/>
      <c r="J9" s="297"/>
      <c r="K9" s="310"/>
      <c r="L9" s="297"/>
      <c r="M9" s="297"/>
      <c r="N9" s="297"/>
      <c r="O9" s="193"/>
    </row>
    <row r="10" spans="1:15">
      <c r="A10" s="209"/>
      <c r="B10" s="210"/>
      <c r="C10" s="211"/>
      <c r="D10" s="212"/>
      <c r="E10" s="297"/>
      <c r="F10" s="297"/>
      <c r="G10" s="297"/>
      <c r="H10" s="310"/>
      <c r="I10" s="310"/>
      <c r="J10" s="297"/>
      <c r="K10" s="310"/>
      <c r="L10" s="297"/>
      <c r="M10" s="297"/>
      <c r="N10" s="297"/>
      <c r="O10" s="193"/>
    </row>
    <row r="11" spans="1:15">
      <c r="A11" s="206" t="s">
        <v>590</v>
      </c>
      <c r="B11" s="202">
        <v>451</v>
      </c>
      <c r="C11" s="207" t="s">
        <v>591</v>
      </c>
      <c r="D11" s="203" t="s">
        <v>592</v>
      </c>
      <c r="E11" s="1020">
        <v>113378.95</v>
      </c>
      <c r="F11" s="302" t="s">
        <v>572</v>
      </c>
      <c r="G11" s="298">
        <f t="shared" ref="G11:G20" si="0">IF(F11=$G$2,E11,0)</f>
        <v>113378.95</v>
      </c>
      <c r="H11" s="204">
        <v>0</v>
      </c>
      <c r="I11" s="205">
        <f>G11-H11</f>
        <v>113378.95</v>
      </c>
      <c r="J11" s="298">
        <f t="shared" ref="J11:J20" si="1">IF(F11=$J$2,E11,0)</f>
        <v>0</v>
      </c>
      <c r="K11" s="298"/>
      <c r="L11" s="730"/>
      <c r="M11" s="205">
        <f t="shared" ref="M11:M17" si="2">J11-L11</f>
        <v>0</v>
      </c>
      <c r="N11" s="298">
        <f t="shared" ref="N11:N18" si="3">IF(F11=$N$2,E11,0)</f>
        <v>0</v>
      </c>
      <c r="O11" s="204">
        <v>1</v>
      </c>
    </row>
    <row r="12" spans="1:15">
      <c r="A12" s="206" t="s">
        <v>593</v>
      </c>
      <c r="B12" s="202">
        <v>451</v>
      </c>
      <c r="C12" s="207" t="s">
        <v>594</v>
      </c>
      <c r="D12" s="922" t="s">
        <v>595</v>
      </c>
      <c r="E12" s="1020">
        <v>364706.32</v>
      </c>
      <c r="F12" s="302" t="s">
        <v>572</v>
      </c>
      <c r="G12" s="298">
        <f>IF(F12=$G$2,E12,0)</f>
        <v>364706.32</v>
      </c>
      <c r="H12" s="204">
        <v>0</v>
      </c>
      <c r="I12" s="205">
        <f t="shared" ref="I12:I20" si="4">G12-H12</f>
        <v>364706.32</v>
      </c>
      <c r="J12" s="298">
        <f t="shared" si="1"/>
        <v>0</v>
      </c>
      <c r="K12" s="298"/>
      <c r="L12" s="730"/>
      <c r="M12" s="205">
        <f t="shared" si="2"/>
        <v>0</v>
      </c>
      <c r="N12" s="298">
        <f t="shared" si="3"/>
        <v>0</v>
      </c>
      <c r="O12" s="204">
        <v>1</v>
      </c>
    </row>
    <row r="13" spans="1:15">
      <c r="A13" s="206" t="s">
        <v>596</v>
      </c>
      <c r="B13" s="202">
        <v>451</v>
      </c>
      <c r="C13" s="207" t="s">
        <v>597</v>
      </c>
      <c r="D13" s="203" t="s">
        <v>598</v>
      </c>
      <c r="E13" s="1020">
        <v>33304278</v>
      </c>
      <c r="F13" s="302" t="s">
        <v>572</v>
      </c>
      <c r="G13" s="298">
        <f t="shared" si="0"/>
        <v>33304278</v>
      </c>
      <c r="H13" s="204">
        <v>0</v>
      </c>
      <c r="I13" s="205">
        <f t="shared" si="4"/>
        <v>33304278</v>
      </c>
      <c r="J13" s="298">
        <f t="shared" si="1"/>
        <v>0</v>
      </c>
      <c r="K13" s="298"/>
      <c r="L13" s="730"/>
      <c r="M13" s="205">
        <f t="shared" si="2"/>
        <v>0</v>
      </c>
      <c r="N13" s="298">
        <f t="shared" si="3"/>
        <v>0</v>
      </c>
      <c r="O13" s="204">
        <v>1</v>
      </c>
    </row>
    <row r="14" spans="1:15">
      <c r="A14" s="206" t="s">
        <v>599</v>
      </c>
      <c r="B14" s="202">
        <v>451</v>
      </c>
      <c r="C14" s="207" t="s">
        <v>600</v>
      </c>
      <c r="D14" s="203" t="s">
        <v>601</v>
      </c>
      <c r="E14" s="1020">
        <v>1427740.06</v>
      </c>
      <c r="F14" s="302" t="s">
        <v>572</v>
      </c>
      <c r="G14" s="298">
        <f t="shared" si="0"/>
        <v>1427740.06</v>
      </c>
      <c r="H14" s="204">
        <v>0</v>
      </c>
      <c r="I14" s="205">
        <f t="shared" si="4"/>
        <v>1427740.06</v>
      </c>
      <c r="J14" s="298">
        <f t="shared" si="1"/>
        <v>0</v>
      </c>
      <c r="K14" s="298"/>
      <c r="L14" s="730"/>
      <c r="M14" s="205">
        <f t="shared" si="2"/>
        <v>0</v>
      </c>
      <c r="N14" s="298">
        <f t="shared" si="3"/>
        <v>0</v>
      </c>
      <c r="O14" s="204">
        <v>1</v>
      </c>
    </row>
    <row r="15" spans="1:15">
      <c r="A15" s="206" t="s">
        <v>602</v>
      </c>
      <c r="B15" s="202">
        <v>451</v>
      </c>
      <c r="C15" s="207" t="s">
        <v>603</v>
      </c>
      <c r="D15" s="203" t="s">
        <v>604</v>
      </c>
      <c r="E15" s="1020">
        <v>5877.47</v>
      </c>
      <c r="F15" s="302" t="s">
        <v>572</v>
      </c>
      <c r="G15" s="298">
        <f t="shared" si="0"/>
        <v>5877.47</v>
      </c>
      <c r="H15" s="204">
        <v>0</v>
      </c>
      <c r="I15" s="205">
        <f t="shared" si="4"/>
        <v>5877.47</v>
      </c>
      <c r="J15" s="298">
        <f t="shared" si="1"/>
        <v>0</v>
      </c>
      <c r="K15" s="298"/>
      <c r="L15" s="730"/>
      <c r="M15" s="205">
        <f t="shared" si="2"/>
        <v>0</v>
      </c>
      <c r="N15" s="298">
        <f t="shared" si="3"/>
        <v>0</v>
      </c>
      <c r="O15" s="204">
        <v>1</v>
      </c>
    </row>
    <row r="16" spans="1:15">
      <c r="A16" s="206" t="s">
        <v>605</v>
      </c>
      <c r="B16" s="202">
        <v>451</v>
      </c>
      <c r="C16" s="207" t="s">
        <v>606</v>
      </c>
      <c r="D16" s="203" t="s">
        <v>607</v>
      </c>
      <c r="E16" s="1020">
        <v>455.61</v>
      </c>
      <c r="F16" s="302" t="s">
        <v>572</v>
      </c>
      <c r="G16" s="298">
        <f t="shared" si="0"/>
        <v>455.61</v>
      </c>
      <c r="H16" s="204">
        <v>0</v>
      </c>
      <c r="I16" s="205">
        <f t="shared" si="4"/>
        <v>455.61</v>
      </c>
      <c r="J16" s="298">
        <f t="shared" si="1"/>
        <v>0</v>
      </c>
      <c r="K16" s="298"/>
      <c r="L16" s="730"/>
      <c r="M16" s="205">
        <f t="shared" si="2"/>
        <v>0</v>
      </c>
      <c r="N16" s="298">
        <f t="shared" si="3"/>
        <v>0</v>
      </c>
      <c r="O16" s="204">
        <v>1</v>
      </c>
    </row>
    <row r="17" spans="1:15">
      <c r="A17" s="206" t="s">
        <v>608</v>
      </c>
      <c r="B17" s="202">
        <v>451</v>
      </c>
      <c r="C17" s="207" t="s">
        <v>609</v>
      </c>
      <c r="D17" s="203" t="s">
        <v>610</v>
      </c>
      <c r="E17" s="1020">
        <v>340</v>
      </c>
      <c r="F17" s="302" t="s">
        <v>572</v>
      </c>
      <c r="G17" s="298">
        <f t="shared" si="0"/>
        <v>340</v>
      </c>
      <c r="H17" s="204">
        <v>0</v>
      </c>
      <c r="I17" s="205">
        <f t="shared" si="4"/>
        <v>340</v>
      </c>
      <c r="J17" s="298">
        <f t="shared" si="1"/>
        <v>0</v>
      </c>
      <c r="K17" s="298"/>
      <c r="L17" s="730"/>
      <c r="M17" s="205">
        <f t="shared" si="2"/>
        <v>0</v>
      </c>
      <c r="N17" s="298">
        <f t="shared" si="3"/>
        <v>0</v>
      </c>
      <c r="O17" s="204">
        <v>1</v>
      </c>
    </row>
    <row r="18" spans="1:15">
      <c r="A18" s="206" t="s">
        <v>611</v>
      </c>
      <c r="B18" s="202">
        <v>451</v>
      </c>
      <c r="C18" s="207" t="s">
        <v>612</v>
      </c>
      <c r="D18" s="203" t="s">
        <v>613</v>
      </c>
      <c r="E18" s="1020">
        <v>43.61</v>
      </c>
      <c r="F18" s="302" t="s">
        <v>573</v>
      </c>
      <c r="G18" s="298">
        <f t="shared" si="0"/>
        <v>0</v>
      </c>
      <c r="H18" s="204">
        <v>0</v>
      </c>
      <c r="I18" s="205">
        <f t="shared" si="4"/>
        <v>0</v>
      </c>
      <c r="J18" s="298">
        <f>IF(F18=$J$2,E18,0)</f>
        <v>43.61</v>
      </c>
      <c r="K18" s="337" t="s">
        <v>614</v>
      </c>
      <c r="L18" s="730">
        <v>0</v>
      </c>
      <c r="M18" s="205">
        <f t="shared" ref="M18:M27" si="5">J18-L18</f>
        <v>43.61</v>
      </c>
      <c r="N18" s="298">
        <f t="shared" si="3"/>
        <v>0</v>
      </c>
      <c r="O18" s="204">
        <v>2</v>
      </c>
    </row>
    <row r="19" spans="1:15">
      <c r="A19" s="206" t="s">
        <v>615</v>
      </c>
      <c r="B19" s="202">
        <v>451</v>
      </c>
      <c r="C19" s="207" t="s">
        <v>616</v>
      </c>
      <c r="D19" s="203" t="s">
        <v>617</v>
      </c>
      <c r="E19" s="1020">
        <v>411073.34</v>
      </c>
      <c r="F19" s="302" t="s">
        <v>574</v>
      </c>
      <c r="G19" s="298">
        <f>IF(F19=$G$2,E19,0)</f>
        <v>0</v>
      </c>
      <c r="H19" s="204">
        <v>0</v>
      </c>
      <c r="I19" s="205">
        <f t="shared" si="4"/>
        <v>0</v>
      </c>
      <c r="J19" s="298">
        <f>IF(F19=$J$2,E19,0)</f>
        <v>0</v>
      </c>
      <c r="K19" s="298"/>
      <c r="L19" s="730"/>
      <c r="M19" s="205">
        <f t="shared" si="5"/>
        <v>0</v>
      </c>
      <c r="N19" s="298">
        <f t="shared" ref="N19:N27" si="6">IF(F19=$N$2,E19,0)</f>
        <v>411073.34</v>
      </c>
      <c r="O19" s="204">
        <v>6</v>
      </c>
    </row>
    <row r="20" spans="1:15">
      <c r="A20" s="201" t="s">
        <v>2068</v>
      </c>
      <c r="B20" s="202">
        <v>451</v>
      </c>
      <c r="C20" s="202">
        <v>4182120</v>
      </c>
      <c r="D20" s="219" t="s">
        <v>2069</v>
      </c>
      <c r="E20" s="1020">
        <v>228.17</v>
      </c>
      <c r="F20" s="302" t="s">
        <v>572</v>
      </c>
      <c r="G20" s="298">
        <f t="shared" si="0"/>
        <v>228.17</v>
      </c>
      <c r="H20" s="204">
        <v>0</v>
      </c>
      <c r="I20" s="205">
        <f t="shared" si="4"/>
        <v>228.17</v>
      </c>
      <c r="J20" s="298">
        <f t="shared" si="1"/>
        <v>0</v>
      </c>
      <c r="K20" s="298"/>
      <c r="L20" s="730"/>
      <c r="M20" s="205">
        <f t="shared" si="5"/>
        <v>0</v>
      </c>
      <c r="N20" s="298">
        <f t="shared" si="6"/>
        <v>0</v>
      </c>
      <c r="O20" s="204">
        <v>1</v>
      </c>
    </row>
    <row r="21" spans="1:15">
      <c r="A21" s="201" t="s">
        <v>2070</v>
      </c>
      <c r="B21" s="202">
        <v>451</v>
      </c>
      <c r="C21" s="202">
        <v>4192152</v>
      </c>
      <c r="D21" s="219" t="s">
        <v>2071</v>
      </c>
      <c r="E21" s="1020">
        <v>1560</v>
      </c>
      <c r="F21" s="302" t="s">
        <v>574</v>
      </c>
      <c r="G21" s="298">
        <f t="shared" ref="G21:G27" si="7">IF(F21=$G$2,E21,0)</f>
        <v>0</v>
      </c>
      <c r="H21" s="204">
        <v>0</v>
      </c>
      <c r="I21" s="205">
        <f t="shared" ref="I21:I27" si="8">G21-H21</f>
        <v>0</v>
      </c>
      <c r="J21" s="298">
        <f t="shared" ref="J21:J27" si="9">IF(F21=$J$2,E21,0)</f>
        <v>0</v>
      </c>
      <c r="K21" s="298"/>
      <c r="L21" s="730"/>
      <c r="M21" s="205">
        <f t="shared" si="5"/>
        <v>0</v>
      </c>
      <c r="N21" s="298">
        <f t="shared" si="6"/>
        <v>1560</v>
      </c>
      <c r="O21" s="204">
        <v>1</v>
      </c>
    </row>
    <row r="22" spans="1:15">
      <c r="A22" s="201" t="s">
        <v>2072</v>
      </c>
      <c r="B22" s="202">
        <v>451</v>
      </c>
      <c r="C22" s="202">
        <v>4192155</v>
      </c>
      <c r="D22" s="219" t="s">
        <v>2073</v>
      </c>
      <c r="E22" s="1020">
        <v>34655</v>
      </c>
      <c r="F22" s="302" t="s">
        <v>574</v>
      </c>
      <c r="G22" s="298">
        <f t="shared" si="7"/>
        <v>0</v>
      </c>
      <c r="H22" s="204">
        <v>0</v>
      </c>
      <c r="I22" s="205">
        <f t="shared" si="8"/>
        <v>0</v>
      </c>
      <c r="J22" s="298">
        <f t="shared" si="9"/>
        <v>0</v>
      </c>
      <c r="K22" s="298"/>
      <c r="L22" s="730"/>
      <c r="M22" s="205">
        <f t="shared" si="5"/>
        <v>0</v>
      </c>
      <c r="N22" s="298">
        <f t="shared" si="6"/>
        <v>34655</v>
      </c>
      <c r="O22" s="204">
        <v>1</v>
      </c>
    </row>
    <row r="23" spans="1:15">
      <c r="A23" s="201" t="s">
        <v>2074</v>
      </c>
      <c r="B23" s="202">
        <v>451</v>
      </c>
      <c r="C23" s="202">
        <v>4192158</v>
      </c>
      <c r="D23" s="219" t="s">
        <v>2075</v>
      </c>
      <c r="E23" s="1020">
        <v>45600</v>
      </c>
      <c r="F23" s="302" t="s">
        <v>574</v>
      </c>
      <c r="G23" s="298">
        <f t="shared" si="7"/>
        <v>0</v>
      </c>
      <c r="H23" s="204">
        <v>0</v>
      </c>
      <c r="I23" s="205">
        <f t="shared" si="8"/>
        <v>0</v>
      </c>
      <c r="J23" s="298">
        <f t="shared" si="9"/>
        <v>0</v>
      </c>
      <c r="K23" s="298"/>
      <c r="L23" s="730"/>
      <c r="M23" s="205">
        <f t="shared" si="5"/>
        <v>0</v>
      </c>
      <c r="N23" s="298">
        <f t="shared" si="6"/>
        <v>45600</v>
      </c>
      <c r="O23" s="204">
        <v>1</v>
      </c>
    </row>
    <row r="24" spans="1:15">
      <c r="A24" s="201" t="s">
        <v>2076</v>
      </c>
      <c r="B24" s="202">
        <v>451</v>
      </c>
      <c r="C24" s="202">
        <v>4192160</v>
      </c>
      <c r="D24" s="219" t="s">
        <v>2077</v>
      </c>
      <c r="E24" s="1020">
        <v>251230</v>
      </c>
      <c r="F24" s="302" t="s">
        <v>574</v>
      </c>
      <c r="G24" s="298">
        <f t="shared" si="7"/>
        <v>0</v>
      </c>
      <c r="H24" s="204">
        <v>0</v>
      </c>
      <c r="I24" s="205">
        <f t="shared" si="8"/>
        <v>0</v>
      </c>
      <c r="J24" s="298">
        <f t="shared" si="9"/>
        <v>0</v>
      </c>
      <c r="K24" s="298"/>
      <c r="L24" s="730"/>
      <c r="M24" s="205">
        <f t="shared" si="5"/>
        <v>0</v>
      </c>
      <c r="N24" s="298">
        <f t="shared" si="6"/>
        <v>251230</v>
      </c>
      <c r="O24" s="204">
        <v>1</v>
      </c>
    </row>
    <row r="25" spans="1:15" s="999" customFormat="1">
      <c r="A25" s="201" t="s">
        <v>2220</v>
      </c>
      <c r="B25" s="202">
        <v>451</v>
      </c>
      <c r="C25" s="202">
        <v>4192135</v>
      </c>
      <c r="D25" s="1018" t="s">
        <v>2221</v>
      </c>
      <c r="E25" s="1020">
        <v>5815680.5599999996</v>
      </c>
      <c r="F25" s="1087" t="s">
        <v>572</v>
      </c>
      <c r="G25" s="298">
        <f t="shared" si="7"/>
        <v>5815680.5599999996</v>
      </c>
      <c r="H25" s="204">
        <v>0</v>
      </c>
      <c r="I25" s="205">
        <f t="shared" si="8"/>
        <v>5815680.5599999996</v>
      </c>
      <c r="J25" s="298">
        <f t="shared" si="9"/>
        <v>0</v>
      </c>
      <c r="K25" s="298"/>
      <c r="L25" s="730"/>
      <c r="M25" s="205">
        <f t="shared" si="5"/>
        <v>0</v>
      </c>
      <c r="N25" s="298">
        <f t="shared" si="6"/>
        <v>0</v>
      </c>
      <c r="O25" s="204">
        <v>1</v>
      </c>
    </row>
    <row r="26" spans="1:15" s="999" customFormat="1">
      <c r="A26" s="201" t="s">
        <v>2222</v>
      </c>
      <c r="B26" s="202">
        <v>451</v>
      </c>
      <c r="C26" s="202">
        <v>4192145</v>
      </c>
      <c r="D26" s="1018" t="s">
        <v>2223</v>
      </c>
      <c r="E26" s="1020">
        <v>2178888.33</v>
      </c>
      <c r="F26" s="1087" t="s">
        <v>572</v>
      </c>
      <c r="G26" s="298">
        <f t="shared" si="7"/>
        <v>2178888.33</v>
      </c>
      <c r="H26" s="204">
        <v>0</v>
      </c>
      <c r="I26" s="205">
        <f t="shared" si="8"/>
        <v>2178888.33</v>
      </c>
      <c r="J26" s="298">
        <f t="shared" si="9"/>
        <v>0</v>
      </c>
      <c r="K26" s="298"/>
      <c r="L26" s="730"/>
      <c r="M26" s="205">
        <f t="shared" si="5"/>
        <v>0</v>
      </c>
      <c r="N26" s="298">
        <f t="shared" si="6"/>
        <v>0</v>
      </c>
      <c r="O26" s="204">
        <v>1</v>
      </c>
    </row>
    <row r="27" spans="1:15" s="999" customFormat="1">
      <c r="A27" s="201" t="s">
        <v>2224</v>
      </c>
      <c r="B27" s="202">
        <v>451</v>
      </c>
      <c r="C27" s="202">
        <v>4192150</v>
      </c>
      <c r="D27" s="1018" t="s">
        <v>2225</v>
      </c>
      <c r="E27" s="1020">
        <v>22027</v>
      </c>
      <c r="F27" s="1087" t="s">
        <v>572</v>
      </c>
      <c r="G27" s="298">
        <f t="shared" si="7"/>
        <v>22027</v>
      </c>
      <c r="H27" s="204">
        <v>0</v>
      </c>
      <c r="I27" s="205">
        <f t="shared" si="8"/>
        <v>22027</v>
      </c>
      <c r="J27" s="298">
        <f t="shared" si="9"/>
        <v>0</v>
      </c>
      <c r="K27" s="298"/>
      <c r="L27" s="730"/>
      <c r="M27" s="205">
        <f t="shared" si="5"/>
        <v>0</v>
      </c>
      <c r="N27" s="298">
        <f t="shared" si="6"/>
        <v>0</v>
      </c>
      <c r="O27" s="204">
        <v>1</v>
      </c>
    </row>
    <row r="28" spans="1:15">
      <c r="A28" s="1131"/>
      <c r="B28" s="328"/>
      <c r="C28" s="328"/>
      <c r="D28" s="1240"/>
      <c r="E28" s="302"/>
      <c r="F28" s="302"/>
      <c r="G28" s="302"/>
      <c r="H28" s="303"/>
      <c r="I28" s="304"/>
      <c r="J28" s="302"/>
      <c r="K28" s="302"/>
      <c r="L28" s="304"/>
      <c r="M28" s="304"/>
      <c r="N28" s="302"/>
      <c r="O28" s="303"/>
    </row>
    <row r="29" spans="1:15">
      <c r="A29" s="332"/>
      <c r="B29" s="328"/>
      <c r="C29" s="327"/>
      <c r="D29" s="729"/>
      <c r="E29" s="302"/>
      <c r="F29" s="302"/>
      <c r="G29" s="306"/>
      <c r="H29" s="303"/>
      <c r="I29" s="304"/>
      <c r="J29" s="302"/>
      <c r="K29" s="302"/>
      <c r="L29" s="304"/>
      <c r="M29" s="304"/>
      <c r="N29" s="302"/>
      <c r="O29" s="303"/>
    </row>
    <row r="30" spans="1:15">
      <c r="A30" s="206">
        <v>5</v>
      </c>
      <c r="B30" s="1406" t="s">
        <v>618</v>
      </c>
      <c r="C30" s="1404"/>
      <c r="D30" s="1405"/>
      <c r="E30" s="311">
        <f>SUM(E11:E29)</f>
        <v>43977762.420000009</v>
      </c>
      <c r="F30" s="320"/>
      <c r="G30" s="311">
        <f>SUM(G11:G29)</f>
        <v>43233600.470000006</v>
      </c>
      <c r="H30" s="195">
        <f>SUM(H11:H29)</f>
        <v>0</v>
      </c>
      <c r="I30" s="311">
        <f>SUM(I11:I29)</f>
        <v>43233600.470000006</v>
      </c>
      <c r="J30" s="311">
        <f>SUM(J11:J29)</f>
        <v>43.61</v>
      </c>
      <c r="K30" s="320"/>
      <c r="L30" s="311">
        <f>SUM(L11:L29)</f>
        <v>0</v>
      </c>
      <c r="M30" s="311">
        <f>SUM(M11:M29)</f>
        <v>43.61</v>
      </c>
      <c r="N30" s="311">
        <f>SUM(N11:N29)</f>
        <v>744118.34000000008</v>
      </c>
      <c r="O30" s="204"/>
    </row>
    <row r="31" spans="1:15" ht="25.5" customHeight="1">
      <c r="A31" s="206">
        <v>6</v>
      </c>
      <c r="B31" s="1398" t="s">
        <v>1242</v>
      </c>
      <c r="C31" s="1399"/>
      <c r="D31" s="1400"/>
      <c r="E31" s="1130">
        <v>43977762</v>
      </c>
      <c r="F31" s="310"/>
      <c r="G31" s="297"/>
      <c r="H31" s="213"/>
      <c r="I31" s="213"/>
      <c r="J31" s="297"/>
      <c r="K31" s="310"/>
      <c r="L31" s="297"/>
      <c r="M31" s="297"/>
      <c r="N31" s="310"/>
    </row>
    <row r="32" spans="1:15">
      <c r="A32" s="215"/>
      <c r="B32" s="210"/>
      <c r="C32" s="211"/>
      <c r="D32" s="212"/>
      <c r="E32" s="297"/>
      <c r="F32" s="297"/>
      <c r="G32" s="297"/>
      <c r="H32" s="213"/>
      <c r="I32" s="213"/>
      <c r="J32" s="297"/>
      <c r="K32" s="310"/>
      <c r="L32" s="297"/>
      <c r="M32" s="297"/>
      <c r="N32" s="297"/>
    </row>
    <row r="33" spans="1:15">
      <c r="A33" s="332"/>
      <c r="B33" s="328"/>
      <c r="C33" s="327"/>
      <c r="D33" s="329"/>
      <c r="E33" s="302"/>
      <c r="F33" s="302"/>
      <c r="G33" s="306"/>
      <c r="H33" s="303"/>
      <c r="I33" s="304"/>
      <c r="J33" s="302"/>
      <c r="K33" s="302"/>
      <c r="L33" s="304"/>
      <c r="M33" s="304"/>
      <c r="N33" s="302"/>
      <c r="O33" s="303"/>
    </row>
    <row r="34" spans="1:15">
      <c r="A34" s="332"/>
      <c r="B34" s="328"/>
      <c r="C34" s="327"/>
      <c r="D34" s="329"/>
      <c r="E34" s="302"/>
      <c r="F34" s="302"/>
      <c r="G34" s="306"/>
      <c r="H34" s="303"/>
      <c r="I34" s="304"/>
      <c r="J34" s="302"/>
      <c r="K34" s="302"/>
      <c r="L34" s="304"/>
      <c r="M34" s="304"/>
      <c r="N34" s="302"/>
      <c r="O34" s="303"/>
    </row>
    <row r="35" spans="1:15">
      <c r="A35" s="206">
        <v>8</v>
      </c>
      <c r="B35" s="1406" t="s">
        <v>619</v>
      </c>
      <c r="C35" s="1404"/>
      <c r="D35" s="1405"/>
      <c r="E35" s="311">
        <f>SUM(E33:E34)</f>
        <v>0</v>
      </c>
      <c r="F35" s="320"/>
      <c r="G35" s="311">
        <f>SUM(G33:G34)</f>
        <v>0</v>
      </c>
      <c r="H35" s="195">
        <f>SUM(H33:H34)</f>
        <v>0</v>
      </c>
      <c r="I35" s="311">
        <f>SUM(I33:I34)</f>
        <v>0</v>
      </c>
      <c r="J35" s="311">
        <f>SUM(J33:J34)</f>
        <v>0</v>
      </c>
      <c r="K35" s="320"/>
      <c r="L35" s="311">
        <f>SUM(L33:L34)</f>
        <v>0</v>
      </c>
      <c r="M35" s="311">
        <f>SUM(M33:M34)</f>
        <v>0</v>
      </c>
      <c r="N35" s="311">
        <f>SUM(N33:N34)</f>
        <v>0</v>
      </c>
      <c r="O35" s="195"/>
    </row>
    <row r="36" spans="1:15" ht="25.5" customHeight="1">
      <c r="A36" s="206">
        <v>9</v>
      </c>
      <c r="B36" s="1401" t="s">
        <v>1243</v>
      </c>
      <c r="C36" s="1402"/>
      <c r="D36" s="1402"/>
      <c r="E36" s="323">
        <v>0</v>
      </c>
      <c r="F36" s="310"/>
      <c r="G36" s="297"/>
      <c r="H36" s="213"/>
      <c r="I36" s="217"/>
      <c r="J36" s="297"/>
      <c r="K36" s="310"/>
      <c r="L36" s="297"/>
      <c r="M36" s="297"/>
      <c r="N36" s="297"/>
      <c r="O36" s="193"/>
    </row>
    <row r="37" spans="1:15">
      <c r="A37" s="209"/>
      <c r="B37" s="210"/>
      <c r="C37" s="211"/>
      <c r="D37" s="212"/>
      <c r="E37" s="297"/>
      <c r="F37" s="297"/>
      <c r="G37" s="297"/>
      <c r="H37" s="213"/>
      <c r="I37" s="217"/>
      <c r="J37" s="297"/>
      <c r="K37" s="310"/>
      <c r="L37" s="297"/>
      <c r="M37" s="297"/>
      <c r="N37" s="297"/>
      <c r="O37" s="193"/>
    </row>
    <row r="38" spans="1:15">
      <c r="A38" s="206" t="s">
        <v>620</v>
      </c>
      <c r="B38" s="202">
        <v>454</v>
      </c>
      <c r="C38" s="203" t="s">
        <v>624</v>
      </c>
      <c r="D38" s="203" t="s">
        <v>625</v>
      </c>
      <c r="E38" s="1020">
        <v>548368.75</v>
      </c>
      <c r="F38" s="302" t="s">
        <v>572</v>
      </c>
      <c r="G38" s="298">
        <f>IF(F38=$G$2,E38,0)</f>
        <v>548368.75</v>
      </c>
      <c r="H38" s="205">
        <v>0</v>
      </c>
      <c r="I38" s="205">
        <f>G38-H38</f>
        <v>548368.75</v>
      </c>
      <c r="J38" s="298">
        <f>IF(F38=$J$2,E38,0)</f>
        <v>0</v>
      </c>
      <c r="K38" s="298"/>
      <c r="L38" s="730"/>
      <c r="M38" s="205">
        <f>J38-L38</f>
        <v>0</v>
      </c>
      <c r="N38" s="298">
        <f>IF(F38=$N$2,E38,0)</f>
        <v>0</v>
      </c>
      <c r="O38" s="204">
        <v>4</v>
      </c>
    </row>
    <row r="39" spans="1:15">
      <c r="A39" s="206" t="s">
        <v>621</v>
      </c>
      <c r="B39" s="202">
        <v>454</v>
      </c>
      <c r="C39" s="207" t="s">
        <v>627</v>
      </c>
      <c r="D39" s="203" t="s">
        <v>628</v>
      </c>
      <c r="E39" s="1020">
        <v>3349083.61</v>
      </c>
      <c r="F39" s="302" t="s">
        <v>572</v>
      </c>
      <c r="G39" s="298">
        <f>IF(F39=$G$2,E39,0)</f>
        <v>3349083.61</v>
      </c>
      <c r="H39" s="205">
        <v>0</v>
      </c>
      <c r="I39" s="205">
        <f>G39-H39</f>
        <v>3349083.61</v>
      </c>
      <c r="J39" s="298">
        <f t="shared" ref="J39:J50" si="10">IF(F39=$J$2,E39,0)</f>
        <v>0</v>
      </c>
      <c r="K39" s="298"/>
      <c r="L39" s="730"/>
      <c r="M39" s="205">
        <f t="shared" ref="M39:M41" si="11">J39-L39</f>
        <v>0</v>
      </c>
      <c r="N39" s="298">
        <f>IF(F39=$N$2,E39,0)</f>
        <v>0</v>
      </c>
      <c r="O39" s="204">
        <v>4</v>
      </c>
    </row>
    <row r="40" spans="1:15">
      <c r="A40" s="206" t="s">
        <v>622</v>
      </c>
      <c r="B40" s="202">
        <v>454</v>
      </c>
      <c r="C40" s="207" t="s">
        <v>630</v>
      </c>
      <c r="D40" s="203" t="s">
        <v>631</v>
      </c>
      <c r="E40" s="1020">
        <v>426320</v>
      </c>
      <c r="F40" s="302" t="s">
        <v>572</v>
      </c>
      <c r="G40" s="298">
        <f>IF(F40=$G$2,E40,0)</f>
        <v>426320</v>
      </c>
      <c r="H40" s="205">
        <v>0</v>
      </c>
      <c r="I40" s="205">
        <f>G40-H40</f>
        <v>426320</v>
      </c>
      <c r="J40" s="298">
        <f t="shared" si="10"/>
        <v>0</v>
      </c>
      <c r="K40" s="298"/>
      <c r="L40" s="730"/>
      <c r="M40" s="205">
        <f t="shared" si="11"/>
        <v>0</v>
      </c>
      <c r="N40" s="298">
        <f>IF(F40=$N$2,E40,0)</f>
        <v>0</v>
      </c>
      <c r="O40" s="204">
        <v>4</v>
      </c>
    </row>
    <row r="41" spans="1:15">
      <c r="A41" s="1208" t="s">
        <v>623</v>
      </c>
      <c r="B41" s="202">
        <v>454</v>
      </c>
      <c r="C41" s="218">
        <v>4184120</v>
      </c>
      <c r="D41" s="203" t="s">
        <v>1387</v>
      </c>
      <c r="E41" s="1020">
        <v>718500</v>
      </c>
      <c r="F41" s="302" t="s">
        <v>572</v>
      </c>
      <c r="G41" s="298">
        <f>IF(F41=$G$2,E41,0)</f>
        <v>718500</v>
      </c>
      <c r="H41" s="205">
        <v>0</v>
      </c>
      <c r="I41" s="205">
        <f>G41-H41</f>
        <v>718500</v>
      </c>
      <c r="J41" s="298">
        <f t="shared" si="10"/>
        <v>0</v>
      </c>
      <c r="K41" s="298"/>
      <c r="L41" s="730"/>
      <c r="M41" s="205">
        <f t="shared" si="11"/>
        <v>0</v>
      </c>
      <c r="N41" s="298">
        <f>IF(F41=$N$2,E41,0)</f>
        <v>0</v>
      </c>
      <c r="O41" s="204">
        <v>4</v>
      </c>
    </row>
    <row r="42" spans="1:15">
      <c r="A42" s="1207" t="s">
        <v>626</v>
      </c>
      <c r="B42" s="202">
        <v>454</v>
      </c>
      <c r="C42" s="207" t="s">
        <v>635</v>
      </c>
      <c r="D42" s="203" t="s">
        <v>636</v>
      </c>
      <c r="E42" s="1020">
        <v>146982.10999999999</v>
      </c>
      <c r="F42" s="302" t="s">
        <v>573</v>
      </c>
      <c r="G42" s="298">
        <f t="shared" ref="G42:G48" si="12">IF(F42=$G$2,E42,0)</f>
        <v>0</v>
      </c>
      <c r="H42" s="205">
        <v>0</v>
      </c>
      <c r="I42" s="205">
        <f>G42-H42</f>
        <v>0</v>
      </c>
      <c r="J42" s="298">
        <f t="shared" si="10"/>
        <v>146982.10999999999</v>
      </c>
      <c r="K42" s="337" t="s">
        <v>614</v>
      </c>
      <c r="L42" s="1021">
        <v>29678.495876543999</v>
      </c>
      <c r="M42" s="205">
        <f>J42-L42</f>
        <v>117303.61412345599</v>
      </c>
      <c r="N42" s="298">
        <f>IF(F42=$N$2,E42,0)</f>
        <v>0</v>
      </c>
      <c r="O42" s="204">
        <v>2</v>
      </c>
    </row>
    <row r="43" spans="1:15">
      <c r="A43" s="206" t="s">
        <v>629</v>
      </c>
      <c r="B43" s="202">
        <v>454</v>
      </c>
      <c r="C43" s="207" t="s">
        <v>638</v>
      </c>
      <c r="D43" s="203" t="s">
        <v>639</v>
      </c>
      <c r="E43" s="1020">
        <v>9240</v>
      </c>
      <c r="F43" s="302" t="s">
        <v>573</v>
      </c>
      <c r="G43" s="298">
        <f t="shared" si="12"/>
        <v>0</v>
      </c>
      <c r="H43" s="205">
        <v>0</v>
      </c>
      <c r="I43" s="205">
        <f t="shared" ref="I43:I45" si="13">G43-H43</f>
        <v>0</v>
      </c>
      <c r="J43" s="298">
        <f t="shared" si="10"/>
        <v>9240</v>
      </c>
      <c r="K43" s="337" t="s">
        <v>614</v>
      </c>
      <c r="L43" s="1021">
        <v>1003.7752927775</v>
      </c>
      <c r="M43" s="205">
        <f>J43-L43</f>
        <v>8236.2247072225</v>
      </c>
      <c r="N43" s="298">
        <f t="shared" ref="N43:N48" si="14">IF(F43=$N$2,E43,0)</f>
        <v>0</v>
      </c>
      <c r="O43" s="204">
        <v>2</v>
      </c>
    </row>
    <row r="44" spans="1:15">
      <c r="A44" s="206" t="s">
        <v>632</v>
      </c>
      <c r="B44" s="202">
        <v>454</v>
      </c>
      <c r="C44" s="207" t="s">
        <v>641</v>
      </c>
      <c r="D44" s="203" t="s">
        <v>642</v>
      </c>
      <c r="E44" s="1020">
        <v>18880</v>
      </c>
      <c r="F44" s="302" t="s">
        <v>573</v>
      </c>
      <c r="G44" s="298">
        <f t="shared" si="12"/>
        <v>0</v>
      </c>
      <c r="H44" s="205">
        <v>0</v>
      </c>
      <c r="I44" s="205">
        <f t="shared" si="13"/>
        <v>0</v>
      </c>
      <c r="J44" s="298">
        <f t="shared" si="10"/>
        <v>18880</v>
      </c>
      <c r="K44" s="337" t="s">
        <v>614</v>
      </c>
      <c r="L44" s="1021">
        <v>17840</v>
      </c>
      <c r="M44" s="205">
        <f>J44-L44</f>
        <v>1040</v>
      </c>
      <c r="N44" s="298">
        <f t="shared" si="14"/>
        <v>0</v>
      </c>
      <c r="O44" s="204">
        <v>2</v>
      </c>
    </row>
    <row r="45" spans="1:15">
      <c r="A45" s="206" t="s">
        <v>633</v>
      </c>
      <c r="B45" s="202">
        <v>454</v>
      </c>
      <c r="C45" s="218" t="s">
        <v>644</v>
      </c>
      <c r="D45" s="203" t="s">
        <v>645</v>
      </c>
      <c r="E45" s="1020">
        <v>13134.36</v>
      </c>
      <c r="F45" s="302" t="s">
        <v>573</v>
      </c>
      <c r="G45" s="298">
        <f t="shared" si="12"/>
        <v>0</v>
      </c>
      <c r="H45" s="205">
        <v>0</v>
      </c>
      <c r="I45" s="205">
        <f t="shared" si="13"/>
        <v>0</v>
      </c>
      <c r="J45" s="298">
        <f t="shared" si="10"/>
        <v>13134.36</v>
      </c>
      <c r="K45" s="337" t="s">
        <v>614</v>
      </c>
      <c r="L45" s="1021">
        <v>2112.3112490588001</v>
      </c>
      <c r="M45" s="205">
        <f t="shared" ref="M45:M63" si="15">J45-L45</f>
        <v>11022.048750941201</v>
      </c>
      <c r="N45" s="298">
        <f t="shared" si="14"/>
        <v>0</v>
      </c>
      <c r="O45" s="204">
        <v>2</v>
      </c>
    </row>
    <row r="46" spans="1:15">
      <c r="A46" s="206" t="s">
        <v>634</v>
      </c>
      <c r="B46" s="202">
        <v>454</v>
      </c>
      <c r="C46" s="203" t="s">
        <v>647</v>
      </c>
      <c r="D46" s="203" t="s">
        <v>1239</v>
      </c>
      <c r="E46" s="1020">
        <v>-787608.96</v>
      </c>
      <c r="F46" s="302" t="s">
        <v>572</v>
      </c>
      <c r="G46" s="298">
        <f>IF(F46=$G$2,E46,0)</f>
        <v>-787608.96</v>
      </c>
      <c r="H46" s="205">
        <v>0</v>
      </c>
      <c r="I46" s="205">
        <f>G46-H46</f>
        <v>-787608.96</v>
      </c>
      <c r="J46" s="298">
        <f>IF(F46=$J$2,E46,0)</f>
        <v>0</v>
      </c>
      <c r="K46" s="298"/>
      <c r="L46" s="730"/>
      <c r="M46" s="205">
        <f t="shared" si="15"/>
        <v>0</v>
      </c>
      <c r="N46" s="298">
        <f t="shared" si="14"/>
        <v>0</v>
      </c>
      <c r="O46" s="204">
        <v>4</v>
      </c>
    </row>
    <row r="47" spans="1:15">
      <c r="A47" s="206" t="s">
        <v>637</v>
      </c>
      <c r="B47" s="202">
        <v>454</v>
      </c>
      <c r="C47" s="207" t="s">
        <v>649</v>
      </c>
      <c r="D47" s="203" t="s">
        <v>650</v>
      </c>
      <c r="E47" s="1020">
        <v>60454.31</v>
      </c>
      <c r="F47" s="302" t="s">
        <v>574</v>
      </c>
      <c r="G47" s="298">
        <f>I47+H47</f>
        <v>3578.2906088999998</v>
      </c>
      <c r="H47" s="205">
        <f>E47*$D$237</f>
        <v>3578.2906088999998</v>
      </c>
      <c r="I47" s="205">
        <v>0</v>
      </c>
      <c r="J47" s="298">
        <f t="shared" si="10"/>
        <v>0</v>
      </c>
      <c r="K47" s="298"/>
      <c r="L47" s="730"/>
      <c r="M47" s="205">
        <f>J47-L47</f>
        <v>0</v>
      </c>
      <c r="N47" s="298">
        <f>IF(F47=$N$2,E47-H47,0)</f>
        <v>56876.019391099995</v>
      </c>
      <c r="O47" s="204" t="s">
        <v>651</v>
      </c>
    </row>
    <row r="48" spans="1:15">
      <c r="A48" s="206" t="s">
        <v>640</v>
      </c>
      <c r="B48" s="202">
        <v>454</v>
      </c>
      <c r="C48" s="207" t="s">
        <v>653</v>
      </c>
      <c r="D48" s="203" t="s">
        <v>654</v>
      </c>
      <c r="E48" s="1020"/>
      <c r="F48" s="302" t="s">
        <v>572</v>
      </c>
      <c r="G48" s="298">
        <f t="shared" si="12"/>
        <v>0</v>
      </c>
      <c r="H48" s="205">
        <f>E48*$D$237</f>
        <v>0</v>
      </c>
      <c r="I48" s="205">
        <f>G48-H48</f>
        <v>0</v>
      </c>
      <c r="J48" s="298">
        <f t="shared" si="10"/>
        <v>0</v>
      </c>
      <c r="K48" s="298"/>
      <c r="L48" s="730"/>
      <c r="M48" s="205">
        <f t="shared" si="15"/>
        <v>0</v>
      </c>
      <c r="N48" s="298">
        <f t="shared" si="14"/>
        <v>0</v>
      </c>
      <c r="O48" s="204">
        <v>7</v>
      </c>
    </row>
    <row r="49" spans="1:15">
      <c r="A49" s="206" t="s">
        <v>643</v>
      </c>
      <c r="B49" s="202">
        <v>454</v>
      </c>
      <c r="C49" s="203" t="s">
        <v>656</v>
      </c>
      <c r="D49" s="203" t="s">
        <v>657</v>
      </c>
      <c r="E49" s="1020">
        <v>1344451.36</v>
      </c>
      <c r="F49" s="302" t="s">
        <v>574</v>
      </c>
      <c r="G49" s="298">
        <f>I49+H49</f>
        <v>79578.075998400003</v>
      </c>
      <c r="H49" s="205">
        <f>E49*$D$237</f>
        <v>79578.075998400003</v>
      </c>
      <c r="I49" s="205">
        <v>0</v>
      </c>
      <c r="J49" s="298">
        <f>IF(F49=$J$2,E49,0)</f>
        <v>0</v>
      </c>
      <c r="K49" s="298"/>
      <c r="L49" s="730"/>
      <c r="M49" s="205">
        <f>J49-L49</f>
        <v>0</v>
      </c>
      <c r="N49" s="298">
        <f>IF(F49=$N$2,E49-H49,0)</f>
        <v>1264873.2840016</v>
      </c>
      <c r="O49" s="204" t="s">
        <v>651</v>
      </c>
    </row>
    <row r="50" spans="1:15">
      <c r="A50" s="206" t="s">
        <v>646</v>
      </c>
      <c r="B50" s="202">
        <v>454</v>
      </c>
      <c r="C50" s="207" t="s">
        <v>659</v>
      </c>
      <c r="D50" s="203" t="s">
        <v>660</v>
      </c>
      <c r="E50" s="1020"/>
      <c r="F50" s="302" t="s">
        <v>572</v>
      </c>
      <c r="G50" s="298">
        <f>I50+H50</f>
        <v>0</v>
      </c>
      <c r="H50" s="205">
        <f>E50*$D$231</f>
        <v>0</v>
      </c>
      <c r="I50" s="205">
        <v>0</v>
      </c>
      <c r="J50" s="298">
        <f t="shared" si="10"/>
        <v>0</v>
      </c>
      <c r="K50" s="298"/>
      <c r="L50" s="730"/>
      <c r="M50" s="205">
        <f t="shared" si="15"/>
        <v>0</v>
      </c>
      <c r="N50" s="298">
        <f t="shared" ref="N50:N61" si="16">IF(F50=$N$2,E50,0)</f>
        <v>0</v>
      </c>
      <c r="O50" s="204">
        <v>7</v>
      </c>
    </row>
    <row r="51" spans="1:15">
      <c r="A51" s="206" t="s">
        <v>648</v>
      </c>
      <c r="B51" s="202">
        <v>454</v>
      </c>
      <c r="C51" s="207" t="s">
        <v>662</v>
      </c>
      <c r="D51" s="203" t="s">
        <v>663</v>
      </c>
      <c r="E51" s="1020"/>
      <c r="F51" s="302" t="s">
        <v>572</v>
      </c>
      <c r="G51" s="298">
        <f t="shared" ref="G51:G61" si="17">IF(F51=$G$2,E51,0)</f>
        <v>0</v>
      </c>
      <c r="H51" s="205">
        <v>0</v>
      </c>
      <c r="I51" s="205">
        <f t="shared" ref="I51:I56" si="18">G51-H51</f>
        <v>0</v>
      </c>
      <c r="J51" s="298">
        <f t="shared" ref="J51:J62" si="19">IF(F51=$J$2,E51,0)</f>
        <v>0</v>
      </c>
      <c r="K51" s="298"/>
      <c r="L51" s="730"/>
      <c r="M51" s="205">
        <f t="shared" si="15"/>
        <v>0</v>
      </c>
      <c r="N51" s="298">
        <f t="shared" si="16"/>
        <v>0</v>
      </c>
      <c r="O51" s="204">
        <v>1</v>
      </c>
    </row>
    <row r="52" spans="1:15">
      <c r="A52" s="206" t="s">
        <v>652</v>
      </c>
      <c r="B52" s="202">
        <v>454</v>
      </c>
      <c r="C52" s="207" t="s">
        <v>665</v>
      </c>
      <c r="D52" s="203" t="s">
        <v>666</v>
      </c>
      <c r="E52" s="1020">
        <v>10649093.380000001</v>
      </c>
      <c r="F52" s="302" t="s">
        <v>572</v>
      </c>
      <c r="G52" s="298">
        <f t="shared" si="17"/>
        <v>10649093.380000001</v>
      </c>
      <c r="H52" s="205">
        <v>0</v>
      </c>
      <c r="I52" s="205">
        <f>G52-H52</f>
        <v>10649093.380000001</v>
      </c>
      <c r="J52" s="298">
        <f t="shared" si="19"/>
        <v>0</v>
      </c>
      <c r="K52" s="298"/>
      <c r="L52" s="730"/>
      <c r="M52" s="205">
        <f t="shared" si="15"/>
        <v>0</v>
      </c>
      <c r="N52" s="298">
        <f t="shared" si="16"/>
        <v>0</v>
      </c>
      <c r="O52" s="204">
        <v>4</v>
      </c>
    </row>
    <row r="53" spans="1:15">
      <c r="A53" s="206" t="s">
        <v>655</v>
      </c>
      <c r="B53" s="202">
        <v>454</v>
      </c>
      <c r="C53" s="207" t="s">
        <v>668</v>
      </c>
      <c r="D53" s="203" t="s">
        <v>669</v>
      </c>
      <c r="E53" s="1020">
        <v>747195.91</v>
      </c>
      <c r="F53" s="302" t="s">
        <v>572</v>
      </c>
      <c r="G53" s="298">
        <f t="shared" si="17"/>
        <v>747195.91</v>
      </c>
      <c r="H53" s="205">
        <v>0</v>
      </c>
      <c r="I53" s="205">
        <f>G53-H53</f>
        <v>747195.91</v>
      </c>
      <c r="J53" s="298">
        <f t="shared" si="19"/>
        <v>0</v>
      </c>
      <c r="K53" s="298"/>
      <c r="L53" s="730"/>
      <c r="M53" s="205">
        <f t="shared" si="15"/>
        <v>0</v>
      </c>
      <c r="N53" s="298">
        <f t="shared" si="16"/>
        <v>0</v>
      </c>
      <c r="O53" s="204">
        <v>4</v>
      </c>
    </row>
    <row r="54" spans="1:15">
      <c r="A54" s="206" t="s">
        <v>658</v>
      </c>
      <c r="B54" s="202">
        <v>454</v>
      </c>
      <c r="C54" s="207" t="s">
        <v>671</v>
      </c>
      <c r="D54" s="203" t="s">
        <v>672</v>
      </c>
      <c r="E54" s="1020">
        <v>22731824.84</v>
      </c>
      <c r="F54" s="302" t="s">
        <v>572</v>
      </c>
      <c r="G54" s="298">
        <f t="shared" si="17"/>
        <v>22731824.84</v>
      </c>
      <c r="H54" s="205">
        <v>0</v>
      </c>
      <c r="I54" s="205">
        <f>G54-H54</f>
        <v>22731824.84</v>
      </c>
      <c r="J54" s="298">
        <f t="shared" si="19"/>
        <v>0</v>
      </c>
      <c r="K54" s="298"/>
      <c r="L54" s="730"/>
      <c r="M54" s="205">
        <f t="shared" si="15"/>
        <v>0</v>
      </c>
      <c r="N54" s="298">
        <f t="shared" si="16"/>
        <v>0</v>
      </c>
      <c r="O54" s="204">
        <v>4</v>
      </c>
    </row>
    <row r="55" spans="1:15">
      <c r="A55" s="206" t="s">
        <v>661</v>
      </c>
      <c r="B55" s="202">
        <v>454</v>
      </c>
      <c r="C55" s="207" t="s">
        <v>674</v>
      </c>
      <c r="D55" s="203" t="s">
        <v>675</v>
      </c>
      <c r="E55" s="1020">
        <v>13246533.060000001</v>
      </c>
      <c r="F55" s="302" t="s">
        <v>572</v>
      </c>
      <c r="G55" s="298">
        <f t="shared" si="17"/>
        <v>13246533.060000001</v>
      </c>
      <c r="H55" s="730">
        <v>3119188.1941049998</v>
      </c>
      <c r="I55" s="205">
        <f>G55-H55</f>
        <v>10127344.865895001</v>
      </c>
      <c r="J55" s="298">
        <f t="shared" si="19"/>
        <v>0</v>
      </c>
      <c r="K55" s="298"/>
      <c r="L55" s="730"/>
      <c r="M55" s="205">
        <f t="shared" si="15"/>
        <v>0</v>
      </c>
      <c r="N55" s="298">
        <f t="shared" si="16"/>
        <v>0</v>
      </c>
      <c r="O55" s="204">
        <v>8</v>
      </c>
    </row>
    <row r="56" spans="1:15">
      <c r="A56" s="206" t="s">
        <v>664</v>
      </c>
      <c r="B56" s="202">
        <v>454</v>
      </c>
      <c r="C56" s="203" t="s">
        <v>677</v>
      </c>
      <c r="D56" s="203" t="s">
        <v>678</v>
      </c>
      <c r="E56" s="1020">
        <f>21987089.23</f>
        <v>21987089.23</v>
      </c>
      <c r="F56" s="302" t="s">
        <v>573</v>
      </c>
      <c r="G56" s="298">
        <f t="shared" si="17"/>
        <v>0</v>
      </c>
      <c r="H56" s="205">
        <v>0</v>
      </c>
      <c r="I56" s="205">
        <f t="shared" si="18"/>
        <v>0</v>
      </c>
      <c r="J56" s="298">
        <f t="shared" si="19"/>
        <v>21987089.23</v>
      </c>
      <c r="K56" s="337" t="s">
        <v>614</v>
      </c>
      <c r="L56" s="1021">
        <v>4456796.6464858698</v>
      </c>
      <c r="M56" s="205">
        <f t="shared" ref="M56:M61" si="20">J56-L56</f>
        <v>17530292.583514132</v>
      </c>
      <c r="N56" s="298">
        <f t="shared" si="16"/>
        <v>0</v>
      </c>
      <c r="O56" s="204">
        <v>2</v>
      </c>
    </row>
    <row r="57" spans="1:15">
      <c r="A57" s="206" t="s">
        <v>667</v>
      </c>
      <c r="B57" s="202">
        <v>454</v>
      </c>
      <c r="C57" s="207" t="s">
        <v>679</v>
      </c>
      <c r="D57" s="203" t="s">
        <v>680</v>
      </c>
      <c r="E57" s="1020"/>
      <c r="F57" s="302" t="s">
        <v>572</v>
      </c>
      <c r="G57" s="298">
        <f t="shared" si="17"/>
        <v>0</v>
      </c>
      <c r="H57" s="205">
        <v>0</v>
      </c>
      <c r="I57" s="205">
        <f>G57-H57</f>
        <v>0</v>
      </c>
      <c r="J57" s="298">
        <f t="shared" si="19"/>
        <v>0</v>
      </c>
      <c r="K57" s="298"/>
      <c r="L57" s="730"/>
      <c r="M57" s="205">
        <f t="shared" si="20"/>
        <v>0</v>
      </c>
      <c r="N57" s="298">
        <f t="shared" si="16"/>
        <v>0</v>
      </c>
      <c r="O57" s="204">
        <v>4</v>
      </c>
    </row>
    <row r="58" spans="1:15">
      <c r="A58" s="206" t="s">
        <v>670</v>
      </c>
      <c r="B58" s="202">
        <v>454</v>
      </c>
      <c r="C58" s="201" t="s">
        <v>1390</v>
      </c>
      <c r="D58" s="203" t="s">
        <v>1389</v>
      </c>
      <c r="E58" s="1020">
        <f>79426770-79462641.1</f>
        <v>-35871.09999999404</v>
      </c>
      <c r="F58" s="302" t="s">
        <v>572</v>
      </c>
      <c r="G58" s="298">
        <f t="shared" si="17"/>
        <v>-35871.09999999404</v>
      </c>
      <c r="H58" s="205">
        <v>0</v>
      </c>
      <c r="I58" s="205">
        <f>G58-H58</f>
        <v>-35871.09999999404</v>
      </c>
      <c r="J58" s="298">
        <f t="shared" si="19"/>
        <v>0</v>
      </c>
      <c r="K58" s="298"/>
      <c r="L58" s="730"/>
      <c r="M58" s="205">
        <f t="shared" si="20"/>
        <v>0</v>
      </c>
      <c r="N58" s="298">
        <f t="shared" si="16"/>
        <v>0</v>
      </c>
      <c r="O58" s="204">
        <v>1</v>
      </c>
    </row>
    <row r="59" spans="1:15">
      <c r="A59" s="206" t="s">
        <v>673</v>
      </c>
      <c r="B59" s="202">
        <v>454</v>
      </c>
      <c r="C59" s="202">
        <v>4206515</v>
      </c>
      <c r="D59" s="219" t="s">
        <v>2079</v>
      </c>
      <c r="E59" s="1020">
        <f>1353393.45</f>
        <v>1353393.45</v>
      </c>
      <c r="F59" s="302" t="s">
        <v>573</v>
      </c>
      <c r="G59" s="298">
        <f t="shared" si="17"/>
        <v>0</v>
      </c>
      <c r="H59" s="205">
        <v>0</v>
      </c>
      <c r="I59" s="920">
        <f>G59-H59</f>
        <v>0</v>
      </c>
      <c r="J59" s="921">
        <f t="shared" si="19"/>
        <v>1353393.45</v>
      </c>
      <c r="K59" s="921" t="s">
        <v>614</v>
      </c>
      <c r="L59" s="730">
        <v>272457.58135189</v>
      </c>
      <c r="M59" s="205">
        <f t="shared" si="20"/>
        <v>1080935.86864811</v>
      </c>
      <c r="N59" s="298">
        <f t="shared" si="16"/>
        <v>0</v>
      </c>
      <c r="O59" s="204">
        <v>2</v>
      </c>
    </row>
    <row r="60" spans="1:15">
      <c r="A60" s="206" t="s">
        <v>676</v>
      </c>
      <c r="B60" s="202">
        <v>454</v>
      </c>
      <c r="C60" s="202">
        <v>4184122</v>
      </c>
      <c r="D60" s="219" t="s">
        <v>2081</v>
      </c>
      <c r="E60" s="1020"/>
      <c r="F60" s="302" t="s">
        <v>572</v>
      </c>
      <c r="G60" s="298">
        <f t="shared" si="17"/>
        <v>0</v>
      </c>
      <c r="H60" s="205">
        <v>0</v>
      </c>
      <c r="I60" s="920">
        <f>G60-H60</f>
        <v>0</v>
      </c>
      <c r="J60" s="921">
        <f t="shared" si="19"/>
        <v>0</v>
      </c>
      <c r="K60" s="298"/>
      <c r="L60" s="304"/>
      <c r="M60" s="205">
        <f t="shared" si="20"/>
        <v>0</v>
      </c>
      <c r="N60" s="298">
        <f t="shared" si="16"/>
        <v>0</v>
      </c>
      <c r="O60" s="204">
        <v>4</v>
      </c>
    </row>
    <row r="61" spans="1:15">
      <c r="A61" s="201" t="s">
        <v>2078</v>
      </c>
      <c r="B61" s="202">
        <v>454</v>
      </c>
      <c r="C61" s="202">
        <v>4184124</v>
      </c>
      <c r="D61" s="219" t="s">
        <v>2083</v>
      </c>
      <c r="E61" s="1020">
        <v>5840</v>
      </c>
      <c r="F61" s="302" t="s">
        <v>572</v>
      </c>
      <c r="G61" s="298">
        <f t="shared" si="17"/>
        <v>5840</v>
      </c>
      <c r="H61" s="205">
        <v>0</v>
      </c>
      <c r="I61" s="920">
        <f>G61-H61</f>
        <v>5840</v>
      </c>
      <c r="J61" s="921">
        <f t="shared" si="19"/>
        <v>0</v>
      </c>
      <c r="K61" s="298"/>
      <c r="L61" s="304"/>
      <c r="M61" s="205">
        <f t="shared" si="20"/>
        <v>0</v>
      </c>
      <c r="N61" s="298">
        <f t="shared" si="16"/>
        <v>0</v>
      </c>
      <c r="O61" s="204">
        <v>4</v>
      </c>
    </row>
    <row r="62" spans="1:15">
      <c r="A62" s="923" t="s">
        <v>2080</v>
      </c>
      <c r="B62" s="1254">
        <v>454</v>
      </c>
      <c r="C62" s="1254">
        <v>4184821</v>
      </c>
      <c r="D62" s="1253" t="s">
        <v>2443</v>
      </c>
      <c r="E62" s="1020">
        <v>84599.8</v>
      </c>
      <c r="F62" s="1020" t="s">
        <v>574</v>
      </c>
      <c r="G62" s="298">
        <f>I62+H62</f>
        <v>5007.4621619999998</v>
      </c>
      <c r="H62" s="205">
        <f>E62*$D$237</f>
        <v>5007.4621619999998</v>
      </c>
      <c r="I62" s="205">
        <v>0</v>
      </c>
      <c r="J62" s="298">
        <f t="shared" si="19"/>
        <v>0</v>
      </c>
      <c r="K62" s="298"/>
      <c r="L62" s="304"/>
      <c r="M62" s="205">
        <f t="shared" si="15"/>
        <v>0</v>
      </c>
      <c r="N62" s="298">
        <f>IF(F62=$N$2,E62-H62,0)</f>
        <v>79592.337838000007</v>
      </c>
      <c r="O62" s="564" t="s">
        <v>651</v>
      </c>
    </row>
    <row r="63" spans="1:15" s="999" customFormat="1">
      <c r="A63" s="923" t="s">
        <v>2082</v>
      </c>
      <c r="B63" s="1254">
        <v>454</v>
      </c>
      <c r="C63" s="1254">
        <v>4184811</v>
      </c>
      <c r="D63" s="1253" t="s">
        <v>2444</v>
      </c>
      <c r="E63" s="1020">
        <v>960790.89</v>
      </c>
      <c r="F63" s="1020" t="s">
        <v>574</v>
      </c>
      <c r="G63" s="298">
        <f>I63+H63</f>
        <v>56869.212779100002</v>
      </c>
      <c r="H63" s="205">
        <f>E63*$D$237</f>
        <v>56869.212779100002</v>
      </c>
      <c r="I63" s="205">
        <v>0</v>
      </c>
      <c r="J63" s="921">
        <f t="shared" ref="J63" si="21">IF(F63=$J$2,E63,0)</f>
        <v>0</v>
      </c>
      <c r="K63" s="298"/>
      <c r="L63" s="304"/>
      <c r="M63" s="205">
        <f t="shared" si="15"/>
        <v>0</v>
      </c>
      <c r="N63" s="298">
        <f t="shared" ref="N63" si="22">IF(F63=$N$2,E63-H63,0)</f>
        <v>903921.67722089996</v>
      </c>
      <c r="O63" s="564" t="s">
        <v>651</v>
      </c>
    </row>
    <row r="64" spans="1:15" s="999" customFormat="1">
      <c r="A64" s="1131" t="s">
        <v>2667</v>
      </c>
      <c r="B64" s="1132">
        <v>454</v>
      </c>
      <c r="C64" s="1132">
        <v>4184515</v>
      </c>
      <c r="D64" s="1133" t="s">
        <v>2668</v>
      </c>
      <c r="E64" s="1020">
        <v>1848475</v>
      </c>
      <c r="F64" s="1020" t="s">
        <v>574</v>
      </c>
      <c r="G64" s="302">
        <f>IF(F64=$G$2,E64,0)</f>
        <v>0</v>
      </c>
      <c r="H64" s="304">
        <v>0</v>
      </c>
      <c r="I64" s="304">
        <f>G64-H64</f>
        <v>0</v>
      </c>
      <c r="J64" s="1020">
        <f>IF(F64=$J$2,E64,0)</f>
        <v>0</v>
      </c>
      <c r="K64" s="302"/>
      <c r="L64" s="304"/>
      <c r="M64" s="304">
        <f>J64-L64</f>
        <v>0</v>
      </c>
      <c r="N64" s="302">
        <f>IF(F64=$N$2,E64-H64,0)</f>
        <v>1848475</v>
      </c>
      <c r="O64" s="1134">
        <v>6</v>
      </c>
    </row>
    <row r="65" spans="1:15">
      <c r="A65" s="332"/>
      <c r="B65" s="328"/>
      <c r="C65" s="327"/>
      <c r="D65" s="329"/>
      <c r="E65" s="302"/>
      <c r="F65" s="302"/>
      <c r="G65" s="306"/>
      <c r="H65" s="304"/>
      <c r="I65" s="304"/>
      <c r="J65" s="302"/>
      <c r="K65" s="302"/>
      <c r="L65" s="304"/>
      <c r="M65" s="304"/>
      <c r="N65" s="302"/>
      <c r="O65" s="303"/>
    </row>
    <row r="66" spans="1:15" s="999" customFormat="1">
      <c r="A66" s="332"/>
      <c r="B66" s="1255"/>
      <c r="C66" s="1256"/>
      <c r="D66" s="729"/>
      <c r="E66" s="302"/>
      <c r="F66" s="302"/>
      <c r="G66" s="306"/>
      <c r="H66" s="304"/>
      <c r="I66" s="304"/>
      <c r="J66" s="302"/>
      <c r="K66" s="302"/>
      <c r="L66" s="304"/>
      <c r="M66" s="304"/>
      <c r="N66" s="302"/>
      <c r="O66" s="303"/>
    </row>
    <row r="67" spans="1:15">
      <c r="A67" s="206">
        <v>11</v>
      </c>
      <c r="B67" s="1406" t="s">
        <v>681</v>
      </c>
      <c r="C67" s="1404"/>
      <c r="D67" s="1405"/>
      <c r="E67" s="311">
        <f>SUM(E38:E66)</f>
        <v>79426770.000000015</v>
      </c>
      <c r="F67" s="320"/>
      <c r="G67" s="311">
        <f>SUM(G38:G66)</f>
        <v>51744312.531548411</v>
      </c>
      <c r="H67" s="311">
        <f>SUM(H38:H66)</f>
        <v>3264221.2356534</v>
      </c>
      <c r="I67" s="311">
        <f>SUM(I38:I66)</f>
        <v>48480091.29589501</v>
      </c>
      <c r="J67" s="311">
        <f>SUM(J38:J66)</f>
        <v>23528719.149999999</v>
      </c>
      <c r="K67" s="320"/>
      <c r="L67" s="311">
        <f>SUM(L38:L66)</f>
        <v>4779888.8102561403</v>
      </c>
      <c r="M67" s="311">
        <f>SUM(M38:M66)</f>
        <v>18748830.33974386</v>
      </c>
      <c r="N67" s="311">
        <f>SUM(N38:N66)</f>
        <v>4153738.3184515997</v>
      </c>
      <c r="O67" s="195"/>
    </row>
    <row r="68" spans="1:15" ht="24.75" customHeight="1">
      <c r="A68" s="206">
        <v>12</v>
      </c>
      <c r="B68" s="1398" t="s">
        <v>1244</v>
      </c>
      <c r="C68" s="1399"/>
      <c r="D68" s="1400"/>
      <c r="E68" s="1130">
        <v>79426770</v>
      </c>
      <c r="F68" s="310"/>
      <c r="G68" s="326"/>
      <c r="H68" s="310"/>
      <c r="I68" s="310"/>
      <c r="J68" s="297"/>
      <c r="K68" s="310"/>
      <c r="L68" s="297"/>
      <c r="M68" s="297"/>
      <c r="N68" s="297"/>
      <c r="O68" s="193"/>
    </row>
    <row r="69" spans="1:15">
      <c r="A69" s="209"/>
      <c r="B69" s="210"/>
      <c r="C69" s="211"/>
      <c r="D69" s="212"/>
      <c r="E69" s="297"/>
      <c r="F69" s="297"/>
      <c r="G69" s="297"/>
      <c r="H69" s="310"/>
      <c r="I69" s="310"/>
      <c r="J69" s="297"/>
      <c r="K69" s="310"/>
      <c r="L69" s="297"/>
      <c r="M69" s="297"/>
      <c r="N69" s="297"/>
      <c r="O69" s="193"/>
    </row>
    <row r="70" spans="1:15">
      <c r="A70" s="206" t="s">
        <v>682</v>
      </c>
      <c r="B70" s="202">
        <v>456</v>
      </c>
      <c r="C70" s="207" t="s">
        <v>686</v>
      </c>
      <c r="D70" s="203" t="s">
        <v>687</v>
      </c>
      <c r="E70" s="1020">
        <v>3857355.73</v>
      </c>
      <c r="F70" s="302" t="s">
        <v>572</v>
      </c>
      <c r="G70" s="298">
        <f t="shared" ref="G70:G78" si="23">IF(F70=$G$2,E70,0)</f>
        <v>3857355.73</v>
      </c>
      <c r="H70" s="205">
        <v>0</v>
      </c>
      <c r="I70" s="205">
        <f t="shared" ref="I70:I78" si="24">G70-H70</f>
        <v>3857355.73</v>
      </c>
      <c r="J70" s="298">
        <f t="shared" ref="J70:J85" si="25">IF(F70=$J$2,E70,0)</f>
        <v>0</v>
      </c>
      <c r="K70" s="298"/>
      <c r="L70" s="730"/>
      <c r="M70" s="205">
        <f t="shared" ref="M70:M85" si="26">J70-L70</f>
        <v>0</v>
      </c>
      <c r="N70" s="298">
        <f t="shared" ref="N70:N78" si="27">IF(F70=$N$2,E70,0)</f>
        <v>0</v>
      </c>
      <c r="O70" s="204">
        <v>1</v>
      </c>
    </row>
    <row r="71" spans="1:15">
      <c r="A71" s="206" t="s">
        <v>683</v>
      </c>
      <c r="B71" s="202">
        <v>456</v>
      </c>
      <c r="C71" s="207" t="s">
        <v>688</v>
      </c>
      <c r="D71" s="203" t="s">
        <v>689</v>
      </c>
      <c r="E71" s="1020">
        <v>576.14</v>
      </c>
      <c r="F71" s="302" t="s">
        <v>572</v>
      </c>
      <c r="G71" s="298">
        <f t="shared" si="23"/>
        <v>576.14</v>
      </c>
      <c r="H71" s="205">
        <v>0</v>
      </c>
      <c r="I71" s="205">
        <f t="shared" si="24"/>
        <v>576.14</v>
      </c>
      <c r="J71" s="298">
        <f t="shared" si="25"/>
        <v>0</v>
      </c>
      <c r="K71" s="298"/>
      <c r="L71" s="730"/>
      <c r="M71" s="205">
        <f t="shared" si="26"/>
        <v>0</v>
      </c>
      <c r="N71" s="298">
        <f t="shared" si="27"/>
        <v>0</v>
      </c>
      <c r="O71" s="204">
        <v>4</v>
      </c>
    </row>
    <row r="72" spans="1:15">
      <c r="A72" s="206" t="s">
        <v>684</v>
      </c>
      <c r="B72" s="202">
        <v>456</v>
      </c>
      <c r="C72" s="207" t="s">
        <v>690</v>
      </c>
      <c r="D72" s="203" t="s">
        <v>691</v>
      </c>
      <c r="E72" s="1020">
        <v>133079.85</v>
      </c>
      <c r="F72" s="302" t="s">
        <v>572</v>
      </c>
      <c r="G72" s="298">
        <f t="shared" si="23"/>
        <v>133079.85</v>
      </c>
      <c r="H72" s="205">
        <v>0</v>
      </c>
      <c r="I72" s="205">
        <f t="shared" si="24"/>
        <v>133079.85</v>
      </c>
      <c r="J72" s="298">
        <f t="shared" si="25"/>
        <v>0</v>
      </c>
      <c r="K72" s="298"/>
      <c r="L72" s="730"/>
      <c r="M72" s="205">
        <f t="shared" si="26"/>
        <v>0</v>
      </c>
      <c r="N72" s="298">
        <f t="shared" si="27"/>
        <v>0</v>
      </c>
      <c r="O72" s="204">
        <v>4</v>
      </c>
    </row>
    <row r="73" spans="1:15">
      <c r="A73" s="206" t="s">
        <v>685</v>
      </c>
      <c r="B73" s="202">
        <v>456</v>
      </c>
      <c r="C73" s="207" t="s">
        <v>693</v>
      </c>
      <c r="D73" s="203" t="s">
        <v>694</v>
      </c>
      <c r="E73" s="1020"/>
      <c r="F73" s="302" t="s">
        <v>572</v>
      </c>
      <c r="G73" s="298">
        <f t="shared" si="23"/>
        <v>0</v>
      </c>
      <c r="H73" s="205">
        <v>0</v>
      </c>
      <c r="I73" s="205">
        <f t="shared" si="24"/>
        <v>0</v>
      </c>
      <c r="J73" s="298">
        <f t="shared" si="25"/>
        <v>0</v>
      </c>
      <c r="K73" s="298"/>
      <c r="L73" s="730"/>
      <c r="M73" s="205">
        <f t="shared" si="26"/>
        <v>0</v>
      </c>
      <c r="N73" s="298">
        <f t="shared" si="27"/>
        <v>0</v>
      </c>
      <c r="O73" s="204">
        <v>3</v>
      </c>
    </row>
    <row r="74" spans="1:15">
      <c r="A74" s="201" t="s">
        <v>692</v>
      </c>
      <c r="B74" s="202">
        <v>456</v>
      </c>
      <c r="C74" s="203" t="s">
        <v>696</v>
      </c>
      <c r="D74" s="203" t="s">
        <v>697</v>
      </c>
      <c r="E74" s="1020">
        <v>160</v>
      </c>
      <c r="F74" s="302" t="s">
        <v>572</v>
      </c>
      <c r="G74" s="298">
        <f t="shared" si="23"/>
        <v>160</v>
      </c>
      <c r="H74" s="205">
        <v>0</v>
      </c>
      <c r="I74" s="205">
        <f t="shared" si="24"/>
        <v>160</v>
      </c>
      <c r="J74" s="298">
        <f t="shared" si="25"/>
        <v>0</v>
      </c>
      <c r="K74" s="298"/>
      <c r="L74" s="730"/>
      <c r="M74" s="205">
        <f t="shared" si="26"/>
        <v>0</v>
      </c>
      <c r="N74" s="298">
        <f t="shared" si="27"/>
        <v>0</v>
      </c>
      <c r="O74" s="204">
        <v>1</v>
      </c>
    </row>
    <row r="75" spans="1:15">
      <c r="A75" s="201" t="s">
        <v>695</v>
      </c>
      <c r="B75" s="202">
        <v>456</v>
      </c>
      <c r="C75" s="203" t="s">
        <v>699</v>
      </c>
      <c r="D75" s="203" t="s">
        <v>700</v>
      </c>
      <c r="E75" s="1020">
        <v>803911.17</v>
      </c>
      <c r="F75" s="302" t="s">
        <v>572</v>
      </c>
      <c r="G75" s="298">
        <f t="shared" si="23"/>
        <v>803911.17</v>
      </c>
      <c r="H75" s="205">
        <v>0</v>
      </c>
      <c r="I75" s="205">
        <f t="shared" si="24"/>
        <v>803911.17</v>
      </c>
      <c r="J75" s="298">
        <f t="shared" si="25"/>
        <v>0</v>
      </c>
      <c r="K75" s="298"/>
      <c r="L75" s="730"/>
      <c r="M75" s="205">
        <f t="shared" si="26"/>
        <v>0</v>
      </c>
      <c r="N75" s="298">
        <f t="shared" si="27"/>
        <v>0</v>
      </c>
      <c r="O75" s="204">
        <v>1</v>
      </c>
    </row>
    <row r="76" spans="1:15">
      <c r="A76" s="201" t="s">
        <v>698</v>
      </c>
      <c r="B76" s="202">
        <v>456</v>
      </c>
      <c r="C76" s="203" t="s">
        <v>702</v>
      </c>
      <c r="D76" s="203" t="s">
        <v>703</v>
      </c>
      <c r="E76" s="1020"/>
      <c r="F76" s="302" t="s">
        <v>572</v>
      </c>
      <c r="G76" s="298">
        <f t="shared" si="23"/>
        <v>0</v>
      </c>
      <c r="H76" s="205">
        <v>0</v>
      </c>
      <c r="I76" s="205">
        <f t="shared" si="24"/>
        <v>0</v>
      </c>
      <c r="J76" s="298">
        <f t="shared" si="25"/>
        <v>0</v>
      </c>
      <c r="K76" s="298"/>
      <c r="L76" s="730"/>
      <c r="M76" s="205">
        <f t="shared" si="26"/>
        <v>0</v>
      </c>
      <c r="N76" s="298">
        <f t="shared" si="27"/>
        <v>0</v>
      </c>
      <c r="O76" s="204">
        <v>3</v>
      </c>
    </row>
    <row r="77" spans="1:15">
      <c r="A77" s="201" t="s">
        <v>701</v>
      </c>
      <c r="B77" s="202">
        <v>456</v>
      </c>
      <c r="C77" s="202">
        <v>4186142</v>
      </c>
      <c r="D77" s="203" t="s">
        <v>1388</v>
      </c>
      <c r="E77" s="1020">
        <v>3427.67</v>
      </c>
      <c r="F77" s="302" t="s">
        <v>572</v>
      </c>
      <c r="G77" s="298">
        <f t="shared" si="23"/>
        <v>3427.67</v>
      </c>
      <c r="H77" s="205">
        <v>0</v>
      </c>
      <c r="I77" s="205">
        <f t="shared" si="24"/>
        <v>3427.67</v>
      </c>
      <c r="J77" s="298">
        <f t="shared" si="25"/>
        <v>0</v>
      </c>
      <c r="K77" s="298"/>
      <c r="L77" s="730"/>
      <c r="M77" s="205">
        <f t="shared" si="26"/>
        <v>0</v>
      </c>
      <c r="N77" s="298">
        <f t="shared" si="27"/>
        <v>0</v>
      </c>
      <c r="O77" s="204">
        <v>4</v>
      </c>
    </row>
    <row r="78" spans="1:15">
      <c r="A78" s="201" t="s">
        <v>704</v>
      </c>
      <c r="B78" s="202">
        <v>456</v>
      </c>
      <c r="C78" s="203" t="s">
        <v>705</v>
      </c>
      <c r="D78" s="203" t="s">
        <v>706</v>
      </c>
      <c r="E78" s="1020"/>
      <c r="F78" s="302" t="s">
        <v>572</v>
      </c>
      <c r="G78" s="298">
        <f t="shared" si="23"/>
        <v>0</v>
      </c>
      <c r="H78" s="205">
        <f>E78*$D$231</f>
        <v>0</v>
      </c>
      <c r="I78" s="205">
        <f t="shared" si="24"/>
        <v>0</v>
      </c>
      <c r="J78" s="298">
        <f t="shared" si="25"/>
        <v>0</v>
      </c>
      <c r="K78" s="298"/>
      <c r="L78" s="730"/>
      <c r="M78" s="205">
        <f t="shared" si="26"/>
        <v>0</v>
      </c>
      <c r="N78" s="298">
        <f t="shared" si="27"/>
        <v>0</v>
      </c>
      <c r="O78" s="204">
        <v>7</v>
      </c>
    </row>
    <row r="79" spans="1:15">
      <c r="A79" s="201" t="s">
        <v>707</v>
      </c>
      <c r="B79" s="202">
        <v>456</v>
      </c>
      <c r="C79" s="203" t="s">
        <v>708</v>
      </c>
      <c r="D79" s="203" t="s">
        <v>709</v>
      </c>
      <c r="E79" s="1020">
        <v>8005.24</v>
      </c>
      <c r="F79" s="302" t="s">
        <v>574</v>
      </c>
      <c r="G79" s="1258">
        <f>I79+H79</f>
        <v>473.83015560000001</v>
      </c>
      <c r="H79" s="920">
        <f>E79*$D$237</f>
        <v>473.83015560000001</v>
      </c>
      <c r="I79" s="920">
        <v>0</v>
      </c>
      <c r="J79" s="298">
        <f t="shared" si="25"/>
        <v>0</v>
      </c>
      <c r="K79" s="298"/>
      <c r="L79" s="730"/>
      <c r="M79" s="205">
        <f t="shared" si="26"/>
        <v>0</v>
      </c>
      <c r="N79" s="298">
        <f>IF(F79=$N$2,E79-H79,0)</f>
        <v>7531.4098444000001</v>
      </c>
      <c r="O79" s="204" t="s">
        <v>651</v>
      </c>
    </row>
    <row r="80" spans="1:15">
      <c r="A80" s="201" t="s">
        <v>710</v>
      </c>
      <c r="B80" s="202">
        <v>456</v>
      </c>
      <c r="C80" s="203" t="s">
        <v>711</v>
      </c>
      <c r="D80" s="203" t="s">
        <v>712</v>
      </c>
      <c r="E80" s="1020">
        <v>1446.84</v>
      </c>
      <c r="F80" s="302" t="s">
        <v>572</v>
      </c>
      <c r="G80" s="298">
        <f t="shared" ref="G80:G119" si="28">IF(F80=$G$2,E80,0)</f>
        <v>1446.84</v>
      </c>
      <c r="H80" s="205">
        <v>0</v>
      </c>
      <c r="I80" s="205">
        <f t="shared" ref="I80:I85" si="29">G80-H80</f>
        <v>1446.84</v>
      </c>
      <c r="J80" s="298">
        <f t="shared" si="25"/>
        <v>0</v>
      </c>
      <c r="K80" s="298"/>
      <c r="L80" s="730"/>
      <c r="M80" s="205">
        <f t="shared" si="26"/>
        <v>0</v>
      </c>
      <c r="N80" s="298">
        <f t="shared" ref="N80:N85" si="30">IF(F80=$N$2,E80,0)</f>
        <v>0</v>
      </c>
      <c r="O80" s="204">
        <v>4</v>
      </c>
    </row>
    <row r="81" spans="1:15">
      <c r="A81" s="201" t="s">
        <v>713</v>
      </c>
      <c r="B81" s="202">
        <v>456</v>
      </c>
      <c r="C81" s="203" t="s">
        <v>714</v>
      </c>
      <c r="D81" s="203" t="s">
        <v>715</v>
      </c>
      <c r="E81" s="1020">
        <v>14521.92</v>
      </c>
      <c r="F81" s="302" t="s">
        <v>572</v>
      </c>
      <c r="G81" s="298">
        <f t="shared" si="28"/>
        <v>14521.92</v>
      </c>
      <c r="H81" s="205">
        <v>0</v>
      </c>
      <c r="I81" s="205">
        <f t="shared" si="29"/>
        <v>14521.92</v>
      </c>
      <c r="J81" s="298">
        <f t="shared" si="25"/>
        <v>0</v>
      </c>
      <c r="K81" s="298"/>
      <c r="L81" s="730"/>
      <c r="M81" s="205">
        <f t="shared" si="26"/>
        <v>0</v>
      </c>
      <c r="N81" s="298">
        <f t="shared" si="30"/>
        <v>0</v>
      </c>
      <c r="O81" s="204">
        <v>4</v>
      </c>
    </row>
    <row r="82" spans="1:15">
      <c r="A82" s="201" t="s">
        <v>716</v>
      </c>
      <c r="B82" s="202">
        <v>456</v>
      </c>
      <c r="C82" s="203" t="s">
        <v>717</v>
      </c>
      <c r="D82" s="203" t="s">
        <v>718</v>
      </c>
      <c r="E82" s="1020">
        <v>4387.92</v>
      </c>
      <c r="F82" s="302" t="s">
        <v>572</v>
      </c>
      <c r="G82" s="298">
        <f t="shared" si="28"/>
        <v>4387.92</v>
      </c>
      <c r="H82" s="205">
        <v>0</v>
      </c>
      <c r="I82" s="205">
        <f t="shared" si="29"/>
        <v>4387.92</v>
      </c>
      <c r="J82" s="298">
        <f t="shared" si="25"/>
        <v>0</v>
      </c>
      <c r="K82" s="298"/>
      <c r="L82" s="730"/>
      <c r="M82" s="205">
        <f t="shared" si="26"/>
        <v>0</v>
      </c>
      <c r="N82" s="298">
        <f t="shared" si="30"/>
        <v>0</v>
      </c>
      <c r="O82" s="204">
        <v>4</v>
      </c>
    </row>
    <row r="83" spans="1:15">
      <c r="A83" s="201" t="s">
        <v>719</v>
      </c>
      <c r="B83" s="202">
        <v>456</v>
      </c>
      <c r="C83" s="203" t="s">
        <v>720</v>
      </c>
      <c r="D83" s="203" t="s">
        <v>721</v>
      </c>
      <c r="E83" s="1020">
        <v>993</v>
      </c>
      <c r="F83" s="302" t="s">
        <v>572</v>
      </c>
      <c r="G83" s="298">
        <f t="shared" si="28"/>
        <v>993</v>
      </c>
      <c r="H83" s="205">
        <v>0</v>
      </c>
      <c r="I83" s="205">
        <f t="shared" si="29"/>
        <v>993</v>
      </c>
      <c r="J83" s="298">
        <f t="shared" si="25"/>
        <v>0</v>
      </c>
      <c r="K83" s="298"/>
      <c r="L83" s="730"/>
      <c r="M83" s="205">
        <f t="shared" si="26"/>
        <v>0</v>
      </c>
      <c r="N83" s="298">
        <f t="shared" si="30"/>
        <v>0</v>
      </c>
      <c r="O83" s="204">
        <v>4</v>
      </c>
    </row>
    <row r="84" spans="1:15">
      <c r="A84" s="201" t="s">
        <v>722</v>
      </c>
      <c r="B84" s="202">
        <v>456</v>
      </c>
      <c r="C84" s="203" t="s">
        <v>723</v>
      </c>
      <c r="D84" s="203" t="s">
        <v>724</v>
      </c>
      <c r="E84" s="1020">
        <v>844.92</v>
      </c>
      <c r="F84" s="302" t="s">
        <v>572</v>
      </c>
      <c r="G84" s="298">
        <f t="shared" si="28"/>
        <v>844.92</v>
      </c>
      <c r="H84" s="205">
        <v>0</v>
      </c>
      <c r="I84" s="205">
        <f t="shared" si="29"/>
        <v>844.92</v>
      </c>
      <c r="J84" s="298">
        <f t="shared" si="25"/>
        <v>0</v>
      </c>
      <c r="K84" s="298"/>
      <c r="L84" s="730"/>
      <c r="M84" s="205">
        <f t="shared" si="26"/>
        <v>0</v>
      </c>
      <c r="N84" s="298">
        <f t="shared" si="30"/>
        <v>0</v>
      </c>
      <c r="O84" s="204">
        <v>4</v>
      </c>
    </row>
    <row r="85" spans="1:15">
      <c r="A85" s="201" t="s">
        <v>725</v>
      </c>
      <c r="B85" s="202">
        <v>456</v>
      </c>
      <c r="C85" s="203" t="s">
        <v>726</v>
      </c>
      <c r="D85" s="203" t="s">
        <v>727</v>
      </c>
      <c r="E85" s="1020">
        <v>173880</v>
      </c>
      <c r="F85" s="302" t="s">
        <v>572</v>
      </c>
      <c r="G85" s="298">
        <f t="shared" si="28"/>
        <v>173880</v>
      </c>
      <c r="H85" s="205">
        <v>0</v>
      </c>
      <c r="I85" s="205">
        <f t="shared" si="29"/>
        <v>173880</v>
      </c>
      <c r="J85" s="298">
        <f t="shared" si="25"/>
        <v>0</v>
      </c>
      <c r="K85" s="298"/>
      <c r="L85" s="730"/>
      <c r="M85" s="205">
        <f t="shared" si="26"/>
        <v>0</v>
      </c>
      <c r="N85" s="298">
        <f t="shared" si="30"/>
        <v>0</v>
      </c>
      <c r="O85" s="204">
        <v>4</v>
      </c>
    </row>
    <row r="86" spans="1:15">
      <c r="A86" s="201" t="s">
        <v>728</v>
      </c>
      <c r="B86" s="202">
        <v>456</v>
      </c>
      <c r="C86" s="203" t="s">
        <v>729</v>
      </c>
      <c r="D86" s="203" t="s">
        <v>730</v>
      </c>
      <c r="E86" s="1020">
        <v>1965773.85</v>
      </c>
      <c r="F86" s="302" t="s">
        <v>573</v>
      </c>
      <c r="G86" s="298">
        <f t="shared" si="28"/>
        <v>0</v>
      </c>
      <c r="H86" s="205">
        <v>0</v>
      </c>
      <c r="I86" s="205">
        <f t="shared" ref="I86:I96" si="31">G86-H86</f>
        <v>0</v>
      </c>
      <c r="J86" s="298">
        <f t="shared" ref="J86:J96" si="32">IF(F86=$J$2,E86,0)</f>
        <v>1965773.85</v>
      </c>
      <c r="K86" s="337" t="s">
        <v>614</v>
      </c>
      <c r="L86" s="1021">
        <v>315815.45309682202</v>
      </c>
      <c r="M86" s="205">
        <f t="shared" ref="M86:M96" si="33">J86-L86</f>
        <v>1649958.3969031782</v>
      </c>
      <c r="N86" s="298">
        <f t="shared" ref="N86:N96" si="34">IF(F86=$N$2,E86,0)</f>
        <v>0</v>
      </c>
      <c r="O86" s="204">
        <v>2</v>
      </c>
    </row>
    <row r="87" spans="1:15">
      <c r="A87" s="201" t="s">
        <v>731</v>
      </c>
      <c r="B87" s="202">
        <v>456</v>
      </c>
      <c r="C87" s="203" t="s">
        <v>732</v>
      </c>
      <c r="D87" s="203" t="s">
        <v>733</v>
      </c>
      <c r="E87" s="1020">
        <v>161224.70000000001</v>
      </c>
      <c r="F87" s="302" t="s">
        <v>573</v>
      </c>
      <c r="G87" s="298">
        <f t="shared" si="28"/>
        <v>0</v>
      </c>
      <c r="H87" s="205">
        <v>0</v>
      </c>
      <c r="I87" s="205">
        <f t="shared" si="31"/>
        <v>0</v>
      </c>
      <c r="J87" s="298">
        <f t="shared" si="32"/>
        <v>161224.70000000001</v>
      </c>
      <c r="K87" s="337" t="s">
        <v>614</v>
      </c>
      <c r="L87" s="1021">
        <v>37882.929004293001</v>
      </c>
      <c r="M87" s="205">
        <f t="shared" si="33"/>
        <v>123341.77099570702</v>
      </c>
      <c r="N87" s="298">
        <f t="shared" si="34"/>
        <v>0</v>
      </c>
      <c r="O87" s="204">
        <v>2</v>
      </c>
    </row>
    <row r="88" spans="1:15">
      <c r="A88" s="201" t="s">
        <v>734</v>
      </c>
      <c r="B88" s="202">
        <v>456</v>
      </c>
      <c r="C88" s="203" t="s">
        <v>735</v>
      </c>
      <c r="D88" s="203" t="s">
        <v>736</v>
      </c>
      <c r="E88" s="1020">
        <v>40875</v>
      </c>
      <c r="F88" s="302" t="s">
        <v>573</v>
      </c>
      <c r="G88" s="298">
        <f t="shared" si="28"/>
        <v>0</v>
      </c>
      <c r="H88" s="205">
        <v>0</v>
      </c>
      <c r="I88" s="205">
        <f t="shared" si="31"/>
        <v>0</v>
      </c>
      <c r="J88" s="298">
        <f t="shared" si="32"/>
        <v>40875</v>
      </c>
      <c r="K88" s="337" t="s">
        <v>614</v>
      </c>
      <c r="L88" s="730">
        <v>84.116480806000098</v>
      </c>
      <c r="M88" s="205">
        <f t="shared" si="33"/>
        <v>40790.883519194002</v>
      </c>
      <c r="N88" s="298">
        <f t="shared" si="34"/>
        <v>0</v>
      </c>
      <c r="O88" s="204">
        <v>2</v>
      </c>
    </row>
    <row r="89" spans="1:15">
      <c r="A89" s="923" t="s">
        <v>737</v>
      </c>
      <c r="B89" s="202">
        <v>456</v>
      </c>
      <c r="C89" s="203" t="s">
        <v>739</v>
      </c>
      <c r="D89" s="203" t="s">
        <v>740</v>
      </c>
      <c r="E89" s="1020"/>
      <c r="F89" s="302" t="s">
        <v>573</v>
      </c>
      <c r="G89" s="298">
        <f t="shared" si="28"/>
        <v>0</v>
      </c>
      <c r="H89" s="205">
        <v>0</v>
      </c>
      <c r="I89" s="205">
        <f t="shared" si="31"/>
        <v>0</v>
      </c>
      <c r="J89" s="298">
        <f t="shared" si="32"/>
        <v>0</v>
      </c>
      <c r="K89" s="337" t="s">
        <v>614</v>
      </c>
      <c r="L89" s="730"/>
      <c r="M89" s="205">
        <f t="shared" si="33"/>
        <v>0</v>
      </c>
      <c r="N89" s="298">
        <f t="shared" si="34"/>
        <v>0</v>
      </c>
      <c r="O89" s="204">
        <v>2</v>
      </c>
    </row>
    <row r="90" spans="1:15">
      <c r="A90" s="923" t="s">
        <v>738</v>
      </c>
      <c r="B90" s="202">
        <v>456</v>
      </c>
      <c r="C90" s="203" t="s">
        <v>742</v>
      </c>
      <c r="D90" s="203" t="s">
        <v>743</v>
      </c>
      <c r="E90" s="1020">
        <v>1700</v>
      </c>
      <c r="F90" s="302" t="s">
        <v>573</v>
      </c>
      <c r="G90" s="298">
        <f t="shared" si="28"/>
        <v>0</v>
      </c>
      <c r="H90" s="205">
        <v>0</v>
      </c>
      <c r="I90" s="205">
        <f t="shared" si="31"/>
        <v>0</v>
      </c>
      <c r="J90" s="298">
        <f t="shared" si="32"/>
        <v>1700</v>
      </c>
      <c r="K90" s="337" t="s">
        <v>614</v>
      </c>
      <c r="L90" s="730">
        <v>0</v>
      </c>
      <c r="M90" s="205">
        <f t="shared" si="33"/>
        <v>1700</v>
      </c>
      <c r="N90" s="298">
        <f t="shared" si="34"/>
        <v>0</v>
      </c>
      <c r="O90" s="204">
        <v>2</v>
      </c>
    </row>
    <row r="91" spans="1:15">
      <c r="A91" s="923" t="s">
        <v>741</v>
      </c>
      <c r="B91" s="202">
        <v>456</v>
      </c>
      <c r="C91" s="203" t="s">
        <v>745</v>
      </c>
      <c r="D91" s="203" t="s">
        <v>746</v>
      </c>
      <c r="E91" s="1020">
        <v>3775</v>
      </c>
      <c r="F91" s="302" t="s">
        <v>573</v>
      </c>
      <c r="G91" s="298">
        <f t="shared" si="28"/>
        <v>0</v>
      </c>
      <c r="H91" s="205">
        <v>0</v>
      </c>
      <c r="I91" s="205">
        <f t="shared" si="31"/>
        <v>0</v>
      </c>
      <c r="J91" s="298">
        <f t="shared" si="32"/>
        <v>3775</v>
      </c>
      <c r="K91" s="337" t="s">
        <v>614</v>
      </c>
      <c r="L91" s="730">
        <v>2775</v>
      </c>
      <c r="M91" s="205">
        <f t="shared" si="33"/>
        <v>1000</v>
      </c>
      <c r="N91" s="298">
        <f t="shared" si="34"/>
        <v>0</v>
      </c>
      <c r="O91" s="204">
        <v>2</v>
      </c>
    </row>
    <row r="92" spans="1:15">
      <c r="A92" s="923" t="s">
        <v>744</v>
      </c>
      <c r="B92" s="202">
        <v>456</v>
      </c>
      <c r="C92" s="203" t="s">
        <v>747</v>
      </c>
      <c r="D92" s="203" t="s">
        <v>748</v>
      </c>
      <c r="E92" s="1020"/>
      <c r="F92" s="302" t="s">
        <v>573</v>
      </c>
      <c r="G92" s="298">
        <f t="shared" si="28"/>
        <v>0</v>
      </c>
      <c r="H92" s="205">
        <v>0</v>
      </c>
      <c r="I92" s="205">
        <f t="shared" si="31"/>
        <v>0</v>
      </c>
      <c r="J92" s="298">
        <f t="shared" si="32"/>
        <v>0</v>
      </c>
      <c r="K92" s="337" t="s">
        <v>558</v>
      </c>
      <c r="L92" s="730"/>
      <c r="M92" s="205">
        <f t="shared" si="33"/>
        <v>0</v>
      </c>
      <c r="N92" s="298">
        <f t="shared" si="34"/>
        <v>0</v>
      </c>
      <c r="O92" s="204">
        <v>2</v>
      </c>
    </row>
    <row r="93" spans="1:15">
      <c r="A93" s="1210" t="s">
        <v>811</v>
      </c>
      <c r="B93" s="202">
        <v>456</v>
      </c>
      <c r="C93" s="203" t="s">
        <v>750</v>
      </c>
      <c r="D93" s="203" t="s">
        <v>751</v>
      </c>
      <c r="E93" s="1020"/>
      <c r="F93" s="302" t="s">
        <v>573</v>
      </c>
      <c r="G93" s="298">
        <f t="shared" si="28"/>
        <v>0</v>
      </c>
      <c r="H93" s="205">
        <v>0</v>
      </c>
      <c r="I93" s="205">
        <f t="shared" si="31"/>
        <v>0</v>
      </c>
      <c r="J93" s="298">
        <f t="shared" si="32"/>
        <v>0</v>
      </c>
      <c r="K93" s="337" t="s">
        <v>558</v>
      </c>
      <c r="L93" s="730"/>
      <c r="M93" s="205">
        <f t="shared" si="33"/>
        <v>0</v>
      </c>
      <c r="N93" s="298">
        <f t="shared" si="34"/>
        <v>0</v>
      </c>
      <c r="O93" s="204">
        <v>2</v>
      </c>
    </row>
    <row r="94" spans="1:15">
      <c r="A94" s="1209" t="s">
        <v>814</v>
      </c>
      <c r="B94" s="202">
        <v>456</v>
      </c>
      <c r="C94" s="203" t="s">
        <v>753</v>
      </c>
      <c r="D94" s="203" t="s">
        <v>754</v>
      </c>
      <c r="E94" s="1020"/>
      <c r="F94" s="302" t="s">
        <v>573</v>
      </c>
      <c r="G94" s="298">
        <f t="shared" si="28"/>
        <v>0</v>
      </c>
      <c r="H94" s="205">
        <v>0</v>
      </c>
      <c r="I94" s="205">
        <f t="shared" si="31"/>
        <v>0</v>
      </c>
      <c r="J94" s="298">
        <f t="shared" si="32"/>
        <v>0</v>
      </c>
      <c r="K94" s="337" t="s">
        <v>558</v>
      </c>
      <c r="L94" s="730"/>
      <c r="M94" s="205">
        <f t="shared" si="33"/>
        <v>0</v>
      </c>
      <c r="N94" s="298">
        <f t="shared" si="34"/>
        <v>0</v>
      </c>
      <c r="O94" s="204">
        <v>2</v>
      </c>
    </row>
    <row r="95" spans="1:15">
      <c r="A95" s="1210" t="s">
        <v>817</v>
      </c>
      <c r="B95" s="202">
        <v>456</v>
      </c>
      <c r="C95" s="203" t="s">
        <v>756</v>
      </c>
      <c r="D95" s="203" t="s">
        <v>757</v>
      </c>
      <c r="E95" s="1020"/>
      <c r="F95" s="302" t="s">
        <v>573</v>
      </c>
      <c r="G95" s="298">
        <f t="shared" si="28"/>
        <v>0</v>
      </c>
      <c r="H95" s="205">
        <v>0</v>
      </c>
      <c r="I95" s="205">
        <f t="shared" si="31"/>
        <v>0</v>
      </c>
      <c r="J95" s="298">
        <f t="shared" si="32"/>
        <v>0</v>
      </c>
      <c r="K95" s="337" t="s">
        <v>558</v>
      </c>
      <c r="L95" s="730"/>
      <c r="M95" s="205">
        <f t="shared" si="33"/>
        <v>0</v>
      </c>
      <c r="N95" s="298">
        <f t="shared" si="34"/>
        <v>0</v>
      </c>
      <c r="O95" s="204">
        <v>2</v>
      </c>
    </row>
    <row r="96" spans="1:15">
      <c r="A96" s="201" t="s">
        <v>749</v>
      </c>
      <c r="B96" s="202">
        <v>456</v>
      </c>
      <c r="C96" s="203" t="s">
        <v>759</v>
      </c>
      <c r="D96" s="203" t="s">
        <v>760</v>
      </c>
      <c r="E96" s="1020">
        <v>56262.27</v>
      </c>
      <c r="F96" s="302" t="s">
        <v>573</v>
      </c>
      <c r="G96" s="298">
        <f t="shared" si="28"/>
        <v>0</v>
      </c>
      <c r="H96" s="205">
        <v>0</v>
      </c>
      <c r="I96" s="205">
        <f t="shared" si="31"/>
        <v>0</v>
      </c>
      <c r="J96" s="298">
        <f t="shared" si="32"/>
        <v>56262.27</v>
      </c>
      <c r="K96" s="337" t="s">
        <v>558</v>
      </c>
      <c r="L96" s="1021">
        <v>20209.25</v>
      </c>
      <c r="M96" s="205">
        <f t="shared" si="33"/>
        <v>36053.019999999997</v>
      </c>
      <c r="N96" s="298">
        <f t="shared" si="34"/>
        <v>0</v>
      </c>
      <c r="O96" s="204">
        <v>2</v>
      </c>
    </row>
    <row r="97" spans="1:15">
      <c r="A97" s="201" t="s">
        <v>752</v>
      </c>
      <c r="B97" s="202">
        <v>456</v>
      </c>
      <c r="C97" s="203" t="s">
        <v>762</v>
      </c>
      <c r="D97" s="203" t="s">
        <v>763</v>
      </c>
      <c r="E97" s="1020"/>
      <c r="F97" s="302" t="s">
        <v>574</v>
      </c>
      <c r="G97" s="298">
        <f t="shared" si="28"/>
        <v>0</v>
      </c>
      <c r="H97" s="205">
        <v>0</v>
      </c>
      <c r="I97" s="205">
        <f t="shared" ref="I97:I119" si="35">G97-H97</f>
        <v>0</v>
      </c>
      <c r="J97" s="298">
        <f t="shared" ref="J97:J119" si="36">IF(F97=$J$2,E97,0)</f>
        <v>0</v>
      </c>
      <c r="K97" s="298"/>
      <c r="L97" s="730"/>
      <c r="M97" s="205">
        <f t="shared" ref="M97:M119" si="37">J97-L97</f>
        <v>0</v>
      </c>
      <c r="N97" s="298">
        <f t="shared" ref="N97:N104" si="38">IF(F97=$N$2,E97,0)</f>
        <v>0</v>
      </c>
      <c r="O97" s="204">
        <v>6</v>
      </c>
    </row>
    <row r="98" spans="1:15">
      <c r="A98" s="201" t="s">
        <v>755</v>
      </c>
      <c r="B98" s="202">
        <v>456</v>
      </c>
      <c r="C98" s="203" t="s">
        <v>765</v>
      </c>
      <c r="D98" s="203" t="s">
        <v>766</v>
      </c>
      <c r="E98" s="1020">
        <v>25076869.25</v>
      </c>
      <c r="F98" s="302" t="s">
        <v>572</v>
      </c>
      <c r="G98" s="298">
        <f t="shared" si="28"/>
        <v>25076869.25</v>
      </c>
      <c r="H98" s="205">
        <v>0</v>
      </c>
      <c r="I98" s="205">
        <f t="shared" si="35"/>
        <v>25076869.25</v>
      </c>
      <c r="J98" s="298">
        <f t="shared" si="36"/>
        <v>0</v>
      </c>
      <c r="K98" s="298"/>
      <c r="L98" s="730"/>
      <c r="M98" s="205">
        <f t="shared" si="37"/>
        <v>0</v>
      </c>
      <c r="N98" s="298">
        <f t="shared" si="38"/>
        <v>0</v>
      </c>
      <c r="O98" s="204">
        <v>4</v>
      </c>
    </row>
    <row r="99" spans="1:15">
      <c r="A99" s="201" t="s">
        <v>758</v>
      </c>
      <c r="B99" s="202">
        <v>456</v>
      </c>
      <c r="C99" s="203" t="s">
        <v>768</v>
      </c>
      <c r="D99" s="922" t="s">
        <v>1724</v>
      </c>
      <c r="E99" s="1020">
        <v>-450696490.37</v>
      </c>
      <c r="F99" s="302" t="s">
        <v>574</v>
      </c>
      <c r="G99" s="298">
        <f t="shared" si="28"/>
        <v>0</v>
      </c>
      <c r="H99" s="205">
        <v>0</v>
      </c>
      <c r="I99" s="205">
        <f t="shared" si="35"/>
        <v>0</v>
      </c>
      <c r="J99" s="298">
        <f t="shared" si="36"/>
        <v>0</v>
      </c>
      <c r="K99" s="298"/>
      <c r="L99" s="730"/>
      <c r="M99" s="205">
        <f t="shared" si="37"/>
        <v>0</v>
      </c>
      <c r="N99" s="298">
        <f t="shared" si="38"/>
        <v>-450696490.37</v>
      </c>
      <c r="O99" s="204">
        <v>6</v>
      </c>
    </row>
    <row r="100" spans="1:15">
      <c r="A100" s="201" t="s">
        <v>761</v>
      </c>
      <c r="B100" s="202">
        <v>456</v>
      </c>
      <c r="C100" s="203" t="s">
        <v>770</v>
      </c>
      <c r="D100" s="922" t="s">
        <v>1725</v>
      </c>
      <c r="E100" s="1020">
        <v>-11397579.4</v>
      </c>
      <c r="F100" s="302" t="s">
        <v>574</v>
      </c>
      <c r="G100" s="298">
        <f t="shared" si="28"/>
        <v>0</v>
      </c>
      <c r="H100" s="205">
        <v>0</v>
      </c>
      <c r="I100" s="205">
        <f t="shared" si="35"/>
        <v>0</v>
      </c>
      <c r="J100" s="298">
        <f t="shared" si="36"/>
        <v>0</v>
      </c>
      <c r="K100" s="298"/>
      <c r="L100" s="730"/>
      <c r="M100" s="205">
        <f t="shared" si="37"/>
        <v>0</v>
      </c>
      <c r="N100" s="298">
        <f t="shared" si="38"/>
        <v>-11397579.4</v>
      </c>
      <c r="O100" s="204">
        <v>6</v>
      </c>
    </row>
    <row r="101" spans="1:15">
      <c r="A101" s="201" t="s">
        <v>764</v>
      </c>
      <c r="B101" s="202">
        <v>456</v>
      </c>
      <c r="C101" s="203" t="s">
        <v>772</v>
      </c>
      <c r="D101" s="203" t="s">
        <v>773</v>
      </c>
      <c r="E101" s="1020">
        <v>450696233.61000001</v>
      </c>
      <c r="F101" s="302" t="s">
        <v>574</v>
      </c>
      <c r="G101" s="298">
        <f t="shared" si="28"/>
        <v>0</v>
      </c>
      <c r="H101" s="205">
        <v>0</v>
      </c>
      <c r="I101" s="205">
        <f t="shared" si="35"/>
        <v>0</v>
      </c>
      <c r="J101" s="298">
        <f t="shared" si="36"/>
        <v>0</v>
      </c>
      <c r="K101" s="298"/>
      <c r="L101" s="730"/>
      <c r="M101" s="205">
        <f t="shared" si="37"/>
        <v>0</v>
      </c>
      <c r="N101" s="298">
        <f t="shared" si="38"/>
        <v>450696233.61000001</v>
      </c>
      <c r="O101" s="204">
        <v>6</v>
      </c>
    </row>
    <row r="102" spans="1:15">
      <c r="A102" s="201" t="s">
        <v>767</v>
      </c>
      <c r="B102" s="202">
        <v>456</v>
      </c>
      <c r="C102" s="203" t="s">
        <v>775</v>
      </c>
      <c r="D102" s="203" t="s">
        <v>776</v>
      </c>
      <c r="E102" s="1020">
        <v>11397579.4</v>
      </c>
      <c r="F102" s="302" t="s">
        <v>574</v>
      </c>
      <c r="G102" s="298">
        <f t="shared" si="28"/>
        <v>0</v>
      </c>
      <c r="H102" s="205">
        <v>0</v>
      </c>
      <c r="I102" s="205">
        <f t="shared" si="35"/>
        <v>0</v>
      </c>
      <c r="J102" s="298">
        <f t="shared" si="36"/>
        <v>0</v>
      </c>
      <c r="K102" s="298"/>
      <c r="L102" s="730"/>
      <c r="M102" s="205">
        <f t="shared" si="37"/>
        <v>0</v>
      </c>
      <c r="N102" s="298">
        <f t="shared" si="38"/>
        <v>11397579.4</v>
      </c>
      <c r="O102" s="204">
        <v>6</v>
      </c>
    </row>
    <row r="103" spans="1:15">
      <c r="A103" s="201" t="s">
        <v>769</v>
      </c>
      <c r="B103" s="202">
        <v>456</v>
      </c>
      <c r="C103" s="203" t="s">
        <v>778</v>
      </c>
      <c r="D103" s="922" t="s">
        <v>1726</v>
      </c>
      <c r="E103" s="1020">
        <v>38748031.759999998</v>
      </c>
      <c r="F103" s="302" t="s">
        <v>574</v>
      </c>
      <c r="G103" s="298">
        <f t="shared" si="28"/>
        <v>0</v>
      </c>
      <c r="H103" s="205">
        <v>0</v>
      </c>
      <c r="I103" s="205">
        <f t="shared" si="35"/>
        <v>0</v>
      </c>
      <c r="J103" s="298">
        <f t="shared" si="36"/>
        <v>0</v>
      </c>
      <c r="K103" s="298"/>
      <c r="L103" s="730"/>
      <c r="M103" s="205">
        <f t="shared" si="37"/>
        <v>0</v>
      </c>
      <c r="N103" s="298">
        <f t="shared" si="38"/>
        <v>38748031.759999998</v>
      </c>
      <c r="O103" s="204">
        <v>6</v>
      </c>
    </row>
    <row r="104" spans="1:15">
      <c r="A104" s="201" t="s">
        <v>771</v>
      </c>
      <c r="B104" s="202">
        <v>456</v>
      </c>
      <c r="C104" s="203" t="s">
        <v>780</v>
      </c>
      <c r="D104" s="203" t="s">
        <v>781</v>
      </c>
      <c r="E104" s="1020">
        <v>-38748031.759999998</v>
      </c>
      <c r="F104" s="302" t="s">
        <v>574</v>
      </c>
      <c r="G104" s="298">
        <f t="shared" si="28"/>
        <v>0</v>
      </c>
      <c r="H104" s="205">
        <v>0</v>
      </c>
      <c r="I104" s="205">
        <f t="shared" si="35"/>
        <v>0</v>
      </c>
      <c r="J104" s="298">
        <f t="shared" si="36"/>
        <v>0</v>
      </c>
      <c r="K104" s="298"/>
      <c r="L104" s="730"/>
      <c r="M104" s="205">
        <f t="shared" si="37"/>
        <v>0</v>
      </c>
      <c r="N104" s="298">
        <f t="shared" si="38"/>
        <v>-38748031.759999998</v>
      </c>
      <c r="O104" s="204">
        <v>6</v>
      </c>
    </row>
    <row r="105" spans="1:15">
      <c r="A105" s="201" t="s">
        <v>774</v>
      </c>
      <c r="B105" s="202">
        <v>456</v>
      </c>
      <c r="C105" s="203" t="s">
        <v>783</v>
      </c>
      <c r="D105" s="203" t="s">
        <v>784</v>
      </c>
      <c r="E105" s="1020"/>
      <c r="F105" s="302" t="s">
        <v>573</v>
      </c>
      <c r="G105" s="298">
        <f t="shared" si="28"/>
        <v>0</v>
      </c>
      <c r="H105" s="205">
        <v>0</v>
      </c>
      <c r="I105" s="205">
        <f t="shared" si="35"/>
        <v>0</v>
      </c>
      <c r="J105" s="298">
        <f t="shared" si="36"/>
        <v>0</v>
      </c>
      <c r="K105" s="337" t="s">
        <v>558</v>
      </c>
      <c r="L105" s="730"/>
      <c r="M105" s="205">
        <f t="shared" si="37"/>
        <v>0</v>
      </c>
      <c r="N105" s="298">
        <f t="shared" ref="N105:N106" si="39">IF(F105=$N$2,E105,0)</f>
        <v>0</v>
      </c>
      <c r="O105" s="204">
        <v>2</v>
      </c>
    </row>
    <row r="106" spans="1:15">
      <c r="A106" s="201" t="s">
        <v>777</v>
      </c>
      <c r="B106" s="202">
        <v>456</v>
      </c>
      <c r="C106" s="203" t="s">
        <v>786</v>
      </c>
      <c r="D106" s="203" t="s">
        <v>787</v>
      </c>
      <c r="E106" s="1021"/>
      <c r="F106" s="302" t="s">
        <v>573</v>
      </c>
      <c r="G106" s="298">
        <f t="shared" si="28"/>
        <v>0</v>
      </c>
      <c r="H106" s="205">
        <v>0</v>
      </c>
      <c r="I106" s="205">
        <f t="shared" si="35"/>
        <v>0</v>
      </c>
      <c r="J106" s="298">
        <f t="shared" si="36"/>
        <v>0</v>
      </c>
      <c r="K106" s="337" t="s">
        <v>558</v>
      </c>
      <c r="L106" s="1021"/>
      <c r="M106" s="205">
        <f t="shared" si="37"/>
        <v>0</v>
      </c>
      <c r="N106" s="298">
        <f t="shared" si="39"/>
        <v>0</v>
      </c>
      <c r="O106" s="204">
        <v>2</v>
      </c>
    </row>
    <row r="107" spans="1:15">
      <c r="A107" s="201" t="s">
        <v>779</v>
      </c>
      <c r="B107" s="202">
        <v>456</v>
      </c>
      <c r="C107" s="203" t="s">
        <v>790</v>
      </c>
      <c r="D107" s="203" t="s">
        <v>791</v>
      </c>
      <c r="E107" s="1020">
        <v>137951.74</v>
      </c>
      <c r="F107" s="302" t="s">
        <v>572</v>
      </c>
      <c r="G107" s="298">
        <f t="shared" si="28"/>
        <v>137951.74</v>
      </c>
      <c r="H107" s="205">
        <v>0</v>
      </c>
      <c r="I107" s="205">
        <f t="shared" si="35"/>
        <v>137951.74</v>
      </c>
      <c r="J107" s="298">
        <f t="shared" si="36"/>
        <v>0</v>
      </c>
      <c r="K107" s="298"/>
      <c r="L107" s="730"/>
      <c r="M107" s="205">
        <f t="shared" si="37"/>
        <v>0</v>
      </c>
      <c r="N107" s="298">
        <f t="shared" ref="N107:N122" si="40">IF(F107=$N$2,E107,0)</f>
        <v>0</v>
      </c>
      <c r="O107" s="204">
        <v>1</v>
      </c>
    </row>
    <row r="108" spans="1:15">
      <c r="A108" s="201" t="s">
        <v>782</v>
      </c>
      <c r="B108" s="202">
        <v>456</v>
      </c>
      <c r="C108" s="203" t="s">
        <v>794</v>
      </c>
      <c r="D108" s="203" t="s">
        <v>795</v>
      </c>
      <c r="E108" s="1020">
        <v>4720962.3099999996</v>
      </c>
      <c r="F108" s="302" t="s">
        <v>572</v>
      </c>
      <c r="G108" s="298">
        <f t="shared" si="28"/>
        <v>4720962.3099999996</v>
      </c>
      <c r="H108" s="205">
        <v>0</v>
      </c>
      <c r="I108" s="205">
        <f t="shared" si="35"/>
        <v>4720962.3099999996</v>
      </c>
      <c r="J108" s="298">
        <f t="shared" si="36"/>
        <v>0</v>
      </c>
      <c r="K108" s="298"/>
      <c r="L108" s="730"/>
      <c r="M108" s="205">
        <f t="shared" si="37"/>
        <v>0</v>
      </c>
      <c r="N108" s="298">
        <f t="shared" si="40"/>
        <v>0</v>
      </c>
      <c r="O108" s="204">
        <v>4</v>
      </c>
    </row>
    <row r="109" spans="1:15">
      <c r="A109" s="201" t="s">
        <v>785</v>
      </c>
      <c r="B109" s="202">
        <v>456</v>
      </c>
      <c r="C109" s="203" t="s">
        <v>797</v>
      </c>
      <c r="D109" s="203" t="s">
        <v>798</v>
      </c>
      <c r="E109" s="1020">
        <v>139470</v>
      </c>
      <c r="F109" s="302" t="s">
        <v>572</v>
      </c>
      <c r="G109" s="298">
        <f t="shared" si="28"/>
        <v>139470</v>
      </c>
      <c r="H109" s="205">
        <v>0</v>
      </c>
      <c r="I109" s="205">
        <f t="shared" si="35"/>
        <v>139470</v>
      </c>
      <c r="J109" s="298">
        <f t="shared" si="36"/>
        <v>0</v>
      </c>
      <c r="K109" s="298"/>
      <c r="L109" s="730"/>
      <c r="M109" s="205">
        <f t="shared" si="37"/>
        <v>0</v>
      </c>
      <c r="N109" s="298">
        <f t="shared" si="40"/>
        <v>0</v>
      </c>
      <c r="O109" s="204">
        <v>4</v>
      </c>
    </row>
    <row r="110" spans="1:15">
      <c r="A110" s="923" t="s">
        <v>788</v>
      </c>
      <c r="B110" s="202">
        <v>456</v>
      </c>
      <c r="C110" s="203" t="s">
        <v>800</v>
      </c>
      <c r="D110" s="203" t="s">
        <v>801</v>
      </c>
      <c r="E110" s="1020"/>
      <c r="F110" s="302" t="s">
        <v>572</v>
      </c>
      <c r="G110" s="298">
        <f t="shared" si="28"/>
        <v>0</v>
      </c>
      <c r="H110" s="205">
        <v>0</v>
      </c>
      <c r="I110" s="205">
        <f t="shared" si="35"/>
        <v>0</v>
      </c>
      <c r="J110" s="298">
        <f t="shared" si="36"/>
        <v>0</v>
      </c>
      <c r="K110" s="298"/>
      <c r="L110" s="730"/>
      <c r="M110" s="205">
        <f t="shared" si="37"/>
        <v>0</v>
      </c>
      <c r="N110" s="298">
        <f t="shared" si="40"/>
        <v>0</v>
      </c>
      <c r="O110" s="204">
        <v>4</v>
      </c>
    </row>
    <row r="111" spans="1:15">
      <c r="A111" s="923" t="s">
        <v>789</v>
      </c>
      <c r="B111" s="202">
        <v>456</v>
      </c>
      <c r="C111" s="203" t="s">
        <v>803</v>
      </c>
      <c r="D111" s="203" t="s">
        <v>804</v>
      </c>
      <c r="E111" s="1020"/>
      <c r="F111" s="302" t="s">
        <v>572</v>
      </c>
      <c r="G111" s="298">
        <f t="shared" si="28"/>
        <v>0</v>
      </c>
      <c r="H111" s="205">
        <v>0</v>
      </c>
      <c r="I111" s="205">
        <f t="shared" si="35"/>
        <v>0</v>
      </c>
      <c r="J111" s="298">
        <f t="shared" si="36"/>
        <v>0</v>
      </c>
      <c r="K111" s="298"/>
      <c r="L111" s="730"/>
      <c r="M111" s="205">
        <f t="shared" si="37"/>
        <v>0</v>
      </c>
      <c r="N111" s="298">
        <f t="shared" si="40"/>
        <v>0</v>
      </c>
      <c r="O111" s="204">
        <v>1</v>
      </c>
    </row>
    <row r="112" spans="1:15">
      <c r="A112" s="923" t="s">
        <v>792</v>
      </c>
      <c r="B112" s="202">
        <v>456</v>
      </c>
      <c r="C112" s="203" t="s">
        <v>806</v>
      </c>
      <c r="D112" s="203" t="s">
        <v>807</v>
      </c>
      <c r="E112" s="1020"/>
      <c r="F112" s="302" t="s">
        <v>572</v>
      </c>
      <c r="G112" s="298">
        <f t="shared" si="28"/>
        <v>0</v>
      </c>
      <c r="H112" s="205">
        <v>0</v>
      </c>
      <c r="I112" s="205">
        <f t="shared" si="35"/>
        <v>0</v>
      </c>
      <c r="J112" s="298">
        <f t="shared" si="36"/>
        <v>0</v>
      </c>
      <c r="K112" s="298"/>
      <c r="L112" s="730"/>
      <c r="M112" s="205">
        <f t="shared" si="37"/>
        <v>0</v>
      </c>
      <c r="N112" s="298">
        <f t="shared" si="40"/>
        <v>0</v>
      </c>
      <c r="O112" s="204">
        <v>4</v>
      </c>
    </row>
    <row r="113" spans="1:15">
      <c r="A113" s="923" t="s">
        <v>793</v>
      </c>
      <c r="B113" s="202">
        <v>456</v>
      </c>
      <c r="C113" s="203" t="s">
        <v>809</v>
      </c>
      <c r="D113" s="203" t="s">
        <v>810</v>
      </c>
      <c r="E113" s="1020">
        <v>3322796.92</v>
      </c>
      <c r="F113" s="302" t="s">
        <v>572</v>
      </c>
      <c r="G113" s="298">
        <f t="shared" si="28"/>
        <v>3322796.92</v>
      </c>
      <c r="H113" s="730">
        <v>24627.91</v>
      </c>
      <c r="I113" s="205">
        <f t="shared" si="35"/>
        <v>3298169.01</v>
      </c>
      <c r="J113" s="298">
        <f t="shared" si="36"/>
        <v>0</v>
      </c>
      <c r="K113" s="298"/>
      <c r="L113" s="730"/>
      <c r="M113" s="205">
        <f t="shared" si="37"/>
        <v>0</v>
      </c>
      <c r="N113" s="298">
        <f t="shared" si="40"/>
        <v>0</v>
      </c>
      <c r="O113" s="204">
        <v>8</v>
      </c>
    </row>
    <row r="114" spans="1:15">
      <c r="A114" s="923" t="s">
        <v>796</v>
      </c>
      <c r="B114" s="202">
        <v>456</v>
      </c>
      <c r="C114" s="203" t="s">
        <v>812</v>
      </c>
      <c r="D114" s="203" t="s">
        <v>813</v>
      </c>
      <c r="E114" s="1020">
        <v>15018440.6</v>
      </c>
      <c r="F114" s="302" t="s">
        <v>572</v>
      </c>
      <c r="G114" s="298">
        <f t="shared" si="28"/>
        <v>15018440.6</v>
      </c>
      <c r="H114" s="205">
        <v>0</v>
      </c>
      <c r="I114" s="205">
        <f t="shared" si="35"/>
        <v>15018440.6</v>
      </c>
      <c r="J114" s="298">
        <f t="shared" si="36"/>
        <v>0</v>
      </c>
      <c r="K114" s="298"/>
      <c r="L114" s="730"/>
      <c r="M114" s="205">
        <f t="shared" si="37"/>
        <v>0</v>
      </c>
      <c r="N114" s="298">
        <f t="shared" si="40"/>
        <v>0</v>
      </c>
      <c r="O114" s="204">
        <v>4</v>
      </c>
    </row>
    <row r="115" spans="1:15">
      <c r="A115" s="923" t="s">
        <v>799</v>
      </c>
      <c r="B115" s="202">
        <v>456</v>
      </c>
      <c r="C115" s="203" t="s">
        <v>815</v>
      </c>
      <c r="D115" s="203" t="s">
        <v>816</v>
      </c>
      <c r="E115" s="1020">
        <v>2757</v>
      </c>
      <c r="F115" s="302" t="s">
        <v>572</v>
      </c>
      <c r="G115" s="298">
        <f t="shared" si="28"/>
        <v>2757</v>
      </c>
      <c r="H115" s="205">
        <v>0</v>
      </c>
      <c r="I115" s="205">
        <f t="shared" si="35"/>
        <v>2757</v>
      </c>
      <c r="J115" s="298">
        <f t="shared" si="36"/>
        <v>0</v>
      </c>
      <c r="K115" s="298"/>
      <c r="L115" s="730"/>
      <c r="M115" s="205">
        <f t="shared" si="37"/>
        <v>0</v>
      </c>
      <c r="N115" s="298">
        <f t="shared" si="40"/>
        <v>0</v>
      </c>
      <c r="O115" s="204">
        <v>4</v>
      </c>
    </row>
    <row r="116" spans="1:15">
      <c r="A116" s="923" t="s">
        <v>802</v>
      </c>
      <c r="B116" s="202">
        <v>456</v>
      </c>
      <c r="C116" s="203" t="s">
        <v>818</v>
      </c>
      <c r="D116" s="203" t="s">
        <v>819</v>
      </c>
      <c r="E116" s="1020">
        <v>435631.35999999999</v>
      </c>
      <c r="F116" s="302" t="s">
        <v>572</v>
      </c>
      <c r="G116" s="298">
        <f t="shared" si="28"/>
        <v>435631.35999999999</v>
      </c>
      <c r="H116" s="205">
        <v>0</v>
      </c>
      <c r="I116" s="205">
        <f t="shared" si="35"/>
        <v>435631.35999999999</v>
      </c>
      <c r="J116" s="298">
        <f t="shared" si="36"/>
        <v>0</v>
      </c>
      <c r="K116" s="298"/>
      <c r="L116" s="730"/>
      <c r="M116" s="205">
        <f t="shared" si="37"/>
        <v>0</v>
      </c>
      <c r="N116" s="298">
        <f t="shared" si="40"/>
        <v>0</v>
      </c>
      <c r="O116" s="204">
        <v>6</v>
      </c>
    </row>
    <row r="117" spans="1:15">
      <c r="A117" s="923" t="s">
        <v>805</v>
      </c>
      <c r="B117" s="202">
        <v>456</v>
      </c>
      <c r="C117" s="201" t="s">
        <v>1390</v>
      </c>
      <c r="D117" s="203" t="s">
        <v>1389</v>
      </c>
      <c r="E117" s="1020">
        <f>E130-467086886.66</f>
        <v>513.33999997377396</v>
      </c>
      <c r="F117" s="302" t="s">
        <v>572</v>
      </c>
      <c r="G117" s="298">
        <f t="shared" si="28"/>
        <v>513.33999997377396</v>
      </c>
      <c r="H117" s="205">
        <v>0</v>
      </c>
      <c r="I117" s="205">
        <f t="shared" si="35"/>
        <v>513.33999997377396</v>
      </c>
      <c r="J117" s="298">
        <f t="shared" si="36"/>
        <v>0</v>
      </c>
      <c r="K117" s="298"/>
      <c r="L117" s="730"/>
      <c r="M117" s="205">
        <f t="shared" si="37"/>
        <v>0</v>
      </c>
      <c r="N117" s="298">
        <f t="shared" si="40"/>
        <v>0</v>
      </c>
      <c r="O117" s="204">
        <v>1</v>
      </c>
    </row>
    <row r="118" spans="1:15">
      <c r="A118" s="923" t="s">
        <v>808</v>
      </c>
      <c r="B118" s="202">
        <v>456</v>
      </c>
      <c r="C118" s="202">
        <v>4186911</v>
      </c>
      <c r="D118" s="219" t="s">
        <v>2084</v>
      </c>
      <c r="E118" s="1020">
        <v>4866854.92</v>
      </c>
      <c r="F118" s="302" t="s">
        <v>574</v>
      </c>
      <c r="G118" s="298">
        <f t="shared" si="28"/>
        <v>0</v>
      </c>
      <c r="H118" s="205">
        <v>0</v>
      </c>
      <c r="I118" s="205">
        <f t="shared" si="35"/>
        <v>0</v>
      </c>
      <c r="J118" s="298">
        <f t="shared" si="36"/>
        <v>0</v>
      </c>
      <c r="K118" s="298"/>
      <c r="L118" s="730"/>
      <c r="M118" s="205">
        <f t="shared" si="37"/>
        <v>0</v>
      </c>
      <c r="N118" s="298">
        <f t="shared" si="40"/>
        <v>4866854.92</v>
      </c>
      <c r="O118" s="204">
        <v>6</v>
      </c>
    </row>
    <row r="119" spans="1:15">
      <c r="A119" s="923" t="s">
        <v>811</v>
      </c>
      <c r="B119" s="202">
        <v>456</v>
      </c>
      <c r="C119" s="202">
        <v>4186925</v>
      </c>
      <c r="D119" s="219" t="s">
        <v>2085</v>
      </c>
      <c r="E119" s="1020">
        <v>384894151.81</v>
      </c>
      <c r="F119" s="302" t="s">
        <v>574</v>
      </c>
      <c r="G119" s="298">
        <f t="shared" si="28"/>
        <v>0</v>
      </c>
      <c r="H119" s="205">
        <v>0</v>
      </c>
      <c r="I119" s="205">
        <f t="shared" si="35"/>
        <v>0</v>
      </c>
      <c r="J119" s="298">
        <f t="shared" si="36"/>
        <v>0</v>
      </c>
      <c r="K119" s="298"/>
      <c r="L119" s="730"/>
      <c r="M119" s="205">
        <f t="shared" si="37"/>
        <v>0</v>
      </c>
      <c r="N119" s="298">
        <f t="shared" si="40"/>
        <v>384894151.81</v>
      </c>
      <c r="O119" s="204">
        <v>6</v>
      </c>
    </row>
    <row r="120" spans="1:15" s="999" customFormat="1">
      <c r="A120" s="923" t="s">
        <v>814</v>
      </c>
      <c r="B120" s="1254">
        <v>456</v>
      </c>
      <c r="C120" s="1254">
        <v>4186132</v>
      </c>
      <c r="D120" s="1253" t="s">
        <v>2445</v>
      </c>
      <c r="E120" s="1020">
        <v>1589444.76</v>
      </c>
      <c r="F120" s="1020" t="s">
        <v>572</v>
      </c>
      <c r="G120" s="298">
        <f t="shared" ref="G120:G125" si="41">IF(F120=$G$2,E120,0)</f>
        <v>1589444.76</v>
      </c>
      <c r="H120" s="205">
        <v>0</v>
      </c>
      <c r="I120" s="205">
        <f t="shared" ref="I120:I125" si="42">G120-H120</f>
        <v>1589444.76</v>
      </c>
      <c r="J120" s="298">
        <f t="shared" ref="J120:J125" si="43">IF(F120=$J$2,E120,0)</f>
        <v>0</v>
      </c>
      <c r="K120" s="298"/>
      <c r="L120" s="730"/>
      <c r="M120" s="205">
        <f t="shared" ref="M120:M125" si="44">J120-L120</f>
        <v>0</v>
      </c>
      <c r="N120" s="298">
        <f t="shared" si="40"/>
        <v>0</v>
      </c>
      <c r="O120" s="564">
        <v>4</v>
      </c>
    </row>
    <row r="121" spans="1:15" s="999" customFormat="1">
      <c r="A121" s="923" t="s">
        <v>817</v>
      </c>
      <c r="B121" s="1254">
        <v>456</v>
      </c>
      <c r="C121" s="1254">
        <v>4186116</v>
      </c>
      <c r="D121" s="1253" t="s">
        <v>2446</v>
      </c>
      <c r="E121" s="1020"/>
      <c r="F121" s="1020" t="s">
        <v>572</v>
      </c>
      <c r="G121" s="298">
        <f t="shared" si="41"/>
        <v>0</v>
      </c>
      <c r="H121" s="205">
        <v>0</v>
      </c>
      <c r="I121" s="205">
        <f t="shared" si="42"/>
        <v>0</v>
      </c>
      <c r="J121" s="298">
        <f t="shared" si="43"/>
        <v>0</v>
      </c>
      <c r="K121" s="298"/>
      <c r="L121" s="730"/>
      <c r="M121" s="205">
        <f t="shared" si="44"/>
        <v>0</v>
      </c>
      <c r="N121" s="298">
        <f t="shared" si="40"/>
        <v>0</v>
      </c>
      <c r="O121" s="564">
        <v>4</v>
      </c>
    </row>
    <row r="122" spans="1:15" s="999" customFormat="1">
      <c r="A122" s="923" t="s">
        <v>1708</v>
      </c>
      <c r="B122" s="1254">
        <v>456</v>
      </c>
      <c r="C122" s="1254">
        <v>4186115</v>
      </c>
      <c r="D122" s="14" t="s">
        <v>2447</v>
      </c>
      <c r="E122" s="1020">
        <v>95176.73</v>
      </c>
      <c r="F122" s="1020" t="s">
        <v>572</v>
      </c>
      <c r="G122" s="298">
        <f t="shared" si="41"/>
        <v>95176.73</v>
      </c>
      <c r="H122" s="205">
        <v>0</v>
      </c>
      <c r="I122" s="205">
        <f t="shared" si="42"/>
        <v>95176.73</v>
      </c>
      <c r="J122" s="298">
        <f t="shared" si="43"/>
        <v>0</v>
      </c>
      <c r="K122" s="298"/>
      <c r="L122" s="730"/>
      <c r="M122" s="205">
        <f t="shared" si="44"/>
        <v>0</v>
      </c>
      <c r="N122" s="298">
        <f t="shared" si="40"/>
        <v>0</v>
      </c>
      <c r="O122" s="564">
        <v>4</v>
      </c>
    </row>
    <row r="123" spans="1:15" s="999" customFormat="1">
      <c r="A123" s="923" t="s">
        <v>1709</v>
      </c>
      <c r="B123" s="1254">
        <v>456</v>
      </c>
      <c r="C123" s="1254">
        <v>4186156</v>
      </c>
      <c r="D123" s="1253" t="s">
        <v>2448</v>
      </c>
      <c r="E123" s="1020">
        <v>131684.79999999999</v>
      </c>
      <c r="F123" s="1020" t="s">
        <v>574</v>
      </c>
      <c r="G123" s="298">
        <f>H123+I123</f>
        <v>7794.423311999999</v>
      </c>
      <c r="H123" s="205">
        <f>E123*D237</f>
        <v>7794.423311999999</v>
      </c>
      <c r="I123" s="205">
        <v>0</v>
      </c>
      <c r="J123" s="298">
        <f t="shared" si="43"/>
        <v>0</v>
      </c>
      <c r="K123" s="298"/>
      <c r="L123" s="730"/>
      <c r="M123" s="205">
        <f>J123-L123</f>
        <v>0</v>
      </c>
      <c r="N123" s="298">
        <f>IF(F123=$N$2,E123-H123,0)</f>
        <v>123890.37668799999</v>
      </c>
      <c r="O123" s="564" t="s">
        <v>651</v>
      </c>
    </row>
    <row r="124" spans="1:15" s="999" customFormat="1">
      <c r="A124" s="923" t="s">
        <v>2086</v>
      </c>
      <c r="B124" s="1254">
        <v>456</v>
      </c>
      <c r="C124" s="922" t="s">
        <v>2449</v>
      </c>
      <c r="D124" s="1253" t="s">
        <v>2450</v>
      </c>
      <c r="E124" s="1020">
        <v>19405750</v>
      </c>
      <c r="F124" s="1020" t="s">
        <v>572</v>
      </c>
      <c r="G124" s="298">
        <f t="shared" si="41"/>
        <v>19405750</v>
      </c>
      <c r="H124" s="205">
        <v>0</v>
      </c>
      <c r="I124" s="205">
        <f t="shared" si="42"/>
        <v>19405750</v>
      </c>
      <c r="J124" s="298">
        <f t="shared" si="43"/>
        <v>0</v>
      </c>
      <c r="K124" s="298"/>
      <c r="L124" s="730"/>
      <c r="M124" s="205">
        <f t="shared" si="44"/>
        <v>0</v>
      </c>
      <c r="N124" s="298">
        <f>IF(F124=$N$2,E124,0)</f>
        <v>0</v>
      </c>
      <c r="O124" s="564">
        <v>4</v>
      </c>
    </row>
    <row r="125" spans="1:15" s="999" customFormat="1">
      <c r="A125" s="923" t="s">
        <v>2087</v>
      </c>
      <c r="B125" s="1254">
        <v>456</v>
      </c>
      <c r="C125" s="922" t="s">
        <v>699</v>
      </c>
      <c r="D125" s="1253" t="s">
        <v>2451</v>
      </c>
      <c r="E125" s="1020">
        <v>5000</v>
      </c>
      <c r="F125" s="1020" t="s">
        <v>572</v>
      </c>
      <c r="G125" s="298">
        <f t="shared" si="41"/>
        <v>5000</v>
      </c>
      <c r="H125" s="205">
        <f>G125</f>
        <v>5000</v>
      </c>
      <c r="I125" s="205">
        <f t="shared" si="42"/>
        <v>0</v>
      </c>
      <c r="J125" s="298">
        <f t="shared" si="43"/>
        <v>0</v>
      </c>
      <c r="K125" s="298"/>
      <c r="L125" s="730"/>
      <c r="M125" s="205">
        <f t="shared" si="44"/>
        <v>0</v>
      </c>
      <c r="N125" s="298">
        <f>IF(F125=$N$2,E125,0)</f>
        <v>0</v>
      </c>
      <c r="O125" s="564">
        <v>5</v>
      </c>
    </row>
    <row r="126" spans="1:15" s="999" customFormat="1">
      <c r="A126" s="1131" t="s">
        <v>2772</v>
      </c>
      <c r="B126" s="1132">
        <v>456</v>
      </c>
      <c r="C126" s="1132">
        <v>4186732</v>
      </c>
      <c r="D126" s="1133" t="s">
        <v>2773</v>
      </c>
      <c r="E126" s="1020">
        <v>12000</v>
      </c>
      <c r="F126" s="1020" t="s">
        <v>573</v>
      </c>
      <c r="G126" s="302">
        <f>IF(F126=$G$2,E126,0)</f>
        <v>0</v>
      </c>
      <c r="H126" s="304">
        <v>0</v>
      </c>
      <c r="I126" s="304">
        <f t="shared" ref="I126" si="45">G126-H126</f>
        <v>0</v>
      </c>
      <c r="J126" s="302">
        <f t="shared" ref="J126" si="46">IF(F126=$J$2,E126,0)</f>
        <v>12000</v>
      </c>
      <c r="K126" s="1087" t="s">
        <v>614</v>
      </c>
      <c r="L126" s="730">
        <v>0</v>
      </c>
      <c r="M126" s="304">
        <f t="shared" ref="M126" si="47">J126-L126</f>
        <v>12000</v>
      </c>
      <c r="N126" s="302">
        <f>IF(F126=$N$2,E126,0)</f>
        <v>0</v>
      </c>
      <c r="O126" s="1134">
        <v>2</v>
      </c>
    </row>
    <row r="127" spans="1:15">
      <c r="A127" s="332"/>
      <c r="B127" s="328"/>
      <c r="C127" s="327"/>
      <c r="D127" s="329"/>
      <c r="E127" s="302"/>
      <c r="F127" s="302"/>
      <c r="G127" s="306"/>
      <c r="H127" s="304"/>
      <c r="I127" s="304"/>
      <c r="J127" s="302"/>
      <c r="K127" s="302"/>
      <c r="L127" s="304"/>
      <c r="M127" s="304"/>
      <c r="N127" s="302"/>
      <c r="O127" s="303"/>
    </row>
    <row r="128" spans="1:15">
      <c r="A128" s="332"/>
      <c r="B128" s="328"/>
      <c r="C128" s="327"/>
      <c r="D128" s="329"/>
      <c r="E128" s="302"/>
      <c r="F128" s="302"/>
      <c r="G128" s="306"/>
      <c r="H128" s="304"/>
      <c r="I128" s="304"/>
      <c r="J128" s="302"/>
      <c r="K128" s="302"/>
      <c r="L128" s="304"/>
      <c r="M128" s="304"/>
      <c r="N128" s="302"/>
      <c r="O128" s="303"/>
    </row>
    <row r="129" spans="1:15">
      <c r="A129" s="206">
        <v>13</v>
      </c>
      <c r="B129" s="1406" t="s">
        <v>820</v>
      </c>
      <c r="C129" s="1404"/>
      <c r="D129" s="1405"/>
      <c r="E129" s="311">
        <f>SUM(E70:E128)</f>
        <v>467087400.00000006</v>
      </c>
      <c r="F129" s="320"/>
      <c r="G129" s="311">
        <f>SUM(G70:G128)</f>
        <v>74953617.423467577</v>
      </c>
      <c r="H129" s="311">
        <f>SUM(H70:H128)</f>
        <v>37896.163467599996</v>
      </c>
      <c r="I129" s="311">
        <f>SUM(I70:I128)</f>
        <v>74915721.259999961</v>
      </c>
      <c r="J129" s="311">
        <f>SUM(J70:J128)</f>
        <v>2241610.8200000003</v>
      </c>
      <c r="K129" s="320"/>
      <c r="L129" s="311">
        <f>SUM(L70:L128)</f>
        <v>376766.74858192104</v>
      </c>
      <c r="M129" s="311">
        <f>SUM(M70:M128)</f>
        <v>1864844.0714180793</v>
      </c>
      <c r="N129" s="311">
        <f>SUM(N70:N128)</f>
        <v>389892171.75653243</v>
      </c>
      <c r="O129" s="194"/>
    </row>
    <row r="130" spans="1:15" ht="25.5" customHeight="1">
      <c r="A130" s="206">
        <v>14</v>
      </c>
      <c r="B130" s="1398" t="s">
        <v>1245</v>
      </c>
      <c r="C130" s="1399"/>
      <c r="D130" s="1400"/>
      <c r="E130" s="1130">
        <v>467087400</v>
      </c>
      <c r="F130" s="310"/>
      <c r="G130" s="326"/>
      <c r="H130" s="310"/>
      <c r="I130" s="310"/>
      <c r="J130" s="326"/>
      <c r="K130" s="310"/>
      <c r="L130" s="297"/>
      <c r="M130" s="297"/>
      <c r="N130" s="297"/>
      <c r="O130" s="193"/>
    </row>
    <row r="131" spans="1:15">
      <c r="A131" s="209"/>
      <c r="B131" s="210"/>
      <c r="C131" s="211"/>
      <c r="D131" s="212"/>
      <c r="E131" s="297"/>
      <c r="F131" s="297"/>
      <c r="G131" s="297"/>
      <c r="H131" s="310"/>
      <c r="I131" s="310"/>
      <c r="J131" s="297"/>
      <c r="K131" s="310"/>
      <c r="L131" s="297"/>
      <c r="M131" s="297"/>
      <c r="N131" s="297"/>
      <c r="O131" s="193"/>
    </row>
    <row r="132" spans="1:15">
      <c r="A132" s="206" t="s">
        <v>821</v>
      </c>
      <c r="B132" s="202">
        <v>456.1</v>
      </c>
      <c r="C132" s="207" t="s">
        <v>822</v>
      </c>
      <c r="D132" s="203" t="s">
        <v>823</v>
      </c>
      <c r="E132" s="1021"/>
      <c r="F132" s="302" t="s">
        <v>572</v>
      </c>
      <c r="G132" s="298">
        <f t="shared" ref="G132:G144" si="48">IF(F132=$G$2,E132,0)</f>
        <v>0</v>
      </c>
      <c r="H132" s="205">
        <f>G132</f>
        <v>0</v>
      </c>
      <c r="I132" s="205">
        <f t="shared" ref="I132:I151" si="49">G132-H132</f>
        <v>0</v>
      </c>
      <c r="J132" s="298">
        <f t="shared" ref="J132:J145" si="50">IF(F132=$J$2,E132,0)</f>
        <v>0</v>
      </c>
      <c r="K132" s="337"/>
      <c r="L132" s="304"/>
      <c r="M132" s="205">
        <f>J132-L132</f>
        <v>0</v>
      </c>
      <c r="N132" s="298">
        <f t="shared" ref="N132:N151" si="51">IF(F132=$N$2,E132,0)</f>
        <v>0</v>
      </c>
      <c r="O132" s="204">
        <v>5</v>
      </c>
    </row>
    <row r="133" spans="1:15">
      <c r="A133" s="206" t="s">
        <v>824</v>
      </c>
      <c r="B133" s="202">
        <v>456.1</v>
      </c>
      <c r="C133" s="207" t="s">
        <v>825</v>
      </c>
      <c r="D133" s="203" t="s">
        <v>826</v>
      </c>
      <c r="E133" s="1021">
        <v>296028</v>
      </c>
      <c r="F133" s="302" t="s">
        <v>572</v>
      </c>
      <c r="G133" s="298">
        <f t="shared" si="48"/>
        <v>296028</v>
      </c>
      <c r="H133" s="205">
        <v>0</v>
      </c>
      <c r="I133" s="205">
        <f t="shared" si="49"/>
        <v>296028</v>
      </c>
      <c r="J133" s="298">
        <f t="shared" si="50"/>
        <v>0</v>
      </c>
      <c r="K133" s="337"/>
      <c r="L133" s="304"/>
      <c r="M133" s="205">
        <f>J133-L133</f>
        <v>0</v>
      </c>
      <c r="N133" s="298">
        <f t="shared" si="51"/>
        <v>0</v>
      </c>
      <c r="O133" s="204">
        <v>4</v>
      </c>
    </row>
    <row r="134" spans="1:15">
      <c r="A134" s="206" t="s">
        <v>827</v>
      </c>
      <c r="B134" s="202">
        <v>456.1</v>
      </c>
      <c r="C134" s="207" t="s">
        <v>828</v>
      </c>
      <c r="D134" s="203" t="s">
        <v>829</v>
      </c>
      <c r="E134" s="1021">
        <v>930162.96</v>
      </c>
      <c r="F134" s="302" t="s">
        <v>572</v>
      </c>
      <c r="G134" s="298">
        <f t="shared" si="48"/>
        <v>930162.96</v>
      </c>
      <c r="H134" s="205">
        <v>0</v>
      </c>
      <c r="I134" s="205">
        <f t="shared" si="49"/>
        <v>930162.96</v>
      </c>
      <c r="J134" s="298">
        <f t="shared" si="50"/>
        <v>0</v>
      </c>
      <c r="K134" s="337"/>
      <c r="L134" s="304"/>
      <c r="M134" s="205">
        <f>J134-L134</f>
        <v>0</v>
      </c>
      <c r="N134" s="298">
        <f t="shared" si="51"/>
        <v>0</v>
      </c>
      <c r="O134" s="204">
        <v>4</v>
      </c>
    </row>
    <row r="135" spans="1:15">
      <c r="A135" s="206" t="s">
        <v>830</v>
      </c>
      <c r="B135" s="202">
        <v>456.1</v>
      </c>
      <c r="C135" s="207" t="s">
        <v>831</v>
      </c>
      <c r="D135" s="203" t="s">
        <v>832</v>
      </c>
      <c r="E135" s="1021">
        <v>151885.32999999999</v>
      </c>
      <c r="F135" s="302" t="s">
        <v>574</v>
      </c>
      <c r="G135" s="298">
        <f t="shared" si="48"/>
        <v>0</v>
      </c>
      <c r="H135" s="205">
        <v>0</v>
      </c>
      <c r="I135" s="205">
        <f t="shared" si="49"/>
        <v>0</v>
      </c>
      <c r="J135" s="298">
        <f t="shared" si="50"/>
        <v>0</v>
      </c>
      <c r="K135" s="337"/>
      <c r="L135" s="304"/>
      <c r="M135" s="205">
        <f>J135-L135</f>
        <v>0</v>
      </c>
      <c r="N135" s="298">
        <f t="shared" si="51"/>
        <v>151885.32999999999</v>
      </c>
      <c r="O135" s="204">
        <v>6</v>
      </c>
    </row>
    <row r="136" spans="1:15">
      <c r="A136" s="206" t="s">
        <v>833</v>
      </c>
      <c r="B136" s="202">
        <v>456.1</v>
      </c>
      <c r="C136" s="207" t="s">
        <v>834</v>
      </c>
      <c r="D136" s="203" t="s">
        <v>835</v>
      </c>
      <c r="E136" s="1021">
        <v>74458174.980000004</v>
      </c>
      <c r="F136" s="302" t="s">
        <v>574</v>
      </c>
      <c r="G136" s="298">
        <f t="shared" si="48"/>
        <v>0</v>
      </c>
      <c r="H136" s="205">
        <v>0</v>
      </c>
      <c r="I136" s="205">
        <f t="shared" si="49"/>
        <v>0</v>
      </c>
      <c r="J136" s="298">
        <f t="shared" si="50"/>
        <v>0</v>
      </c>
      <c r="K136" s="337"/>
      <c r="L136" s="304"/>
      <c r="M136" s="205">
        <f>J136-L136</f>
        <v>0</v>
      </c>
      <c r="N136" s="298">
        <f t="shared" si="51"/>
        <v>74458174.980000004</v>
      </c>
      <c r="O136" s="204">
        <v>6</v>
      </c>
    </row>
    <row r="137" spans="1:15">
      <c r="A137" s="206" t="s">
        <v>836</v>
      </c>
      <c r="B137" s="202">
        <v>456.1</v>
      </c>
      <c r="C137" s="207" t="s">
        <v>837</v>
      </c>
      <c r="D137" s="203" t="s">
        <v>838</v>
      </c>
      <c r="E137" s="1021"/>
      <c r="F137" s="302" t="s">
        <v>574</v>
      </c>
      <c r="G137" s="298">
        <f t="shared" si="48"/>
        <v>0</v>
      </c>
      <c r="H137" s="205">
        <v>0</v>
      </c>
      <c r="I137" s="205">
        <f t="shared" si="49"/>
        <v>0</v>
      </c>
      <c r="J137" s="298">
        <f t="shared" si="50"/>
        <v>0</v>
      </c>
      <c r="K137" s="337"/>
      <c r="L137" s="304"/>
      <c r="M137" s="205">
        <f t="shared" ref="M137" si="52">J137-L137</f>
        <v>0</v>
      </c>
      <c r="N137" s="298">
        <f t="shared" si="51"/>
        <v>0</v>
      </c>
      <c r="O137" s="204">
        <v>6</v>
      </c>
    </row>
    <row r="138" spans="1:15">
      <c r="A138" s="206" t="s">
        <v>839</v>
      </c>
      <c r="B138" s="202">
        <v>456.1</v>
      </c>
      <c r="C138" s="207" t="s">
        <v>840</v>
      </c>
      <c r="D138" s="203" t="s">
        <v>841</v>
      </c>
      <c r="E138" s="1021">
        <v>46329300.560000002</v>
      </c>
      <c r="F138" s="302" t="s">
        <v>572</v>
      </c>
      <c r="G138" s="298">
        <f t="shared" si="48"/>
        <v>46329300.560000002</v>
      </c>
      <c r="H138" s="205">
        <f>G138</f>
        <v>46329300.560000002</v>
      </c>
      <c r="I138" s="205">
        <f t="shared" si="49"/>
        <v>0</v>
      </c>
      <c r="J138" s="298">
        <f t="shared" si="50"/>
        <v>0</v>
      </c>
      <c r="K138" s="337"/>
      <c r="L138" s="304"/>
      <c r="M138" s="205">
        <f t="shared" ref="M138:M151" si="53">J138-L138</f>
        <v>0</v>
      </c>
      <c r="N138" s="298">
        <f t="shared" si="51"/>
        <v>0</v>
      </c>
      <c r="O138" s="204">
        <v>5</v>
      </c>
    </row>
    <row r="139" spans="1:15">
      <c r="A139" s="206" t="s">
        <v>842</v>
      </c>
      <c r="B139" s="202">
        <v>456.1</v>
      </c>
      <c r="C139" s="207" t="s">
        <v>843</v>
      </c>
      <c r="D139" s="203" t="s">
        <v>844</v>
      </c>
      <c r="E139" s="1021">
        <v>5560312.75</v>
      </c>
      <c r="F139" s="302" t="s">
        <v>572</v>
      </c>
      <c r="G139" s="298">
        <f t="shared" si="48"/>
        <v>5560312.75</v>
      </c>
      <c r="H139" s="205">
        <v>0</v>
      </c>
      <c r="I139" s="205">
        <f t="shared" si="49"/>
        <v>5560312.75</v>
      </c>
      <c r="J139" s="298">
        <f t="shared" si="50"/>
        <v>0</v>
      </c>
      <c r="K139" s="337"/>
      <c r="L139" s="304"/>
      <c r="M139" s="205">
        <f t="shared" si="53"/>
        <v>0</v>
      </c>
      <c r="N139" s="298">
        <f t="shared" si="51"/>
        <v>0</v>
      </c>
      <c r="O139" s="204">
        <v>4</v>
      </c>
    </row>
    <row r="140" spans="1:15">
      <c r="A140" s="206" t="s">
        <v>845</v>
      </c>
      <c r="B140" s="202">
        <v>456.1</v>
      </c>
      <c r="C140" s="207" t="s">
        <v>846</v>
      </c>
      <c r="D140" s="203" t="s">
        <v>847</v>
      </c>
      <c r="E140" s="1021">
        <v>-574575</v>
      </c>
      <c r="F140" s="302" t="s">
        <v>572</v>
      </c>
      <c r="G140" s="298">
        <f t="shared" si="48"/>
        <v>-574575</v>
      </c>
      <c r="H140" s="205">
        <v>0</v>
      </c>
      <c r="I140" s="205">
        <f t="shared" si="49"/>
        <v>-574575</v>
      </c>
      <c r="J140" s="298">
        <f t="shared" si="50"/>
        <v>0</v>
      </c>
      <c r="K140" s="337"/>
      <c r="L140" s="304"/>
      <c r="M140" s="205">
        <f t="shared" si="53"/>
        <v>0</v>
      </c>
      <c r="N140" s="298">
        <f t="shared" si="51"/>
        <v>0</v>
      </c>
      <c r="O140" s="204">
        <v>4</v>
      </c>
    </row>
    <row r="141" spans="1:15">
      <c r="A141" s="1211" t="s">
        <v>848</v>
      </c>
      <c r="B141" s="202">
        <v>456.1</v>
      </c>
      <c r="C141" s="207" t="s">
        <v>850</v>
      </c>
      <c r="D141" s="203" t="s">
        <v>851</v>
      </c>
      <c r="E141" s="1021">
        <v>1080948.48</v>
      </c>
      <c r="F141" s="302" t="s">
        <v>572</v>
      </c>
      <c r="G141" s="298">
        <f t="shared" si="48"/>
        <v>1080948.48</v>
      </c>
      <c r="H141" s="205">
        <v>0</v>
      </c>
      <c r="I141" s="205">
        <f t="shared" si="49"/>
        <v>1080948.48</v>
      </c>
      <c r="J141" s="298">
        <f t="shared" si="50"/>
        <v>0</v>
      </c>
      <c r="K141" s="337"/>
      <c r="L141" s="304"/>
      <c r="M141" s="205">
        <f t="shared" si="53"/>
        <v>0</v>
      </c>
      <c r="N141" s="298">
        <f t="shared" si="51"/>
        <v>0</v>
      </c>
      <c r="O141" s="204">
        <v>4</v>
      </c>
    </row>
    <row r="142" spans="1:15">
      <c r="A142" s="1211" t="s">
        <v>849</v>
      </c>
      <c r="B142" s="202">
        <v>456.1</v>
      </c>
      <c r="C142" s="207" t="s">
        <v>853</v>
      </c>
      <c r="D142" s="203" t="s">
        <v>854</v>
      </c>
      <c r="E142" s="1021">
        <v>402147.6</v>
      </c>
      <c r="F142" s="302" t="s">
        <v>572</v>
      </c>
      <c r="G142" s="298">
        <f t="shared" si="48"/>
        <v>402147.6</v>
      </c>
      <c r="H142" s="205">
        <v>0</v>
      </c>
      <c r="I142" s="205">
        <f t="shared" si="49"/>
        <v>402147.6</v>
      </c>
      <c r="J142" s="298">
        <f t="shared" si="50"/>
        <v>0</v>
      </c>
      <c r="K142" s="337"/>
      <c r="L142" s="304"/>
      <c r="M142" s="205">
        <f t="shared" si="53"/>
        <v>0</v>
      </c>
      <c r="N142" s="298">
        <f t="shared" si="51"/>
        <v>0</v>
      </c>
      <c r="O142" s="204">
        <v>4</v>
      </c>
    </row>
    <row r="143" spans="1:15">
      <c r="A143" s="1211" t="s">
        <v>852</v>
      </c>
      <c r="B143" s="202">
        <v>456.1</v>
      </c>
      <c r="C143" s="207" t="s">
        <v>856</v>
      </c>
      <c r="D143" s="203" t="s">
        <v>857</v>
      </c>
      <c r="E143" s="1021">
        <v>209706</v>
      </c>
      <c r="F143" s="302" t="s">
        <v>572</v>
      </c>
      <c r="G143" s="298">
        <f t="shared" si="48"/>
        <v>209706</v>
      </c>
      <c r="H143" s="205">
        <v>0</v>
      </c>
      <c r="I143" s="205">
        <f t="shared" si="49"/>
        <v>209706</v>
      </c>
      <c r="J143" s="298">
        <f t="shared" si="50"/>
        <v>0</v>
      </c>
      <c r="K143" s="337"/>
      <c r="L143" s="304"/>
      <c r="M143" s="205">
        <f t="shared" si="53"/>
        <v>0</v>
      </c>
      <c r="N143" s="298">
        <f t="shared" si="51"/>
        <v>0</v>
      </c>
      <c r="O143" s="204">
        <v>4</v>
      </c>
    </row>
    <row r="144" spans="1:15">
      <c r="A144" s="1211" t="s">
        <v>855</v>
      </c>
      <c r="B144" s="202">
        <v>456.1</v>
      </c>
      <c r="C144" s="207" t="s">
        <v>859</v>
      </c>
      <c r="D144" s="203" t="s">
        <v>860</v>
      </c>
      <c r="E144" s="1021">
        <v>89265.32</v>
      </c>
      <c r="F144" s="302" t="s">
        <v>572</v>
      </c>
      <c r="G144" s="298">
        <f t="shared" si="48"/>
        <v>89265.32</v>
      </c>
      <c r="H144" s="205">
        <v>0</v>
      </c>
      <c r="I144" s="205">
        <f t="shared" si="49"/>
        <v>89265.32</v>
      </c>
      <c r="J144" s="298">
        <f t="shared" si="50"/>
        <v>0</v>
      </c>
      <c r="K144" s="337"/>
      <c r="L144" s="304"/>
      <c r="M144" s="205">
        <f t="shared" si="53"/>
        <v>0</v>
      </c>
      <c r="N144" s="298">
        <f t="shared" si="51"/>
        <v>0</v>
      </c>
      <c r="O144" s="204">
        <v>4</v>
      </c>
    </row>
    <row r="145" spans="1:15">
      <c r="A145" s="1211" t="s">
        <v>858</v>
      </c>
      <c r="B145" s="202">
        <v>456.1</v>
      </c>
      <c r="C145" s="207" t="s">
        <v>862</v>
      </c>
      <c r="D145" s="203" t="s">
        <v>863</v>
      </c>
      <c r="E145" s="1021">
        <v>651331.07999999996</v>
      </c>
      <c r="F145" s="302" t="s">
        <v>572</v>
      </c>
      <c r="G145" s="298">
        <f t="shared" ref="G145" si="54">IF(F145=$G$2,E145,0)</f>
        <v>651331.07999999996</v>
      </c>
      <c r="H145" s="205">
        <v>0</v>
      </c>
      <c r="I145" s="205">
        <f t="shared" si="49"/>
        <v>651331.07999999996</v>
      </c>
      <c r="J145" s="298">
        <f t="shared" si="50"/>
        <v>0</v>
      </c>
      <c r="K145" s="337"/>
      <c r="L145" s="304"/>
      <c r="M145" s="205">
        <f t="shared" si="53"/>
        <v>0</v>
      </c>
      <c r="N145" s="298">
        <f t="shared" si="51"/>
        <v>0</v>
      </c>
      <c r="O145" s="204">
        <v>4</v>
      </c>
    </row>
    <row r="146" spans="1:15">
      <c r="A146" s="1211" t="s">
        <v>861</v>
      </c>
      <c r="B146" s="202">
        <v>456.1</v>
      </c>
      <c r="C146" s="207" t="s">
        <v>865</v>
      </c>
      <c r="D146" s="203" t="s">
        <v>866</v>
      </c>
      <c r="E146" s="1021">
        <v>264133.44</v>
      </c>
      <c r="F146" s="302" t="s">
        <v>572</v>
      </c>
      <c r="G146" s="298">
        <f t="shared" ref="G146:G151" si="55">IF(F146=$G$2,E146,0)</f>
        <v>264133.44</v>
      </c>
      <c r="H146" s="205">
        <v>0</v>
      </c>
      <c r="I146" s="205">
        <f t="shared" si="49"/>
        <v>264133.44</v>
      </c>
      <c r="J146" s="298">
        <f t="shared" ref="J146" si="56">IF(F146=$J$2,E146,0)</f>
        <v>0</v>
      </c>
      <c r="K146" s="337"/>
      <c r="L146" s="304"/>
      <c r="M146" s="205">
        <f t="shared" si="53"/>
        <v>0</v>
      </c>
      <c r="N146" s="298">
        <f t="shared" si="51"/>
        <v>0</v>
      </c>
      <c r="O146" s="204">
        <v>4</v>
      </c>
    </row>
    <row r="147" spans="1:15">
      <c r="A147" s="1211" t="s">
        <v>864</v>
      </c>
      <c r="B147" s="202">
        <v>456.1</v>
      </c>
      <c r="C147" s="207" t="s">
        <v>869</v>
      </c>
      <c r="D147" s="203" t="s">
        <v>870</v>
      </c>
      <c r="E147" s="1021">
        <v>42492.12</v>
      </c>
      <c r="F147" s="302" t="s">
        <v>572</v>
      </c>
      <c r="G147" s="298">
        <f t="shared" si="55"/>
        <v>42492.12</v>
      </c>
      <c r="H147" s="205">
        <v>0</v>
      </c>
      <c r="I147" s="205">
        <f t="shared" si="49"/>
        <v>42492.12</v>
      </c>
      <c r="J147" s="298">
        <f>IF(F147=$J$2,E147,0)</f>
        <v>0</v>
      </c>
      <c r="K147" s="337"/>
      <c r="L147" s="304"/>
      <c r="M147" s="205">
        <f t="shared" si="53"/>
        <v>0</v>
      </c>
      <c r="N147" s="298">
        <f t="shared" si="51"/>
        <v>0</v>
      </c>
      <c r="O147" s="204">
        <v>4</v>
      </c>
    </row>
    <row r="148" spans="1:15">
      <c r="A148" s="1211" t="s">
        <v>867</v>
      </c>
      <c r="B148" s="202">
        <v>456.1</v>
      </c>
      <c r="C148" s="207" t="s">
        <v>872</v>
      </c>
      <c r="D148" s="203" t="s">
        <v>873</v>
      </c>
      <c r="E148" s="1021">
        <v>285798.44</v>
      </c>
      <c r="F148" s="302" t="s">
        <v>574</v>
      </c>
      <c r="G148" s="298">
        <f t="shared" si="55"/>
        <v>0</v>
      </c>
      <c r="H148" s="205">
        <v>0</v>
      </c>
      <c r="I148" s="205">
        <f t="shared" si="49"/>
        <v>0</v>
      </c>
      <c r="J148" s="298">
        <f>IF(F148=$J$2,E148,0)</f>
        <v>0</v>
      </c>
      <c r="K148" s="337"/>
      <c r="L148" s="304"/>
      <c r="M148" s="205">
        <f t="shared" si="53"/>
        <v>0</v>
      </c>
      <c r="N148" s="298">
        <f t="shared" si="51"/>
        <v>285798.44</v>
      </c>
      <c r="O148" s="204">
        <v>6</v>
      </c>
    </row>
    <row r="149" spans="1:15" s="999" customFormat="1">
      <c r="A149" s="923" t="s">
        <v>868</v>
      </c>
      <c r="B149" s="1254">
        <v>456.1</v>
      </c>
      <c r="C149" s="922" t="s">
        <v>2453</v>
      </c>
      <c r="D149" s="922" t="s">
        <v>2454</v>
      </c>
      <c r="E149" s="1021">
        <v>90532.92</v>
      </c>
      <c r="F149" s="1020" t="s">
        <v>572</v>
      </c>
      <c r="G149" s="298">
        <f t="shared" si="55"/>
        <v>90532.92</v>
      </c>
      <c r="H149" s="205">
        <v>0</v>
      </c>
      <c r="I149" s="205">
        <f t="shared" si="49"/>
        <v>90532.92</v>
      </c>
      <c r="J149" s="298">
        <f>IF(F149=$J$2,E149,0)</f>
        <v>0</v>
      </c>
      <c r="K149" s="1260"/>
      <c r="L149" s="730"/>
      <c r="M149" s="205">
        <f t="shared" si="53"/>
        <v>0</v>
      </c>
      <c r="N149" s="298">
        <f t="shared" si="51"/>
        <v>0</v>
      </c>
      <c r="O149" s="564">
        <v>4</v>
      </c>
    </row>
    <row r="150" spans="1:15" s="999" customFormat="1">
      <c r="A150" s="923" t="s">
        <v>871</v>
      </c>
      <c r="B150" s="1254">
        <v>456.1</v>
      </c>
      <c r="C150" s="922" t="s">
        <v>2455</v>
      </c>
      <c r="D150" s="922" t="s">
        <v>2456</v>
      </c>
      <c r="E150" s="1021">
        <v>229853.64</v>
      </c>
      <c r="F150" s="1020" t="s">
        <v>572</v>
      </c>
      <c r="G150" s="298">
        <f t="shared" si="55"/>
        <v>229853.64</v>
      </c>
      <c r="H150" s="205">
        <v>0</v>
      </c>
      <c r="I150" s="205">
        <f t="shared" si="49"/>
        <v>229853.64</v>
      </c>
      <c r="J150" s="298">
        <f>IF(F150=$J$2,E150,0)</f>
        <v>0</v>
      </c>
      <c r="K150" s="1260"/>
      <c r="L150" s="730"/>
      <c r="M150" s="205">
        <f t="shared" si="53"/>
        <v>0</v>
      </c>
      <c r="N150" s="298">
        <f t="shared" si="51"/>
        <v>0</v>
      </c>
      <c r="O150" s="564">
        <v>4</v>
      </c>
    </row>
    <row r="151" spans="1:15">
      <c r="A151" s="923" t="s">
        <v>2452</v>
      </c>
      <c r="B151" s="1254">
        <v>456.1</v>
      </c>
      <c r="C151" s="922" t="s">
        <v>2457</v>
      </c>
      <c r="D151" s="1253" t="s">
        <v>2458</v>
      </c>
      <c r="E151" s="1021">
        <v>3708122.66</v>
      </c>
      <c r="F151" s="1021" t="s">
        <v>574</v>
      </c>
      <c r="G151" s="298">
        <f t="shared" si="55"/>
        <v>0</v>
      </c>
      <c r="H151" s="205">
        <v>0</v>
      </c>
      <c r="I151" s="205">
        <f t="shared" si="49"/>
        <v>0</v>
      </c>
      <c r="J151" s="298">
        <f>IF(F151=$J$2,E151,0)</f>
        <v>0</v>
      </c>
      <c r="K151" s="1260"/>
      <c r="L151" s="730"/>
      <c r="M151" s="205">
        <f t="shared" si="53"/>
        <v>0</v>
      </c>
      <c r="N151" s="298">
        <f t="shared" si="51"/>
        <v>3708122.66</v>
      </c>
      <c r="O151" s="564">
        <v>6</v>
      </c>
    </row>
    <row r="152" spans="1:15" s="999" customFormat="1">
      <c r="A152" s="1131"/>
      <c r="B152" s="1132"/>
      <c r="C152" s="1135"/>
      <c r="D152" s="1133"/>
      <c r="E152" s="1021"/>
      <c r="F152" s="1021"/>
      <c r="G152" s="1020"/>
      <c r="H152" s="730"/>
      <c r="I152" s="730"/>
      <c r="J152" s="1020"/>
      <c r="K152" s="1021"/>
      <c r="L152" s="730"/>
      <c r="M152" s="730"/>
      <c r="N152" s="1020"/>
      <c r="O152" s="1134"/>
    </row>
    <row r="153" spans="1:15">
      <c r="A153" s="332"/>
      <c r="B153" s="328"/>
      <c r="C153" s="327"/>
      <c r="D153" s="329"/>
      <c r="E153" s="305"/>
      <c r="F153" s="305"/>
      <c r="G153" s="306"/>
      <c r="H153" s="304"/>
      <c r="I153" s="304"/>
      <c r="J153" s="302"/>
      <c r="K153" s="305"/>
      <c r="L153" s="304"/>
      <c r="M153" s="304"/>
      <c r="N153" s="302"/>
      <c r="O153" s="303"/>
    </row>
    <row r="154" spans="1:15">
      <c r="A154" s="206">
        <v>16</v>
      </c>
      <c r="B154" s="1406" t="s">
        <v>874</v>
      </c>
      <c r="C154" s="1404"/>
      <c r="D154" s="1405"/>
      <c r="E154" s="311">
        <f>SUM(E132:E153)</f>
        <v>134205621.28</v>
      </c>
      <c r="F154" s="320"/>
      <c r="G154" s="311">
        <f>SUM(G132:G153)</f>
        <v>55601639.869999997</v>
      </c>
      <c r="H154" s="311">
        <f>SUM(H132:H153)</f>
        <v>46329300.560000002</v>
      </c>
      <c r="I154" s="311">
        <f>SUM(I132:I153)</f>
        <v>9272339.3099999987</v>
      </c>
      <c r="J154" s="311">
        <f>SUM(J132:J153)</f>
        <v>0</v>
      </c>
      <c r="K154" s="320"/>
      <c r="L154" s="311">
        <f>SUM(L132:L153)</f>
        <v>0</v>
      </c>
      <c r="M154" s="311">
        <f>SUM(M132:M153)</f>
        <v>0</v>
      </c>
      <c r="N154" s="311">
        <f>SUM(N132:N153)</f>
        <v>78603981.409999996</v>
      </c>
      <c r="O154" s="195"/>
    </row>
    <row r="155" spans="1:15" ht="25.5" customHeight="1">
      <c r="A155" s="206">
        <v>17</v>
      </c>
      <c r="B155" s="1398" t="s">
        <v>1240</v>
      </c>
      <c r="C155" s="1399"/>
      <c r="D155" s="1400"/>
      <c r="E155" s="1130">
        <v>134205621</v>
      </c>
      <c r="F155" s="310"/>
      <c r="G155" s="322"/>
      <c r="H155" s="312"/>
      <c r="I155" s="312"/>
      <c r="J155" s="295"/>
      <c r="K155" s="312"/>
      <c r="L155" s="295"/>
      <c r="M155" s="295"/>
      <c r="N155" s="295"/>
      <c r="O155" s="193"/>
    </row>
    <row r="156" spans="1:15">
      <c r="A156" s="209"/>
      <c r="B156" s="210"/>
      <c r="C156" s="211"/>
      <c r="D156" s="212"/>
      <c r="E156" s="295"/>
      <c r="F156" s="295"/>
      <c r="G156" s="295"/>
      <c r="H156" s="312"/>
      <c r="I156" s="312"/>
      <c r="J156" s="295"/>
      <c r="K156" s="312"/>
      <c r="L156" s="295"/>
      <c r="M156" s="295"/>
      <c r="N156" s="295"/>
      <c r="O156" s="193"/>
    </row>
    <row r="157" spans="1:15">
      <c r="A157" s="332" t="s">
        <v>875</v>
      </c>
      <c r="B157" s="330"/>
      <c r="C157" s="350"/>
      <c r="D157" s="350"/>
      <c r="E157" s="351"/>
      <c r="F157" s="351"/>
      <c r="G157" s="351"/>
      <c r="H157" s="351"/>
      <c r="I157" s="351"/>
      <c r="J157" s="351"/>
      <c r="K157" s="351"/>
      <c r="L157" s="351"/>
      <c r="M157" s="351"/>
      <c r="N157" s="351"/>
      <c r="O157" s="303"/>
    </row>
    <row r="158" spans="1:15">
      <c r="A158" s="332"/>
      <c r="B158" s="352"/>
      <c r="C158" s="350"/>
      <c r="D158" s="350"/>
      <c r="E158" s="351"/>
      <c r="F158" s="351"/>
      <c r="G158" s="351"/>
      <c r="H158" s="351"/>
      <c r="I158" s="351"/>
      <c r="J158" s="351"/>
      <c r="K158" s="351"/>
      <c r="L158" s="351"/>
      <c r="M158" s="351"/>
      <c r="N158" s="351"/>
      <c r="O158" s="303"/>
    </row>
    <row r="159" spans="1:15">
      <c r="A159" s="201">
        <v>19</v>
      </c>
      <c r="B159" s="1406" t="s">
        <v>876</v>
      </c>
      <c r="C159" s="1404"/>
      <c r="D159" s="1405"/>
      <c r="E159" s="296">
        <f>SUM(E157:E158)</f>
        <v>0</v>
      </c>
      <c r="F159" s="357"/>
      <c r="G159" s="296">
        <f>SUM(G157:G158)</f>
        <v>0</v>
      </c>
      <c r="H159" s="296">
        <f>SUM(H157:H158)</f>
        <v>0</v>
      </c>
      <c r="I159" s="296">
        <f>SUM(I157:I158)</f>
        <v>0</v>
      </c>
      <c r="J159" s="296">
        <f>SUM(J157:J158)</f>
        <v>0</v>
      </c>
      <c r="K159" s="320"/>
      <c r="L159" s="296">
        <f>SUM(L157:L158)</f>
        <v>0</v>
      </c>
      <c r="M159" s="296">
        <f>SUM(M157:M158)</f>
        <v>0</v>
      </c>
      <c r="N159" s="296">
        <f>SUM(N157:N158)</f>
        <v>0</v>
      </c>
      <c r="O159" s="296"/>
    </row>
    <row r="160" spans="1:15" ht="26.25" customHeight="1">
      <c r="A160" s="201">
        <v>20</v>
      </c>
      <c r="B160" s="1413" t="s">
        <v>1246</v>
      </c>
      <c r="C160" s="1414"/>
      <c r="D160" s="1415"/>
      <c r="E160" s="308">
        <v>0</v>
      </c>
      <c r="F160" s="295"/>
      <c r="G160" s="297"/>
      <c r="H160" s="310"/>
      <c r="I160" s="310"/>
      <c r="J160" s="297"/>
      <c r="K160" s="310"/>
      <c r="L160" s="297"/>
      <c r="M160" s="297"/>
      <c r="N160" s="297"/>
      <c r="O160" s="408"/>
    </row>
    <row r="161" spans="1:15">
      <c r="A161" s="209"/>
      <c r="B161" s="210"/>
      <c r="C161" s="211"/>
      <c r="D161" s="212"/>
      <c r="E161" s="295"/>
      <c r="F161" s="295"/>
      <c r="G161" s="297"/>
      <c r="H161" s="310"/>
      <c r="I161" s="310"/>
      <c r="J161" s="297"/>
      <c r="K161" s="310"/>
      <c r="L161" s="297"/>
      <c r="M161" s="297"/>
      <c r="N161" s="297"/>
      <c r="O161" s="408"/>
    </row>
    <row r="162" spans="1:15">
      <c r="A162" s="332" t="s">
        <v>877</v>
      </c>
      <c r="B162" s="330"/>
      <c r="C162" s="350"/>
      <c r="D162" s="350"/>
      <c r="E162" s="351"/>
      <c r="F162" s="351"/>
      <c r="G162" s="308"/>
      <c r="H162" s="308"/>
      <c r="I162" s="308"/>
      <c r="J162" s="308"/>
      <c r="K162" s="308"/>
      <c r="L162" s="308"/>
      <c r="M162" s="308"/>
      <c r="N162" s="308"/>
      <c r="O162" s="304"/>
    </row>
    <row r="163" spans="1:15">
      <c r="A163" s="332"/>
      <c r="B163" s="352"/>
      <c r="C163" s="350"/>
      <c r="D163" s="350"/>
      <c r="E163" s="351"/>
      <c r="F163" s="351"/>
      <c r="G163" s="308"/>
      <c r="H163" s="308"/>
      <c r="I163" s="308"/>
      <c r="J163" s="308"/>
      <c r="K163" s="308"/>
      <c r="L163" s="308"/>
      <c r="M163" s="308"/>
      <c r="N163" s="308"/>
      <c r="O163" s="304"/>
    </row>
    <row r="164" spans="1:15">
      <c r="A164" s="201">
        <v>22</v>
      </c>
      <c r="B164" s="1406" t="s">
        <v>878</v>
      </c>
      <c r="C164" s="1404"/>
      <c r="D164" s="1405"/>
      <c r="E164" s="296">
        <f>SUM(E162:E163)</f>
        <v>0</v>
      </c>
      <c r="F164" s="357"/>
      <c r="G164" s="296">
        <f>SUM(G162:G163)</f>
        <v>0</v>
      </c>
      <c r="H164" s="296">
        <f>SUM(H162:H163)</f>
        <v>0</v>
      </c>
      <c r="I164" s="296">
        <f>SUM(I162:I163)</f>
        <v>0</v>
      </c>
      <c r="J164" s="296">
        <f>SUM(J162:J163)</f>
        <v>0</v>
      </c>
      <c r="K164" s="320"/>
      <c r="L164" s="296">
        <f>SUM(L162:L163)</f>
        <v>0</v>
      </c>
      <c r="M164" s="296">
        <f>SUM(M162:M163)</f>
        <v>0</v>
      </c>
      <c r="N164" s="296">
        <f>SUM(N162:N163)</f>
        <v>0</v>
      </c>
      <c r="O164" s="296"/>
    </row>
    <row r="165" spans="1:15" ht="26.25" customHeight="1">
      <c r="A165" s="201">
        <v>23</v>
      </c>
      <c r="B165" s="1413" t="s">
        <v>1247</v>
      </c>
      <c r="C165" s="1414"/>
      <c r="D165" s="1415"/>
      <c r="E165" s="308">
        <v>0</v>
      </c>
      <c r="F165" s="295"/>
      <c r="G165" s="295"/>
      <c r="H165" s="312"/>
      <c r="I165" s="312"/>
      <c r="J165" s="295"/>
      <c r="K165" s="312"/>
      <c r="L165" s="295"/>
      <c r="M165" s="295"/>
      <c r="N165" s="295"/>
      <c r="O165" s="193"/>
    </row>
    <row r="166" spans="1:15">
      <c r="A166" s="209"/>
      <c r="B166" s="210"/>
      <c r="C166" s="211"/>
      <c r="D166" s="212"/>
      <c r="E166" s="295"/>
      <c r="F166" s="295"/>
      <c r="G166" s="295"/>
      <c r="H166" s="312"/>
      <c r="I166" s="312"/>
      <c r="J166" s="295"/>
      <c r="K166" s="312"/>
      <c r="L166" s="295"/>
      <c r="M166" s="295"/>
      <c r="N166" s="295"/>
      <c r="O166" s="193"/>
    </row>
    <row r="167" spans="1:15">
      <c r="A167" s="209"/>
      <c r="B167" s="210" t="s">
        <v>879</v>
      </c>
      <c r="C167" s="211"/>
      <c r="D167" s="212"/>
      <c r="E167" s="295"/>
      <c r="F167" s="295"/>
      <c r="G167" s="295"/>
      <c r="H167" s="312"/>
      <c r="I167" s="312"/>
      <c r="J167" s="295"/>
      <c r="K167" s="312"/>
      <c r="L167" s="295"/>
      <c r="M167" s="295"/>
      <c r="N167" s="295"/>
      <c r="O167" s="193"/>
    </row>
    <row r="168" spans="1:15">
      <c r="A168" s="1211" t="s">
        <v>880</v>
      </c>
      <c r="B168" s="220">
        <v>417</v>
      </c>
      <c r="C168" s="301">
        <v>4863130</v>
      </c>
      <c r="D168" s="216" t="s">
        <v>882</v>
      </c>
      <c r="E168" s="1021">
        <v>605718.55000000005</v>
      </c>
      <c r="F168" s="1087" t="s">
        <v>573</v>
      </c>
      <c r="G168" s="298">
        <f t="shared" ref="G168:G184" si="57">IF(F168=$G$2,E168,0)</f>
        <v>0</v>
      </c>
      <c r="H168" s="205">
        <v>0</v>
      </c>
      <c r="I168" s="205">
        <f t="shared" ref="I168:I184" si="58">G168-H168</f>
        <v>0</v>
      </c>
      <c r="J168" s="298">
        <f t="shared" ref="J168:J184" si="59">IF(F168=$J$2,E168,0)</f>
        <v>605718.55000000005</v>
      </c>
      <c r="K168" s="204" t="s">
        <v>614</v>
      </c>
      <c r="L168" s="1020">
        <v>138131.96721339901</v>
      </c>
      <c r="M168" s="298">
        <f t="shared" ref="M168:M184" si="60">J168-L168</f>
        <v>467586.58278660104</v>
      </c>
      <c r="N168" s="298">
        <f>IF(F168=$N$2,E168,0)</f>
        <v>0</v>
      </c>
      <c r="O168" s="204">
        <v>2</v>
      </c>
    </row>
    <row r="169" spans="1:15">
      <c r="A169" s="1211" t="s">
        <v>881</v>
      </c>
      <c r="B169" s="220">
        <v>417</v>
      </c>
      <c r="C169" s="301">
        <v>4862110</v>
      </c>
      <c r="D169" s="216" t="s">
        <v>884</v>
      </c>
      <c r="E169" s="1021">
        <v>6207732.0899999999</v>
      </c>
      <c r="F169" s="1087" t="s">
        <v>573</v>
      </c>
      <c r="G169" s="298">
        <f t="shared" si="57"/>
        <v>0</v>
      </c>
      <c r="H169" s="205">
        <v>0</v>
      </c>
      <c r="I169" s="205">
        <f t="shared" si="58"/>
        <v>0</v>
      </c>
      <c r="J169" s="298">
        <f t="shared" si="59"/>
        <v>6207732.0899999999</v>
      </c>
      <c r="K169" s="204" t="s">
        <v>558</v>
      </c>
      <c r="L169" s="1020">
        <v>1179301.20482908</v>
      </c>
      <c r="M169" s="298">
        <f t="shared" si="60"/>
        <v>5028430.8851709198</v>
      </c>
      <c r="N169" s="298">
        <f t="shared" ref="N169:N180" si="61">IF(F169=$N$2,E169,0)</f>
        <v>0</v>
      </c>
      <c r="O169" s="204">
        <v>2</v>
      </c>
    </row>
    <row r="170" spans="1:15">
      <c r="A170" s="1211" t="s">
        <v>883</v>
      </c>
      <c r="B170" s="220">
        <v>417</v>
      </c>
      <c r="C170" s="301">
        <v>4862115</v>
      </c>
      <c r="D170" s="216" t="s">
        <v>886</v>
      </c>
      <c r="E170" s="1021">
        <v>3328620</v>
      </c>
      <c r="F170" s="1087" t="s">
        <v>573</v>
      </c>
      <c r="G170" s="298">
        <f t="shared" si="57"/>
        <v>0</v>
      </c>
      <c r="H170" s="205">
        <v>0</v>
      </c>
      <c r="I170" s="205">
        <f t="shared" si="58"/>
        <v>0</v>
      </c>
      <c r="J170" s="298">
        <f t="shared" si="59"/>
        <v>3328620</v>
      </c>
      <c r="K170" s="204" t="s">
        <v>558</v>
      </c>
      <c r="L170" s="1020">
        <v>648085.661532089</v>
      </c>
      <c r="M170" s="298">
        <f t="shared" si="60"/>
        <v>2680534.3384679109</v>
      </c>
      <c r="N170" s="298">
        <f t="shared" si="61"/>
        <v>0</v>
      </c>
      <c r="O170" s="204">
        <v>2</v>
      </c>
    </row>
    <row r="171" spans="1:15">
      <c r="A171" s="1211" t="s">
        <v>885</v>
      </c>
      <c r="B171" s="220">
        <v>417</v>
      </c>
      <c r="C171" s="301">
        <v>4862120</v>
      </c>
      <c r="D171" s="216" t="s">
        <v>888</v>
      </c>
      <c r="E171" s="1021">
        <v>283556.24</v>
      </c>
      <c r="F171" s="1087" t="s">
        <v>573</v>
      </c>
      <c r="G171" s="298">
        <f t="shared" si="57"/>
        <v>0</v>
      </c>
      <c r="H171" s="205">
        <v>0</v>
      </c>
      <c r="I171" s="205">
        <f t="shared" si="58"/>
        <v>0</v>
      </c>
      <c r="J171" s="298">
        <f t="shared" si="59"/>
        <v>283556.24</v>
      </c>
      <c r="K171" s="204" t="s">
        <v>558</v>
      </c>
      <c r="L171" s="1020">
        <v>55207.917686504203</v>
      </c>
      <c r="M171" s="298">
        <f t="shared" si="60"/>
        <v>228348.3223134958</v>
      </c>
      <c r="N171" s="298">
        <f t="shared" si="61"/>
        <v>0</v>
      </c>
      <c r="O171" s="204">
        <v>2</v>
      </c>
    </row>
    <row r="172" spans="1:15">
      <c r="A172" s="1211" t="s">
        <v>887</v>
      </c>
      <c r="B172" s="220">
        <v>417</v>
      </c>
      <c r="C172" s="301">
        <v>4862135</v>
      </c>
      <c r="D172" s="216" t="s">
        <v>890</v>
      </c>
      <c r="E172" s="1021">
        <v>21488152.460000001</v>
      </c>
      <c r="F172" s="1087" t="s">
        <v>573</v>
      </c>
      <c r="G172" s="298">
        <f t="shared" si="57"/>
        <v>0</v>
      </c>
      <c r="H172" s="205">
        <v>0</v>
      </c>
      <c r="I172" s="205">
        <f t="shared" si="58"/>
        <v>0</v>
      </c>
      <c r="J172" s="298">
        <f t="shared" si="59"/>
        <v>21488152.460000001</v>
      </c>
      <c r="K172" s="204" t="s">
        <v>558</v>
      </c>
      <c r="L172" s="1020">
        <v>4216369.36878186</v>
      </c>
      <c r="M172" s="298">
        <f t="shared" si="60"/>
        <v>17271783.09121814</v>
      </c>
      <c r="N172" s="298">
        <f t="shared" si="61"/>
        <v>0</v>
      </c>
      <c r="O172" s="204">
        <v>2</v>
      </c>
    </row>
    <row r="173" spans="1:15">
      <c r="A173" s="1211" t="s">
        <v>889</v>
      </c>
      <c r="B173" s="220">
        <v>417</v>
      </c>
      <c r="C173" s="301">
        <v>4864115</v>
      </c>
      <c r="D173" s="216" t="s">
        <v>893</v>
      </c>
      <c r="E173" s="1021">
        <v>-237195.39</v>
      </c>
      <c r="F173" s="1087" t="s">
        <v>573</v>
      </c>
      <c r="G173" s="298">
        <f t="shared" si="57"/>
        <v>0</v>
      </c>
      <c r="H173" s="205">
        <v>0</v>
      </c>
      <c r="I173" s="205">
        <f t="shared" si="58"/>
        <v>0</v>
      </c>
      <c r="J173" s="298">
        <f t="shared" si="59"/>
        <v>-237195.39</v>
      </c>
      <c r="K173" s="204" t="s">
        <v>558</v>
      </c>
      <c r="L173" s="1020">
        <v>114301.960766612</v>
      </c>
      <c r="M173" s="298">
        <f t="shared" si="60"/>
        <v>-351497.35076661198</v>
      </c>
      <c r="N173" s="298">
        <f t="shared" si="61"/>
        <v>0</v>
      </c>
      <c r="O173" s="204">
        <v>2</v>
      </c>
    </row>
    <row r="174" spans="1:15">
      <c r="A174" s="1211" t="s">
        <v>891</v>
      </c>
      <c r="B174" s="220">
        <v>417</v>
      </c>
      <c r="C174" s="301">
        <v>4862125</v>
      </c>
      <c r="D174" s="216" t="s">
        <v>895</v>
      </c>
      <c r="E174" s="1021">
        <v>13328277.4</v>
      </c>
      <c r="F174" s="1087" t="s">
        <v>573</v>
      </c>
      <c r="G174" s="298">
        <f t="shared" si="57"/>
        <v>0</v>
      </c>
      <c r="H174" s="205">
        <v>0</v>
      </c>
      <c r="I174" s="205">
        <f t="shared" si="58"/>
        <v>0</v>
      </c>
      <c r="J174" s="298">
        <f t="shared" si="59"/>
        <v>13328277.4</v>
      </c>
      <c r="K174" s="204" t="s">
        <v>558</v>
      </c>
      <c r="L174" s="1020">
        <v>2561825.4077460002</v>
      </c>
      <c r="M174" s="298">
        <f t="shared" si="60"/>
        <v>10766451.992254</v>
      </c>
      <c r="N174" s="298">
        <f t="shared" si="61"/>
        <v>0</v>
      </c>
      <c r="O174" s="204">
        <v>2</v>
      </c>
    </row>
    <row r="175" spans="1:15">
      <c r="A175" s="1211" t="s">
        <v>892</v>
      </c>
      <c r="B175" s="220">
        <v>417</v>
      </c>
      <c r="C175" s="301">
        <v>4862130</v>
      </c>
      <c r="D175" s="216" t="s">
        <v>897</v>
      </c>
      <c r="E175" s="1021">
        <v>4452839.3</v>
      </c>
      <c r="F175" s="1087" t="s">
        <v>573</v>
      </c>
      <c r="G175" s="298">
        <f t="shared" si="57"/>
        <v>0</v>
      </c>
      <c r="H175" s="205">
        <v>0</v>
      </c>
      <c r="I175" s="205">
        <f t="shared" si="58"/>
        <v>0</v>
      </c>
      <c r="J175" s="298">
        <f t="shared" si="59"/>
        <v>4452839.3</v>
      </c>
      <c r="K175" s="204" t="s">
        <v>558</v>
      </c>
      <c r="L175" s="1020">
        <v>1066218.4715759801</v>
      </c>
      <c r="M175" s="298">
        <f t="shared" si="60"/>
        <v>3386620.8284240197</v>
      </c>
      <c r="N175" s="298">
        <f t="shared" si="61"/>
        <v>0</v>
      </c>
      <c r="O175" s="204">
        <v>2</v>
      </c>
    </row>
    <row r="176" spans="1:15">
      <c r="A176" s="1211" t="s">
        <v>894</v>
      </c>
      <c r="B176" s="220">
        <v>417</v>
      </c>
      <c r="C176" s="301">
        <v>4863120</v>
      </c>
      <c r="D176" s="216" t="s">
        <v>899</v>
      </c>
      <c r="E176" s="1021">
        <v>342230.56</v>
      </c>
      <c r="F176" s="1087" t="s">
        <v>573</v>
      </c>
      <c r="G176" s="298">
        <f t="shared" si="57"/>
        <v>0</v>
      </c>
      <c r="H176" s="205">
        <v>0</v>
      </c>
      <c r="I176" s="205">
        <f t="shared" si="58"/>
        <v>0</v>
      </c>
      <c r="J176" s="298">
        <f t="shared" si="59"/>
        <v>342230.56</v>
      </c>
      <c r="K176" s="204" t="s">
        <v>614</v>
      </c>
      <c r="L176" s="1020">
        <v>71854.152810042593</v>
      </c>
      <c r="M176" s="298">
        <f t="shared" si="60"/>
        <v>270376.40718995739</v>
      </c>
      <c r="N176" s="298">
        <f t="shared" si="61"/>
        <v>0</v>
      </c>
      <c r="O176" s="204">
        <v>2</v>
      </c>
    </row>
    <row r="177" spans="1:15">
      <c r="A177" s="1211" t="s">
        <v>896</v>
      </c>
      <c r="B177" s="220">
        <v>417</v>
      </c>
      <c r="C177" s="301">
        <v>4863110</v>
      </c>
      <c r="D177" s="216" t="s">
        <v>901</v>
      </c>
      <c r="E177" s="1021">
        <v>3528303.67</v>
      </c>
      <c r="F177" s="1087" t="s">
        <v>573</v>
      </c>
      <c r="G177" s="298">
        <f t="shared" si="57"/>
        <v>0</v>
      </c>
      <c r="H177" s="205">
        <v>0</v>
      </c>
      <c r="I177" s="205">
        <f t="shared" si="58"/>
        <v>0</v>
      </c>
      <c r="J177" s="298">
        <f t="shared" si="59"/>
        <v>3528303.67</v>
      </c>
      <c r="K177" s="204" t="s">
        <v>614</v>
      </c>
      <c r="L177" s="1020">
        <v>685429.29947367404</v>
      </c>
      <c r="M177" s="298">
        <f t="shared" si="60"/>
        <v>2842874.3705263259</v>
      </c>
      <c r="N177" s="298">
        <f t="shared" si="61"/>
        <v>0</v>
      </c>
      <c r="O177" s="204">
        <v>2</v>
      </c>
    </row>
    <row r="178" spans="1:15">
      <c r="A178" s="1211" t="s">
        <v>898</v>
      </c>
      <c r="B178" s="220">
        <v>417</v>
      </c>
      <c r="C178" s="301">
        <v>4863115</v>
      </c>
      <c r="D178" s="216" t="s">
        <v>903</v>
      </c>
      <c r="E178" s="1021">
        <v>873100.26</v>
      </c>
      <c r="F178" s="1087" t="s">
        <v>573</v>
      </c>
      <c r="G178" s="298">
        <f t="shared" si="57"/>
        <v>0</v>
      </c>
      <c r="H178" s="205">
        <v>0</v>
      </c>
      <c r="I178" s="205">
        <f t="shared" si="58"/>
        <v>0</v>
      </c>
      <c r="J178" s="298">
        <f t="shared" si="59"/>
        <v>873100.26</v>
      </c>
      <c r="K178" s="204" t="s">
        <v>614</v>
      </c>
      <c r="L178" s="1020">
        <v>325605.38007717102</v>
      </c>
      <c r="M178" s="298">
        <f t="shared" si="60"/>
        <v>547494.87992282899</v>
      </c>
      <c r="N178" s="298">
        <f t="shared" si="61"/>
        <v>0</v>
      </c>
      <c r="O178" s="204">
        <v>2</v>
      </c>
    </row>
    <row r="179" spans="1:15">
      <c r="A179" s="1211" t="s">
        <v>900</v>
      </c>
      <c r="B179" s="220">
        <v>417</v>
      </c>
      <c r="C179" s="301">
        <v>4863125</v>
      </c>
      <c r="D179" s="216" t="s">
        <v>905</v>
      </c>
      <c r="E179" s="1021">
        <v>1970237.17</v>
      </c>
      <c r="F179" s="1087" t="s">
        <v>573</v>
      </c>
      <c r="G179" s="298">
        <f t="shared" si="57"/>
        <v>0</v>
      </c>
      <c r="H179" s="205">
        <v>0</v>
      </c>
      <c r="I179" s="205">
        <f t="shared" si="58"/>
        <v>0</v>
      </c>
      <c r="J179" s="298">
        <f t="shared" si="59"/>
        <v>1970237.17</v>
      </c>
      <c r="K179" s="204" t="s">
        <v>614</v>
      </c>
      <c r="L179" s="1020">
        <v>365769.63078297401</v>
      </c>
      <c r="M179" s="298">
        <f t="shared" si="60"/>
        <v>1604467.539217026</v>
      </c>
      <c r="N179" s="298">
        <f t="shared" si="61"/>
        <v>0</v>
      </c>
      <c r="O179" s="204">
        <v>2</v>
      </c>
    </row>
    <row r="180" spans="1:15">
      <c r="A180" s="1211" t="s">
        <v>902</v>
      </c>
      <c r="B180" s="220">
        <v>417</v>
      </c>
      <c r="C180" s="301">
        <v>4864120</v>
      </c>
      <c r="D180" s="216" t="s">
        <v>907</v>
      </c>
      <c r="E180" s="1021">
        <v>-42476.75</v>
      </c>
      <c r="F180" s="1087" t="s">
        <v>573</v>
      </c>
      <c r="G180" s="298">
        <f t="shared" si="57"/>
        <v>0</v>
      </c>
      <c r="H180" s="205">
        <v>0</v>
      </c>
      <c r="I180" s="205">
        <f t="shared" si="58"/>
        <v>0</v>
      </c>
      <c r="J180" s="298">
        <f t="shared" si="59"/>
        <v>-42476.75</v>
      </c>
      <c r="K180" s="204" t="s">
        <v>558</v>
      </c>
      <c r="L180" s="1020">
        <v>21209.800791499201</v>
      </c>
      <c r="M180" s="298">
        <f t="shared" si="60"/>
        <v>-63686.550791499205</v>
      </c>
      <c r="N180" s="298">
        <f t="shared" si="61"/>
        <v>0</v>
      </c>
      <c r="O180" s="204">
        <v>2</v>
      </c>
    </row>
    <row r="181" spans="1:15" s="999" customFormat="1">
      <c r="A181" s="923" t="s">
        <v>904</v>
      </c>
      <c r="B181" s="1251">
        <v>417</v>
      </c>
      <c r="C181" s="1252">
        <v>4864116</v>
      </c>
      <c r="D181" s="1253" t="s">
        <v>2459</v>
      </c>
      <c r="E181" s="1136">
        <v>1330785.19</v>
      </c>
      <c r="F181" s="1087" t="s">
        <v>573</v>
      </c>
      <c r="G181" s="298">
        <f t="shared" si="57"/>
        <v>0</v>
      </c>
      <c r="H181" s="205">
        <v>0</v>
      </c>
      <c r="I181" s="205">
        <f t="shared" si="58"/>
        <v>0</v>
      </c>
      <c r="J181" s="298">
        <f t="shared" si="59"/>
        <v>1330785.19</v>
      </c>
      <c r="K181" s="204" t="s">
        <v>558</v>
      </c>
      <c r="L181" s="1020">
        <v>60758.400373770397</v>
      </c>
      <c r="M181" s="298">
        <f t="shared" si="60"/>
        <v>1270026.7896262296</v>
      </c>
      <c r="N181" s="298">
        <f t="shared" ref="N181:N184" si="62">IF(F181=$N$2,E181,0)</f>
        <v>0</v>
      </c>
      <c r="O181" s="204">
        <v>2</v>
      </c>
    </row>
    <row r="182" spans="1:15" s="999" customFormat="1">
      <c r="A182" s="923" t="s">
        <v>906</v>
      </c>
      <c r="B182" s="1251">
        <v>417</v>
      </c>
      <c r="C182" s="1252">
        <v>4864121</v>
      </c>
      <c r="D182" s="1253" t="s">
        <v>2460</v>
      </c>
      <c r="E182" s="1136">
        <v>107810.01</v>
      </c>
      <c r="F182" s="1087" t="s">
        <v>573</v>
      </c>
      <c r="G182" s="298">
        <f t="shared" si="57"/>
        <v>0</v>
      </c>
      <c r="H182" s="205">
        <v>0</v>
      </c>
      <c r="I182" s="205">
        <f t="shared" si="58"/>
        <v>0</v>
      </c>
      <c r="J182" s="298">
        <f t="shared" si="59"/>
        <v>107810.01</v>
      </c>
      <c r="K182" s="204" t="s">
        <v>558</v>
      </c>
      <c r="L182" s="1020">
        <v>4664.8620446452996</v>
      </c>
      <c r="M182" s="298">
        <f t="shared" si="60"/>
        <v>103145.1479553547</v>
      </c>
      <c r="N182" s="298">
        <f t="shared" si="62"/>
        <v>0</v>
      </c>
      <c r="O182" s="204">
        <v>2</v>
      </c>
    </row>
    <row r="183" spans="1:15">
      <c r="A183" s="1131" t="s">
        <v>2768</v>
      </c>
      <c r="B183" s="330">
        <v>417</v>
      </c>
      <c r="C183" s="331">
        <v>4864117</v>
      </c>
      <c r="D183" s="329" t="s">
        <v>2770</v>
      </c>
      <c r="E183" s="309">
        <v>40857</v>
      </c>
      <c r="F183" s="1087" t="s">
        <v>573</v>
      </c>
      <c r="G183" s="302">
        <f t="shared" si="57"/>
        <v>0</v>
      </c>
      <c r="H183" s="304">
        <v>0</v>
      </c>
      <c r="I183" s="304">
        <f t="shared" si="58"/>
        <v>0</v>
      </c>
      <c r="J183" s="302">
        <f t="shared" si="59"/>
        <v>40857</v>
      </c>
      <c r="K183" s="303" t="s">
        <v>558</v>
      </c>
      <c r="L183" s="302">
        <v>0</v>
      </c>
      <c r="M183" s="302">
        <f t="shared" si="60"/>
        <v>40857</v>
      </c>
      <c r="N183" s="302">
        <f t="shared" si="62"/>
        <v>0</v>
      </c>
      <c r="O183" s="303">
        <v>2</v>
      </c>
    </row>
    <row r="184" spans="1:15" s="999" customFormat="1">
      <c r="A184" s="1131" t="s">
        <v>2769</v>
      </c>
      <c r="B184" s="330">
        <v>417</v>
      </c>
      <c r="C184" s="331">
        <v>4864122</v>
      </c>
      <c r="D184" s="329" t="s">
        <v>2771</v>
      </c>
      <c r="E184" s="309">
        <v>27607.3</v>
      </c>
      <c r="F184" s="1087" t="s">
        <v>573</v>
      </c>
      <c r="G184" s="302">
        <f t="shared" si="57"/>
        <v>0</v>
      </c>
      <c r="H184" s="304">
        <v>0</v>
      </c>
      <c r="I184" s="304">
        <f t="shared" si="58"/>
        <v>0</v>
      </c>
      <c r="J184" s="302">
        <f t="shared" si="59"/>
        <v>27607.3</v>
      </c>
      <c r="K184" s="303" t="s">
        <v>558</v>
      </c>
      <c r="L184" s="302">
        <v>0</v>
      </c>
      <c r="M184" s="302">
        <f t="shared" si="60"/>
        <v>27607.3</v>
      </c>
      <c r="N184" s="302">
        <f t="shared" si="62"/>
        <v>0</v>
      </c>
      <c r="O184" s="303">
        <v>2</v>
      </c>
    </row>
    <row r="185" spans="1:15" s="999" customFormat="1">
      <c r="A185" s="1131"/>
      <c r="B185" s="330"/>
      <c r="C185" s="331"/>
      <c r="D185" s="329"/>
      <c r="E185" s="309"/>
      <c r="F185" s="309"/>
      <c r="G185" s="306"/>
      <c r="H185" s="304"/>
      <c r="I185" s="304"/>
      <c r="J185" s="302"/>
      <c r="K185" s="303"/>
      <c r="L185" s="302"/>
      <c r="M185" s="302"/>
      <c r="N185" s="302"/>
      <c r="O185" s="303"/>
    </row>
    <row r="186" spans="1:15" s="999" customFormat="1">
      <c r="A186" s="1131"/>
      <c r="B186" s="330"/>
      <c r="C186" s="331"/>
      <c r="D186" s="329"/>
      <c r="E186" s="309"/>
      <c r="F186" s="309"/>
      <c r="G186" s="306"/>
      <c r="H186" s="304"/>
      <c r="I186" s="304"/>
      <c r="J186" s="302"/>
      <c r="K186" s="303"/>
      <c r="L186" s="302"/>
      <c r="M186" s="302"/>
      <c r="N186" s="302"/>
      <c r="O186" s="303"/>
    </row>
    <row r="187" spans="1:15">
      <c r="A187" s="206">
        <v>25</v>
      </c>
      <c r="B187" s="1403" t="s">
        <v>908</v>
      </c>
      <c r="C187" s="1404"/>
      <c r="D187" s="1405"/>
      <c r="E187" s="311">
        <f>SUM(E168:E186)</f>
        <v>57636155.059999995</v>
      </c>
      <c r="F187" s="320"/>
      <c r="G187" s="311">
        <f>SUM(G168:G186)</f>
        <v>0</v>
      </c>
      <c r="H187" s="311">
        <f>SUM(H168:H186)</f>
        <v>0</v>
      </c>
      <c r="I187" s="311">
        <f>SUM(I168:I186)</f>
        <v>0</v>
      </c>
      <c r="J187" s="311">
        <f>SUM(J168:J186)</f>
        <v>57636155.059999995</v>
      </c>
      <c r="K187" s="320"/>
      <c r="L187" s="311">
        <f>SUM(L168:L186)</f>
        <v>11514733.486485299</v>
      </c>
      <c r="M187" s="311">
        <f>SUM(M168:M186)</f>
        <v>46121421.5735147</v>
      </c>
      <c r="N187" s="311">
        <f>SUM(N168:N186)</f>
        <v>0</v>
      </c>
      <c r="O187" s="195"/>
    </row>
    <row r="188" spans="1:15">
      <c r="A188" s="206">
        <v>26</v>
      </c>
      <c r="B188" s="1403" t="s">
        <v>909</v>
      </c>
      <c r="C188" s="1404"/>
      <c r="D188" s="1405"/>
      <c r="E188" s="1130">
        <f>E189-E187</f>
        <v>7774303.9400000051</v>
      </c>
      <c r="F188" s="297"/>
      <c r="G188" s="295"/>
      <c r="H188" s="312"/>
      <c r="I188" s="312"/>
      <c r="J188" s="295"/>
      <c r="K188" s="312"/>
      <c r="L188" s="295"/>
      <c r="M188" s="295"/>
      <c r="N188" s="295"/>
      <c r="O188" s="193"/>
    </row>
    <row r="189" spans="1:15" ht="25.5" customHeight="1">
      <c r="A189" s="206">
        <v>27</v>
      </c>
      <c r="B189" s="1398" t="s">
        <v>1249</v>
      </c>
      <c r="C189" s="1399"/>
      <c r="D189" s="1400"/>
      <c r="E189" s="1130">
        <v>65410459</v>
      </c>
      <c r="F189" s="353" t="s">
        <v>330</v>
      </c>
    </row>
    <row r="190" spans="1:15">
      <c r="A190" s="214"/>
    </row>
    <row r="191" spans="1:15">
      <c r="B191" s="40" t="s">
        <v>910</v>
      </c>
    </row>
    <row r="192" spans="1:15">
      <c r="A192" s="204" t="s">
        <v>911</v>
      </c>
      <c r="B192" s="1409">
        <v>418.1</v>
      </c>
      <c r="C192" s="1410"/>
      <c r="D192" s="216" t="s">
        <v>912</v>
      </c>
      <c r="E192" s="1021"/>
      <c r="F192" s="302" t="s">
        <v>573</v>
      </c>
      <c r="G192" s="298">
        <f>IF(F192=$G$2,E192,0)</f>
        <v>0</v>
      </c>
      <c r="H192" s="204">
        <v>0</v>
      </c>
      <c r="I192" s="205">
        <f t="shared" ref="I192:I195" si="63">G192-H192</f>
        <v>0</v>
      </c>
      <c r="J192" s="298">
        <f>IF(F192=$J$2,E192,0)</f>
        <v>0</v>
      </c>
      <c r="K192" s="338" t="s">
        <v>558</v>
      </c>
      <c r="L192" s="302"/>
      <c r="M192" s="205">
        <f>J192-L192</f>
        <v>0</v>
      </c>
      <c r="N192" s="298">
        <f>IF(F192=$N$2,E192,0)</f>
        <v>0</v>
      </c>
      <c r="O192" s="208" t="s">
        <v>913</v>
      </c>
    </row>
    <row r="193" spans="1:16">
      <c r="A193" s="204" t="s">
        <v>914</v>
      </c>
      <c r="B193" s="1409">
        <v>418.1</v>
      </c>
      <c r="C193" s="1410"/>
      <c r="D193" s="216" t="s">
        <v>915</v>
      </c>
      <c r="E193" s="1021"/>
      <c r="F193" s="302" t="s">
        <v>573</v>
      </c>
      <c r="G193" s="298">
        <f>IF(F193=$G$2,E193,0)</f>
        <v>0</v>
      </c>
      <c r="H193" s="204">
        <v>0</v>
      </c>
      <c r="I193" s="205">
        <f t="shared" si="63"/>
        <v>0</v>
      </c>
      <c r="J193" s="298">
        <f>IF(F193=$J$2,E193,0)</f>
        <v>0</v>
      </c>
      <c r="K193" s="338" t="s">
        <v>614</v>
      </c>
      <c r="L193" s="302"/>
      <c r="M193" s="205">
        <f>J193-L193</f>
        <v>0</v>
      </c>
      <c r="N193" s="298">
        <f>IF(F193=$N$2,E193,0)</f>
        <v>0</v>
      </c>
      <c r="O193" s="208" t="s">
        <v>913</v>
      </c>
    </row>
    <row r="194" spans="1:16">
      <c r="A194" s="204" t="s">
        <v>916</v>
      </c>
      <c r="B194" s="1409">
        <v>418.1</v>
      </c>
      <c r="C194" s="1410"/>
      <c r="D194" s="565" t="s">
        <v>1683</v>
      </c>
      <c r="E194" s="1021">
        <v>0</v>
      </c>
      <c r="F194" s="1087" t="s">
        <v>573</v>
      </c>
      <c r="G194" s="298">
        <f>IF(F194=$G$2,E194,0)</f>
        <v>0</v>
      </c>
      <c r="H194" s="204">
        <v>0</v>
      </c>
      <c r="I194" s="205">
        <f t="shared" si="63"/>
        <v>0</v>
      </c>
      <c r="J194" s="298">
        <f>IF(F194=$J$2,E194,0)</f>
        <v>0</v>
      </c>
      <c r="K194" s="566" t="s">
        <v>614</v>
      </c>
      <c r="L194" s="302"/>
      <c r="M194" s="205">
        <f>J194-L194</f>
        <v>0</v>
      </c>
      <c r="N194" s="298">
        <f>IF(F194=$N$2,E194,0)</f>
        <v>0</v>
      </c>
      <c r="O194" s="563" t="s">
        <v>1684</v>
      </c>
    </row>
    <row r="195" spans="1:16">
      <c r="A195" s="204" t="s">
        <v>918</v>
      </c>
      <c r="B195" s="1409">
        <v>418.1</v>
      </c>
      <c r="C195" s="1410"/>
      <c r="D195" s="216" t="s">
        <v>917</v>
      </c>
      <c r="E195" s="1021">
        <f>-45</f>
        <v>-45</v>
      </c>
      <c r="F195" s="302" t="s">
        <v>572</v>
      </c>
      <c r="G195" s="298">
        <f>IF(F195=$G$2,E195,0)</f>
        <v>-45</v>
      </c>
      <c r="H195" s="204">
        <v>0</v>
      </c>
      <c r="I195" s="205">
        <f t="shared" si="63"/>
        <v>-45</v>
      </c>
      <c r="J195" s="298">
        <f>IF(F195=$J$2,E195,0)</f>
        <v>0</v>
      </c>
      <c r="K195" s="338"/>
      <c r="L195" s="302"/>
      <c r="M195" s="205">
        <f>J195-L195</f>
        <v>0</v>
      </c>
      <c r="N195" s="298">
        <f>IF(F195=$N$2,E195,0)</f>
        <v>0</v>
      </c>
      <c r="O195" s="204">
        <v>13</v>
      </c>
    </row>
    <row r="196" spans="1:16">
      <c r="A196" s="564" t="s">
        <v>1196</v>
      </c>
      <c r="B196" s="868">
        <v>418.1</v>
      </c>
      <c r="C196" s="924"/>
      <c r="D196" s="565" t="s">
        <v>1818</v>
      </c>
      <c r="E196" s="1021">
        <v>-1824112.55</v>
      </c>
      <c r="F196" s="302" t="s">
        <v>572</v>
      </c>
      <c r="G196" s="298">
        <f>IF(F196=$G$2,E196,0)</f>
        <v>-1824112.55</v>
      </c>
      <c r="H196" s="205">
        <f>E196*$D$237</f>
        <v>-107969.2218345</v>
      </c>
      <c r="I196" s="205">
        <f>G196-H196</f>
        <v>-1716143.3281655</v>
      </c>
      <c r="J196" s="298">
        <f>IF(F196=$J$2,E196,0)</f>
        <v>0</v>
      </c>
      <c r="K196" s="338"/>
      <c r="L196" s="302"/>
      <c r="M196" s="205">
        <f>J196-L196</f>
        <v>0</v>
      </c>
      <c r="N196" s="298">
        <f>IF(F196=$N$2,E196,0)</f>
        <v>0</v>
      </c>
      <c r="O196" s="564" t="s">
        <v>2196</v>
      </c>
    </row>
    <row r="197" spans="1:16">
      <c r="A197" s="303"/>
      <c r="B197" s="345"/>
      <c r="C197" s="346"/>
      <c r="D197" s="347"/>
      <c r="E197" s="305"/>
      <c r="F197" s="302"/>
      <c r="G197" s="306"/>
      <c r="H197" s="303"/>
      <c r="I197" s="304"/>
      <c r="J197" s="302"/>
      <c r="K197" s="348"/>
      <c r="L197" s="302"/>
      <c r="M197" s="349"/>
      <c r="N197" s="302"/>
      <c r="O197" s="303"/>
    </row>
    <row r="198" spans="1:16">
      <c r="A198" s="303"/>
      <c r="B198" s="345"/>
      <c r="C198" s="346"/>
      <c r="D198" s="347"/>
      <c r="E198" s="305"/>
      <c r="F198" s="302"/>
      <c r="G198" s="306"/>
      <c r="H198" s="303"/>
      <c r="I198" s="304"/>
      <c r="J198" s="302"/>
      <c r="K198" s="348"/>
      <c r="L198" s="302"/>
      <c r="M198" s="349"/>
      <c r="N198" s="302"/>
      <c r="O198" s="303"/>
    </row>
    <row r="199" spans="1:16">
      <c r="A199" s="208">
        <v>29</v>
      </c>
      <c r="B199" s="1403" t="s">
        <v>919</v>
      </c>
      <c r="C199" s="1404"/>
      <c r="D199" s="1405"/>
      <c r="E199" s="404">
        <f>SUM(E192:E198)</f>
        <v>-1824157.55</v>
      </c>
      <c r="F199" s="356"/>
      <c r="G199" s="404">
        <f>SUM(G192:G198)</f>
        <v>-1824157.55</v>
      </c>
      <c r="H199" s="404">
        <f>SUM(H192:H198)</f>
        <v>-107969.2218345</v>
      </c>
      <c r="I199" s="404">
        <f>SUM(I192:I198)</f>
        <v>-1716188.3281655</v>
      </c>
      <c r="J199" s="404">
        <f>SUM(J192:J198)</f>
        <v>0</v>
      </c>
      <c r="K199" s="321"/>
      <c r="L199" s="404">
        <f>SUM(L192:L198)</f>
        <v>0</v>
      </c>
      <c r="M199" s="404">
        <f>SUM(M192:M198)</f>
        <v>0</v>
      </c>
      <c r="N199" s="404">
        <f>SUM(N192:N198)</f>
        <v>0</v>
      </c>
      <c r="O199" s="195"/>
      <c r="P199" s="14"/>
    </row>
    <row r="200" spans="1:16">
      <c r="A200" s="208">
        <v>30</v>
      </c>
      <c r="B200" s="1403" t="s">
        <v>1757</v>
      </c>
      <c r="C200" s="1404"/>
      <c r="D200" s="1405"/>
      <c r="E200" s="1137">
        <f>E201-E199</f>
        <v>1824112.55</v>
      </c>
      <c r="F200" s="355"/>
      <c r="G200" s="355"/>
      <c r="H200" s="355"/>
      <c r="I200" s="355"/>
      <c r="J200" s="354"/>
      <c r="K200" s="355"/>
      <c r="L200" s="354"/>
      <c r="M200" s="354"/>
      <c r="N200" s="354"/>
      <c r="O200" s="193"/>
    </row>
    <row r="201" spans="1:16" ht="25.5" customHeight="1">
      <c r="A201" s="208">
        <v>31</v>
      </c>
      <c r="B201" s="1411" t="s">
        <v>1248</v>
      </c>
      <c r="C201" s="1402"/>
      <c r="D201" s="1402"/>
      <c r="E201" s="1137">
        <v>-45</v>
      </c>
      <c r="F201" s="355"/>
      <c r="G201" s="355"/>
      <c r="H201" s="355"/>
      <c r="I201" s="355"/>
      <c r="J201" s="354"/>
      <c r="K201" s="355"/>
      <c r="L201" s="354"/>
      <c r="M201" s="354"/>
      <c r="N201" s="354"/>
      <c r="O201" s="193"/>
    </row>
    <row r="202" spans="1:16">
      <c r="A202" s="214"/>
    </row>
    <row r="203" spans="1:16">
      <c r="A203" s="208">
        <v>32</v>
      </c>
      <c r="B203" s="325"/>
      <c r="C203" s="324"/>
      <c r="D203" s="225" t="s">
        <v>920</v>
      </c>
      <c r="E203" s="1259">
        <f>E8+E30+E35+E67+E129+E154+E159+E164+E187+E199</f>
        <v>798220761.62000012</v>
      </c>
      <c r="F203" s="406"/>
      <c r="G203" s="1259">
        <f>G8+G30+G35+G67+G129+G154+G159+G164+G187+G199</f>
        <v>241420223.15501601</v>
      </c>
      <c r="H203" s="1259">
        <f>H8+H30+H35+H67+H129+H154+H159+H164+H187+H199</f>
        <v>49523448.737286501</v>
      </c>
      <c r="I203" s="1259">
        <f>I8+I30+I35+I67+I129+I154+I159+I164+I187+I199</f>
        <v>191896774.41772947</v>
      </c>
      <c r="J203" s="1259">
        <f>J8+J30+J35+J67+J129+J154+J159+J164+J187+J199</f>
        <v>83406528.639999986</v>
      </c>
      <c r="K203" s="406"/>
      <c r="L203" s="1259">
        <f>L8+L30+L35+L67+L129+L154+L159+L164+L187+L199</f>
        <v>16671389.045323361</v>
      </c>
      <c r="M203" s="405">
        <f>M8+M30+M35+M67+M129+M154+M159+M164+M187+M199</f>
        <v>66735139.594676644</v>
      </c>
      <c r="N203" s="405">
        <f>N8+N30+N35+N67+N129+N154+N159+N164+N187+N199</f>
        <v>473394009.82498407</v>
      </c>
      <c r="O203" s="194"/>
    </row>
    <row r="204" spans="1:16">
      <c r="A204" s="226"/>
      <c r="B204" s="227"/>
      <c r="C204" s="226"/>
      <c r="E204" s="214"/>
      <c r="F204" s="214"/>
      <c r="G204" s="299"/>
      <c r="J204" s="316"/>
      <c r="K204" s="315"/>
      <c r="N204" s="299"/>
    </row>
    <row r="205" spans="1:16">
      <c r="A205" s="226"/>
      <c r="B205" s="227"/>
      <c r="C205" s="226"/>
      <c r="E205" s="214"/>
      <c r="F205" s="214" t="s">
        <v>154</v>
      </c>
      <c r="J205" s="316"/>
      <c r="K205" s="315"/>
      <c r="N205" s="299"/>
    </row>
    <row r="206" spans="1:16">
      <c r="A206" s="208">
        <v>33</v>
      </c>
      <c r="B206" s="344"/>
      <c r="C206" s="344"/>
      <c r="D206" s="340" t="s">
        <v>921</v>
      </c>
      <c r="E206" s="337">
        <f>L203</f>
        <v>16671389.045323361</v>
      </c>
      <c r="F206" s="339" t="s">
        <v>922</v>
      </c>
      <c r="G206" s="299"/>
      <c r="N206" s="299"/>
    </row>
    <row r="207" spans="1:16">
      <c r="A207" s="204">
        <v>34</v>
      </c>
      <c r="B207" s="344"/>
      <c r="C207" s="344"/>
      <c r="D207" s="340" t="s">
        <v>924</v>
      </c>
      <c r="E207" s="337">
        <f>E206*(5.425/16.671)</f>
        <v>5425126.6013364065</v>
      </c>
      <c r="F207" s="925" t="s">
        <v>1190</v>
      </c>
      <c r="G207" s="315"/>
      <c r="N207" s="299"/>
    </row>
    <row r="208" spans="1:16">
      <c r="A208" s="204">
        <v>35</v>
      </c>
      <c r="B208" s="344"/>
      <c r="C208" s="344"/>
      <c r="D208" s="342"/>
      <c r="E208" s="293"/>
      <c r="F208" s="926"/>
      <c r="G208" s="315"/>
      <c r="N208" s="299"/>
    </row>
    <row r="209" spans="1:254">
      <c r="A209" s="204">
        <v>36</v>
      </c>
      <c r="B209" s="344"/>
      <c r="C209" s="344"/>
      <c r="D209" s="340" t="s">
        <v>925</v>
      </c>
      <c r="E209" s="337">
        <f>SUMIF(K4:K198,"=A",M4:M198)</f>
        <v>40424674.813871965</v>
      </c>
      <c r="F209" s="927" t="s">
        <v>926</v>
      </c>
      <c r="G209" s="315"/>
      <c r="N209" s="299"/>
    </row>
    <row r="210" spans="1:254">
      <c r="A210" s="204">
        <v>37</v>
      </c>
      <c r="B210" s="334"/>
      <c r="C210" s="334"/>
      <c r="D210" s="340" t="s">
        <v>927</v>
      </c>
      <c r="E210" s="337">
        <f>0.1*E209</f>
        <v>4042467.4813871966</v>
      </c>
      <c r="F210" s="66" t="str">
        <f>"= Line "&amp;A209&amp;"D * 10%"</f>
        <v>= Line 36D * 10%</v>
      </c>
      <c r="G210" s="41"/>
      <c r="H210" s="318"/>
      <c r="I210" s="319"/>
    </row>
    <row r="211" spans="1:254">
      <c r="A211" s="204">
        <v>38</v>
      </c>
      <c r="B211" s="334"/>
      <c r="C211" s="334"/>
      <c r="D211" s="340" t="s">
        <v>928</v>
      </c>
      <c r="E211" s="337">
        <f>SUMIF(K4:K198,"=P",M4:M198)</f>
        <v>26310464.780804679</v>
      </c>
      <c r="F211" s="928" t="s">
        <v>929</v>
      </c>
      <c r="G211" s="41"/>
      <c r="H211" s="214"/>
      <c r="I211" s="319"/>
    </row>
    <row r="212" spans="1:254">
      <c r="A212" s="204">
        <v>39</v>
      </c>
      <c r="B212" s="334"/>
      <c r="C212" s="334"/>
      <c r="D212" s="340" t="s">
        <v>930</v>
      </c>
      <c r="E212" s="337">
        <f>0.3*E211</f>
        <v>7893139.4342414029</v>
      </c>
      <c r="F212" s="66" t="str">
        <f>"= Line "&amp;A211&amp;"D * 30%"</f>
        <v>= Line 38D * 30%</v>
      </c>
      <c r="G212" s="41"/>
      <c r="H212" s="318"/>
      <c r="I212" s="319"/>
    </row>
    <row r="213" spans="1:254">
      <c r="A213" s="204">
        <v>40</v>
      </c>
      <c r="B213" s="334"/>
      <c r="C213" s="334"/>
      <c r="D213" s="340" t="s">
        <v>931</v>
      </c>
      <c r="E213" s="337">
        <f>E210+E212</f>
        <v>11935606.915628599</v>
      </c>
      <c r="F213" s="66" t="str">
        <f>"= Line "&amp;A210&amp;"D + Line "&amp;A212&amp;"D"</f>
        <v>= Line 37D + Line 39D</v>
      </c>
      <c r="G213" s="314"/>
    </row>
    <row r="214" spans="1:254">
      <c r="A214" s="204">
        <v>41</v>
      </c>
      <c r="B214" s="334"/>
      <c r="C214" s="334"/>
      <c r="D214" s="340" t="s">
        <v>932</v>
      </c>
      <c r="E214" s="341">
        <f>5.425/16.671</f>
        <v>0.32541539199808051</v>
      </c>
      <c r="F214" s="927" t="s">
        <v>923</v>
      </c>
      <c r="G214" s="314"/>
    </row>
    <row r="215" spans="1:254">
      <c r="A215" s="204">
        <v>42</v>
      </c>
      <c r="B215" s="334"/>
      <c r="C215" s="334"/>
      <c r="D215" s="340" t="s">
        <v>933</v>
      </c>
      <c r="E215" s="337">
        <f>E213*E214</f>
        <v>3884030.203184281</v>
      </c>
      <c r="F215" s="66" t="str">
        <f>"= Line "&amp;A213&amp;"D * Line "&amp;A214&amp;"D"</f>
        <v>= Line 40D * Line 41D</v>
      </c>
      <c r="G215" s="314"/>
    </row>
    <row r="216" spans="1:254" ht="12.75" customHeight="1">
      <c r="A216" s="204">
        <v>43</v>
      </c>
      <c r="B216" s="334"/>
      <c r="C216" s="334"/>
      <c r="D216" s="343" t="s">
        <v>1758</v>
      </c>
      <c r="E216" s="404">
        <f>E215+E207</f>
        <v>9309156.8045206871</v>
      </c>
      <c r="F216" s="66" t="str">
        <f>"= Line "&amp;A207&amp;"D + Line "&amp;A215&amp;"D"</f>
        <v>= Line 34D + Line 42D</v>
      </c>
      <c r="G216" s="314"/>
    </row>
    <row r="217" spans="1:254">
      <c r="A217" s="41"/>
      <c r="D217" s="314"/>
      <c r="E217" s="929"/>
      <c r="F217" s="927"/>
      <c r="G217" s="314"/>
    </row>
    <row r="218" spans="1:254">
      <c r="A218" s="41"/>
      <c r="D218" s="223"/>
      <c r="E218" s="229" t="s">
        <v>175</v>
      </c>
      <c r="F218" s="229" t="s">
        <v>154</v>
      </c>
      <c r="G218" s="221"/>
      <c r="I218" s="224"/>
      <c r="J218" s="41"/>
      <c r="K218" s="224"/>
      <c r="L218" s="223"/>
      <c r="M218" s="229"/>
      <c r="N218" s="229"/>
      <c r="O218" s="221"/>
      <c r="P218" s="222"/>
      <c r="Q218" s="224"/>
      <c r="R218" s="223"/>
      <c r="S218" s="229"/>
      <c r="T218" s="229"/>
      <c r="U218" s="221"/>
      <c r="V218" s="222"/>
      <c r="W218" s="224"/>
      <c r="X218" s="41"/>
      <c r="Y218" s="224"/>
      <c r="Z218" s="223"/>
      <c r="AA218" s="229"/>
      <c r="AB218" s="229"/>
      <c r="AC218" s="221"/>
      <c r="AD218" s="222"/>
      <c r="AE218" s="224"/>
      <c r="AF218" s="41"/>
      <c r="AG218" s="224"/>
      <c r="AH218" s="223"/>
      <c r="AI218" s="229"/>
      <c r="AJ218" s="229"/>
      <c r="AK218" s="221"/>
      <c r="AL218" s="222"/>
      <c r="AM218" s="224"/>
      <c r="AN218" s="41"/>
      <c r="AO218" s="224"/>
      <c r="AP218" s="223"/>
      <c r="AQ218" s="229"/>
      <c r="AR218" s="229"/>
      <c r="AS218" s="221"/>
      <c r="AT218" s="222"/>
      <c r="AU218" s="224"/>
      <c r="AV218" s="41"/>
      <c r="AW218" s="224"/>
      <c r="AX218" s="223"/>
      <c r="AY218" s="229"/>
      <c r="AZ218" s="229"/>
      <c r="BA218" s="221"/>
      <c r="BB218" s="222"/>
      <c r="BC218" s="224"/>
      <c r="BD218" s="41"/>
      <c r="BE218" s="224"/>
      <c r="BF218" s="223"/>
      <c r="BG218" s="229"/>
      <c r="BH218" s="229"/>
      <c r="BI218" s="221"/>
      <c r="BJ218" s="222"/>
      <c r="BK218" s="224"/>
      <c r="BL218" s="41"/>
      <c r="BM218" s="224"/>
      <c r="BN218" s="223"/>
      <c r="BO218" s="229"/>
      <c r="BP218" s="229"/>
      <c r="BQ218" s="221"/>
      <c r="BR218" s="222"/>
      <c r="BS218" s="224"/>
      <c r="BT218" s="41"/>
      <c r="BU218" s="224"/>
      <c r="BV218" s="223"/>
      <c r="BW218" s="229"/>
      <c r="BX218" s="229"/>
      <c r="BY218" s="221"/>
      <c r="BZ218" s="222"/>
      <c r="CA218" s="224"/>
      <c r="CB218" s="41"/>
      <c r="CC218" s="224"/>
      <c r="CD218" s="223"/>
      <c r="CE218" s="229"/>
      <c r="CF218" s="229"/>
      <c r="CG218" s="221"/>
      <c r="CH218" s="222"/>
      <c r="CI218" s="224"/>
      <c r="CJ218" s="41"/>
      <c r="CK218" s="224"/>
      <c r="CL218" s="223"/>
      <c r="CM218" s="229"/>
      <c r="CN218" s="229"/>
      <c r="CO218" s="221"/>
      <c r="CP218" s="222"/>
      <c r="CQ218" s="224"/>
      <c r="CR218" s="41"/>
      <c r="CS218" s="224"/>
      <c r="CT218" s="223"/>
      <c r="CU218" s="229"/>
      <c r="CV218" s="229"/>
      <c r="CW218" s="221"/>
      <c r="CX218" s="222"/>
      <c r="CY218" s="224"/>
      <c r="CZ218" s="41"/>
      <c r="DA218" s="224"/>
      <c r="DB218" s="223"/>
      <c r="DC218" s="229"/>
      <c r="DD218" s="229"/>
      <c r="DE218" s="221"/>
      <c r="DF218" s="222"/>
      <c r="DG218" s="224"/>
      <c r="DH218" s="41"/>
      <c r="DI218" s="224"/>
      <c r="DJ218" s="223"/>
      <c r="DK218" s="229"/>
      <c r="DL218" s="229"/>
      <c r="DM218" s="221"/>
      <c r="DN218" s="222"/>
      <c r="DO218" s="224"/>
      <c r="DP218" s="41"/>
      <c r="DQ218" s="224"/>
      <c r="DR218" s="223"/>
      <c r="DS218" s="229"/>
      <c r="DT218" s="229"/>
      <c r="DU218" s="221"/>
      <c r="DV218" s="222"/>
      <c r="DW218" s="224"/>
      <c r="DX218" s="41"/>
      <c r="DY218" s="224"/>
      <c r="DZ218" s="223"/>
      <c r="EA218" s="229"/>
      <c r="EB218" s="229"/>
      <c r="EC218" s="221"/>
      <c r="ED218" s="222"/>
      <c r="EE218" s="224"/>
      <c r="EF218" s="41"/>
      <c r="EG218" s="224"/>
      <c r="EH218" s="223"/>
      <c r="EI218" s="229"/>
      <c r="EJ218" s="229"/>
      <c r="EK218" s="221"/>
      <c r="EL218" s="222"/>
      <c r="EM218" s="224"/>
      <c r="EN218" s="41"/>
      <c r="EO218" s="224"/>
      <c r="EP218" s="223"/>
      <c r="EQ218" s="229"/>
      <c r="ER218" s="229"/>
      <c r="ES218" s="221"/>
      <c r="ET218" s="222"/>
      <c r="EU218" s="224"/>
      <c r="EV218" s="41"/>
      <c r="EW218" s="224"/>
      <c r="EX218" s="223"/>
      <c r="EY218" s="229"/>
      <c r="EZ218" s="229"/>
      <c r="FA218" s="221"/>
      <c r="FB218" s="222"/>
      <c r="FC218" s="224"/>
      <c r="FD218" s="41"/>
      <c r="FE218" s="224"/>
      <c r="FF218" s="223"/>
      <c r="FG218" s="229"/>
      <c r="FH218" s="229"/>
      <c r="FI218" s="221"/>
      <c r="FJ218" s="222"/>
      <c r="FK218" s="224"/>
      <c r="FL218" s="41"/>
      <c r="FM218" s="224"/>
      <c r="FN218" s="223"/>
      <c r="FO218" s="229"/>
      <c r="FP218" s="229"/>
      <c r="FQ218" s="221"/>
      <c r="FR218" s="222"/>
      <c r="FS218" s="224"/>
      <c r="FT218" s="41"/>
      <c r="FU218" s="224"/>
      <c r="FV218" s="223"/>
      <c r="FW218" s="229"/>
      <c r="FX218" s="229"/>
      <c r="FY218" s="221"/>
      <c r="FZ218" s="222"/>
      <c r="GA218" s="224"/>
      <c r="GB218" s="41"/>
      <c r="GC218" s="224"/>
      <c r="GD218" s="223"/>
      <c r="GE218" s="229"/>
      <c r="GF218" s="229"/>
      <c r="GG218" s="221"/>
      <c r="GH218" s="222"/>
      <c r="GI218" s="224"/>
      <c r="GJ218" s="41"/>
      <c r="GK218" s="224"/>
      <c r="GL218" s="223"/>
      <c r="GM218" s="229"/>
      <c r="GN218" s="229"/>
      <c r="GO218" s="221"/>
      <c r="GP218" s="222"/>
      <c r="GQ218" s="224"/>
      <c r="GR218" s="41"/>
      <c r="GS218" s="224"/>
      <c r="GT218" s="223"/>
      <c r="GU218" s="229"/>
      <c r="GV218" s="229"/>
      <c r="GW218" s="221"/>
      <c r="GX218" s="222"/>
      <c r="GY218" s="224"/>
      <c r="GZ218" s="41"/>
      <c r="HA218" s="224"/>
      <c r="HB218" s="223"/>
      <c r="HC218" s="229"/>
      <c r="HD218" s="229"/>
      <c r="HE218" s="221"/>
      <c r="HF218" s="222"/>
      <c r="HG218" s="224"/>
      <c r="HH218" s="41"/>
      <c r="HI218" s="224"/>
      <c r="HJ218" s="223"/>
      <c r="HK218" s="229"/>
      <c r="HL218" s="229"/>
      <c r="HM218" s="221"/>
      <c r="HN218" s="222"/>
      <c r="HO218" s="224"/>
      <c r="HP218" s="41"/>
      <c r="HQ218" s="224"/>
      <c r="HR218" s="223"/>
      <c r="HS218" s="229"/>
      <c r="HT218" s="229"/>
      <c r="HU218" s="221"/>
      <c r="HV218" s="222"/>
      <c r="HW218" s="224"/>
      <c r="HX218" s="41"/>
      <c r="HY218" s="224"/>
      <c r="HZ218" s="223"/>
      <c r="IA218" s="229"/>
      <c r="IB218" s="229"/>
      <c r="IC218" s="221"/>
      <c r="ID218" s="222"/>
      <c r="IE218" s="224"/>
      <c r="IF218" s="41"/>
      <c r="IG218" s="224"/>
      <c r="IH218" s="223"/>
      <c r="II218" s="229"/>
      <c r="IJ218" s="229"/>
      <c r="IK218" s="221"/>
      <c r="IL218" s="222"/>
      <c r="IM218" s="224"/>
      <c r="IN218" s="41"/>
      <c r="IO218" s="224"/>
      <c r="IP218" s="223"/>
      <c r="IQ218" s="229"/>
      <c r="IR218" s="229"/>
      <c r="IS218" s="221"/>
      <c r="IT218" s="222"/>
    </row>
    <row r="219" spans="1:254">
      <c r="A219" s="204">
        <v>44</v>
      </c>
      <c r="B219" s="40" t="s">
        <v>956</v>
      </c>
      <c r="D219" s="223"/>
      <c r="E219" s="407">
        <f>H203+E216</f>
        <v>58832605.54180719</v>
      </c>
      <c r="F219" s="727" t="s">
        <v>2056</v>
      </c>
      <c r="G219" s="221"/>
      <c r="J219" s="40"/>
      <c r="K219" s="224"/>
      <c r="L219" s="223"/>
      <c r="M219" s="228"/>
      <c r="N219" s="230"/>
      <c r="O219" s="221"/>
      <c r="P219" s="222"/>
      <c r="Q219" s="224"/>
      <c r="R219" s="223"/>
      <c r="S219" s="228"/>
      <c r="T219" s="230"/>
      <c r="U219" s="221"/>
      <c r="V219" s="222"/>
      <c r="W219" s="214"/>
      <c r="X219" s="40"/>
      <c r="Y219" s="224"/>
      <c r="Z219" s="223"/>
      <c r="AA219" s="228"/>
      <c r="AB219" s="230"/>
      <c r="AC219" s="221"/>
      <c r="AD219" s="222"/>
      <c r="AE219" s="214"/>
      <c r="AF219" s="40"/>
      <c r="AG219" s="224"/>
      <c r="AH219" s="223"/>
      <c r="AI219" s="228"/>
      <c r="AJ219" s="230"/>
      <c r="AK219" s="221"/>
      <c r="AL219" s="222"/>
      <c r="AM219" s="208"/>
      <c r="AN219" s="40"/>
      <c r="AO219" s="224"/>
      <c r="AP219" s="223"/>
      <c r="AQ219" s="228"/>
      <c r="AR219" s="230"/>
      <c r="AS219" s="221"/>
      <c r="AT219" s="222"/>
      <c r="AU219" s="208"/>
      <c r="AV219" s="40"/>
      <c r="AW219" s="224"/>
      <c r="AX219" s="223"/>
      <c r="AY219" s="228"/>
      <c r="AZ219" s="230"/>
      <c r="BA219" s="221"/>
      <c r="BB219" s="222"/>
      <c r="BC219" s="208"/>
      <c r="BD219" s="40"/>
      <c r="BE219" s="224"/>
      <c r="BF219" s="223"/>
      <c r="BG219" s="228"/>
      <c r="BH219" s="230"/>
      <c r="BI219" s="221"/>
      <c r="BJ219" s="222"/>
      <c r="BK219" s="208"/>
      <c r="BL219" s="40"/>
      <c r="BM219" s="224"/>
      <c r="BN219" s="223"/>
      <c r="BO219" s="228"/>
      <c r="BP219" s="230"/>
      <c r="BQ219" s="221"/>
      <c r="BR219" s="222"/>
      <c r="BS219" s="208"/>
      <c r="BT219" s="40"/>
      <c r="BU219" s="224"/>
      <c r="BV219" s="223"/>
      <c r="BW219" s="228"/>
      <c r="BX219" s="230"/>
      <c r="BY219" s="221"/>
      <c r="BZ219" s="222"/>
      <c r="CA219" s="208"/>
      <c r="CB219" s="40"/>
      <c r="CC219" s="224"/>
      <c r="CD219" s="223"/>
      <c r="CE219" s="228"/>
      <c r="CF219" s="230"/>
      <c r="CG219" s="221"/>
      <c r="CH219" s="222"/>
      <c r="CI219" s="208"/>
      <c r="CJ219" s="40"/>
      <c r="CK219" s="224"/>
      <c r="CL219" s="223"/>
      <c r="CM219" s="228"/>
      <c r="CN219" s="230"/>
      <c r="CO219" s="221"/>
      <c r="CP219" s="222"/>
      <c r="CQ219" s="208"/>
      <c r="CR219" s="40"/>
      <c r="CS219" s="224"/>
      <c r="CT219" s="223"/>
      <c r="CU219" s="228"/>
      <c r="CV219" s="230"/>
      <c r="CW219" s="221"/>
      <c r="CX219" s="222"/>
      <c r="CY219" s="208"/>
      <c r="CZ219" s="40"/>
      <c r="DA219" s="224"/>
      <c r="DB219" s="223"/>
      <c r="DC219" s="228"/>
      <c r="DD219" s="230"/>
      <c r="DE219" s="221"/>
      <c r="DF219" s="222"/>
      <c r="DG219" s="208"/>
      <c r="DH219" s="40"/>
      <c r="DI219" s="224"/>
      <c r="DJ219" s="223"/>
      <c r="DK219" s="228"/>
      <c r="DL219" s="230"/>
      <c r="DM219" s="221"/>
      <c r="DN219" s="222"/>
      <c r="DO219" s="208"/>
      <c r="DP219" s="40"/>
      <c r="DQ219" s="224"/>
      <c r="DR219" s="223"/>
      <c r="DS219" s="228"/>
      <c r="DT219" s="230"/>
      <c r="DU219" s="221"/>
      <c r="DV219" s="222"/>
      <c r="DW219" s="208"/>
      <c r="DX219" s="40"/>
      <c r="DY219" s="224"/>
      <c r="DZ219" s="223"/>
      <c r="EA219" s="228"/>
      <c r="EB219" s="230"/>
      <c r="EC219" s="221"/>
      <c r="ED219" s="222"/>
      <c r="EE219" s="208"/>
      <c r="EF219" s="40"/>
      <c r="EG219" s="224"/>
      <c r="EH219" s="223"/>
      <c r="EI219" s="228"/>
      <c r="EJ219" s="230"/>
      <c r="EK219" s="221"/>
      <c r="EL219" s="222"/>
      <c r="EM219" s="208"/>
      <c r="EN219" s="40"/>
      <c r="EO219" s="224"/>
      <c r="EP219" s="223"/>
      <c r="EQ219" s="228"/>
      <c r="ER219" s="230"/>
      <c r="ES219" s="221"/>
      <c r="ET219" s="222"/>
      <c r="EU219" s="208"/>
      <c r="EV219" s="40"/>
      <c r="EW219" s="224"/>
      <c r="EX219" s="223"/>
      <c r="EY219" s="228"/>
      <c r="EZ219" s="230"/>
      <c r="FA219" s="221"/>
      <c r="FB219" s="222"/>
      <c r="FC219" s="208"/>
      <c r="FD219" s="40"/>
      <c r="FE219" s="224"/>
      <c r="FF219" s="223"/>
      <c r="FG219" s="228"/>
      <c r="FH219" s="230"/>
      <c r="FI219" s="221"/>
      <c r="FJ219" s="222"/>
      <c r="FK219" s="208"/>
      <c r="FL219" s="40"/>
      <c r="FM219" s="224"/>
      <c r="FN219" s="223"/>
      <c r="FO219" s="228"/>
      <c r="FP219" s="230"/>
      <c r="FQ219" s="221"/>
      <c r="FR219" s="222"/>
      <c r="FS219" s="208"/>
      <c r="FT219" s="40"/>
      <c r="FU219" s="224"/>
      <c r="FV219" s="223"/>
      <c r="FW219" s="228"/>
      <c r="FX219" s="230"/>
      <c r="FY219" s="221"/>
      <c r="FZ219" s="222"/>
      <c r="GA219" s="208"/>
      <c r="GB219" s="40"/>
      <c r="GC219" s="224"/>
      <c r="GD219" s="223"/>
      <c r="GE219" s="228"/>
      <c r="GF219" s="230"/>
      <c r="GG219" s="221"/>
      <c r="GH219" s="222"/>
      <c r="GI219" s="208"/>
      <c r="GJ219" s="40"/>
      <c r="GK219" s="224"/>
      <c r="GL219" s="223"/>
      <c r="GM219" s="228"/>
      <c r="GN219" s="230"/>
      <c r="GO219" s="221"/>
      <c r="GP219" s="222"/>
      <c r="GQ219" s="208"/>
      <c r="GR219" s="40"/>
      <c r="GS219" s="224"/>
      <c r="GT219" s="223"/>
      <c r="GU219" s="228"/>
      <c r="GV219" s="230"/>
      <c r="GW219" s="221"/>
      <c r="GX219" s="222"/>
      <c r="GY219" s="208"/>
      <c r="GZ219" s="40"/>
      <c r="HA219" s="224"/>
      <c r="HB219" s="223"/>
      <c r="HC219" s="228"/>
      <c r="HD219" s="230"/>
      <c r="HE219" s="221"/>
      <c r="HF219" s="222"/>
      <c r="HG219" s="208"/>
      <c r="HH219" s="40"/>
      <c r="HI219" s="224"/>
      <c r="HJ219" s="223"/>
      <c r="HK219" s="228"/>
      <c r="HL219" s="230"/>
      <c r="HM219" s="221"/>
      <c r="HN219" s="222"/>
      <c r="HO219" s="208"/>
      <c r="HP219" s="40"/>
      <c r="HQ219" s="224"/>
      <c r="HR219" s="223"/>
      <c r="HS219" s="228"/>
      <c r="HT219" s="230"/>
      <c r="HU219" s="221"/>
      <c r="HV219" s="222"/>
      <c r="HW219" s="208"/>
      <c r="HX219" s="40"/>
      <c r="HY219" s="224"/>
      <c r="HZ219" s="223"/>
      <c r="IA219" s="228"/>
      <c r="IB219" s="230"/>
      <c r="IC219" s="221"/>
      <c r="ID219" s="222"/>
      <c r="IE219" s="208"/>
      <c r="IF219" s="40"/>
      <c r="IG219" s="224"/>
      <c r="IH219" s="223"/>
      <c r="II219" s="228"/>
      <c r="IJ219" s="230"/>
      <c r="IK219" s="221"/>
      <c r="IL219" s="222"/>
      <c r="IM219" s="208"/>
      <c r="IN219" s="40"/>
      <c r="IO219" s="224"/>
      <c r="IP219" s="223"/>
      <c r="IQ219" s="228"/>
      <c r="IR219" s="230"/>
      <c r="IS219" s="221"/>
      <c r="IT219" s="222"/>
    </row>
    <row r="220" spans="1:254">
      <c r="D220" s="314"/>
      <c r="E220" s="300"/>
      <c r="F220" s="339"/>
    </row>
    <row r="222" spans="1:254">
      <c r="A222" s="224" t="s">
        <v>232</v>
      </c>
    </row>
    <row r="223" spans="1:254" ht="12.75" customHeight="1">
      <c r="A223" s="86" t="s">
        <v>934</v>
      </c>
      <c r="B223" s="1416" t="s">
        <v>1482</v>
      </c>
      <c r="C223" s="1417"/>
      <c r="D223" s="1417"/>
    </row>
    <row r="224" spans="1:254" ht="77.25" customHeight="1">
      <c r="A224" s="86" t="s">
        <v>935</v>
      </c>
      <c r="B224" s="1392" t="s">
        <v>1835</v>
      </c>
      <c r="C224" s="1393"/>
      <c r="D224" s="1393"/>
      <c r="E224" s="1394"/>
      <c r="F224" s="1394"/>
    </row>
    <row r="225" spans="1:8" ht="12.75" customHeight="1">
      <c r="A225" s="86" t="s">
        <v>936</v>
      </c>
      <c r="B225" s="1407" t="s">
        <v>937</v>
      </c>
      <c r="C225" s="1408"/>
      <c r="D225" s="1408"/>
      <c r="E225" s="1371"/>
      <c r="F225" s="1371"/>
    </row>
    <row r="226" spans="1:8" ht="12.75" customHeight="1">
      <c r="A226" s="72" t="s">
        <v>938</v>
      </c>
      <c r="B226" s="1392" t="s">
        <v>1524</v>
      </c>
      <c r="C226" s="1408"/>
      <c r="D226" s="1408"/>
      <c r="E226" s="1371"/>
      <c r="F226" s="1371"/>
    </row>
    <row r="227" spans="1:8" ht="12.75" customHeight="1">
      <c r="A227" s="86" t="s">
        <v>939</v>
      </c>
      <c r="B227" s="1407" t="s">
        <v>940</v>
      </c>
      <c r="C227" s="1408"/>
      <c r="D227" s="1408"/>
      <c r="E227" s="1371"/>
      <c r="F227" s="1371"/>
    </row>
    <row r="228" spans="1:8" ht="12.75" customHeight="1">
      <c r="A228" s="72" t="s">
        <v>941</v>
      </c>
      <c r="B228" s="1407" t="s">
        <v>942</v>
      </c>
      <c r="C228" s="1408"/>
      <c r="D228" s="1408"/>
      <c r="E228" s="1371"/>
      <c r="F228" s="1371"/>
    </row>
    <row r="229" spans="1:8" ht="12.75" customHeight="1">
      <c r="A229" s="72" t="s">
        <v>943</v>
      </c>
      <c r="B229" s="1392" t="s">
        <v>1729</v>
      </c>
      <c r="C229" s="1393"/>
      <c r="D229" s="1393"/>
      <c r="E229" s="1412"/>
      <c r="F229" s="1412"/>
    </row>
    <row r="230" spans="1:8" ht="12.75" customHeight="1">
      <c r="A230" s="72"/>
      <c r="B230" s="1412"/>
      <c r="C230" s="1412"/>
      <c r="D230" s="1412"/>
      <c r="E230" s="1412"/>
      <c r="F230" s="1412"/>
    </row>
    <row r="231" spans="1:8" ht="12.75" customHeight="1">
      <c r="A231" s="72"/>
      <c r="B231" s="1407" t="s">
        <v>944</v>
      </c>
      <c r="C231" s="1408"/>
      <c r="D231" s="1022">
        <v>5.919E-2</v>
      </c>
      <c r="E231" s="930" t="s">
        <v>1754</v>
      </c>
      <c r="F231" s="1019" t="s">
        <v>2764</v>
      </c>
      <c r="G231" s="589"/>
    </row>
    <row r="232" spans="1:8" ht="26.25" customHeight="1">
      <c r="A232" s="72" t="s">
        <v>945</v>
      </c>
      <c r="B232" s="1407" t="s">
        <v>946</v>
      </c>
      <c r="C232" s="1408"/>
      <c r="D232" s="1408"/>
      <c r="E232" s="1371"/>
      <c r="F232" s="1371"/>
    </row>
    <row r="233" spans="1:8" ht="27.75" customHeight="1">
      <c r="A233" s="72" t="s">
        <v>947</v>
      </c>
      <c r="B233" s="1407" t="s">
        <v>948</v>
      </c>
      <c r="C233" s="1408"/>
      <c r="D233" s="1408"/>
      <c r="E233" s="1371"/>
      <c r="F233" s="1371"/>
    </row>
    <row r="234" spans="1:8" ht="25.5" customHeight="1">
      <c r="A234" s="86" t="s">
        <v>949</v>
      </c>
      <c r="B234" s="1407" t="s">
        <v>950</v>
      </c>
      <c r="C234" s="1408"/>
      <c r="D234" s="1408"/>
      <c r="E234" s="1371"/>
      <c r="F234" s="1371"/>
    </row>
    <row r="235" spans="1:8" ht="39.9" customHeight="1">
      <c r="A235" s="72" t="s">
        <v>951</v>
      </c>
      <c r="B235" s="1392" t="s">
        <v>1755</v>
      </c>
      <c r="C235" s="1393"/>
      <c r="D235" s="1393"/>
      <c r="E235" s="1394"/>
      <c r="F235" s="1394"/>
      <c r="G235" s="314"/>
    </row>
    <row r="236" spans="1:8" ht="38.25" customHeight="1">
      <c r="A236" s="72" t="s">
        <v>952</v>
      </c>
      <c r="B236" s="1392" t="s">
        <v>1730</v>
      </c>
      <c r="C236" s="1393"/>
      <c r="D236" s="1393"/>
      <c r="E236" s="1412"/>
      <c r="F236" s="1412"/>
      <c r="G236" s="1412"/>
    </row>
    <row r="237" spans="1:8" ht="12.75" customHeight="1">
      <c r="A237" s="72"/>
      <c r="B237" s="1407" t="s">
        <v>944</v>
      </c>
      <c r="C237" s="1408"/>
      <c r="D237" s="1022">
        <v>5.919E-2</v>
      </c>
      <c r="E237" s="930" t="s">
        <v>1754</v>
      </c>
      <c r="F237" s="1019" t="s">
        <v>2764</v>
      </c>
      <c r="G237" s="589"/>
    </row>
    <row r="238" spans="1:8" ht="12.75" customHeight="1">
      <c r="A238" s="72" t="s">
        <v>953</v>
      </c>
      <c r="B238" s="1392" t="s">
        <v>2054</v>
      </c>
      <c r="C238" s="1393"/>
      <c r="D238" s="1393"/>
      <c r="E238" s="1412"/>
      <c r="F238" s="1412"/>
      <c r="G238" s="1412"/>
      <c r="H238" s="1412"/>
    </row>
    <row r="239" spans="1:8" ht="12.75" customHeight="1">
      <c r="A239" s="72" t="s">
        <v>954</v>
      </c>
      <c r="B239" s="1392" t="s">
        <v>2055</v>
      </c>
      <c r="C239" s="1393"/>
      <c r="D239" s="1393"/>
      <c r="E239" s="1412"/>
      <c r="F239" s="1412"/>
      <c r="G239" s="1412"/>
    </row>
    <row r="240" spans="1:8" ht="27" customHeight="1">
      <c r="A240" s="567" t="s">
        <v>1685</v>
      </c>
      <c r="B240" s="1392" t="s">
        <v>1770</v>
      </c>
      <c r="C240" s="1393"/>
      <c r="D240" s="1393"/>
      <c r="E240" s="1394"/>
      <c r="F240" s="1394"/>
      <c r="G240" s="314"/>
    </row>
    <row r="241" spans="1:7">
      <c r="A241" s="567" t="s">
        <v>1756</v>
      </c>
      <c r="B241" s="550" t="s">
        <v>1796</v>
      </c>
      <c r="C241" s="41"/>
      <c r="E241" s="41"/>
      <c r="F241" s="41"/>
      <c r="G241" s="314"/>
    </row>
    <row r="242" spans="1:7">
      <c r="A242" s="567" t="s">
        <v>1775</v>
      </c>
      <c r="B242" s="550" t="s">
        <v>1819</v>
      </c>
      <c r="C242" s="41"/>
      <c r="E242" s="314"/>
      <c r="F242" s="314"/>
      <c r="G242" s="314"/>
    </row>
    <row r="243" spans="1:7">
      <c r="A243" s="41"/>
      <c r="B243" s="550" t="s">
        <v>1820</v>
      </c>
      <c r="C243" s="41"/>
      <c r="E243" s="314"/>
      <c r="F243" s="314"/>
      <c r="G243" s="314"/>
    </row>
    <row r="244" spans="1:7">
      <c r="A244" s="41"/>
      <c r="B244" s="550" t="s">
        <v>1821</v>
      </c>
      <c r="C244" s="41"/>
      <c r="E244" s="314"/>
      <c r="F244" s="314"/>
      <c r="G244" s="314"/>
    </row>
    <row r="245" spans="1:7">
      <c r="A245" s="41"/>
      <c r="B245" s="550" t="s">
        <v>1822</v>
      </c>
      <c r="C245" s="41"/>
      <c r="E245" s="314"/>
      <c r="F245" s="314"/>
      <c r="G245" s="314"/>
    </row>
  </sheetData>
  <autoFilter ref="A1:O245"/>
  <mergeCells count="45">
    <mergeCell ref="B238:H238"/>
    <mergeCell ref="B239:G239"/>
    <mergeCell ref="B129:D129"/>
    <mergeCell ref="B234:F234"/>
    <mergeCell ref="B235:F235"/>
    <mergeCell ref="B237:C237"/>
    <mergeCell ref="B236:G236"/>
    <mergeCell ref="B160:D160"/>
    <mergeCell ref="B187:D187"/>
    <mergeCell ref="B165:D165"/>
    <mergeCell ref="B223:D223"/>
    <mergeCell ref="B159:D159"/>
    <mergeCell ref="B154:D154"/>
    <mergeCell ref="B231:C231"/>
    <mergeCell ref="B229:F230"/>
    <mergeCell ref="B233:F233"/>
    <mergeCell ref="B224:F224"/>
    <mergeCell ref="B192:C192"/>
    <mergeCell ref="B193:C193"/>
    <mergeCell ref="B195:C195"/>
    <mergeCell ref="B199:D199"/>
    <mergeCell ref="B201:D201"/>
    <mergeCell ref="B200:D200"/>
    <mergeCell ref="B194:C194"/>
    <mergeCell ref="B225:F225"/>
    <mergeCell ref="B226:F226"/>
    <mergeCell ref="B228:F228"/>
    <mergeCell ref="B227:F227"/>
    <mergeCell ref="B232:F232"/>
    <mergeCell ref="B240:F240"/>
    <mergeCell ref="J2:M2"/>
    <mergeCell ref="G2:I2"/>
    <mergeCell ref="B189:D189"/>
    <mergeCell ref="B155:D155"/>
    <mergeCell ref="B68:D68"/>
    <mergeCell ref="B36:D36"/>
    <mergeCell ref="B31:D31"/>
    <mergeCell ref="B188:D188"/>
    <mergeCell ref="B164:D164"/>
    <mergeCell ref="B8:D8"/>
    <mergeCell ref="B9:D9"/>
    <mergeCell ref="B35:D35"/>
    <mergeCell ref="B30:D30"/>
    <mergeCell ref="B67:D67"/>
    <mergeCell ref="B130:D130"/>
  </mergeCells>
  <conditionalFormatting sqref="A227:A228 C161:C163 D73 C156:C158 C242:C65551 A232:A233 A235:A238 C220:C222 C203:C217 A240:A241 C65:C66 C127:C128 C153 C2:C7 C32:C34 C37:C61 C69:C119 C131:C148 C165:C172 C10:C29">
    <cfRule type="cellIs" dxfId="9" priority="11" stopIfTrue="1" operator="between">
      <formula>4990000</formula>
      <formula>4999999</formula>
    </cfRule>
  </conditionalFormatting>
  <conditionalFormatting sqref="A239">
    <cfRule type="cellIs" dxfId="8" priority="10" stopIfTrue="1" operator="between">
      <formula>4990000</formula>
      <formula>4999999</formula>
    </cfRule>
  </conditionalFormatting>
  <conditionalFormatting sqref="A229:A231">
    <cfRule type="cellIs" dxfId="7" priority="9" stopIfTrue="1" operator="between">
      <formula>4990000</formula>
      <formula>4999999</formula>
    </cfRule>
  </conditionalFormatting>
  <conditionalFormatting sqref="K218:K219 Q218:Q219 Y218:Y219 AG218:AG219 AO218:AO219 AW218:AW219 BE218:BE219 BM218:BM219 BU218:BU219 CC218:CC219 CK218:CK219 CS218:CS219 DA218:DA219 DI218:DI219 DQ218:DQ219 DY218:DY219 EG218:EG219 EO218:EO219 EW218:EW219 FE218:FE219 FM218:FM219 FU218:FU219 GC218:GC219 GK218:GK219 GS218:GS219 HA218:HA219 HI218:HI219 HQ218:HQ219 HY218:HY219 IG218:IG219 IO218:IO219">
    <cfRule type="cellIs" dxfId="6" priority="8" stopIfTrue="1" operator="between">
      <formula>4990000</formula>
      <formula>4999999</formula>
    </cfRule>
  </conditionalFormatting>
  <conditionalFormatting sqref="C218:C219">
    <cfRule type="cellIs" dxfId="5" priority="7" stopIfTrue="1" operator="between">
      <formula>4990000</formula>
      <formula>4999999</formula>
    </cfRule>
  </conditionalFormatting>
  <conditionalFormatting sqref="A242">
    <cfRule type="cellIs" dxfId="4" priority="6" stopIfTrue="1" operator="between">
      <formula>4990000</formula>
      <formula>4999999</formula>
    </cfRule>
  </conditionalFormatting>
  <conditionalFormatting sqref="C62:C64">
    <cfRule type="cellIs" dxfId="3" priority="5" stopIfTrue="1" operator="between">
      <formula>4990000</formula>
      <formula>4999999</formula>
    </cfRule>
  </conditionalFormatting>
  <conditionalFormatting sqref="C120:C126">
    <cfRule type="cellIs" dxfId="2" priority="4" stopIfTrue="1" operator="between">
      <formula>4990000</formula>
      <formula>4999999</formula>
    </cfRule>
  </conditionalFormatting>
  <conditionalFormatting sqref="C149:C150">
    <cfRule type="cellIs" dxfId="1" priority="3" stopIfTrue="1" operator="between">
      <formula>4990000</formula>
      <formula>4999999</formula>
    </cfRule>
  </conditionalFormatting>
  <conditionalFormatting sqref="C151:C152">
    <cfRule type="cellIs" dxfId="0" priority="2" stopIfTrue="1" operator="between">
      <formula>4990000</formula>
      <formula>4999999</formula>
    </cfRule>
  </conditionalFormatting>
  <pageMargins left="0.7" right="0.7" top="0.75" bottom="0.75" header="0.3" footer="0.3"/>
  <pageSetup scale="50" orientation="landscape" cellComments="asDisplayed" r:id="rId1"/>
  <headerFooter>
    <oddHeader>&amp;CSchedule 21
Revenue Credits
&amp;RExhibit SCE-4
TO2019A Formula Rate Spreadsheet</oddHeader>
    <oddFooter>&amp;R21-RevenueCredits</oddFooter>
  </headerFooter>
  <rowBreaks count="3" manualBreakCount="3">
    <brk id="68" max="16383" man="1"/>
    <brk id="130" max="16383" man="1"/>
    <brk id="18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Normal="100" zoomScalePageLayoutView="80" workbookViewId="0"/>
  </sheetViews>
  <sheetFormatPr defaultColWidth="9.109375" defaultRowHeight="13.2"/>
  <cols>
    <col min="1" max="1" width="4.6640625" style="478" customWidth="1"/>
    <col min="2" max="2" width="14" style="477" customWidth="1"/>
    <col min="3" max="3" width="26.88671875" style="477" customWidth="1"/>
    <col min="4" max="4" width="28.5546875" style="477" customWidth="1"/>
    <col min="5" max="5" width="16.33203125" style="477" bestFit="1" customWidth="1"/>
    <col min="6" max="6" width="20.6640625" style="1228" customWidth="1"/>
    <col min="7" max="7" width="9.6640625" style="477" customWidth="1"/>
    <col min="8" max="16384" width="9.109375" style="477"/>
  </cols>
  <sheetData>
    <row r="1" spans="1:8">
      <c r="A1" s="83" t="s">
        <v>1076</v>
      </c>
      <c r="C1" s="83"/>
      <c r="D1" s="83"/>
      <c r="E1" s="83"/>
    </row>
    <row r="2" spans="1:8">
      <c r="A2" s="83"/>
      <c r="C2" s="83"/>
      <c r="D2" s="83"/>
      <c r="E2" s="891" t="s">
        <v>1736</v>
      </c>
      <c r="F2" s="1002">
        <v>2017</v>
      </c>
    </row>
    <row r="3" spans="1:8">
      <c r="B3" s="83" t="s">
        <v>1108</v>
      </c>
      <c r="C3" s="83"/>
      <c r="D3" s="83"/>
      <c r="E3" s="83"/>
    </row>
    <row r="4" spans="1:8">
      <c r="A4" s="51" t="s">
        <v>331</v>
      </c>
      <c r="C4" s="83"/>
      <c r="E4" s="3" t="s">
        <v>966</v>
      </c>
      <c r="F4" s="1238" t="s">
        <v>168</v>
      </c>
    </row>
    <row r="5" spans="1:8">
      <c r="A5" s="234">
        <v>1</v>
      </c>
      <c r="B5" s="551" t="s">
        <v>1077</v>
      </c>
      <c r="C5" s="551"/>
      <c r="E5" s="736">
        <v>119779556.01000001</v>
      </c>
      <c r="F5" s="1086" t="s">
        <v>212</v>
      </c>
    </row>
    <row r="6" spans="1:8">
      <c r="A6" s="234">
        <v>2</v>
      </c>
      <c r="B6" s="477" t="s">
        <v>1078</v>
      </c>
      <c r="E6" s="526">
        <f>E7-E5</f>
        <v>91604741.989999995</v>
      </c>
      <c r="F6" s="1086" t="s">
        <v>2330</v>
      </c>
      <c r="H6" s="1086"/>
    </row>
    <row r="7" spans="1:8">
      <c r="A7" s="234">
        <v>3</v>
      </c>
      <c r="B7" s="477" t="s">
        <v>2403</v>
      </c>
      <c r="C7" s="551"/>
      <c r="D7" s="551"/>
      <c r="E7" s="409">
        <v>211384298</v>
      </c>
      <c r="F7" s="481" t="s">
        <v>1235</v>
      </c>
      <c r="H7" s="1086"/>
    </row>
    <row r="8" spans="1:8" ht="13.8">
      <c r="A8" s="1239"/>
      <c r="B8" s="1229"/>
      <c r="C8" s="1230"/>
      <c r="D8" s="1230"/>
      <c r="E8" s="1226"/>
      <c r="F8" s="1231"/>
      <c r="G8" s="1232"/>
    </row>
    <row r="9" spans="1:8" ht="13.8">
      <c r="A9" s="1239"/>
      <c r="B9" s="83" t="s">
        <v>1109</v>
      </c>
      <c r="C9" s="1230"/>
      <c r="D9" s="1230"/>
      <c r="E9" s="1226"/>
      <c r="F9" s="1233"/>
      <c r="G9" s="1232"/>
    </row>
    <row r="10" spans="1:8" ht="13.8">
      <c r="A10" s="571"/>
      <c r="B10" s="551"/>
      <c r="C10" s="551"/>
      <c r="D10" s="551"/>
      <c r="E10" s="1227"/>
      <c r="F10" s="1233"/>
      <c r="G10" s="1232"/>
    </row>
    <row r="11" spans="1:8" ht="13.8">
      <c r="A11" s="571">
        <v>4</v>
      </c>
      <c r="B11" s="551" t="s">
        <v>1077</v>
      </c>
      <c r="C11" s="551"/>
      <c r="D11" s="551"/>
      <c r="E11" s="993">
        <v>93345104.709999993</v>
      </c>
      <c r="F11" s="1086" t="s">
        <v>283</v>
      </c>
      <c r="G11" s="1232"/>
    </row>
    <row r="12" spans="1:8" ht="13.8">
      <c r="A12" s="571">
        <v>5</v>
      </c>
      <c r="B12" s="551" t="s">
        <v>1078</v>
      </c>
      <c r="C12" s="551"/>
      <c r="D12" s="551"/>
      <c r="E12" s="526">
        <f>E13-E11</f>
        <v>79619300.290000007</v>
      </c>
      <c r="F12" s="1086" t="s">
        <v>2331</v>
      </c>
      <c r="G12" s="1232"/>
    </row>
    <row r="13" spans="1:8" ht="13.8">
      <c r="A13" s="571">
        <v>6</v>
      </c>
      <c r="B13" s="477" t="s">
        <v>2403</v>
      </c>
      <c r="C13" s="551"/>
      <c r="D13" s="551"/>
      <c r="E13" s="409">
        <v>172964405</v>
      </c>
      <c r="F13" s="481" t="s">
        <v>1079</v>
      </c>
      <c r="G13" s="1232"/>
    </row>
    <row r="14" spans="1:8">
      <c r="A14" s="234"/>
      <c r="B14" s="551"/>
      <c r="C14" s="551"/>
      <c r="D14" s="551"/>
      <c r="E14" s="1227"/>
      <c r="F14" s="1086"/>
    </row>
    <row r="15" spans="1:8">
      <c r="A15" s="234">
        <v>7</v>
      </c>
      <c r="B15" s="551" t="s">
        <v>1080</v>
      </c>
      <c r="C15" s="551"/>
      <c r="D15" s="551"/>
      <c r="E15" s="1227">
        <f>(E5+E11)/2</f>
        <v>106562330.36</v>
      </c>
      <c r="F15" s="481" t="str">
        <f>"(Line "&amp;A5&amp;" + Line "&amp;A11&amp;") / 2"</f>
        <v>(Line 1 + Line 4) / 2</v>
      </c>
      <c r="G15" s="684"/>
    </row>
    <row r="16" spans="1:8">
      <c r="A16" s="234"/>
      <c r="C16" s="1234"/>
      <c r="D16" s="382"/>
      <c r="E16" s="1227"/>
      <c r="F16" s="1086"/>
    </row>
    <row r="17" spans="1:6">
      <c r="A17" s="234">
        <v>8</v>
      </c>
      <c r="B17" s="477" t="s">
        <v>1081</v>
      </c>
      <c r="C17" s="1234"/>
      <c r="D17" s="1234"/>
      <c r="E17" s="1237">
        <v>6116850.9299999997</v>
      </c>
      <c r="F17" s="1086" t="s">
        <v>960</v>
      </c>
    </row>
    <row r="18" spans="1:6">
      <c r="A18" s="234">
        <v>9</v>
      </c>
      <c r="B18" s="477" t="s">
        <v>1082</v>
      </c>
      <c r="C18" s="1234"/>
      <c r="D18" s="1234"/>
      <c r="E18" s="526">
        <f>E19-E17</f>
        <v>664223662.07000005</v>
      </c>
      <c r="F18" s="1086" t="s">
        <v>2332</v>
      </c>
    </row>
    <row r="19" spans="1:6">
      <c r="A19" s="234">
        <v>10</v>
      </c>
      <c r="B19" s="477" t="s">
        <v>2402</v>
      </c>
      <c r="C19" s="1234"/>
      <c r="D19" s="1234"/>
      <c r="E19" s="409">
        <v>670340513</v>
      </c>
      <c r="F19" s="481" t="s">
        <v>1083</v>
      </c>
    </row>
    <row r="20" spans="1:6">
      <c r="C20" s="1234"/>
      <c r="D20" s="1234"/>
    </row>
    <row r="21" spans="1:6">
      <c r="C21" s="1234"/>
      <c r="D21" s="1234"/>
    </row>
    <row r="22" spans="1:6">
      <c r="A22" s="51" t="s">
        <v>232</v>
      </c>
    </row>
    <row r="23" spans="1:6">
      <c r="A23" s="478">
        <v>1</v>
      </c>
      <c r="B23" s="477" t="s">
        <v>1107</v>
      </c>
    </row>
    <row r="24" spans="1:6">
      <c r="A24" s="478">
        <v>2</v>
      </c>
      <c r="B24" s="477" t="s">
        <v>1110</v>
      </c>
    </row>
    <row r="25" spans="1:6">
      <c r="A25" s="478">
        <v>3</v>
      </c>
      <c r="B25" s="477" t="s">
        <v>1682</v>
      </c>
    </row>
    <row r="26" spans="1:6">
      <c r="A26" s="478">
        <v>4</v>
      </c>
      <c r="B26" s="477" t="s">
        <v>2006</v>
      </c>
      <c r="E26" s="1235"/>
    </row>
    <row r="27" spans="1:6">
      <c r="B27" s="477" t="s">
        <v>2005</v>
      </c>
      <c r="E27" s="1235"/>
    </row>
    <row r="28" spans="1:6">
      <c r="E28" s="1235"/>
    </row>
    <row r="29" spans="1:6">
      <c r="A29" s="477"/>
      <c r="E29" s="1235"/>
    </row>
    <row r="30" spans="1:6">
      <c r="A30" s="477"/>
      <c r="E30" s="1235"/>
    </row>
    <row r="31" spans="1:6">
      <c r="A31" s="477"/>
      <c r="E31" s="1235"/>
    </row>
    <row r="32" spans="1:6">
      <c r="A32" s="477"/>
      <c r="E32" s="1235"/>
    </row>
    <row r="36" spans="1:5">
      <c r="A36" s="477"/>
      <c r="C36" s="1236"/>
      <c r="D36" s="1236"/>
      <c r="E36" s="1236"/>
    </row>
    <row r="37" spans="1:5">
      <c r="A37" s="477"/>
      <c r="C37" s="1236"/>
      <c r="D37" s="1236"/>
      <c r="E37" s="1236"/>
    </row>
    <row r="38" spans="1:5">
      <c r="A38" s="477"/>
      <c r="C38" s="1236"/>
      <c r="D38" s="1236"/>
      <c r="E38" s="1236"/>
    </row>
    <row r="39" spans="1:5">
      <c r="A39" s="477"/>
      <c r="C39" s="1236"/>
      <c r="D39" s="1236"/>
      <c r="E39" s="1236"/>
    </row>
    <row r="40" spans="1:5">
      <c r="A40" s="477"/>
      <c r="C40" s="1236"/>
      <c r="D40" s="1236"/>
      <c r="E40" s="1236"/>
    </row>
    <row r="41" spans="1:5">
      <c r="A41" s="477"/>
      <c r="C41" s="1236"/>
      <c r="D41" s="1236"/>
      <c r="E41" s="1236"/>
    </row>
    <row r="42" spans="1:5">
      <c r="A42" s="477"/>
      <c r="C42" s="1236"/>
      <c r="D42" s="1236"/>
      <c r="E42" s="1236"/>
    </row>
    <row r="43" spans="1:5">
      <c r="A43" s="477"/>
      <c r="C43" s="1236"/>
      <c r="D43" s="1236"/>
      <c r="E43" s="1236"/>
    </row>
    <row r="44" spans="1:5">
      <c r="A44" s="477"/>
      <c r="C44" s="1236"/>
      <c r="D44" s="1236"/>
      <c r="E44" s="1236"/>
    </row>
    <row r="45" spans="1:5">
      <c r="A45" s="477"/>
      <c r="C45" s="1236"/>
      <c r="D45" s="1236"/>
      <c r="E45" s="1236"/>
    </row>
    <row r="46" spans="1:5">
      <c r="A46" s="477"/>
      <c r="C46" s="1236"/>
      <c r="D46" s="1236"/>
      <c r="E46" s="1236"/>
    </row>
    <row r="47" spans="1:5">
      <c r="A47" s="477"/>
      <c r="C47" s="1236"/>
      <c r="D47" s="1236"/>
      <c r="E47" s="1236"/>
    </row>
    <row r="48" spans="1:5">
      <c r="A48" s="477"/>
      <c r="C48" s="1236"/>
      <c r="D48" s="1236"/>
      <c r="E48" s="1236"/>
    </row>
    <row r="51" spans="1:5">
      <c r="A51" s="477"/>
      <c r="E51" s="1236"/>
    </row>
  </sheetData>
  <pageMargins left="0.7" right="0.7" top="0.75" bottom="0.75" header="0.3" footer="0.3"/>
  <pageSetup scale="75" orientation="portrait" cellComments="asDisplayed" r:id="rId1"/>
  <headerFooter>
    <oddHeader>&amp;CSchedule 22
Network Upgrade Credits and Interest Expense
&amp;RExhibit SCE-4
TO2019A Formula Rate Spreadsheet</oddHeader>
    <oddFooter>&amp;R22-NUCs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3.2"/>
  <cols>
    <col min="1" max="1" width="4.6640625" customWidth="1"/>
    <col min="2" max="2" width="30.6640625" customWidth="1"/>
    <col min="3" max="5" width="15.6640625" customWidth="1"/>
    <col min="6" max="6" width="3.6640625" customWidth="1"/>
    <col min="7" max="8" width="10.6640625" customWidth="1"/>
  </cols>
  <sheetData>
    <row r="1" spans="1:11">
      <c r="A1" s="692" t="s">
        <v>1721</v>
      </c>
      <c r="B1" s="693"/>
      <c r="C1" s="693"/>
      <c r="D1" s="693"/>
      <c r="E1" s="693"/>
      <c r="F1" s="693"/>
      <c r="G1" s="693"/>
      <c r="H1" s="14"/>
      <c r="I1" s="14"/>
      <c r="J1" s="14"/>
      <c r="K1" s="14"/>
    </row>
    <row r="2" spans="1:11">
      <c r="A2" s="14"/>
      <c r="B2" s="14"/>
      <c r="C2" s="14"/>
      <c r="D2" s="14"/>
      <c r="E2" s="14"/>
      <c r="F2" s="14"/>
      <c r="G2" s="14"/>
      <c r="H2" s="14"/>
      <c r="I2" s="14"/>
      <c r="J2" s="14"/>
      <c r="K2" s="14"/>
    </row>
    <row r="3" spans="1:11">
      <c r="A3" s="694" t="s">
        <v>331</v>
      </c>
      <c r="B3" s="693"/>
      <c r="C3" s="693"/>
      <c r="D3" s="693"/>
      <c r="E3" s="693"/>
      <c r="F3" s="693"/>
      <c r="G3" s="693"/>
      <c r="H3" s="14"/>
      <c r="I3" s="14"/>
      <c r="J3" s="14"/>
      <c r="K3" s="14"/>
    </row>
    <row r="4" spans="1:11">
      <c r="A4" s="695">
        <v>1</v>
      </c>
      <c r="B4" s="587" t="s">
        <v>1710</v>
      </c>
      <c r="C4" s="693"/>
      <c r="D4" s="693"/>
      <c r="E4" s="693"/>
      <c r="F4" s="693"/>
      <c r="G4" s="693"/>
      <c r="H4" s="14"/>
      <c r="I4" s="14"/>
      <c r="J4" s="14"/>
      <c r="K4" s="14"/>
    </row>
    <row r="5" spans="1:11">
      <c r="A5" s="695">
        <v>2</v>
      </c>
      <c r="B5" s="587" t="s">
        <v>1711</v>
      </c>
      <c r="C5" s="693"/>
      <c r="D5" s="693"/>
      <c r="E5" s="693"/>
      <c r="F5" s="693"/>
      <c r="G5" s="693"/>
      <c r="H5" s="14"/>
      <c r="I5" s="14"/>
      <c r="J5" s="14"/>
      <c r="K5" s="14"/>
    </row>
    <row r="6" spans="1:11">
      <c r="A6" s="695">
        <v>3</v>
      </c>
      <c r="B6" s="587" t="s">
        <v>1712</v>
      </c>
      <c r="C6" s="693"/>
      <c r="D6" s="693"/>
      <c r="E6" s="693"/>
      <c r="F6" s="693"/>
      <c r="G6" s="693"/>
      <c r="H6" s="14"/>
      <c r="I6" s="14"/>
      <c r="J6" s="14"/>
      <c r="K6" s="14"/>
    </row>
    <row r="7" spans="1:11">
      <c r="A7" s="695">
        <v>4</v>
      </c>
      <c r="B7" s="693"/>
      <c r="C7" s="693"/>
      <c r="D7" s="693"/>
      <c r="E7" s="693"/>
      <c r="F7" s="693"/>
      <c r="G7" s="693"/>
      <c r="H7" s="14"/>
      <c r="I7" s="14"/>
      <c r="J7" s="14"/>
      <c r="K7" s="14"/>
    </row>
    <row r="8" spans="1:11">
      <c r="A8" s="695">
        <v>5</v>
      </c>
      <c r="B8" s="587" t="s">
        <v>410</v>
      </c>
      <c r="C8" s="693"/>
      <c r="D8" s="693"/>
      <c r="E8" s="693"/>
      <c r="F8" s="693"/>
      <c r="G8" s="693"/>
      <c r="H8" s="14"/>
      <c r="I8" s="14"/>
      <c r="J8" s="14"/>
      <c r="K8" s="14"/>
    </row>
    <row r="9" spans="1:11">
      <c r="A9" s="695">
        <v>6</v>
      </c>
      <c r="B9" s="587" t="s">
        <v>409</v>
      </c>
      <c r="C9" s="693"/>
      <c r="D9" s="693"/>
      <c r="E9" s="693"/>
      <c r="F9" s="693"/>
      <c r="G9" s="693"/>
      <c r="H9" s="14"/>
      <c r="I9" s="14"/>
      <c r="J9" s="14"/>
      <c r="K9" s="14"/>
    </row>
    <row r="10" spans="1:11">
      <c r="A10" s="695">
        <v>7</v>
      </c>
      <c r="B10" s="693"/>
      <c r="C10" s="693"/>
      <c r="D10" s="693"/>
      <c r="E10" s="693"/>
      <c r="F10" s="693"/>
      <c r="G10" s="693"/>
      <c r="H10" s="14"/>
      <c r="I10" s="14"/>
      <c r="J10" s="14"/>
      <c r="K10" s="14"/>
    </row>
    <row r="11" spans="1:11">
      <c r="A11" s="695">
        <v>8</v>
      </c>
      <c r="B11" s="587" t="s">
        <v>1713</v>
      </c>
      <c r="C11" s="693"/>
      <c r="D11" s="693"/>
      <c r="E11" s="693"/>
      <c r="F11" s="693"/>
      <c r="G11" s="693"/>
      <c r="H11" s="14"/>
      <c r="I11" s="14"/>
      <c r="J11" s="14"/>
      <c r="K11" s="14"/>
    </row>
    <row r="12" spans="1:11">
      <c r="A12" s="695">
        <v>9</v>
      </c>
      <c r="B12" s="587" t="s">
        <v>1714</v>
      </c>
      <c r="C12" s="693"/>
      <c r="D12" s="693"/>
      <c r="E12" s="693"/>
      <c r="F12" s="693"/>
      <c r="G12" s="693"/>
      <c r="H12" s="14"/>
      <c r="I12" s="14"/>
      <c r="J12" s="14"/>
      <c r="K12" s="14"/>
    </row>
    <row r="13" spans="1:11">
      <c r="A13" s="695">
        <v>10</v>
      </c>
      <c r="B13" s="587" t="s">
        <v>1715</v>
      </c>
      <c r="C13" s="693"/>
      <c r="D13" s="693"/>
      <c r="E13" s="693"/>
      <c r="F13" s="693"/>
      <c r="G13" s="693"/>
      <c r="H13" s="14"/>
      <c r="I13" s="14"/>
      <c r="J13" s="14"/>
      <c r="K13" s="14"/>
    </row>
    <row r="14" spans="1:11">
      <c r="A14" s="695">
        <v>11</v>
      </c>
      <c r="B14" s="693"/>
      <c r="C14" s="693"/>
      <c r="D14" s="693"/>
      <c r="E14" s="693"/>
      <c r="F14" s="693"/>
      <c r="G14" s="693"/>
      <c r="H14" s="14"/>
      <c r="I14" s="14"/>
      <c r="J14" s="14"/>
      <c r="K14" s="14"/>
    </row>
    <row r="15" spans="1:11">
      <c r="A15" s="695">
        <v>12</v>
      </c>
      <c r="B15" s="587"/>
      <c r="C15" s="693"/>
      <c r="D15" s="693"/>
      <c r="E15" s="695" t="s">
        <v>63</v>
      </c>
      <c r="F15" s="693"/>
      <c r="G15" s="693"/>
      <c r="H15" s="14"/>
      <c r="I15" s="14"/>
      <c r="J15" s="14"/>
      <c r="K15" s="14"/>
    </row>
    <row r="16" spans="1:11">
      <c r="A16" s="695">
        <v>13</v>
      </c>
      <c r="B16" s="693"/>
      <c r="C16" s="693"/>
      <c r="D16" s="693"/>
      <c r="E16" s="931" t="s">
        <v>175</v>
      </c>
      <c r="F16" s="693"/>
      <c r="G16" s="932" t="s">
        <v>1880</v>
      </c>
      <c r="H16" s="14"/>
      <c r="I16" s="14"/>
      <c r="J16" s="14"/>
      <c r="K16" s="14"/>
    </row>
    <row r="17" spans="1:11">
      <c r="A17" s="695">
        <v>14</v>
      </c>
      <c r="B17" s="587" t="s">
        <v>411</v>
      </c>
      <c r="C17" s="693"/>
      <c r="D17" s="693"/>
      <c r="E17" s="582">
        <f>D29</f>
        <v>0</v>
      </c>
      <c r="F17" s="693"/>
      <c r="G17" s="587" t="s">
        <v>504</v>
      </c>
      <c r="H17" s="14"/>
      <c r="I17" s="14"/>
      <c r="J17" s="14"/>
      <c r="K17" s="14"/>
    </row>
    <row r="18" spans="1:11">
      <c r="A18" s="695">
        <v>15</v>
      </c>
      <c r="B18" s="587" t="s">
        <v>1634</v>
      </c>
      <c r="C18" s="693"/>
      <c r="D18" s="693"/>
      <c r="E18" s="582">
        <f>(C29+D29)/2</f>
        <v>0</v>
      </c>
      <c r="F18" s="693"/>
      <c r="G18" s="587" t="s">
        <v>1881</v>
      </c>
      <c r="H18" s="14"/>
      <c r="I18" s="14"/>
      <c r="J18" s="14"/>
      <c r="K18" s="14"/>
    </row>
    <row r="19" spans="1:11">
      <c r="A19" s="695">
        <v>16</v>
      </c>
      <c r="B19" s="587" t="s">
        <v>1716</v>
      </c>
      <c r="C19" s="693"/>
      <c r="D19" s="693"/>
      <c r="E19" s="582">
        <f>E29</f>
        <v>0</v>
      </c>
      <c r="F19" s="693"/>
      <c r="G19" s="587" t="s">
        <v>1882</v>
      </c>
      <c r="H19" s="14"/>
      <c r="I19" s="14"/>
      <c r="J19" s="14"/>
      <c r="K19" s="14"/>
    </row>
    <row r="20" spans="1:11">
      <c r="A20" s="695"/>
      <c r="B20" s="587"/>
      <c r="C20" s="693"/>
      <c r="D20" s="693"/>
      <c r="E20" s="582"/>
      <c r="F20" s="693"/>
      <c r="G20" s="693"/>
      <c r="H20" s="14"/>
      <c r="I20" s="14"/>
      <c r="J20" s="14"/>
      <c r="K20" s="14"/>
    </row>
    <row r="21" spans="1:11">
      <c r="A21" s="695"/>
      <c r="B21" s="693"/>
      <c r="C21" s="701" t="s">
        <v>360</v>
      </c>
      <c r="D21" s="701" t="s">
        <v>344</v>
      </c>
      <c r="E21" s="701" t="s">
        <v>345</v>
      </c>
      <c r="F21" s="693"/>
      <c r="G21" s="693"/>
      <c r="H21" s="14"/>
      <c r="I21" s="14"/>
      <c r="J21" s="14"/>
      <c r="K21" s="14"/>
    </row>
    <row r="22" spans="1:11">
      <c r="A22" s="695"/>
      <c r="B22" s="693"/>
      <c r="C22" s="695" t="s">
        <v>63</v>
      </c>
      <c r="D22" s="695" t="s">
        <v>63</v>
      </c>
      <c r="E22" s="695" t="s">
        <v>63</v>
      </c>
      <c r="F22" s="693"/>
      <c r="G22" s="693"/>
      <c r="H22" s="14"/>
      <c r="I22" s="14"/>
      <c r="J22" s="14"/>
      <c r="K22" s="14"/>
    </row>
    <row r="23" spans="1:11" ht="14.4">
      <c r="A23" s="695"/>
      <c r="B23" s="695" t="s">
        <v>412</v>
      </c>
      <c r="C23" s="695" t="s">
        <v>382</v>
      </c>
      <c r="D23" s="695" t="s">
        <v>301</v>
      </c>
      <c r="E23" s="933" t="s">
        <v>1717</v>
      </c>
      <c r="F23" s="693"/>
      <c r="G23" s="934" t="s">
        <v>1883</v>
      </c>
      <c r="H23" s="885"/>
      <c r="I23" s="14"/>
      <c r="J23" s="14"/>
      <c r="K23" s="14"/>
    </row>
    <row r="24" spans="1:11">
      <c r="A24" s="695"/>
      <c r="B24" s="695" t="s">
        <v>413</v>
      </c>
      <c r="C24" s="695" t="s">
        <v>418</v>
      </c>
      <c r="D24" s="695" t="s">
        <v>418</v>
      </c>
      <c r="E24" s="695" t="s">
        <v>419</v>
      </c>
      <c r="F24" s="693"/>
      <c r="G24" s="934" t="s">
        <v>1884</v>
      </c>
      <c r="H24" s="885"/>
      <c r="I24" s="14"/>
      <c r="J24" s="14"/>
      <c r="K24" s="14"/>
    </row>
    <row r="25" spans="1:11">
      <c r="A25" s="695"/>
      <c r="B25" s="931" t="s">
        <v>414</v>
      </c>
      <c r="C25" s="931" t="s">
        <v>414</v>
      </c>
      <c r="D25" s="931" t="s">
        <v>414</v>
      </c>
      <c r="E25" s="931" t="s">
        <v>1718</v>
      </c>
      <c r="F25" s="693"/>
      <c r="G25" s="935" t="s">
        <v>1885</v>
      </c>
      <c r="H25" s="885"/>
      <c r="I25" s="14"/>
      <c r="J25" s="14"/>
      <c r="K25" s="14"/>
    </row>
    <row r="26" spans="1:11">
      <c r="A26" s="578">
        <v>17</v>
      </c>
      <c r="B26" s="583" t="s">
        <v>415</v>
      </c>
      <c r="C26" s="584"/>
      <c r="D26" s="584"/>
      <c r="E26" s="584"/>
      <c r="F26" s="576"/>
      <c r="G26" s="599"/>
      <c r="H26" s="97"/>
    </row>
    <row r="27" spans="1:11">
      <c r="A27" s="578">
        <v>18</v>
      </c>
      <c r="B27" s="583" t="s">
        <v>416</v>
      </c>
      <c r="C27" s="584"/>
      <c r="D27" s="584"/>
      <c r="E27" s="584"/>
      <c r="F27" s="576"/>
      <c r="G27" s="599"/>
      <c r="H27" s="97"/>
    </row>
    <row r="28" spans="1:11">
      <c r="A28" s="578">
        <v>19</v>
      </c>
      <c r="B28" s="583" t="s">
        <v>417</v>
      </c>
      <c r="C28" s="585"/>
      <c r="D28" s="585"/>
      <c r="E28" s="585"/>
      <c r="F28" s="576"/>
      <c r="G28" s="599"/>
      <c r="H28" s="97"/>
    </row>
    <row r="29" spans="1:11">
      <c r="A29" s="578">
        <v>20</v>
      </c>
      <c r="B29" s="579" t="s">
        <v>197</v>
      </c>
      <c r="C29" s="586">
        <f>SUM(C26:C28)</f>
        <v>0</v>
      </c>
      <c r="D29" s="586">
        <f>SUM(D26:D28)</f>
        <v>0</v>
      </c>
      <c r="E29" s="586">
        <f>SUM(E26:E28)</f>
        <v>0</v>
      </c>
      <c r="F29" s="576"/>
      <c r="G29" s="579" t="s">
        <v>327</v>
      </c>
    </row>
    <row r="30" spans="1:11">
      <c r="A30" s="578"/>
      <c r="B30" s="576"/>
      <c r="C30" s="576"/>
      <c r="D30" s="576"/>
      <c r="E30" s="576"/>
      <c r="F30" s="576"/>
      <c r="G30" s="576"/>
    </row>
    <row r="31" spans="1:11">
      <c r="A31" s="578"/>
      <c r="B31" s="575" t="s">
        <v>379</v>
      </c>
      <c r="C31" s="576"/>
      <c r="D31" s="576"/>
      <c r="E31" s="576"/>
      <c r="F31" s="576"/>
      <c r="G31" s="576"/>
    </row>
    <row r="32" spans="1:11">
      <c r="A32" s="578"/>
      <c r="B32" s="587" t="s">
        <v>1719</v>
      </c>
      <c r="C32" s="693"/>
      <c r="D32" s="693"/>
      <c r="E32" s="693"/>
      <c r="F32" s="693"/>
      <c r="G32" s="693"/>
      <c r="H32" s="14"/>
    </row>
    <row r="33" spans="1:8">
      <c r="A33" s="578"/>
      <c r="B33" s="587" t="s">
        <v>420</v>
      </c>
      <c r="C33" s="14"/>
      <c r="D33" s="14"/>
      <c r="E33" s="14"/>
      <c r="F33" s="14"/>
      <c r="G33" s="14"/>
      <c r="H33" s="14"/>
    </row>
    <row r="34" spans="1:8">
      <c r="A34" s="578"/>
      <c r="B34" s="936" t="s">
        <v>505</v>
      </c>
      <c r="C34" s="14"/>
      <c r="D34" s="14"/>
      <c r="E34" s="14"/>
      <c r="F34" s="14"/>
      <c r="G34" s="14"/>
      <c r="H34" s="14"/>
    </row>
    <row r="35" spans="1:8">
      <c r="A35" s="578"/>
      <c r="B35" s="936" t="s">
        <v>506</v>
      </c>
      <c r="C35" s="14"/>
      <c r="D35" s="14"/>
      <c r="E35" s="885"/>
      <c r="F35" s="14"/>
      <c r="G35" s="14"/>
      <c r="H35" s="14"/>
    </row>
    <row r="36" spans="1:8">
      <c r="A36" s="578"/>
      <c r="B36" s="587" t="s">
        <v>421</v>
      </c>
      <c r="C36" s="14"/>
      <c r="D36" s="14"/>
      <c r="E36" s="14"/>
      <c r="F36" s="14"/>
      <c r="G36" s="14"/>
      <c r="H36" s="14"/>
    </row>
    <row r="37" spans="1:8">
      <c r="A37" s="578"/>
    </row>
    <row r="38" spans="1:8">
      <c r="A38" s="578"/>
      <c r="B38" s="576"/>
    </row>
    <row r="39" spans="1:8">
      <c r="A39" s="578"/>
      <c r="B39" s="576"/>
    </row>
  </sheetData>
  <pageMargins left="0.7" right="0.7" top="0.75" bottom="0.75" header="0.3" footer="0.3"/>
  <pageSetup orientation="landscape" cellComments="asDisplayed" r:id="rId1"/>
  <headerFooter>
    <oddHeader>&amp;CSchedule 23
Regulatory Assets and Liabilities
&amp;RExhibit SCE-4
TO2019A Formula Rate Spreadsheet</oddHeader>
    <oddFooter>&amp;R23-RegAssets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zoomScaleNormal="100" workbookViewId="0"/>
  </sheetViews>
  <sheetFormatPr defaultRowHeight="13.2"/>
  <cols>
    <col min="1" max="2" width="4.6640625" customWidth="1"/>
    <col min="3" max="3" width="28.6640625" customWidth="1"/>
    <col min="4" max="8" width="14.6640625" customWidth="1"/>
  </cols>
  <sheetData>
    <row r="1" spans="1:9" ht="14.4">
      <c r="A1" s="1" t="s">
        <v>1250</v>
      </c>
      <c r="I1" s="371"/>
    </row>
    <row r="3" spans="1:9">
      <c r="B3" s="1" t="s">
        <v>1512</v>
      </c>
    </row>
    <row r="4" spans="1:9">
      <c r="B4" s="1"/>
    </row>
    <row r="5" spans="1:9">
      <c r="B5" s="1"/>
      <c r="C5" s="1" t="s">
        <v>1401</v>
      </c>
      <c r="D5" s="84" t="s">
        <v>360</v>
      </c>
      <c r="E5" s="84" t="s">
        <v>344</v>
      </c>
      <c r="F5" s="84" t="s">
        <v>345</v>
      </c>
    </row>
    <row r="6" spans="1:9" ht="14.4">
      <c r="D6" s="242" t="s">
        <v>63</v>
      </c>
      <c r="E6" s="242" t="s">
        <v>63</v>
      </c>
      <c r="F6" s="242" t="s">
        <v>198</v>
      </c>
    </row>
    <row r="7" spans="1:9" ht="14.4">
      <c r="C7" s="1"/>
      <c r="D7" s="242" t="s">
        <v>301</v>
      </c>
      <c r="E7" s="242" t="s">
        <v>231</v>
      </c>
      <c r="F7" s="242" t="s">
        <v>199</v>
      </c>
    </row>
    <row r="8" spans="1:9">
      <c r="A8" s="3" t="s">
        <v>331</v>
      </c>
      <c r="C8" s="3" t="s">
        <v>226</v>
      </c>
      <c r="D8" s="3" t="s">
        <v>175</v>
      </c>
      <c r="E8" s="3" t="s">
        <v>175</v>
      </c>
      <c r="F8" s="3" t="s">
        <v>175</v>
      </c>
      <c r="G8" s="3" t="s">
        <v>179</v>
      </c>
    </row>
    <row r="9" spans="1:9">
      <c r="A9" s="2">
        <v>1</v>
      </c>
      <c r="C9" s="94" t="s">
        <v>1263</v>
      </c>
      <c r="D9" s="63">
        <f>'10-CWIP'!E25</f>
        <v>150976.49</v>
      </c>
      <c r="E9" s="63">
        <f>'10-CWIP'!E26</f>
        <v>5894761.7546153832</v>
      </c>
      <c r="F9" s="63">
        <f>'10-CWIP'!K113</f>
        <v>-150976.49</v>
      </c>
      <c r="G9" s="46" t="str">
        <f>"10-CWIP, Lines "&amp;'10-CWIP'!A25&amp;", "&amp;'10-CWIP'!A26&amp;", "&amp;'10-CWIP'!A113&amp;""</f>
        <v>10-CWIP, Lines 13, 14, 80</v>
      </c>
    </row>
    <row r="10" spans="1:9">
      <c r="A10" s="2">
        <f>A9+1</f>
        <v>2</v>
      </c>
      <c r="C10" s="94" t="s">
        <v>1264</v>
      </c>
      <c r="D10" s="63">
        <f>'10-CWIP'!F25</f>
        <v>0</v>
      </c>
      <c r="E10" s="63">
        <f>'10-CWIP'!F26</f>
        <v>0</v>
      </c>
      <c r="F10" s="63">
        <f>'10-CWIP'!K146</f>
        <v>0</v>
      </c>
      <c r="G10" s="46" t="str">
        <f>"10-CWIP, Lines "&amp;'10-CWIP'!A25&amp;", "&amp;'10-CWIP'!A26&amp;", "&amp;'10-CWIP'!A146&amp;""</f>
        <v>10-CWIP, Lines 13, 14, 106</v>
      </c>
    </row>
    <row r="11" spans="1:9">
      <c r="A11" s="2">
        <f t="shared" ref="A11:A20" si="0">A10+1</f>
        <v>3</v>
      </c>
      <c r="C11" s="475" t="s">
        <v>1268</v>
      </c>
      <c r="D11" s="63">
        <f>'10-CWIP'!G25</f>
        <v>4884727.96</v>
      </c>
      <c r="E11" s="63">
        <f>'10-CWIP'!G26</f>
        <v>4594011.3792307694</v>
      </c>
      <c r="F11" s="63">
        <f>'10-CWIP'!K179</f>
        <v>628048.07692307688</v>
      </c>
      <c r="G11" s="46" t="str">
        <f>"10-CWIP, Lines "&amp;'10-CWIP'!A25&amp;", "&amp;'10-CWIP'!A26&amp;", "&amp;'10-CWIP'!A179&amp;""</f>
        <v>10-CWIP, Lines 13, 14, 132</v>
      </c>
    </row>
    <row r="12" spans="1:9">
      <c r="A12" s="2">
        <f t="shared" si="0"/>
        <v>4</v>
      </c>
      <c r="C12" s="475" t="s">
        <v>1269</v>
      </c>
      <c r="D12" s="63">
        <f>'10-CWIP'!H25</f>
        <v>98805811.510000005</v>
      </c>
      <c r="E12" s="63">
        <f>'10-CWIP'!H26</f>
        <v>80157512.240769237</v>
      </c>
      <c r="F12" s="63">
        <f>'10-CWIP'!K212</f>
        <v>158421232.23461542</v>
      </c>
      <c r="G12" s="46" t="str">
        <f>"10-CWIP, Lines "&amp;'10-CWIP'!A25&amp;", "&amp;'10-CWIP'!A26&amp;", "&amp;'10-CWIP'!A212&amp;""</f>
        <v>10-CWIP, Lines 13, 14, 158</v>
      </c>
    </row>
    <row r="13" spans="1:9">
      <c r="A13" s="2">
        <f t="shared" si="0"/>
        <v>5</v>
      </c>
      <c r="C13" s="94" t="s">
        <v>1265</v>
      </c>
      <c r="D13" s="63">
        <f>'10-CWIP'!I25</f>
        <v>0</v>
      </c>
      <c r="E13" s="63">
        <f>'10-CWIP'!I26</f>
        <v>0</v>
      </c>
      <c r="F13" s="63">
        <f>'10-CWIP'!K245</f>
        <v>0</v>
      </c>
      <c r="G13" s="46" t="str">
        <f>"10-CWIP, Lines "&amp;'10-CWIP'!A25&amp;", "&amp;'10-CWIP'!A26&amp;", "&amp;'10-CWIP'!A245&amp;""</f>
        <v>10-CWIP, Lines 13, 14, 184</v>
      </c>
    </row>
    <row r="14" spans="1:9">
      <c r="A14" s="2">
        <f t="shared" si="0"/>
        <v>6</v>
      </c>
      <c r="C14" s="94" t="s">
        <v>1266</v>
      </c>
      <c r="D14" s="63">
        <f>'10-CWIP'!D45</f>
        <v>0</v>
      </c>
      <c r="E14" s="63">
        <f>'10-CWIP'!D46</f>
        <v>9253542.2723076921</v>
      </c>
      <c r="F14" s="63">
        <f>'10-CWIP'!K278</f>
        <v>0</v>
      </c>
      <c r="G14" s="46" t="str">
        <f>"10-CWIP, Lines "&amp;'10-CWIP'!A45&amp;", "&amp;'10-CWIP'!A46&amp;", "&amp;'10-CWIP'!A278&amp;""</f>
        <v>10-CWIP, Lines 27, 28, 210</v>
      </c>
    </row>
    <row r="15" spans="1:9">
      <c r="A15" s="2">
        <f t="shared" si="0"/>
        <v>7</v>
      </c>
      <c r="C15" s="94" t="s">
        <v>1267</v>
      </c>
      <c r="D15" s="63">
        <f>'10-CWIP'!E45</f>
        <v>0</v>
      </c>
      <c r="E15" s="63">
        <f>'10-CWIP'!E46</f>
        <v>0</v>
      </c>
      <c r="F15" s="63">
        <f>'10-CWIP'!K311</f>
        <v>0</v>
      </c>
      <c r="G15" s="46" t="str">
        <f>"10-CWIP, Lines "&amp;'10-CWIP'!A45&amp;", "&amp;'10-CWIP'!A46&amp;", "&amp;'10-CWIP'!A311&amp;""</f>
        <v>10-CWIP, Lines 27, 28, 236</v>
      </c>
    </row>
    <row r="16" spans="1:9">
      <c r="A16" s="2">
        <f t="shared" si="0"/>
        <v>8</v>
      </c>
      <c r="C16" s="1220" t="s">
        <v>2661</v>
      </c>
      <c r="D16" s="63">
        <f>'10-CWIP'!F45</f>
        <v>46788115.939999998</v>
      </c>
      <c r="E16" s="63">
        <f>'10-CWIP'!F46</f>
        <v>6541655.1407692302</v>
      </c>
      <c r="F16" s="63">
        <f>'10-CWIP'!K344</f>
        <v>110990870.81971005</v>
      </c>
      <c r="G16" s="46" t="str">
        <f>"10-CWIP, Lines "&amp;'10-CWIP'!A45&amp;", "&amp;'10-CWIP'!A46&amp;", "&amp;'10-CWIP'!A344&amp;""</f>
        <v>10-CWIP, Lines 27, 28, 262</v>
      </c>
    </row>
    <row r="17" spans="1:7">
      <c r="A17" s="2">
        <f t="shared" si="0"/>
        <v>9</v>
      </c>
      <c r="C17" s="1220" t="s">
        <v>2662</v>
      </c>
      <c r="D17" s="63">
        <f>'10-CWIP'!G45</f>
        <v>36155802.810000002</v>
      </c>
      <c r="E17" s="63">
        <f>'10-CWIP'!G46</f>
        <v>2781215.6007692311</v>
      </c>
      <c r="F17" s="63">
        <f>'10-CWIP'!K377</f>
        <v>3359285.5114230635</v>
      </c>
      <c r="G17" s="46" t="str">
        <f>"10-CWIP, Lines "&amp;'10-CWIP'!A45&amp;", "&amp;'10-CWIP'!A46&amp;", "&amp;'10-CWIP'!A377&amp;""</f>
        <v>10-CWIP, Lines 27, 28, 288</v>
      </c>
    </row>
    <row r="18" spans="1:7">
      <c r="A18" s="2">
        <f t="shared" si="0"/>
        <v>10</v>
      </c>
      <c r="C18" s="1220" t="s">
        <v>2663</v>
      </c>
      <c r="D18" s="904">
        <f>'10-CWIP'!H45</f>
        <v>34993045.010000005</v>
      </c>
      <c r="E18" s="904">
        <f>'10-CWIP'!H46</f>
        <v>2691772.6930769235</v>
      </c>
      <c r="F18" s="904">
        <f>'10-CWIP'!K410</f>
        <v>28209776.497692306</v>
      </c>
      <c r="G18" s="46" t="str">
        <f>"10-CWIP, Lines "&amp;'10-CWIP'!A45&amp;", "&amp;'10-CWIP'!A46&amp;", "&amp;'10-CWIP'!A410&amp;""</f>
        <v>10-CWIP, Lines 27, 28, 314</v>
      </c>
    </row>
    <row r="19" spans="1:7">
      <c r="A19" s="2">
        <f t="shared" si="0"/>
        <v>11</v>
      </c>
      <c r="C19" s="410"/>
      <c r="D19" s="365">
        <f>'10-CWIP'!I45</f>
        <v>0</v>
      </c>
      <c r="E19" s="365" t="str">
        <f>'10-CWIP'!I46</f>
        <v>---</v>
      </c>
      <c r="F19" s="58">
        <f>'10-CWIP'!K443</f>
        <v>0</v>
      </c>
      <c r="G19" s="46" t="str">
        <f>"10-CWIP, Lines "&amp;'10-CWIP'!A45&amp;", "&amp;'10-CWIP'!A46&amp;", 340"</f>
        <v>10-CWIP, Lines 27, 28, 340</v>
      </c>
    </row>
    <row r="20" spans="1:7">
      <c r="A20" s="2">
        <f t="shared" si="0"/>
        <v>12</v>
      </c>
      <c r="C20" s="94" t="s">
        <v>197</v>
      </c>
      <c r="D20" s="63">
        <f>SUM(D9:D19)</f>
        <v>221778479.72000003</v>
      </c>
      <c r="E20" s="63">
        <f>SUM(E9:E19)</f>
        <v>111914471.08153847</v>
      </c>
      <c r="F20" s="63">
        <f>SUM(F9:F19)</f>
        <v>301458236.65036386</v>
      </c>
      <c r="G20" s="13" t="str">
        <f>"Sum of Lines "&amp;A9&amp;" to "&amp;A19&amp;""</f>
        <v>Sum of Lines 1 to 11</v>
      </c>
    </row>
    <row r="21" spans="1:7">
      <c r="A21" s="2"/>
      <c r="C21" s="1"/>
    </row>
    <row r="22" spans="1:7" ht="14.4">
      <c r="A22" s="2"/>
      <c r="C22" s="1" t="s">
        <v>1262</v>
      </c>
      <c r="D22" s="242" t="s">
        <v>301</v>
      </c>
      <c r="E22" s="242" t="s">
        <v>231</v>
      </c>
      <c r="F22" s="13"/>
    </row>
    <row r="23" spans="1:7">
      <c r="D23" s="3" t="s">
        <v>175</v>
      </c>
      <c r="E23" s="3" t="s">
        <v>175</v>
      </c>
      <c r="F23" s="3" t="s">
        <v>179</v>
      </c>
    </row>
    <row r="24" spans="1:7">
      <c r="A24" s="2">
        <f>A20+1</f>
        <v>13</v>
      </c>
      <c r="C24" s="94" t="s">
        <v>1402</v>
      </c>
      <c r="D24" s="7">
        <f>D20</f>
        <v>221778479.72000003</v>
      </c>
      <c r="E24" s="7">
        <f>E20</f>
        <v>111914471.08153847</v>
      </c>
      <c r="F24" s="114" t="str">
        <f>"Line "&amp;A20&amp;""</f>
        <v>Line 12</v>
      </c>
      <c r="G24" s="14"/>
    </row>
    <row r="25" spans="1:7">
      <c r="A25" s="2">
        <f>A24+1</f>
        <v>14</v>
      </c>
      <c r="C25" s="94" t="s">
        <v>1251</v>
      </c>
      <c r="D25" s="8">
        <f>'1-BaseTRR'!K91</f>
        <v>0.11203449485421814</v>
      </c>
      <c r="E25" s="8">
        <f>'1-BaseTRR'!K91</f>
        <v>0.11203449485421814</v>
      </c>
      <c r="F25" s="114" t="str">
        <f>"1-BaseTRR, Line "&amp;'1-BaseTRR'!A91&amp;""</f>
        <v>1-BaseTRR, Line 54</v>
      </c>
      <c r="G25" s="14"/>
    </row>
    <row r="26" spans="1:7">
      <c r="A26" s="2">
        <f>A25+1</f>
        <v>15</v>
      </c>
      <c r="C26" s="37" t="s">
        <v>1403</v>
      </c>
      <c r="D26" s="7">
        <f>D24*D25</f>
        <v>24846839.944966666</v>
      </c>
      <c r="E26" s="7">
        <f>E24*E25</f>
        <v>12538281.234497167</v>
      </c>
      <c r="F26" s="114" t="str">
        <f>"Line "&amp;A24&amp;" * Line "&amp;A25&amp;""</f>
        <v>Line 13 * Line 14</v>
      </c>
      <c r="G26" s="14"/>
    </row>
    <row r="27" spans="1:7">
      <c r="F27" s="14"/>
    </row>
    <row r="28" spans="1:7">
      <c r="C28" s="1" t="s">
        <v>86</v>
      </c>
      <c r="F28" s="14"/>
    </row>
    <row r="29" spans="1:7" ht="14.4">
      <c r="D29" s="242" t="s">
        <v>301</v>
      </c>
      <c r="E29" s="242" t="s">
        <v>231</v>
      </c>
      <c r="F29" s="14"/>
    </row>
    <row r="30" spans="1:7">
      <c r="D30" s="3" t="s">
        <v>175</v>
      </c>
      <c r="E30" s="3" t="s">
        <v>175</v>
      </c>
      <c r="F30" s="125" t="s">
        <v>179</v>
      </c>
    </row>
    <row r="31" spans="1:7" ht="14.4">
      <c r="A31" s="242">
        <f>A26+1</f>
        <v>16</v>
      </c>
      <c r="C31" s="94" t="s">
        <v>1402</v>
      </c>
      <c r="D31" s="7">
        <f>D20</f>
        <v>221778479.72000003</v>
      </c>
      <c r="E31" s="7">
        <f>E20</f>
        <v>111914471.08153847</v>
      </c>
      <c r="F31" s="114" t="str">
        <f>"Line "&amp;A20&amp;""</f>
        <v>Line 12</v>
      </c>
      <c r="G31" s="14"/>
    </row>
    <row r="32" spans="1:7">
      <c r="A32" s="2">
        <f t="shared" ref="A32:A38" si="1">A31+1</f>
        <v>17</v>
      </c>
      <c r="C32" s="364" t="s">
        <v>1404</v>
      </c>
      <c r="D32" s="8">
        <f>'1-BaseTRR'!K93</f>
        <v>9.1705254836826636E-2</v>
      </c>
      <c r="E32" s="8">
        <f>'1-BaseTRR'!K93</f>
        <v>9.1705254836826636E-2</v>
      </c>
      <c r="F32" s="114" t="str">
        <f>"1-BaseTRR, Line "&amp;'1-BaseTRR'!A93&amp;""</f>
        <v>1-BaseTRR, Line 55</v>
      </c>
      <c r="G32" s="14"/>
    </row>
    <row r="33" spans="1:7">
      <c r="A33" s="2">
        <f t="shared" si="1"/>
        <v>18</v>
      </c>
      <c r="C33" s="364" t="s">
        <v>1050</v>
      </c>
      <c r="D33" s="8">
        <f>'1-BaseTRR'!K102</f>
        <v>0.27983599999999997</v>
      </c>
      <c r="E33" s="8">
        <f>'1-BaseTRR'!K102</f>
        <v>0.27983599999999997</v>
      </c>
      <c r="F33" s="114" t="str">
        <f>"1-BaseTRR, Line "&amp;'1-BaseTRR'!A102&amp;""</f>
        <v>1-BaseTRR, Line 59</v>
      </c>
      <c r="G33" s="14"/>
    </row>
    <row r="34" spans="1:7">
      <c r="A34" s="2">
        <f t="shared" si="1"/>
        <v>19</v>
      </c>
      <c r="C34" s="364" t="s">
        <v>264</v>
      </c>
      <c r="D34" s="63">
        <f>((D24*D32)*(D33/(1-D33)))</f>
        <v>7902887.5182389533</v>
      </c>
      <c r="E34" s="63">
        <f>((E24*E32)*(E33/(1-E33)))</f>
        <v>3987977.0018138727</v>
      </c>
      <c r="F34" s="476" t="str">
        <f>"Formula on Line "&amp;A36&amp;""</f>
        <v>Formula on Line 21</v>
      </c>
      <c r="G34" s="14"/>
    </row>
    <row r="35" spans="1:7">
      <c r="A35" s="2">
        <f t="shared" si="1"/>
        <v>20</v>
      </c>
      <c r="C35" s="14"/>
      <c r="D35" s="14"/>
      <c r="E35" s="14"/>
      <c r="F35" s="14"/>
      <c r="G35" s="14"/>
    </row>
    <row r="36" spans="1:7">
      <c r="A36" s="2">
        <f t="shared" si="1"/>
        <v>21</v>
      </c>
      <c r="C36" s="46" t="str">
        <f>"Income Taxes = [(RB * ER) * (CTR/(1 – CTR)], or [(L"&amp;A24&amp;" * L"&amp;A32&amp;") * (L"&amp;A33&amp;" / (1 - L"&amp;A33&amp;")]"</f>
        <v>Income Taxes = [(RB * ER) * (CTR/(1 – CTR)], or [(L13 * L17) * (L18 / (1 - L18)]</v>
      </c>
      <c r="D36" s="14"/>
      <c r="E36" s="63"/>
      <c r="F36" s="15"/>
      <c r="G36" s="14"/>
    </row>
    <row r="37" spans="1:7">
      <c r="A37" s="2">
        <f t="shared" si="1"/>
        <v>22</v>
      </c>
      <c r="C37" s="476" t="s">
        <v>1782</v>
      </c>
      <c r="D37" s="14"/>
      <c r="E37" s="63"/>
      <c r="F37" s="15"/>
      <c r="G37" s="14"/>
    </row>
    <row r="38" spans="1:7">
      <c r="A38" s="2">
        <f t="shared" si="1"/>
        <v>23</v>
      </c>
      <c r="D38" s="13"/>
      <c r="E38" s="7"/>
      <c r="F38" s="12"/>
      <c r="G38" s="13"/>
    </row>
    <row r="39" spans="1:7">
      <c r="C39" s="1" t="s">
        <v>1259</v>
      </c>
    </row>
    <row r="40" spans="1:7">
      <c r="D40" s="3" t="s">
        <v>171</v>
      </c>
      <c r="E40" s="3" t="s">
        <v>179</v>
      </c>
    </row>
    <row r="41" spans="1:7">
      <c r="A41" s="2">
        <f>A38+1</f>
        <v>24</v>
      </c>
      <c r="C41" s="364" t="s">
        <v>495</v>
      </c>
      <c r="D41" s="63">
        <f>'15-IncentiveAdder'!G17</f>
        <v>6835.2497598858918</v>
      </c>
      <c r="E41" s="114" t="str">
        <f>"15-IncentiveAdder, Line "&amp;'15-IncentiveAdder'!A17&amp;""</f>
        <v>15-IncentiveAdder, Line 3</v>
      </c>
      <c r="F41" s="14"/>
      <c r="G41" s="14"/>
    </row>
    <row r="42" spans="1:7">
      <c r="C42" s="14"/>
      <c r="D42" s="14"/>
      <c r="E42" s="14"/>
      <c r="F42" s="14"/>
      <c r="G42" s="14"/>
    </row>
    <row r="43" spans="1:7">
      <c r="C43" s="937" t="s">
        <v>338</v>
      </c>
      <c r="D43" s="14"/>
      <c r="E43" s="14"/>
      <c r="F43" s="14"/>
      <c r="G43" s="14"/>
    </row>
    <row r="44" spans="1:7" ht="14.4">
      <c r="C44" s="14"/>
      <c r="D44" s="938" t="s">
        <v>301</v>
      </c>
      <c r="E44" s="938" t="s">
        <v>231</v>
      </c>
      <c r="F44" s="14"/>
      <c r="G44" s="14"/>
    </row>
    <row r="45" spans="1:7">
      <c r="C45" s="14"/>
      <c r="D45" s="125" t="s">
        <v>175</v>
      </c>
      <c r="E45" s="125" t="s">
        <v>175</v>
      </c>
      <c r="F45" s="14"/>
      <c r="G45" s="14"/>
    </row>
    <row r="46" spans="1:7">
      <c r="A46" s="2">
        <f>A41+1</f>
        <v>25</v>
      </c>
      <c r="C46" s="364" t="s">
        <v>1405</v>
      </c>
      <c r="D46" s="63">
        <f>D9</f>
        <v>150976.49</v>
      </c>
      <c r="E46" s="63">
        <f>E9</f>
        <v>5894761.7546153832</v>
      </c>
      <c r="F46" s="114" t="str">
        <f>"Line "&amp;A9&amp;""</f>
        <v>Line 1</v>
      </c>
      <c r="G46" s="14"/>
    </row>
    <row r="47" spans="1:7">
      <c r="A47" s="2">
        <f>A46+1</f>
        <v>26</v>
      </c>
      <c r="C47" s="364" t="s">
        <v>1253</v>
      </c>
      <c r="D47" s="78">
        <f>'15-IncentiveAdder'!E26</f>
        <v>1.2500000000000001E-2</v>
      </c>
      <c r="E47" s="78">
        <f>'15-IncentiveAdder'!E26</f>
        <v>1.2500000000000001E-2</v>
      </c>
      <c r="F47" s="114" t="str">
        <f>"15-IncentiveAdder, Line "&amp;'15-IncentiveAdder'!A26&amp;""</f>
        <v>15-IncentiveAdder, Line 5</v>
      </c>
      <c r="G47" s="14"/>
    </row>
    <row r="48" spans="1:7">
      <c r="A48" s="2">
        <f>A47+1</f>
        <v>27</v>
      </c>
      <c r="C48" s="364" t="s">
        <v>1406</v>
      </c>
      <c r="D48" s="63">
        <f>(D46/1000000)*($D$41*(D47/0.01))</f>
        <v>1289.9525212761432</v>
      </c>
      <c r="E48" s="63">
        <f>(E46/1000000)*($D$41*(E47/0.01))</f>
        <v>50365.211084774171</v>
      </c>
      <c r="F48" s="476" t="str">
        <f>"Formula on Line "&amp;A57&amp;""</f>
        <v>Formula on Line 32</v>
      </c>
      <c r="G48" s="14"/>
    </row>
    <row r="49" spans="1:7">
      <c r="C49" s="377"/>
      <c r="D49" s="14"/>
      <c r="E49" s="14"/>
      <c r="F49" s="14"/>
      <c r="G49" s="14"/>
    </row>
    <row r="50" spans="1:7">
      <c r="C50" s="937" t="s">
        <v>1260</v>
      </c>
      <c r="D50" s="14"/>
      <c r="E50" s="125"/>
      <c r="F50" s="125"/>
      <c r="G50" s="14"/>
    </row>
    <row r="51" spans="1:7" ht="14.4">
      <c r="C51" s="14"/>
      <c r="D51" s="938" t="s">
        <v>301</v>
      </c>
      <c r="E51" s="938" t="s">
        <v>231</v>
      </c>
      <c r="F51" s="14"/>
      <c r="G51" s="14"/>
    </row>
    <row r="52" spans="1:7">
      <c r="C52" s="14"/>
      <c r="D52" s="125" t="s">
        <v>175</v>
      </c>
      <c r="E52" s="125" t="s">
        <v>175</v>
      </c>
      <c r="F52" s="14"/>
      <c r="G52" s="14"/>
    </row>
    <row r="53" spans="1:7">
      <c r="A53" s="2">
        <f>A48+1</f>
        <v>28</v>
      </c>
      <c r="C53" s="874" t="s">
        <v>1427</v>
      </c>
      <c r="D53" s="63">
        <f>D10</f>
        <v>0</v>
      </c>
      <c r="E53" s="63">
        <f>E10</f>
        <v>0</v>
      </c>
      <c r="F53" s="114" t="str">
        <f>"Line "&amp;A10&amp;""</f>
        <v>Line 2</v>
      </c>
      <c r="G53" s="14"/>
    </row>
    <row r="54" spans="1:7">
      <c r="A54" s="2">
        <f>A53+1</f>
        <v>29</v>
      </c>
      <c r="C54" s="364" t="s">
        <v>1253</v>
      </c>
      <c r="D54" s="78">
        <f>'15-IncentiveAdder'!E27</f>
        <v>0.01</v>
      </c>
      <c r="E54" s="78">
        <f>'15-IncentiveAdder'!E27</f>
        <v>0.01</v>
      </c>
      <c r="F54" s="114" t="str">
        <f>"15-IncentiveAdder, Line "&amp;'15-IncentiveAdder'!A27&amp;""</f>
        <v>15-IncentiveAdder, Line 6</v>
      </c>
      <c r="G54" s="14"/>
    </row>
    <row r="55" spans="1:7">
      <c r="A55" s="2">
        <f>A54+1</f>
        <v>30</v>
      </c>
      <c r="C55" s="364" t="s">
        <v>1406</v>
      </c>
      <c r="D55" s="63">
        <f>(D53/1000000)*($D$41*(D54/0.01))</f>
        <v>0</v>
      </c>
      <c r="E55" s="63">
        <f>(E53/1000000)*($D$41*(E54/0.01))</f>
        <v>0</v>
      </c>
      <c r="F55" s="476" t="str">
        <f>"Formula on Line "&amp;A57&amp;""</f>
        <v>Formula on Line 32</v>
      </c>
      <c r="G55" s="14"/>
    </row>
    <row r="56" spans="1:7">
      <c r="A56" s="2">
        <f>A55+1</f>
        <v>31</v>
      </c>
      <c r="C56" s="14"/>
      <c r="D56" s="110"/>
      <c r="E56" s="63"/>
      <c r="F56" s="46"/>
      <c r="G56" s="14"/>
    </row>
    <row r="57" spans="1:7">
      <c r="A57" s="2">
        <f>A56+1</f>
        <v>32</v>
      </c>
      <c r="C57" s="873" t="s">
        <v>1858</v>
      </c>
      <c r="D57" s="63"/>
      <c r="E57" s="46"/>
      <c r="F57" s="14"/>
      <c r="G57" s="14"/>
    </row>
    <row r="59" spans="1:7">
      <c r="C59" s="1" t="s">
        <v>1513</v>
      </c>
    </row>
    <row r="60" spans="1:7">
      <c r="C60" s="1"/>
    </row>
    <row r="61" spans="1:7" ht="14.4">
      <c r="C61" s="1"/>
      <c r="E61" s="242" t="s">
        <v>281</v>
      </c>
    </row>
    <row r="62" spans="1:7" ht="14.4">
      <c r="C62" s="1"/>
      <c r="D62" s="242" t="s">
        <v>1408</v>
      </c>
      <c r="E62" s="242" t="s">
        <v>964</v>
      </c>
    </row>
    <row r="63" spans="1:7">
      <c r="D63" s="3" t="s">
        <v>175</v>
      </c>
      <c r="E63" s="3" t="s">
        <v>175</v>
      </c>
      <c r="F63" s="3" t="s">
        <v>179</v>
      </c>
    </row>
    <row r="64" spans="1:7">
      <c r="A64" s="2">
        <f>A57+1</f>
        <v>33</v>
      </c>
      <c r="C64" s="94" t="s">
        <v>1252</v>
      </c>
      <c r="D64" s="7">
        <f>D26</f>
        <v>24846839.944966666</v>
      </c>
      <c r="E64" s="7">
        <f>E26</f>
        <v>12538281.234497167</v>
      </c>
      <c r="F64" s="114" t="str">
        <f>"Line "&amp;A26&amp;""</f>
        <v>Line 15</v>
      </c>
      <c r="G64" s="14"/>
    </row>
    <row r="65" spans="1:10">
      <c r="A65" s="2">
        <f>A64+1</f>
        <v>34</v>
      </c>
      <c r="C65" s="94" t="s">
        <v>264</v>
      </c>
      <c r="D65" s="7">
        <f>D34</f>
        <v>7902887.5182389533</v>
      </c>
      <c r="E65" s="7">
        <f>E34</f>
        <v>3987977.0018138727</v>
      </c>
      <c r="F65" s="114" t="str">
        <f>"Line "&amp;A34&amp;""</f>
        <v>Line 19</v>
      </c>
      <c r="G65" s="14"/>
    </row>
    <row r="66" spans="1:10">
      <c r="A66" s="2">
        <f>A65+1</f>
        <v>35</v>
      </c>
      <c r="C66" s="94" t="s">
        <v>1254</v>
      </c>
      <c r="D66" s="7">
        <f>D48</f>
        <v>1289.9525212761432</v>
      </c>
      <c r="E66" s="7">
        <f>E48</f>
        <v>50365.211084774171</v>
      </c>
      <c r="F66" s="114" t="str">
        <f>"Line "&amp;A48&amp;""</f>
        <v>Line 27</v>
      </c>
      <c r="G66" s="14"/>
    </row>
    <row r="67" spans="1:10">
      <c r="A67" s="2">
        <f>A66+1</f>
        <v>36</v>
      </c>
      <c r="C67" s="94" t="s">
        <v>1255</v>
      </c>
      <c r="D67" s="101">
        <f>D55</f>
        <v>0</v>
      </c>
      <c r="E67" s="233">
        <f>E55</f>
        <v>0</v>
      </c>
      <c r="F67" s="114" t="str">
        <f>"Line "&amp;A55&amp;""</f>
        <v>Line 30</v>
      </c>
      <c r="G67" s="14"/>
    </row>
    <row r="68" spans="1:10">
      <c r="A68" s="470">
        <f t="shared" ref="A68:A69" si="2">A67+1</f>
        <v>37</v>
      </c>
      <c r="C68" s="94" t="s">
        <v>1454</v>
      </c>
      <c r="D68" s="91">
        <f>SUM(D64:D67)*('28-FFU'!D22+'28-FFU'!E22)</f>
        <v>380347.39055406116</v>
      </c>
      <c r="E68" s="91">
        <f>SUM(E64:E67)*('28-FFU'!D22)</f>
        <v>152599.42246969166</v>
      </c>
      <c r="F68" s="46" t="s">
        <v>361</v>
      </c>
      <c r="G68" s="14"/>
    </row>
    <row r="69" spans="1:10">
      <c r="A69" s="470">
        <f t="shared" si="2"/>
        <v>38</v>
      </c>
      <c r="C69" s="94" t="s">
        <v>4</v>
      </c>
      <c r="D69" s="7">
        <f>SUM(D64:D68)</f>
        <v>33131364.806280956</v>
      </c>
      <c r="E69" s="7">
        <f>SUM(E64:E68)</f>
        <v>16729222.869865507</v>
      </c>
      <c r="F69" s="46" t="str">
        <f>"Sum Lines "&amp;A64&amp;" to "&amp;A68&amp;""</f>
        <v>Sum Lines 33 to 37</v>
      </c>
      <c r="G69" s="14"/>
    </row>
    <row r="70" spans="1:10">
      <c r="A70" s="2"/>
      <c r="D70" s="94"/>
      <c r="E70" s="7"/>
      <c r="F70" s="13"/>
    </row>
    <row r="71" spans="1:10" ht="12.75" customHeight="1">
      <c r="A71" s="2"/>
      <c r="C71" s="371" t="s">
        <v>1514</v>
      </c>
      <c r="D71" s="94"/>
      <c r="E71" s="7"/>
      <c r="F71" s="13"/>
    </row>
    <row r="72" spans="1:10">
      <c r="A72" s="2"/>
      <c r="D72" s="94"/>
      <c r="E72" s="7"/>
      <c r="F72" s="13"/>
    </row>
    <row r="73" spans="1:10" ht="12.75" customHeight="1">
      <c r="A73" s="2"/>
      <c r="C73" s="371" t="s">
        <v>1409</v>
      </c>
      <c r="D73" s="94"/>
      <c r="E73" s="7"/>
      <c r="F73" s="13"/>
    </row>
    <row r="74" spans="1:10" ht="14.4">
      <c r="A74" s="2"/>
      <c r="C74" s="371"/>
      <c r="D74" s="84" t="s">
        <v>360</v>
      </c>
      <c r="E74" s="84" t="s">
        <v>344</v>
      </c>
      <c r="F74" s="84" t="s">
        <v>345</v>
      </c>
      <c r="G74" s="84" t="s">
        <v>346</v>
      </c>
      <c r="H74" s="84" t="s">
        <v>347</v>
      </c>
    </row>
    <row r="75" spans="1:10" ht="14.4">
      <c r="A75" s="2"/>
      <c r="C75" s="371"/>
      <c r="D75" s="2" t="s">
        <v>1410</v>
      </c>
      <c r="E75" s="466" t="s">
        <v>1411</v>
      </c>
      <c r="F75" s="2"/>
      <c r="H75" s="96" t="s">
        <v>1460</v>
      </c>
    </row>
    <row r="76" spans="1:10" ht="14.4">
      <c r="A76" s="2"/>
      <c r="C76" s="3" t="s">
        <v>226</v>
      </c>
      <c r="D76" s="3" t="s">
        <v>1412</v>
      </c>
      <c r="E76" s="402" t="s">
        <v>1413</v>
      </c>
      <c r="F76" s="3" t="s">
        <v>9</v>
      </c>
      <c r="G76" s="3" t="s">
        <v>1417</v>
      </c>
      <c r="H76" s="3" t="s">
        <v>196</v>
      </c>
      <c r="I76" s="3" t="s">
        <v>179</v>
      </c>
    </row>
    <row r="77" spans="1:10">
      <c r="A77" s="2">
        <f>A69+1</f>
        <v>39</v>
      </c>
      <c r="C77" s="94" t="s">
        <v>1263</v>
      </c>
      <c r="D77" s="1222">
        <f t="shared" ref="D77:D86" si="3">$D$26*(D9/$D$20)</f>
        <v>16914.574792012918</v>
      </c>
      <c r="E77" s="1222">
        <f t="shared" ref="E77:E86" si="4">$D$34*(D9/$D$20)</f>
        <v>5379.9188265466746</v>
      </c>
      <c r="F77" s="1222">
        <f>D48</f>
        <v>1289.9525212761432</v>
      </c>
      <c r="G77" s="63">
        <f>(D77+E77+F77)*('28-FFU'!$D$22+'28-FFU'!$E$22)</f>
        <v>273.89324835575439</v>
      </c>
      <c r="H77" s="472">
        <f>SUM(D77:G77)</f>
        <v>23858.339388191493</v>
      </c>
      <c r="I77" s="46" t="s">
        <v>362</v>
      </c>
      <c r="J77" s="14"/>
    </row>
    <row r="78" spans="1:10">
      <c r="A78" s="2">
        <f t="shared" ref="A78:A88" si="5">A77+1</f>
        <v>40</v>
      </c>
      <c r="C78" s="94" t="s">
        <v>1264</v>
      </c>
      <c r="D78" s="1222">
        <f t="shared" si="3"/>
        <v>0</v>
      </c>
      <c r="E78" s="1222">
        <f t="shared" si="4"/>
        <v>0</v>
      </c>
      <c r="F78" s="1222">
        <f>D55</f>
        <v>0</v>
      </c>
      <c r="G78" s="63">
        <f>(D78+E78+F78)*('28-FFU'!$D$22+'28-FFU'!$E$22)</f>
        <v>0</v>
      </c>
      <c r="H78" s="472">
        <f t="shared" ref="H78:H86" si="6">SUM(D78:G78)</f>
        <v>0</v>
      </c>
      <c r="I78" s="46" t="s">
        <v>362</v>
      </c>
      <c r="J78" s="14"/>
    </row>
    <row r="79" spans="1:10">
      <c r="A79" s="2">
        <f t="shared" si="5"/>
        <v>41</v>
      </c>
      <c r="C79" s="475" t="s">
        <v>1268</v>
      </c>
      <c r="D79" s="1222">
        <f t="shared" si="3"/>
        <v>547258.02949887549</v>
      </c>
      <c r="E79" s="1222">
        <f t="shared" si="4"/>
        <v>174063.12674617706</v>
      </c>
      <c r="F79" s="1222">
        <v>0</v>
      </c>
      <c r="G79" s="63">
        <f>(D79+E79+F79)*('28-FFU'!$D$22+'28-FFU'!$E$22)</f>
        <v>8376.9189838206694</v>
      </c>
      <c r="H79" s="472">
        <f t="shared" si="6"/>
        <v>729698.07522887329</v>
      </c>
      <c r="I79" s="46" t="s">
        <v>362</v>
      </c>
      <c r="J79" s="14"/>
    </row>
    <row r="80" spans="1:10">
      <c r="A80" s="2">
        <f t="shared" si="5"/>
        <v>42</v>
      </c>
      <c r="C80" s="475" t="s">
        <v>1269</v>
      </c>
      <c r="D80" s="1222">
        <f t="shared" si="3"/>
        <v>11069659.181183944</v>
      </c>
      <c r="E80" s="1222">
        <f t="shared" si="4"/>
        <v>3520861.0659505408</v>
      </c>
      <c r="F80" s="1222">
        <v>0</v>
      </c>
      <c r="G80" s="63">
        <f>(D80+E80+F80)*('28-FFU'!$D$22+'28-FFU'!$E$22)</f>
        <v>169444.08878604689</v>
      </c>
      <c r="H80" s="472">
        <f t="shared" si="6"/>
        <v>14759964.335920531</v>
      </c>
      <c r="I80" s="46" t="s">
        <v>362</v>
      </c>
      <c r="J80" s="14"/>
    </row>
    <row r="81" spans="1:10">
      <c r="A81" s="2">
        <f t="shared" si="5"/>
        <v>43</v>
      </c>
      <c r="C81" s="94" t="s">
        <v>1265</v>
      </c>
      <c r="D81" s="1222">
        <f t="shared" si="3"/>
        <v>0</v>
      </c>
      <c r="E81" s="1222">
        <f t="shared" si="4"/>
        <v>0</v>
      </c>
      <c r="F81" s="1222">
        <v>0</v>
      </c>
      <c r="G81" s="63">
        <f>(D81+E81+F81)*('28-FFU'!$D$22+'28-FFU'!$E$22)</f>
        <v>0</v>
      </c>
      <c r="H81" s="472">
        <f t="shared" si="6"/>
        <v>0</v>
      </c>
      <c r="I81" s="46" t="s">
        <v>362</v>
      </c>
      <c r="J81" s="14"/>
    </row>
    <row r="82" spans="1:10">
      <c r="A82" s="2">
        <f t="shared" si="5"/>
        <v>44</v>
      </c>
      <c r="C82" s="94" t="s">
        <v>1266</v>
      </c>
      <c r="D82" s="1222">
        <f t="shared" si="3"/>
        <v>0</v>
      </c>
      <c r="E82" s="1222">
        <f t="shared" si="4"/>
        <v>0</v>
      </c>
      <c r="F82" s="1222">
        <v>0</v>
      </c>
      <c r="G82" s="63">
        <f>(D82+E82+F82)*('28-FFU'!$D$22+'28-FFU'!$E$22)</f>
        <v>0</v>
      </c>
      <c r="H82" s="472">
        <f t="shared" si="6"/>
        <v>0</v>
      </c>
      <c r="I82" s="46" t="s">
        <v>362</v>
      </c>
      <c r="J82" s="14"/>
    </row>
    <row r="83" spans="1:10">
      <c r="A83" s="2">
        <f t="shared" si="5"/>
        <v>45</v>
      </c>
      <c r="C83" s="94" t="s">
        <v>1267</v>
      </c>
      <c r="D83" s="1222">
        <f t="shared" si="3"/>
        <v>0</v>
      </c>
      <c r="E83" s="1222">
        <f t="shared" si="4"/>
        <v>0</v>
      </c>
      <c r="F83" s="1222">
        <v>0</v>
      </c>
      <c r="G83" s="63">
        <f>(D83+E83+F83)*('28-FFU'!$D$22+'28-FFU'!$E$22)</f>
        <v>0</v>
      </c>
      <c r="H83" s="472">
        <f t="shared" si="6"/>
        <v>0</v>
      </c>
      <c r="I83" s="46" t="s">
        <v>362</v>
      </c>
      <c r="J83" s="14"/>
    </row>
    <row r="84" spans="1:10">
      <c r="A84" s="2">
        <f t="shared" si="5"/>
        <v>46</v>
      </c>
      <c r="C84" s="1220" t="s">
        <v>2592</v>
      </c>
      <c r="D84" s="1222">
        <f t="shared" si="3"/>
        <v>5241882.9345184918</v>
      </c>
      <c r="E84" s="1222">
        <f t="shared" si="4"/>
        <v>1667254.7216076793</v>
      </c>
      <c r="F84" s="1222">
        <v>0</v>
      </c>
      <c r="G84" s="63">
        <f>(D84+E84+F84)*('28-FFU'!$D$22+'28-FFU'!$E$22)</f>
        <v>80237.888341890066</v>
      </c>
      <c r="H84" s="472">
        <f t="shared" si="6"/>
        <v>6989375.5444680611</v>
      </c>
      <c r="I84" s="46" t="s">
        <v>362</v>
      </c>
      <c r="J84" s="14"/>
    </row>
    <row r="85" spans="1:10">
      <c r="A85" s="2">
        <f t="shared" si="5"/>
        <v>47</v>
      </c>
      <c r="C85" s="1220" t="s">
        <v>2593</v>
      </c>
      <c r="D85" s="1222">
        <f t="shared" si="3"/>
        <v>4050697.1038670712</v>
      </c>
      <c r="E85" s="1222">
        <f t="shared" si="4"/>
        <v>1288381.2852347288</v>
      </c>
      <c r="F85" s="1222">
        <v>0</v>
      </c>
      <c r="G85" s="63">
        <f>(D85+E85+F85)*('28-FFU'!$D$22+'28-FFU'!$E$22)</f>
        <v>62004.319056155931</v>
      </c>
      <c r="H85" s="472">
        <f t="shared" si="6"/>
        <v>5401082.7081579557</v>
      </c>
      <c r="I85" s="46" t="s">
        <v>362</v>
      </c>
      <c r="J85" s="14"/>
    </row>
    <row r="86" spans="1:10">
      <c r="A86" s="2">
        <f t="shared" si="5"/>
        <v>48</v>
      </c>
      <c r="C86" s="1220" t="s">
        <v>2604</v>
      </c>
      <c r="D86" s="1222">
        <f t="shared" si="3"/>
        <v>3920428.1211062693</v>
      </c>
      <c r="E86" s="1222">
        <f t="shared" si="4"/>
        <v>1246947.3998732797</v>
      </c>
      <c r="F86" s="1222">
        <v>0</v>
      </c>
      <c r="G86" s="63">
        <f>(D86+E86+F86)*('28-FFU'!$D$22+'28-FFU'!$E$22)</f>
        <v>60010.282137791794</v>
      </c>
      <c r="H86" s="472">
        <f t="shared" si="6"/>
        <v>5227385.8031173404</v>
      </c>
      <c r="I86" s="46" t="s">
        <v>362</v>
      </c>
      <c r="J86" s="14"/>
    </row>
    <row r="87" spans="1:10">
      <c r="A87" s="2">
        <f t="shared" si="5"/>
        <v>49</v>
      </c>
      <c r="C87" s="410"/>
      <c r="D87" s="1299" t="s">
        <v>76</v>
      </c>
      <c r="E87" s="1299" t="s">
        <v>76</v>
      </c>
      <c r="F87" s="1299" t="s">
        <v>76</v>
      </c>
      <c r="G87" s="1299" t="s">
        <v>76</v>
      </c>
      <c r="H87" s="1299" t="s">
        <v>76</v>
      </c>
      <c r="I87" s="46" t="s">
        <v>362</v>
      </c>
      <c r="J87" s="14"/>
    </row>
    <row r="88" spans="1:10">
      <c r="A88" s="2">
        <f t="shared" si="5"/>
        <v>50</v>
      </c>
      <c r="C88" s="94" t="s">
        <v>197</v>
      </c>
      <c r="D88" s="105">
        <f>SUM(D77:D87)</f>
        <v>24846839.944966666</v>
      </c>
      <c r="E88" s="105">
        <f>SUM(E77:E87)</f>
        <v>7902887.5182389524</v>
      </c>
      <c r="F88" s="105">
        <f>SUM(F77:F87)</f>
        <v>1289.9525212761432</v>
      </c>
      <c r="G88" s="105">
        <f>SUM(G77:G87)</f>
        <v>380347.3905540611</v>
      </c>
      <c r="H88" s="105">
        <f>SUM(H77:H87)</f>
        <v>33131364.806280956</v>
      </c>
      <c r="I88" s="46" t="str">
        <f>"Sum L "&amp;A77&amp;" to L "&amp;A87&amp;""</f>
        <v>Sum L 39 to L 49</v>
      </c>
      <c r="J88" s="14"/>
    </row>
    <row r="89" spans="1:10">
      <c r="A89" s="2"/>
      <c r="C89" s="94"/>
      <c r="D89" s="94"/>
      <c r="E89" s="7"/>
      <c r="F89" s="13"/>
    </row>
    <row r="90" spans="1:10" ht="14.4">
      <c r="A90" s="2"/>
      <c r="C90" s="371" t="s">
        <v>1515</v>
      </c>
      <c r="D90" s="94"/>
      <c r="E90" s="7"/>
      <c r="F90" s="13"/>
    </row>
    <row r="91" spans="1:10" ht="14.4">
      <c r="A91" s="2"/>
      <c r="C91" s="371"/>
      <c r="D91" s="84" t="s">
        <v>360</v>
      </c>
      <c r="E91" s="84" t="s">
        <v>344</v>
      </c>
      <c r="F91" s="84" t="s">
        <v>345</v>
      </c>
      <c r="G91" s="84" t="s">
        <v>346</v>
      </c>
      <c r="H91" s="84" t="s">
        <v>347</v>
      </c>
    </row>
    <row r="92" spans="1:10" ht="14.4">
      <c r="A92" s="2"/>
      <c r="C92" s="371"/>
      <c r="D92" s="111" t="s">
        <v>1410</v>
      </c>
      <c r="E92" s="1297" t="s">
        <v>1411</v>
      </c>
      <c r="F92" s="111"/>
      <c r="G92" s="14"/>
      <c r="H92" s="363" t="s">
        <v>1460</v>
      </c>
      <c r="I92" s="14"/>
      <c r="J92" s="14"/>
    </row>
    <row r="93" spans="1:10" ht="14.4">
      <c r="A93" s="2"/>
      <c r="C93" s="3" t="s">
        <v>226</v>
      </c>
      <c r="D93" s="125" t="s">
        <v>1412</v>
      </c>
      <c r="E93" s="1298" t="s">
        <v>1413</v>
      </c>
      <c r="F93" s="125" t="s">
        <v>9</v>
      </c>
      <c r="G93" s="125" t="s">
        <v>1417</v>
      </c>
      <c r="H93" s="125" t="s">
        <v>196</v>
      </c>
      <c r="I93" s="125" t="s">
        <v>179</v>
      </c>
      <c r="J93" s="14"/>
    </row>
    <row r="94" spans="1:10">
      <c r="A94" s="2">
        <f>A88+1</f>
        <v>51</v>
      </c>
      <c r="C94" s="94" t="s">
        <v>1263</v>
      </c>
      <c r="D94" s="105">
        <f t="shared" ref="D94:D102" si="7">$E$26*(E9/$E$20)</f>
        <v>660416.65546429914</v>
      </c>
      <c r="E94" s="105">
        <f t="shared" ref="E94:E103" si="8">$E$34*(E9/$E$20)</f>
        <v>210054.82205648447</v>
      </c>
      <c r="F94" s="1223">
        <f>E48</f>
        <v>50365.211084774171</v>
      </c>
      <c r="G94" s="63">
        <f>(D94+E94+F94)*('28-FFU'!$D$22+'28-FFU'!$E$22)</f>
        <v>10693.952715782925</v>
      </c>
      <c r="H94" s="904">
        <f>SUM(D94:G94)</f>
        <v>931530.64132134081</v>
      </c>
      <c r="I94" s="46" t="s">
        <v>1170</v>
      </c>
      <c r="J94" s="14"/>
    </row>
    <row r="95" spans="1:10">
      <c r="A95" s="2">
        <f t="shared" ref="A95:A105" si="9">A94+1</f>
        <v>52</v>
      </c>
      <c r="C95" s="94" t="s">
        <v>1264</v>
      </c>
      <c r="D95" s="105">
        <f t="shared" si="7"/>
        <v>0</v>
      </c>
      <c r="E95" s="105">
        <f t="shared" si="8"/>
        <v>0</v>
      </c>
      <c r="F95" s="1223">
        <f>E55</f>
        <v>0</v>
      </c>
      <c r="G95" s="63">
        <f>(D95+E95+F95)*('28-FFU'!$D$22+'28-FFU'!$E$22)</f>
        <v>0</v>
      </c>
      <c r="H95" s="904">
        <f t="shared" ref="H95:H102" si="10">SUM(D95:G95)</f>
        <v>0</v>
      </c>
      <c r="I95" s="46" t="s">
        <v>1170</v>
      </c>
      <c r="J95" s="14"/>
    </row>
    <row r="96" spans="1:10">
      <c r="A96" s="2">
        <f t="shared" si="9"/>
        <v>53</v>
      </c>
      <c r="C96" s="475" t="s">
        <v>1268</v>
      </c>
      <c r="D96" s="105">
        <f t="shared" si="7"/>
        <v>514687.74422664929</v>
      </c>
      <c r="E96" s="105">
        <f t="shared" si="8"/>
        <v>163703.68862392596</v>
      </c>
      <c r="F96" s="1223">
        <v>0</v>
      </c>
      <c r="G96" s="63">
        <f>(D96+E96+F96)*('28-FFU'!$D$22+'28-FFU'!$E$22)</f>
        <v>7878.3632271235865</v>
      </c>
      <c r="H96" s="904">
        <f t="shared" si="10"/>
        <v>686269.79607769893</v>
      </c>
      <c r="I96" s="46" t="s">
        <v>1170</v>
      </c>
      <c r="J96" s="14"/>
    </row>
    <row r="97" spans="1:10">
      <c r="A97" s="2">
        <f t="shared" si="9"/>
        <v>54</v>
      </c>
      <c r="C97" s="475" t="s">
        <v>1269</v>
      </c>
      <c r="D97" s="105">
        <f t="shared" si="7"/>
        <v>8980406.3926653899</v>
      </c>
      <c r="E97" s="105">
        <f t="shared" si="8"/>
        <v>2856344.7805235102</v>
      </c>
      <c r="F97" s="1223">
        <v>0</v>
      </c>
      <c r="G97" s="63">
        <f>(D97+E97+F97)*('28-FFU'!$D$22+'28-FFU'!$E$22)</f>
        <v>137463.74239959466</v>
      </c>
      <c r="H97" s="904">
        <f t="shared" si="10"/>
        <v>11974214.915588494</v>
      </c>
      <c r="I97" s="46" t="s">
        <v>1170</v>
      </c>
      <c r="J97" s="14"/>
    </row>
    <row r="98" spans="1:10">
      <c r="A98" s="2">
        <f t="shared" si="9"/>
        <v>55</v>
      </c>
      <c r="C98" s="94" t="s">
        <v>1265</v>
      </c>
      <c r="D98" s="105">
        <f t="shared" si="7"/>
        <v>0</v>
      </c>
      <c r="E98" s="105">
        <f t="shared" si="8"/>
        <v>0</v>
      </c>
      <c r="F98" s="1223">
        <v>0</v>
      </c>
      <c r="G98" s="63">
        <f>(D98+E98+F98)*('28-FFU'!$D$22+'28-FFU'!$E$22)</f>
        <v>0</v>
      </c>
      <c r="H98" s="904">
        <f t="shared" si="10"/>
        <v>0</v>
      </c>
      <c r="I98" s="46" t="s">
        <v>1170</v>
      </c>
      <c r="J98" s="14"/>
    </row>
    <row r="99" spans="1:10">
      <c r="A99" s="2">
        <f t="shared" si="9"/>
        <v>56</v>
      </c>
      <c r="C99" s="94" t="s">
        <v>1266</v>
      </c>
      <c r="D99" s="105">
        <f t="shared" si="7"/>
        <v>1036715.9340901463</v>
      </c>
      <c r="E99" s="105">
        <f t="shared" si="8"/>
        <v>329742.10940414394</v>
      </c>
      <c r="F99" s="1223">
        <v>0</v>
      </c>
      <c r="G99" s="63">
        <f>(D99+E99+F99)*('28-FFU'!$D$22+'28-FFU'!$E$22)</f>
        <v>15869.087196512241</v>
      </c>
      <c r="H99" s="904">
        <f t="shared" si="10"/>
        <v>1382327.1306908024</v>
      </c>
      <c r="I99" s="46" t="s">
        <v>1170</v>
      </c>
      <c r="J99" s="14"/>
    </row>
    <row r="100" spans="1:10">
      <c r="A100" s="2">
        <f t="shared" si="9"/>
        <v>57</v>
      </c>
      <c r="C100" s="94" t="s">
        <v>1267</v>
      </c>
      <c r="D100" s="105">
        <f t="shared" si="7"/>
        <v>0</v>
      </c>
      <c r="E100" s="105">
        <f t="shared" si="8"/>
        <v>0</v>
      </c>
      <c r="F100" s="1223">
        <v>0</v>
      </c>
      <c r="G100" s="63">
        <f>(D100+E100+F100)*('28-FFU'!$D$22+'28-FFU'!$E$22)</f>
        <v>0</v>
      </c>
      <c r="H100" s="904">
        <f t="shared" si="10"/>
        <v>0</v>
      </c>
      <c r="I100" s="46" t="s">
        <v>1170</v>
      </c>
      <c r="J100" s="14"/>
    </row>
    <row r="101" spans="1:10">
      <c r="A101" s="2">
        <f t="shared" si="9"/>
        <v>58</v>
      </c>
      <c r="C101" s="1220" t="s">
        <v>2592</v>
      </c>
      <c r="D101" s="105">
        <f t="shared" si="7"/>
        <v>732891.02920658002</v>
      </c>
      <c r="E101" s="105">
        <f t="shared" si="8"/>
        <v>233106.31773596152</v>
      </c>
      <c r="F101" s="1223">
        <v>0</v>
      </c>
      <c r="G101" s="63">
        <f>(D101+E101+F101)*('28-FFU'!$D$22+'28-FFU'!$E$22)</f>
        <v>11218.416989247818</v>
      </c>
      <c r="H101" s="904">
        <f t="shared" si="10"/>
        <v>977215.76393178932</v>
      </c>
      <c r="I101" s="46" t="s">
        <v>1170</v>
      </c>
      <c r="J101" s="14"/>
    </row>
    <row r="102" spans="1:10">
      <c r="A102" s="2">
        <f t="shared" si="9"/>
        <v>59</v>
      </c>
      <c r="C102" s="1220" t="s">
        <v>2593</v>
      </c>
      <c r="D102" s="105">
        <f t="shared" si="7"/>
        <v>311592.08491285163</v>
      </c>
      <c r="E102" s="105">
        <f t="shared" si="8"/>
        <v>99106.25271036374</v>
      </c>
      <c r="F102" s="1223">
        <v>0</v>
      </c>
      <c r="G102" s="63">
        <f>(D102+E102+F102)*('28-FFU'!$D$22+'28-FFU'!$E$22)</f>
        <v>4769.563004319687</v>
      </c>
      <c r="H102" s="904">
        <f t="shared" si="10"/>
        <v>415467.90062753507</v>
      </c>
      <c r="I102" s="46" t="s">
        <v>1170</v>
      </c>
      <c r="J102" s="14"/>
    </row>
    <row r="103" spans="1:10">
      <c r="A103" s="2">
        <f t="shared" si="9"/>
        <v>60</v>
      </c>
      <c r="C103" s="1220" t="s">
        <v>2604</v>
      </c>
      <c r="D103" s="105">
        <f t="shared" ref="D103" si="11">$E$26*(E18/$E$20)</f>
        <v>301571.39393125154</v>
      </c>
      <c r="E103" s="105">
        <f t="shared" si="8"/>
        <v>95919.030759483037</v>
      </c>
      <c r="F103" s="1223">
        <v>0</v>
      </c>
      <c r="G103" s="63">
        <f>(D103+E103+F103)*('28-FFU'!$D$22+'28-FFU'!$E$22)</f>
        <v>4616.1755490609085</v>
      </c>
      <c r="H103" s="904">
        <f t="shared" ref="H103" si="12">SUM(D103:G103)</f>
        <v>402106.60023979552</v>
      </c>
      <c r="I103" s="46" t="s">
        <v>1170</v>
      </c>
      <c r="J103" s="14"/>
    </row>
    <row r="104" spans="1:10">
      <c r="A104" s="2">
        <f t="shared" si="9"/>
        <v>61</v>
      </c>
      <c r="C104" s="410"/>
      <c r="D104" s="1299" t="s">
        <v>76</v>
      </c>
      <c r="E104" s="1299" t="s">
        <v>76</v>
      </c>
      <c r="F104" s="1299" t="s">
        <v>76</v>
      </c>
      <c r="G104" s="1299" t="s">
        <v>76</v>
      </c>
      <c r="H104" s="1299" t="s">
        <v>76</v>
      </c>
      <c r="I104" s="46" t="s">
        <v>1170</v>
      </c>
      <c r="J104" s="14"/>
    </row>
    <row r="105" spans="1:10">
      <c r="A105" s="2">
        <f t="shared" si="9"/>
        <v>62</v>
      </c>
      <c r="C105" s="94" t="s">
        <v>197</v>
      </c>
      <c r="D105" s="63">
        <f>SUM(D94:D104)</f>
        <v>12538281.234497167</v>
      </c>
      <c r="E105" s="63">
        <f>SUM(E94:E104)</f>
        <v>3987977.0018138732</v>
      </c>
      <c r="F105" s="63">
        <f>SUM(F94:F104)</f>
        <v>50365.211084774171</v>
      </c>
      <c r="G105" s="105">
        <f>SUM(G94:G104)</f>
        <v>192509.30108164181</v>
      </c>
      <c r="H105" s="63">
        <f>SUM(H94:H104)</f>
        <v>16769132.748477453</v>
      </c>
      <c r="I105" s="46" t="str">
        <f>"Sum of L "&amp;A94&amp;" to "&amp;A104&amp;""</f>
        <v>Sum of L 51 to 61</v>
      </c>
      <c r="J105" s="14"/>
    </row>
    <row r="106" spans="1:10">
      <c r="C106" s="94"/>
    </row>
    <row r="107" spans="1:10">
      <c r="B107" s="1" t="s">
        <v>1261</v>
      </c>
    </row>
    <row r="108" spans="1:10">
      <c r="B108" s="1"/>
    </row>
    <row r="109" spans="1:10" ht="14.4">
      <c r="B109" s="1"/>
      <c r="C109" s="371" t="s">
        <v>1414</v>
      </c>
    </row>
    <row r="110" spans="1:10">
      <c r="E110" s="3" t="s">
        <v>171</v>
      </c>
      <c r="F110" s="3" t="s">
        <v>179</v>
      </c>
    </row>
    <row r="111" spans="1:10">
      <c r="A111" s="2">
        <f>A105+1</f>
        <v>63</v>
      </c>
      <c r="D111" s="94" t="s">
        <v>355</v>
      </c>
      <c r="E111" s="7">
        <f>F20</f>
        <v>301458236.65036386</v>
      </c>
      <c r="F111" s="114" t="str">
        <f>"Line "&amp;A20&amp;", Col 3"</f>
        <v>Line 12, Col 3</v>
      </c>
      <c r="G111" s="14"/>
      <c r="H111" s="14"/>
    </row>
    <row r="112" spans="1:10">
      <c r="A112" s="2">
        <f>A111+1</f>
        <v>64</v>
      </c>
      <c r="D112" s="94" t="s">
        <v>353</v>
      </c>
      <c r="E112" s="380">
        <f>'2-IFPTRR'!D25</f>
        <v>0.14766864442642422</v>
      </c>
      <c r="F112" s="46" t="str">
        <f>"2-IFPTRR, Line "&amp;'2-IFPTRR'!A25&amp;""</f>
        <v>2-IFPTRR, Line 16</v>
      </c>
      <c r="G112" s="14"/>
      <c r="H112" s="14"/>
    </row>
    <row r="113" spans="1:8">
      <c r="A113" s="2">
        <f>A112+1</f>
        <v>65</v>
      </c>
      <c r="D113" s="94" t="s">
        <v>1455</v>
      </c>
      <c r="E113" s="7">
        <f>E111*E112</f>
        <v>44515929.157339424</v>
      </c>
      <c r="F113" s="114" t="str">
        <f>"Line "&amp;A111&amp;" * Line "&amp;A112&amp;""</f>
        <v>Line 63 * Line 64</v>
      </c>
      <c r="G113" s="14"/>
      <c r="H113" s="14"/>
    </row>
    <row r="114" spans="1:8">
      <c r="A114" s="470">
        <f>A113+1</f>
        <v>66</v>
      </c>
      <c r="D114" s="94" t="s">
        <v>1454</v>
      </c>
      <c r="E114" s="91">
        <f>E113*('28-FFU'!D22+'28-FFU'!E22)</f>
        <v>516976.84008292994</v>
      </c>
      <c r="F114" s="476" t="str">
        <f>"Line "&amp;A113&amp;" * (28-FFU, L"&amp;'28-FFU'!A22&amp;" FF Factor + U Factor)"</f>
        <v>Line 65 * (28-FFU, L5 FF Factor + U Factor)</v>
      </c>
      <c r="G114" s="14"/>
      <c r="H114" s="14"/>
    </row>
    <row r="115" spans="1:8">
      <c r="A115" s="473">
        <f>A114+1</f>
        <v>67</v>
      </c>
      <c r="D115" s="94" t="s">
        <v>1456</v>
      </c>
      <c r="E115" s="7">
        <f>SUM(E113:E114)</f>
        <v>45032905.997422352</v>
      </c>
      <c r="F115" s="114" t="str">
        <f>"Line "&amp;A113&amp;" + Line "&amp;A114&amp;""</f>
        <v>Line 65 + Line 66</v>
      </c>
      <c r="G115" s="14"/>
      <c r="H115" s="14"/>
    </row>
    <row r="116" spans="1:8">
      <c r="A116" s="470"/>
      <c r="D116" s="94"/>
      <c r="E116" s="7"/>
    </row>
    <row r="117" spans="1:8" ht="14.4">
      <c r="A117" s="2"/>
      <c r="C117" s="371" t="s">
        <v>1415</v>
      </c>
      <c r="D117" s="94"/>
      <c r="E117" s="7"/>
      <c r="F117" s="16"/>
    </row>
    <row r="118" spans="1:8">
      <c r="A118" s="2"/>
      <c r="D118" s="499" t="s">
        <v>175</v>
      </c>
      <c r="E118" s="499" t="s">
        <v>175</v>
      </c>
    </row>
    <row r="119" spans="1:8">
      <c r="A119" s="2"/>
      <c r="C119" s="3" t="s">
        <v>226</v>
      </c>
      <c r="D119" s="3" t="s">
        <v>1485</v>
      </c>
      <c r="E119" s="3" t="s">
        <v>1486</v>
      </c>
      <c r="F119" s="3" t="s">
        <v>179</v>
      </c>
    </row>
    <row r="120" spans="1:8">
      <c r="A120" s="2">
        <f>A115+1</f>
        <v>68</v>
      </c>
      <c r="C120" s="94" t="s">
        <v>1263</v>
      </c>
      <c r="D120" s="59">
        <f>$E$113*(F9/$F$20)</f>
        <v>-22294.493618559587</v>
      </c>
      <c r="E120" s="59">
        <f>$E$115*(F9/$F$20)</f>
        <v>-22553.406261300006</v>
      </c>
      <c r="F120" s="46" t="s">
        <v>1185</v>
      </c>
      <c r="G120" s="14"/>
    </row>
    <row r="121" spans="1:8">
      <c r="A121" s="2">
        <f t="shared" ref="A121:A131" si="13">A120+1</f>
        <v>69</v>
      </c>
      <c r="C121" s="94" t="s">
        <v>1264</v>
      </c>
      <c r="D121" s="59">
        <f t="shared" ref="D121:D128" si="14">$E$113*(F10/$F$20)</f>
        <v>0</v>
      </c>
      <c r="E121" s="59">
        <f t="shared" ref="E121:E128" si="15">$E$115*(F10/$F$20)</f>
        <v>0</v>
      </c>
      <c r="F121" s="46" t="s">
        <v>1185</v>
      </c>
      <c r="G121" s="14"/>
    </row>
    <row r="122" spans="1:8">
      <c r="A122" s="2">
        <f t="shared" si="13"/>
        <v>70</v>
      </c>
      <c r="C122" s="475" t="s">
        <v>1268</v>
      </c>
      <c r="D122" s="59">
        <f t="shared" si="14"/>
        <v>92743.008153853356</v>
      </c>
      <c r="E122" s="59">
        <f t="shared" si="15"/>
        <v>93820.060530446499</v>
      </c>
      <c r="F122" s="46" t="s">
        <v>1185</v>
      </c>
      <c r="G122" s="14"/>
    </row>
    <row r="123" spans="1:8">
      <c r="A123" s="2">
        <f t="shared" si="13"/>
        <v>71</v>
      </c>
      <c r="C123" s="475" t="s">
        <v>1269</v>
      </c>
      <c r="D123" s="59">
        <f t="shared" si="14"/>
        <v>23393848.612449396</v>
      </c>
      <c r="E123" s="59">
        <f t="shared" si="15"/>
        <v>23665528.394540351</v>
      </c>
      <c r="F123" s="46" t="s">
        <v>1185</v>
      </c>
      <c r="G123" s="14"/>
    </row>
    <row r="124" spans="1:8">
      <c r="A124" s="2">
        <f t="shared" si="13"/>
        <v>72</v>
      </c>
      <c r="C124" s="94" t="s">
        <v>1265</v>
      </c>
      <c r="D124" s="59">
        <f t="shared" si="14"/>
        <v>0</v>
      </c>
      <c r="E124" s="59">
        <f t="shared" si="15"/>
        <v>0</v>
      </c>
      <c r="F124" s="46" t="s">
        <v>1185</v>
      </c>
      <c r="G124" s="14"/>
    </row>
    <row r="125" spans="1:8">
      <c r="A125" s="2">
        <f t="shared" si="13"/>
        <v>73</v>
      </c>
      <c r="C125" s="94" t="s">
        <v>1266</v>
      </c>
      <c r="D125" s="59">
        <f t="shared" si="14"/>
        <v>0</v>
      </c>
      <c r="E125" s="59">
        <f t="shared" si="15"/>
        <v>0</v>
      </c>
      <c r="F125" s="46" t="s">
        <v>1185</v>
      </c>
      <c r="G125" s="14"/>
    </row>
    <row r="126" spans="1:8">
      <c r="A126" s="2">
        <f t="shared" si="13"/>
        <v>74</v>
      </c>
      <c r="C126" s="94" t="s">
        <v>1267</v>
      </c>
      <c r="D126" s="59">
        <f t="shared" si="14"/>
        <v>0</v>
      </c>
      <c r="E126" s="59">
        <f t="shared" si="15"/>
        <v>0</v>
      </c>
      <c r="F126" s="46" t="s">
        <v>1185</v>
      </c>
      <c r="G126" s="14"/>
    </row>
    <row r="127" spans="1:8">
      <c r="A127" s="2">
        <f t="shared" si="13"/>
        <v>75</v>
      </c>
      <c r="C127" s="1220" t="s">
        <v>2592</v>
      </c>
      <c r="D127" s="59">
        <f t="shared" si="14"/>
        <v>16389871.437654946</v>
      </c>
      <c r="E127" s="59">
        <f t="shared" si="15"/>
        <v>16580211.931621864</v>
      </c>
      <c r="F127" s="46" t="s">
        <v>1185</v>
      </c>
      <c r="G127" s="14"/>
    </row>
    <row r="128" spans="1:8">
      <c r="A128" s="2">
        <f t="shared" si="13"/>
        <v>76</v>
      </c>
      <c r="C128" s="1220" t="s">
        <v>2593</v>
      </c>
      <c r="D128" s="59">
        <f t="shared" si="14"/>
        <v>496061.13771317096</v>
      </c>
      <c r="E128" s="59">
        <f t="shared" si="15"/>
        <v>501822.04452377529</v>
      </c>
      <c r="F128" s="46" t="s">
        <v>1185</v>
      </c>
      <c r="G128" s="14"/>
    </row>
    <row r="129" spans="1:8">
      <c r="A129" s="2">
        <f t="shared" si="13"/>
        <v>77</v>
      </c>
      <c r="C129" s="1220" t="s">
        <v>2604</v>
      </c>
      <c r="D129" s="105">
        <f t="shared" ref="D129" si="16">$E$113*(F18/$F$20)</f>
        <v>4165699.454986624</v>
      </c>
      <c r="E129" s="105">
        <f t="shared" ref="E129" si="17">$E$115*(F18/$F$20)</f>
        <v>4214076.9724672195</v>
      </c>
      <c r="F129" s="46" t="s">
        <v>1185</v>
      </c>
      <c r="G129" s="14"/>
    </row>
    <row r="130" spans="1:8">
      <c r="A130" s="2">
        <f t="shared" si="13"/>
        <v>78</v>
      </c>
      <c r="C130" s="410"/>
      <c r="D130" s="465" t="s">
        <v>76</v>
      </c>
      <c r="E130" s="465" t="s">
        <v>76</v>
      </c>
      <c r="F130" s="46" t="s">
        <v>1185</v>
      </c>
      <c r="G130" s="14"/>
    </row>
    <row r="131" spans="1:8">
      <c r="A131" s="2">
        <f t="shared" si="13"/>
        <v>79</v>
      </c>
      <c r="C131" s="94" t="s">
        <v>197</v>
      </c>
      <c r="D131" s="7">
        <f>SUM(D120:D130)</f>
        <v>44515929.157339431</v>
      </c>
      <c r="E131" s="7">
        <f>SUM(E120:E130)</f>
        <v>45032905.99742236</v>
      </c>
      <c r="F131" s="46" t="str">
        <f>"Sum of Lines "&amp;A120&amp;" to "&amp;A130&amp;""</f>
        <v>Sum of Lines 68 to 78</v>
      </c>
      <c r="G131" s="14"/>
    </row>
    <row r="133" spans="1:8">
      <c r="B133" s="1" t="s">
        <v>1491</v>
      </c>
    </row>
    <row r="134" spans="1:8">
      <c r="B134" s="1"/>
    </row>
    <row r="135" spans="1:8" ht="14.4">
      <c r="C135" s="371" t="s">
        <v>1414</v>
      </c>
    </row>
    <row r="136" spans="1:8">
      <c r="E136" s="3" t="s">
        <v>171</v>
      </c>
      <c r="F136" s="3" t="s">
        <v>179</v>
      </c>
      <c r="H136" s="1"/>
    </row>
    <row r="137" spans="1:8">
      <c r="A137" s="2">
        <f>A131+1</f>
        <v>80</v>
      </c>
      <c r="D137" s="94" t="s">
        <v>1270</v>
      </c>
      <c r="E137" s="7">
        <f>SUM(D64:D67)</f>
        <v>32751017.415726896</v>
      </c>
      <c r="F137" s="114" t="str">
        <f>"Sum Line "&amp;A64&amp;" to "&amp;A67&amp;""</f>
        <v>Sum Line 33 to 36</v>
      </c>
      <c r="G137" s="14"/>
    </row>
    <row r="138" spans="1:8">
      <c r="A138" s="2">
        <f t="shared" ref="A138:A145" si="18">A137+1</f>
        <v>81</v>
      </c>
      <c r="D138" s="475" t="s">
        <v>1483</v>
      </c>
      <c r="E138" s="7">
        <f>E113</f>
        <v>44515929.157339424</v>
      </c>
      <c r="F138" s="114" t="str">
        <f>"Line "&amp;A113&amp;""</f>
        <v>Line 65</v>
      </c>
      <c r="G138" s="14"/>
    </row>
    <row r="139" spans="1:8">
      <c r="A139" s="2">
        <f t="shared" si="18"/>
        <v>82</v>
      </c>
      <c r="D139" s="94" t="s">
        <v>1271</v>
      </c>
      <c r="E139" s="7">
        <f>SUM(E137:E138)</f>
        <v>77266946.573066324</v>
      </c>
      <c r="F139" s="114" t="str">
        <f>"Line "&amp;A137&amp;" + Line "&amp;A138&amp;""</f>
        <v>Line 80 + Line 81</v>
      </c>
      <c r="G139" s="14"/>
    </row>
    <row r="140" spans="1:8">
      <c r="A140" s="2">
        <f t="shared" si="18"/>
        <v>83</v>
      </c>
      <c r="D140" s="94" t="s">
        <v>1256</v>
      </c>
      <c r="E140" s="8">
        <f>'28-FFU'!D22</f>
        <v>9.2057000000000007E-3</v>
      </c>
      <c r="F140" s="46" t="str">
        <f>"28-FFU, Line "&amp;'28-FFU'!A22&amp;""</f>
        <v>28-FFU, Line 5</v>
      </c>
      <c r="G140" s="14"/>
    </row>
    <row r="141" spans="1:8">
      <c r="A141" s="2">
        <f t="shared" si="18"/>
        <v>84</v>
      </c>
      <c r="D141" s="94" t="s">
        <v>1257</v>
      </c>
      <c r="E141" s="8">
        <f>'28-FFU'!E22</f>
        <v>2.4076000000000002E-3</v>
      </c>
      <c r="F141" s="46" t="str">
        <f>"28-FFU, Line "&amp;'28-FFU'!A22&amp;""</f>
        <v>28-FFU, Line 5</v>
      </c>
      <c r="G141" s="14"/>
    </row>
    <row r="142" spans="1:8">
      <c r="A142" s="2">
        <f t="shared" si="18"/>
        <v>85</v>
      </c>
      <c r="D142" s="475" t="s">
        <v>1489</v>
      </c>
      <c r="E142" s="7">
        <f>E139*E140</f>
        <v>711296.33006767672</v>
      </c>
      <c r="F142" s="114" t="str">
        <f>"Line "&amp;A139&amp;" * Line "&amp;A140&amp;""</f>
        <v>Line 82 * Line 83</v>
      </c>
      <c r="G142" s="14"/>
    </row>
    <row r="143" spans="1:8">
      <c r="A143" s="500">
        <f t="shared" si="18"/>
        <v>86</v>
      </c>
      <c r="D143" s="475" t="s">
        <v>1490</v>
      </c>
      <c r="E143" s="7">
        <f>E139*E141</f>
        <v>186027.90056931449</v>
      </c>
      <c r="F143" s="114" t="str">
        <f>"Line "&amp;A139&amp;" * Line "&amp;A141&amp;""</f>
        <v>Line 82 * Line 84</v>
      </c>
      <c r="G143" s="14"/>
    </row>
    <row r="144" spans="1:8">
      <c r="A144" s="500">
        <f t="shared" si="18"/>
        <v>87</v>
      </c>
      <c r="D144" s="94" t="s">
        <v>1272</v>
      </c>
      <c r="E144" s="7">
        <f>E139+E142+E143</f>
        <v>78164270.803703323</v>
      </c>
      <c r="F144" s="46" t="str">
        <f>"Line "&amp;A139&amp;" + Line "&amp;A142&amp;" + Line "&amp;A143&amp;""</f>
        <v>Line 82 + Line 85 + Line 86</v>
      </c>
      <c r="G144" s="14"/>
    </row>
    <row r="145" spans="1:8">
      <c r="A145" s="500">
        <f t="shared" si="18"/>
        <v>88</v>
      </c>
      <c r="D145" s="475" t="s">
        <v>1488</v>
      </c>
      <c r="E145" s="7">
        <f>E139+E142</f>
        <v>77978242.903134003</v>
      </c>
      <c r="F145" s="46" t="str">
        <f>"Line "&amp;A139&amp;" + Line "&amp;A142&amp;""</f>
        <v>Line 82 + Line 85</v>
      </c>
      <c r="G145" s="14"/>
    </row>
    <row r="147" spans="1:8" ht="14.4">
      <c r="C147" s="371" t="s">
        <v>1416</v>
      </c>
    </row>
    <row r="148" spans="1:8" ht="14.4">
      <c r="C148" s="371"/>
      <c r="D148" s="84" t="s">
        <v>360</v>
      </c>
      <c r="E148" s="84" t="s">
        <v>344</v>
      </c>
      <c r="F148" s="84" t="s">
        <v>345</v>
      </c>
      <c r="G148" s="84" t="s">
        <v>346</v>
      </c>
    </row>
    <row r="149" spans="1:8" ht="12.75" customHeight="1">
      <c r="D149" s="242" t="s">
        <v>1408</v>
      </c>
      <c r="E149" s="242" t="s">
        <v>1099</v>
      </c>
    </row>
    <row r="150" spans="1:8" ht="12.75" customHeight="1">
      <c r="D150" s="3" t="s">
        <v>1485</v>
      </c>
      <c r="E150" s="3" t="s">
        <v>1485</v>
      </c>
      <c r="F150" s="3" t="s">
        <v>1417</v>
      </c>
      <c r="G150" s="243" t="s">
        <v>196</v>
      </c>
      <c r="H150" s="3" t="s">
        <v>179</v>
      </c>
    </row>
    <row r="151" spans="1:8">
      <c r="A151" s="500">
        <f>A145+1</f>
        <v>89</v>
      </c>
      <c r="C151" s="94" t="s">
        <v>1263</v>
      </c>
      <c r="D151" s="63">
        <f t="shared" ref="D151:D159" si="19">D77+E77+F77</f>
        <v>23584.446139835738</v>
      </c>
      <c r="E151" s="63">
        <f t="shared" ref="E151:E159" si="20">D120</f>
        <v>-22294.493618559587</v>
      </c>
      <c r="F151" s="63">
        <f>(D151+E151)*('28-FFU'!$D$22+'28-FFU'!$E$22)</f>
        <v>14.980605615336323</v>
      </c>
      <c r="G151" s="63">
        <f>SUM(D151:F151)</f>
        <v>1304.9331268914873</v>
      </c>
      <c r="H151" s="46" t="s">
        <v>1187</v>
      </c>
    </row>
    <row r="152" spans="1:8">
      <c r="A152" s="500">
        <f t="shared" ref="A152:A162" si="21">A151+1</f>
        <v>90</v>
      </c>
      <c r="C152" s="94" t="s">
        <v>1264</v>
      </c>
      <c r="D152" s="63">
        <f t="shared" si="19"/>
        <v>0</v>
      </c>
      <c r="E152" s="63">
        <f t="shared" si="20"/>
        <v>0</v>
      </c>
      <c r="F152" s="63">
        <f>(D152+E152)*('28-FFU'!$D$22+'28-FFU'!$E$22)</f>
        <v>0</v>
      </c>
      <c r="G152" s="63">
        <f t="shared" ref="G152:G159" si="22">SUM(D152:F152)</f>
        <v>0</v>
      </c>
      <c r="H152" s="46" t="s">
        <v>1187</v>
      </c>
    </row>
    <row r="153" spans="1:8">
      <c r="A153" s="500">
        <f t="shared" si="21"/>
        <v>91</v>
      </c>
      <c r="C153" s="475" t="s">
        <v>1268</v>
      </c>
      <c r="D153" s="63">
        <f t="shared" si="19"/>
        <v>721321.15624505258</v>
      </c>
      <c r="E153" s="63">
        <f t="shared" si="20"/>
        <v>92743.008153853356</v>
      </c>
      <c r="F153" s="63">
        <f>(D153+E153)*('28-FFU'!$D$22+'28-FFU'!$E$22)</f>
        <v>9453.9713604138142</v>
      </c>
      <c r="G153" s="63">
        <f t="shared" si="22"/>
        <v>823518.13575931976</v>
      </c>
      <c r="H153" s="46" t="s">
        <v>1187</v>
      </c>
    </row>
    <row r="154" spans="1:8">
      <c r="A154" s="500">
        <f t="shared" si="21"/>
        <v>92</v>
      </c>
      <c r="C154" s="475" t="s">
        <v>1269</v>
      </c>
      <c r="D154" s="63">
        <f t="shared" si="19"/>
        <v>14590520.247134484</v>
      </c>
      <c r="E154" s="63">
        <f t="shared" si="20"/>
        <v>23393848.612449396</v>
      </c>
      <c r="F154" s="63">
        <f>(D154+E154)*('28-FFU'!$D$22+'28-FFU'!$E$22)</f>
        <v>441123.87087700551</v>
      </c>
      <c r="G154" s="63">
        <f t="shared" si="22"/>
        <v>38425492.73046089</v>
      </c>
      <c r="H154" s="46" t="s">
        <v>1187</v>
      </c>
    </row>
    <row r="155" spans="1:8">
      <c r="A155" s="500">
        <f t="shared" si="21"/>
        <v>93</v>
      </c>
      <c r="C155" s="94" t="s">
        <v>1265</v>
      </c>
      <c r="D155" s="63">
        <f t="shared" si="19"/>
        <v>0</v>
      </c>
      <c r="E155" s="63">
        <f t="shared" si="20"/>
        <v>0</v>
      </c>
      <c r="F155" s="63">
        <f>(D155+E155)*('28-FFU'!$D$22+'28-FFU'!$E$22)</f>
        <v>0</v>
      </c>
      <c r="G155" s="63">
        <f t="shared" si="22"/>
        <v>0</v>
      </c>
      <c r="H155" s="46" t="s">
        <v>1187</v>
      </c>
    </row>
    <row r="156" spans="1:8">
      <c r="A156" s="500">
        <f t="shared" si="21"/>
        <v>94</v>
      </c>
      <c r="C156" s="94" t="s">
        <v>1266</v>
      </c>
      <c r="D156" s="63">
        <f t="shared" si="19"/>
        <v>0</v>
      </c>
      <c r="E156" s="63">
        <f t="shared" si="20"/>
        <v>0</v>
      </c>
      <c r="F156" s="63">
        <f>(D156+E156)*('28-FFU'!$D$22+'28-FFU'!$E$22)</f>
        <v>0</v>
      </c>
      <c r="G156" s="63">
        <f t="shared" si="22"/>
        <v>0</v>
      </c>
      <c r="H156" s="46" t="s">
        <v>1187</v>
      </c>
    </row>
    <row r="157" spans="1:8">
      <c r="A157" s="500">
        <f t="shared" si="21"/>
        <v>95</v>
      </c>
      <c r="C157" s="94" t="s">
        <v>1267</v>
      </c>
      <c r="D157" s="63">
        <f t="shared" si="19"/>
        <v>0</v>
      </c>
      <c r="E157" s="63">
        <f t="shared" si="20"/>
        <v>0</v>
      </c>
      <c r="F157" s="63">
        <f>(D157+E157)*('28-FFU'!$D$22+'28-FFU'!$E$22)</f>
        <v>0</v>
      </c>
      <c r="G157" s="63">
        <f t="shared" si="22"/>
        <v>0</v>
      </c>
      <c r="H157" s="46" t="s">
        <v>1187</v>
      </c>
    </row>
    <row r="158" spans="1:8">
      <c r="A158" s="500">
        <f t="shared" si="21"/>
        <v>96</v>
      </c>
      <c r="C158" s="1220" t="s">
        <v>2592</v>
      </c>
      <c r="D158" s="63">
        <f t="shared" si="19"/>
        <v>6909137.6561261714</v>
      </c>
      <c r="E158" s="63">
        <f t="shared" si="20"/>
        <v>16389871.437654946</v>
      </c>
      <c r="F158" s="63">
        <f>(D158+E158)*('28-FFU'!$D$22+'28-FFU'!$E$22)</f>
        <v>270578.38230880827</v>
      </c>
      <c r="G158" s="63">
        <f t="shared" si="22"/>
        <v>23569587.476089925</v>
      </c>
      <c r="H158" s="46" t="s">
        <v>1187</v>
      </c>
    </row>
    <row r="159" spans="1:8">
      <c r="A159" s="500">
        <f t="shared" si="21"/>
        <v>97</v>
      </c>
      <c r="C159" s="1220" t="s">
        <v>2593</v>
      </c>
      <c r="D159" s="63">
        <f t="shared" si="19"/>
        <v>5339078.3891017996</v>
      </c>
      <c r="E159" s="63">
        <f t="shared" si="20"/>
        <v>496061.13771317096</v>
      </c>
      <c r="F159" s="63">
        <f>(D159+E159)*('28-FFU'!$D$22+'28-FFU'!$E$22)</f>
        <v>67765.225866760287</v>
      </c>
      <c r="G159" s="63">
        <f t="shared" si="22"/>
        <v>5902904.7526817303</v>
      </c>
      <c r="H159" s="46" t="s">
        <v>1187</v>
      </c>
    </row>
    <row r="160" spans="1:8">
      <c r="A160" s="500">
        <f t="shared" si="21"/>
        <v>98</v>
      </c>
      <c r="C160" s="1220" t="s">
        <v>2604</v>
      </c>
      <c r="D160" s="63">
        <f t="shared" ref="D160" si="23">D86+E86+F86</f>
        <v>5167375.5209795488</v>
      </c>
      <c r="E160" s="63">
        <f t="shared" ref="E160" si="24">D129</f>
        <v>4165699.454986624</v>
      </c>
      <c r="F160" s="63">
        <f>(D160+E160)*('28-FFU'!$D$22+'28-FFU'!$E$22)</f>
        <v>108387.79961838794</v>
      </c>
      <c r="G160" s="63">
        <f t="shared" ref="G160" si="25">SUM(D160:F160)</f>
        <v>9441462.7755845599</v>
      </c>
      <c r="H160" s="46" t="s">
        <v>1187</v>
      </c>
    </row>
    <row r="161" spans="1:8">
      <c r="A161" s="500">
        <f t="shared" si="21"/>
        <v>99</v>
      </c>
      <c r="C161" s="410"/>
      <c r="D161" s="1296" t="s">
        <v>76</v>
      </c>
      <c r="E161" s="1296" t="s">
        <v>76</v>
      </c>
      <c r="F161" s="1296" t="s">
        <v>76</v>
      </c>
      <c r="G161" s="1296" t="s">
        <v>76</v>
      </c>
      <c r="H161" s="46" t="s">
        <v>1187</v>
      </c>
    </row>
    <row r="162" spans="1:8">
      <c r="A162" s="500">
        <f t="shared" si="21"/>
        <v>100</v>
      </c>
      <c r="C162" s="94" t="s">
        <v>197</v>
      </c>
      <c r="D162" s="63">
        <f>SUM(D151:D161)</f>
        <v>32751017.415726893</v>
      </c>
      <c r="E162" s="63">
        <f>SUM(E151:E161)</f>
        <v>44515929.157339431</v>
      </c>
      <c r="F162" s="63">
        <f>SUM(F151:F161)</f>
        <v>897324.23063699109</v>
      </c>
      <c r="G162" s="63">
        <f>SUM(G151:G161)</f>
        <v>78164270.803703323</v>
      </c>
      <c r="H162" s="14"/>
    </row>
    <row r="164" spans="1:8" ht="14.4">
      <c r="C164" s="371" t="s">
        <v>1484</v>
      </c>
    </row>
    <row r="165" spans="1:8" ht="14.4">
      <c r="C165" s="371"/>
    </row>
    <row r="166" spans="1:8">
      <c r="D166" s="84" t="s">
        <v>360</v>
      </c>
      <c r="E166" s="84" t="s">
        <v>344</v>
      </c>
      <c r="F166" s="84" t="s">
        <v>345</v>
      </c>
      <c r="G166" s="84" t="s">
        <v>346</v>
      </c>
    </row>
    <row r="167" spans="1:8" ht="12.75" customHeight="1">
      <c r="D167" s="242" t="s">
        <v>1408</v>
      </c>
      <c r="E167" s="242" t="s">
        <v>1099</v>
      </c>
      <c r="F167" s="84"/>
      <c r="G167" s="84"/>
    </row>
    <row r="168" spans="1:8" ht="12.75" customHeight="1">
      <c r="D168" s="3" t="s">
        <v>1485</v>
      </c>
      <c r="E168" s="3" t="s">
        <v>1485</v>
      </c>
      <c r="F168" s="3" t="s">
        <v>1459</v>
      </c>
      <c r="G168" s="243" t="s">
        <v>196</v>
      </c>
      <c r="H168" s="3" t="s">
        <v>179</v>
      </c>
    </row>
    <row r="169" spans="1:8">
      <c r="A169" s="500">
        <f>A162+1</f>
        <v>101</v>
      </c>
      <c r="C169" s="94" t="s">
        <v>1263</v>
      </c>
      <c r="D169" s="63">
        <f t="shared" ref="D169:D177" si="26">D77+E77+F77</f>
        <v>23584.446139835738</v>
      </c>
      <c r="E169" s="63">
        <f t="shared" ref="E169:E177" si="27">D120</f>
        <v>-22294.493618559587</v>
      </c>
      <c r="F169" s="63">
        <f>(D169+E169)*('28-FFU'!$D$22)</f>
        <v>11.874915925111864</v>
      </c>
      <c r="G169" s="63">
        <f>SUM(D169:F169)</f>
        <v>1301.8274372012629</v>
      </c>
      <c r="H169" s="481" t="s">
        <v>1188</v>
      </c>
    </row>
    <row r="170" spans="1:8">
      <c r="A170" s="500">
        <f t="shared" ref="A170:A180" si="28">A169+1</f>
        <v>102</v>
      </c>
      <c r="C170" s="94" t="s">
        <v>1264</v>
      </c>
      <c r="D170" s="63">
        <f t="shared" si="26"/>
        <v>0</v>
      </c>
      <c r="E170" s="63">
        <f t="shared" si="27"/>
        <v>0</v>
      </c>
      <c r="F170" s="63">
        <f>(D170+E170)*('28-FFU'!$D$22)</f>
        <v>0</v>
      </c>
      <c r="G170" s="63">
        <f t="shared" ref="G170:G177" si="29">SUM(D170:F170)</f>
        <v>0</v>
      </c>
      <c r="H170" s="481" t="s">
        <v>1188</v>
      </c>
    </row>
    <row r="171" spans="1:8">
      <c r="A171" s="500">
        <f t="shared" si="28"/>
        <v>103</v>
      </c>
      <c r="C171" s="475" t="s">
        <v>1268</v>
      </c>
      <c r="D171" s="63">
        <f t="shared" si="26"/>
        <v>721321.15624505258</v>
      </c>
      <c r="E171" s="63">
        <f t="shared" si="27"/>
        <v>92743.008153853356</v>
      </c>
      <c r="F171" s="63">
        <f>(D171+E171)*('28-FFU'!$D$22)</f>
        <v>7494.0304782070089</v>
      </c>
      <c r="G171" s="63">
        <f t="shared" si="29"/>
        <v>821558.19487711298</v>
      </c>
      <c r="H171" s="481" t="s">
        <v>1188</v>
      </c>
    </row>
    <row r="172" spans="1:8">
      <c r="A172" s="500">
        <f t="shared" si="28"/>
        <v>104</v>
      </c>
      <c r="C172" s="475" t="s">
        <v>1269</v>
      </c>
      <c r="D172" s="63">
        <f t="shared" si="26"/>
        <v>14590520.247134484</v>
      </c>
      <c r="E172" s="63">
        <f t="shared" si="27"/>
        <v>23393848.612449396</v>
      </c>
      <c r="F172" s="63">
        <f>(D172+E172)*('28-FFU'!$D$22)</f>
        <v>349672.70441067137</v>
      </c>
      <c r="G172" s="63">
        <f t="shared" si="29"/>
        <v>38334041.563994557</v>
      </c>
      <c r="H172" s="481" t="s">
        <v>1188</v>
      </c>
    </row>
    <row r="173" spans="1:8">
      <c r="A173" s="500">
        <f t="shared" si="28"/>
        <v>105</v>
      </c>
      <c r="C173" s="94" t="s">
        <v>1265</v>
      </c>
      <c r="D173" s="63">
        <f t="shared" si="26"/>
        <v>0</v>
      </c>
      <c r="E173" s="63">
        <f t="shared" si="27"/>
        <v>0</v>
      </c>
      <c r="F173" s="63">
        <f>(D173+E173)*('28-FFU'!$D$22)</f>
        <v>0</v>
      </c>
      <c r="G173" s="63">
        <f t="shared" si="29"/>
        <v>0</v>
      </c>
      <c r="H173" s="481" t="s">
        <v>1188</v>
      </c>
    </row>
    <row r="174" spans="1:8">
      <c r="A174" s="500">
        <f t="shared" si="28"/>
        <v>106</v>
      </c>
      <c r="C174" s="94" t="s">
        <v>1266</v>
      </c>
      <c r="D174" s="63">
        <f t="shared" si="26"/>
        <v>0</v>
      </c>
      <c r="E174" s="63">
        <f t="shared" si="27"/>
        <v>0</v>
      </c>
      <c r="F174" s="63">
        <f>(D174+E174)*('28-FFU'!$D$22)</f>
        <v>0</v>
      </c>
      <c r="G174" s="63">
        <f t="shared" si="29"/>
        <v>0</v>
      </c>
      <c r="H174" s="481" t="s">
        <v>1188</v>
      </c>
    </row>
    <row r="175" spans="1:8">
      <c r="A175" s="500">
        <f t="shared" si="28"/>
        <v>107</v>
      </c>
      <c r="C175" s="94" t="s">
        <v>1267</v>
      </c>
      <c r="D175" s="63">
        <f t="shared" si="26"/>
        <v>0</v>
      </c>
      <c r="E175" s="63">
        <f t="shared" si="27"/>
        <v>0</v>
      </c>
      <c r="F175" s="63">
        <f>(D175+E175)*('28-FFU'!$D$22)</f>
        <v>0</v>
      </c>
      <c r="G175" s="63">
        <f t="shared" si="29"/>
        <v>0</v>
      </c>
      <c r="H175" s="481" t="s">
        <v>1188</v>
      </c>
    </row>
    <row r="176" spans="1:8">
      <c r="A176" s="500">
        <f t="shared" si="28"/>
        <v>108</v>
      </c>
      <c r="C176" s="1220" t="s">
        <v>2592</v>
      </c>
      <c r="D176" s="63">
        <f t="shared" si="26"/>
        <v>6909137.6561261714</v>
      </c>
      <c r="E176" s="63">
        <f t="shared" si="27"/>
        <v>16389871.437654946</v>
      </c>
      <c r="F176" s="63">
        <f>(D176+E176)*('28-FFU'!$D$22)</f>
        <v>214483.68801462086</v>
      </c>
      <c r="G176" s="63">
        <f t="shared" si="29"/>
        <v>23513492.781795736</v>
      </c>
      <c r="H176" s="481" t="s">
        <v>1188</v>
      </c>
    </row>
    <row r="177" spans="1:11">
      <c r="A177" s="500">
        <f t="shared" si="28"/>
        <v>109</v>
      </c>
      <c r="C177" s="1220" t="s">
        <v>2593</v>
      </c>
      <c r="D177" s="63">
        <f t="shared" si="26"/>
        <v>5339078.3891017996</v>
      </c>
      <c r="E177" s="63">
        <f t="shared" si="27"/>
        <v>496061.13771317096</v>
      </c>
      <c r="F177" s="63">
        <f>(D177+E177)*('28-FFU'!$D$22)</f>
        <v>53716.543942000579</v>
      </c>
      <c r="G177" s="63">
        <f t="shared" si="29"/>
        <v>5888856.0707569709</v>
      </c>
      <c r="H177" s="481" t="s">
        <v>1188</v>
      </c>
    </row>
    <row r="178" spans="1:11">
      <c r="A178" s="500">
        <f t="shared" si="28"/>
        <v>110</v>
      </c>
      <c r="C178" s="1220" t="s">
        <v>2604</v>
      </c>
      <c r="D178" s="63">
        <f t="shared" ref="D178" si="30">D86+E86+F86</f>
        <v>5167375.5209795488</v>
      </c>
      <c r="E178" s="63">
        <f t="shared" ref="E178" si="31">D129</f>
        <v>4165699.454986624</v>
      </c>
      <c r="F178" s="63">
        <f>(D178+E178)*('28-FFU'!$D$22)</f>
        <v>85917.488306251806</v>
      </c>
      <c r="G178" s="63">
        <f t="shared" ref="G178" si="32">SUM(D178:F178)</f>
        <v>9418992.4642724246</v>
      </c>
      <c r="H178" s="481" t="s">
        <v>1188</v>
      </c>
    </row>
    <row r="179" spans="1:11">
      <c r="A179" s="500">
        <f t="shared" si="28"/>
        <v>111</v>
      </c>
      <c r="C179" s="410"/>
      <c r="D179" s="1296" t="s">
        <v>76</v>
      </c>
      <c r="E179" s="1296" t="s">
        <v>76</v>
      </c>
      <c r="F179" s="1296" t="s">
        <v>76</v>
      </c>
      <c r="G179" s="1296" t="s">
        <v>76</v>
      </c>
      <c r="H179" s="481" t="s">
        <v>1188</v>
      </c>
    </row>
    <row r="180" spans="1:11">
      <c r="A180" s="500">
        <f t="shared" si="28"/>
        <v>112</v>
      </c>
      <c r="C180" s="94" t="s">
        <v>197</v>
      </c>
      <c r="D180" s="63">
        <f>SUM(D169:D179)</f>
        <v>32751017.415726893</v>
      </c>
      <c r="E180" s="63">
        <f>SUM(E169:E179)</f>
        <v>44515929.157339431</v>
      </c>
      <c r="F180" s="63">
        <f>SUM(F169:F179)</f>
        <v>711296.33006767684</v>
      </c>
      <c r="G180" s="63">
        <f>SUM(G169:G179)</f>
        <v>77978242.903134003</v>
      </c>
    </row>
    <row r="182" spans="1:11">
      <c r="B182" s="1" t="s">
        <v>232</v>
      </c>
    </row>
    <row r="183" spans="1:11">
      <c r="B183" s="110"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c r="B184" s="46" t="str">
        <f>"(Sum Lines "&amp;A64&amp;" to "&amp;A67&amp;") * (FF Factor from 28-FFU) for True Up TRR"</f>
        <v>(Sum Lines 33 to 36) * (FF Factor from 28-FFU) for True Up TRR</v>
      </c>
      <c r="C184" s="14"/>
      <c r="D184" s="14"/>
      <c r="E184" s="14"/>
      <c r="F184" s="14"/>
      <c r="G184" s="14"/>
      <c r="H184" s="14"/>
      <c r="I184" s="14"/>
      <c r="J184" s="14"/>
      <c r="K184" s="14"/>
    </row>
    <row r="185" spans="1:11">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c r="B186" s="46"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c r="B187" s="114"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c r="B189" s="46"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c r="B190" s="114" t="str">
        <f>"ROE Adder is from Lines "&amp;A66&amp;" and "&amp;A67&amp;".  FF&amp;U Expenses are based on FF&amp;U Factors on 28-FFU."</f>
        <v>ROE Adder is from Lines 35 and 36.  FF&amp;U Expenses are based on FF&amp;U Factors on 28-FFU.</v>
      </c>
      <c r="C190" s="14"/>
      <c r="D190" s="14"/>
      <c r="E190" s="14"/>
      <c r="F190" s="14"/>
      <c r="G190" s="14"/>
      <c r="H190" s="14"/>
      <c r="I190" s="14"/>
      <c r="J190" s="14"/>
      <c r="K190" s="14"/>
    </row>
    <row r="191" spans="1:11">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c r="B193" s="46" t="str">
        <f>"Column 2 is from Lines "&amp;A120&amp;" to "&amp;A130&amp;" (no FF&amp;U)."</f>
        <v>Column 2 is from Lines 68 to 78 (no FF&amp;U).</v>
      </c>
      <c r="C193" s="14"/>
      <c r="D193" s="14"/>
      <c r="E193" s="14"/>
      <c r="F193" s="14"/>
      <c r="G193" s="14"/>
      <c r="H193" s="14"/>
      <c r="I193" s="14"/>
      <c r="J193" s="14"/>
      <c r="K193" s="14"/>
    </row>
    <row r="194" spans="2:11">
      <c r="B194" s="476"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c r="B195" s="479" t="s">
        <v>1487</v>
      </c>
      <c r="C195" s="14"/>
      <c r="D195" s="14"/>
      <c r="E195" s="14"/>
      <c r="F195" s="14"/>
      <c r="G195" s="14"/>
      <c r="H195" s="14"/>
    </row>
    <row r="196" spans="2:11">
      <c r="B196" s="14"/>
      <c r="C196" s="14"/>
      <c r="D196" s="14"/>
      <c r="E196" s="14"/>
      <c r="F196" s="14"/>
      <c r="G196" s="14"/>
      <c r="H196" s="14"/>
    </row>
  </sheetData>
  <pageMargins left="0.7" right="0.7" top="0.75" bottom="0.75" header="0.3" footer="0.3"/>
  <pageSetup scale="70" orientation="portrait" cellComments="asDisplayed" r:id="rId1"/>
  <headerFooter>
    <oddHeader>&amp;CSchedule 24
CWIP TRR
&amp;RExhibit SCE-4
TO2019A Formula Rate Spreadsheet</oddHeader>
    <oddFooter>&amp;R24-CWIPTRR</oddFooter>
  </headerFooter>
  <rowBreaks count="2" manualBreakCount="2">
    <brk id="70"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zoomScaleNormal="100" workbookViewId="0"/>
  </sheetViews>
  <sheetFormatPr defaultRowHeight="13.2"/>
  <cols>
    <col min="1" max="1" width="4.6640625" customWidth="1"/>
    <col min="6" max="6" width="11.6640625" customWidth="1"/>
    <col min="7" max="7" width="21.6640625" customWidth="1"/>
    <col min="8" max="8" width="15.5546875" customWidth="1"/>
    <col min="9" max="9" width="14.6640625" customWidth="1"/>
  </cols>
  <sheetData>
    <row r="1" spans="1:12">
      <c r="A1" s="1" t="s">
        <v>1337</v>
      </c>
      <c r="B1" s="231"/>
      <c r="C1" s="231"/>
      <c r="D1" s="231"/>
      <c r="E1" s="231"/>
      <c r="F1" s="231"/>
      <c r="G1" s="231"/>
      <c r="H1" s="231"/>
      <c r="I1" s="231"/>
      <c r="J1" s="231"/>
      <c r="K1" s="231"/>
      <c r="L1" s="231"/>
    </row>
    <row r="2" spans="1:12">
      <c r="A2" s="1"/>
      <c r="B2" s="231"/>
      <c r="C2" s="231"/>
      <c r="D2" s="231"/>
      <c r="E2" s="231"/>
      <c r="F2" s="231"/>
      <c r="G2" s="231"/>
      <c r="H2" s="451" t="s">
        <v>17</v>
      </c>
      <c r="I2" s="397"/>
      <c r="J2" s="231"/>
      <c r="K2" s="231"/>
      <c r="L2" s="231"/>
    </row>
    <row r="3" spans="1:12">
      <c r="A3" s="1"/>
      <c r="B3" s="231" t="s">
        <v>1338</v>
      </c>
      <c r="C3" s="231"/>
      <c r="D3" s="231"/>
      <c r="E3" s="231"/>
      <c r="F3" s="231"/>
      <c r="G3" s="231"/>
      <c r="H3" s="240"/>
      <c r="I3" s="240"/>
      <c r="J3" s="231"/>
      <c r="K3" s="231"/>
      <c r="L3" s="231"/>
    </row>
    <row r="4" spans="1:12">
      <c r="A4" s="1"/>
      <c r="B4" s="240" t="s">
        <v>1831</v>
      </c>
      <c r="C4" s="240"/>
      <c r="D4" s="240"/>
      <c r="E4" s="240"/>
      <c r="F4" s="240"/>
      <c r="G4" s="240"/>
      <c r="H4" s="240"/>
      <c r="I4" s="240"/>
      <c r="J4" s="231"/>
      <c r="K4" s="231"/>
      <c r="L4" s="231"/>
    </row>
    <row r="5" spans="1:12" ht="13.8">
      <c r="A5" s="1"/>
      <c r="B5" s="240" t="s">
        <v>1745</v>
      </c>
      <c r="C5" s="240"/>
      <c r="D5" s="240"/>
      <c r="E5" s="240"/>
      <c r="F5" s="240"/>
      <c r="G5" s="240"/>
      <c r="H5" s="240"/>
      <c r="I5" s="240"/>
      <c r="J5" s="231"/>
      <c r="K5" s="231"/>
      <c r="L5" s="231"/>
    </row>
    <row r="6" spans="1:12">
      <c r="A6" s="1"/>
      <c r="B6" s="240"/>
      <c r="C6" s="240"/>
      <c r="D6" s="240"/>
      <c r="E6" s="240"/>
      <c r="F6" s="240"/>
      <c r="G6" s="240"/>
      <c r="H6" s="240"/>
      <c r="I6" s="240"/>
      <c r="J6" s="231"/>
      <c r="K6" s="231"/>
      <c r="L6" s="231"/>
    </row>
    <row r="7" spans="1:12">
      <c r="A7" s="1"/>
      <c r="B7" s="240" t="s">
        <v>1832</v>
      </c>
      <c r="C7" s="240"/>
      <c r="D7" s="240"/>
      <c r="E7" s="240"/>
      <c r="F7" s="240"/>
      <c r="G7" s="240"/>
      <c r="H7" s="240"/>
      <c r="I7" s="240"/>
      <c r="J7" s="231"/>
      <c r="K7" s="231"/>
      <c r="L7" s="231"/>
    </row>
    <row r="8" spans="1:12">
      <c r="A8" s="1"/>
      <c r="B8" s="240" t="s">
        <v>1339</v>
      </c>
      <c r="C8" s="240"/>
      <c r="D8" s="240"/>
      <c r="E8" s="240"/>
      <c r="F8" s="240"/>
      <c r="G8" s="240"/>
      <c r="H8" s="240"/>
      <c r="I8" s="240"/>
      <c r="J8" s="231"/>
      <c r="K8" s="231"/>
      <c r="L8" s="231"/>
    </row>
    <row r="9" spans="1:12">
      <c r="A9" s="1"/>
      <c r="B9" s="240" t="s">
        <v>1340</v>
      </c>
      <c r="C9" s="240"/>
      <c r="D9" s="240"/>
      <c r="E9" s="240"/>
      <c r="F9" s="240"/>
      <c r="G9" s="240"/>
      <c r="H9" s="240"/>
      <c r="I9" s="240"/>
      <c r="J9" s="231"/>
      <c r="K9" s="231"/>
      <c r="L9" s="231"/>
    </row>
    <row r="10" spans="1:12">
      <c r="A10" s="1"/>
      <c r="B10" s="240"/>
      <c r="C10" s="240"/>
      <c r="D10" s="240"/>
      <c r="E10" s="240"/>
      <c r="F10" s="240"/>
      <c r="G10" s="240"/>
      <c r="H10" s="452" t="s">
        <v>1341</v>
      </c>
      <c r="I10" s="240"/>
      <c r="J10" s="231"/>
      <c r="K10" s="231"/>
      <c r="L10" s="231"/>
    </row>
    <row r="11" spans="1:12" ht="14.4">
      <c r="A11" s="1"/>
      <c r="B11" s="240"/>
      <c r="C11" s="240"/>
      <c r="D11" s="240"/>
      <c r="E11" s="240"/>
      <c r="F11" s="240"/>
      <c r="G11" s="452" t="s">
        <v>173</v>
      </c>
      <c r="H11" s="938" t="s">
        <v>1342</v>
      </c>
      <c r="I11" s="452" t="s">
        <v>325</v>
      </c>
      <c r="J11" s="231"/>
      <c r="K11" s="231"/>
      <c r="L11" s="231"/>
    </row>
    <row r="12" spans="1:12">
      <c r="A12" s="51" t="s">
        <v>331</v>
      </c>
      <c r="B12" s="240"/>
      <c r="C12" s="240"/>
      <c r="D12" s="240"/>
      <c r="E12" s="240"/>
      <c r="F12" s="240"/>
      <c r="G12" s="453" t="s">
        <v>289</v>
      </c>
      <c r="H12" s="453" t="s">
        <v>289</v>
      </c>
      <c r="I12" s="453" t="s">
        <v>1343</v>
      </c>
      <c r="J12" s="231"/>
      <c r="K12" s="231"/>
      <c r="L12" s="231"/>
    </row>
    <row r="13" spans="1:12">
      <c r="A13" s="2">
        <v>1</v>
      </c>
      <c r="B13" s="240" t="s">
        <v>1344</v>
      </c>
      <c r="C13" s="240"/>
      <c r="D13" s="240"/>
      <c r="E13" s="240"/>
      <c r="F13" s="240"/>
      <c r="G13" s="454" t="s">
        <v>222</v>
      </c>
      <c r="H13" s="454" t="s">
        <v>222</v>
      </c>
      <c r="I13" s="870" t="s">
        <v>224</v>
      </c>
      <c r="J13" s="231"/>
      <c r="K13" s="231"/>
      <c r="L13" s="231"/>
    </row>
    <row r="14" spans="1:12">
      <c r="A14" s="2">
        <f>A13+1</f>
        <v>2</v>
      </c>
      <c r="B14" s="240" t="s">
        <v>1345</v>
      </c>
      <c r="C14" s="240"/>
      <c r="D14" s="240"/>
      <c r="E14" s="240"/>
      <c r="F14" s="240"/>
      <c r="G14" s="454" t="s">
        <v>222</v>
      </c>
      <c r="H14" s="454" t="s">
        <v>222</v>
      </c>
      <c r="I14" s="454" t="s">
        <v>222</v>
      </c>
      <c r="J14" s="231"/>
      <c r="K14" s="231"/>
      <c r="L14" s="231"/>
    </row>
    <row r="15" spans="1:12">
      <c r="A15" s="111">
        <f>A14+1</f>
        <v>3</v>
      </c>
      <c r="B15" s="240" t="s">
        <v>1519</v>
      </c>
      <c r="C15" s="240"/>
      <c r="D15" s="240"/>
      <c r="E15" s="240"/>
      <c r="F15" s="240"/>
      <c r="G15" s="454" t="s">
        <v>222</v>
      </c>
      <c r="H15" s="454" t="s">
        <v>222</v>
      </c>
      <c r="I15" s="454" t="s">
        <v>222</v>
      </c>
      <c r="J15" s="231"/>
      <c r="K15" s="231"/>
      <c r="L15" s="231"/>
    </row>
    <row r="16" spans="1:12">
      <c r="A16" s="2">
        <f>A15+1</f>
        <v>4</v>
      </c>
      <c r="B16" s="240" t="s">
        <v>1346</v>
      </c>
      <c r="C16" s="240"/>
      <c r="D16" s="240"/>
      <c r="E16" s="240"/>
      <c r="F16" s="240"/>
      <c r="G16" s="454" t="s">
        <v>222</v>
      </c>
      <c r="H16" s="454" t="s">
        <v>222</v>
      </c>
      <c r="I16" s="454" t="s">
        <v>224</v>
      </c>
      <c r="J16" s="231"/>
      <c r="K16" s="231"/>
      <c r="L16" s="231"/>
    </row>
    <row r="17" spans="1:12">
      <c r="A17" s="2">
        <f>A16+1</f>
        <v>5</v>
      </c>
      <c r="B17" s="240" t="s">
        <v>1347</v>
      </c>
      <c r="C17" s="240"/>
      <c r="D17" s="240"/>
      <c r="E17" s="240"/>
      <c r="F17" s="240"/>
      <c r="G17" s="454" t="s">
        <v>224</v>
      </c>
      <c r="H17" s="454" t="s">
        <v>222</v>
      </c>
      <c r="I17" s="454" t="s">
        <v>224</v>
      </c>
      <c r="J17" s="231"/>
      <c r="K17" s="231"/>
      <c r="L17" s="231"/>
    </row>
    <row r="18" spans="1:12">
      <c r="A18" s="111">
        <f>A17+1</f>
        <v>6</v>
      </c>
      <c r="B18" s="240" t="s">
        <v>2336</v>
      </c>
      <c r="C18" s="240"/>
      <c r="D18" s="240"/>
      <c r="E18" s="240"/>
      <c r="F18" s="240"/>
      <c r="G18" s="454" t="s">
        <v>224</v>
      </c>
      <c r="H18" s="454" t="s">
        <v>222</v>
      </c>
      <c r="I18" s="454" t="s">
        <v>224</v>
      </c>
      <c r="J18" s="231"/>
      <c r="K18" s="231"/>
      <c r="L18" s="231"/>
    </row>
    <row r="19" spans="1:12">
      <c r="A19" s="231"/>
      <c r="B19" s="231"/>
      <c r="C19" s="455"/>
      <c r="D19" s="240"/>
      <c r="E19" s="240"/>
      <c r="F19" s="240"/>
      <c r="G19" s="231"/>
      <c r="H19" s="231"/>
      <c r="I19" s="231"/>
      <c r="J19" s="231"/>
      <c r="K19" s="231"/>
      <c r="L19" s="231"/>
    </row>
    <row r="20" spans="1:12">
      <c r="A20" s="231"/>
      <c r="B20" s="396" t="s">
        <v>1348</v>
      </c>
      <c r="C20" s="376"/>
      <c r="D20" s="240"/>
      <c r="E20" s="240"/>
      <c r="F20" s="240"/>
      <c r="G20" s="231"/>
      <c r="H20" s="231"/>
      <c r="I20" s="231"/>
      <c r="J20" s="231"/>
      <c r="K20" s="231"/>
      <c r="L20" s="231"/>
    </row>
    <row r="21" spans="1:12">
      <c r="A21" s="231"/>
      <c r="B21" s="396"/>
      <c r="C21" s="376"/>
      <c r="D21" s="240"/>
      <c r="E21" s="240"/>
      <c r="F21" s="240"/>
      <c r="G21" s="231"/>
      <c r="H21" s="231"/>
      <c r="I21" s="231"/>
      <c r="J21" s="231"/>
      <c r="K21" s="231"/>
      <c r="L21" s="231"/>
    </row>
    <row r="22" spans="1:12">
      <c r="A22" s="231"/>
      <c r="B22" s="456" t="s">
        <v>1349</v>
      </c>
      <c r="C22" s="378"/>
      <c r="D22" s="240"/>
      <c r="E22" s="240"/>
      <c r="F22" s="240"/>
      <c r="G22" s="231"/>
      <c r="H22" s="231"/>
      <c r="I22" s="231"/>
      <c r="J22" s="231"/>
      <c r="K22" s="231"/>
      <c r="L22" s="231"/>
    </row>
    <row r="23" spans="1:12">
      <c r="A23" s="231"/>
      <c r="B23" s="246" t="s">
        <v>2346</v>
      </c>
      <c r="C23" s="378"/>
      <c r="D23" s="240"/>
      <c r="E23" s="240"/>
      <c r="F23" s="240"/>
      <c r="G23" s="231"/>
      <c r="H23" s="231"/>
      <c r="I23" s="231"/>
      <c r="J23" s="231"/>
      <c r="K23" s="231"/>
      <c r="L23" s="231"/>
    </row>
    <row r="24" spans="1:12">
      <c r="A24" s="231"/>
      <c r="B24" s="246" t="s">
        <v>1350</v>
      </c>
      <c r="C24" s="231"/>
      <c r="D24" s="231"/>
      <c r="E24" s="231"/>
      <c r="F24" s="231"/>
      <c r="G24" s="231"/>
      <c r="H24" s="231"/>
      <c r="I24" s="231"/>
      <c r="J24" s="231"/>
      <c r="K24" s="231"/>
      <c r="L24" s="231"/>
    </row>
    <row r="25" spans="1:12">
      <c r="A25" s="231"/>
      <c r="B25" s="231"/>
      <c r="C25" s="231"/>
      <c r="D25" s="231"/>
      <c r="E25" s="231"/>
      <c r="F25" s="231"/>
      <c r="G25" s="231"/>
      <c r="H25" s="84" t="s">
        <v>360</v>
      </c>
      <c r="I25" s="84" t="s">
        <v>344</v>
      </c>
      <c r="J25" s="231"/>
      <c r="K25" s="231"/>
      <c r="L25" s="231"/>
    </row>
    <row r="26" spans="1:12">
      <c r="A26" s="231"/>
      <c r="B26" s="231"/>
      <c r="C26" s="231"/>
      <c r="D26" s="231"/>
      <c r="E26" s="231"/>
      <c r="F26" s="231"/>
      <c r="G26" s="231"/>
      <c r="H26" s="457" t="s">
        <v>1351</v>
      </c>
      <c r="I26" s="231"/>
      <c r="J26" s="231"/>
      <c r="K26" s="231"/>
      <c r="L26" s="231"/>
    </row>
    <row r="27" spans="1:12">
      <c r="A27" s="231"/>
      <c r="B27" s="231"/>
      <c r="C27" s="231"/>
      <c r="D27" s="231"/>
      <c r="E27" s="231"/>
      <c r="F27" s="231"/>
      <c r="G27" s="231"/>
      <c r="H27" s="457" t="s">
        <v>289</v>
      </c>
      <c r="I27" s="234" t="s">
        <v>1352</v>
      </c>
      <c r="J27" s="231"/>
      <c r="K27" s="231"/>
      <c r="L27" s="231"/>
    </row>
    <row r="28" spans="1:12">
      <c r="A28" s="231"/>
      <c r="B28" s="231"/>
      <c r="C28" s="231"/>
      <c r="D28" s="231"/>
      <c r="E28" s="231"/>
      <c r="F28" s="231"/>
      <c r="G28" s="26" t="s">
        <v>194</v>
      </c>
      <c r="H28" s="234" t="s">
        <v>1353</v>
      </c>
      <c r="I28" s="234" t="s">
        <v>1354</v>
      </c>
      <c r="J28" s="231"/>
      <c r="K28" s="231"/>
      <c r="L28" s="231"/>
    </row>
    <row r="29" spans="1:12" ht="14.4">
      <c r="A29" s="51"/>
      <c r="B29" s="231"/>
      <c r="C29" s="231"/>
      <c r="D29" s="231"/>
      <c r="E29" s="231"/>
      <c r="F29" s="231"/>
      <c r="G29" s="25" t="s">
        <v>179</v>
      </c>
      <c r="H29" s="458" t="s">
        <v>1355</v>
      </c>
      <c r="I29" s="243" t="s">
        <v>1342</v>
      </c>
      <c r="J29" s="369"/>
      <c r="K29" s="231"/>
      <c r="L29" s="231"/>
    </row>
    <row r="30" spans="1:12">
      <c r="A30" s="111">
        <f>A18+1</f>
        <v>7</v>
      </c>
      <c r="B30" s="240"/>
      <c r="C30" s="240" t="s">
        <v>1356</v>
      </c>
      <c r="D30" s="240"/>
      <c r="E30" s="240"/>
      <c r="F30" s="240"/>
      <c r="G30" s="46" t="s">
        <v>1357</v>
      </c>
      <c r="H30" s="235">
        <v>31556000</v>
      </c>
      <c r="I30" s="233">
        <v>-2176300</v>
      </c>
      <c r="J30" s="231"/>
      <c r="K30" s="231"/>
      <c r="L30" s="231"/>
    </row>
    <row r="31" spans="1:12">
      <c r="A31" s="111">
        <f>A30+1</f>
        <v>8</v>
      </c>
      <c r="B31" s="240"/>
      <c r="C31" s="240" t="s">
        <v>1358</v>
      </c>
      <c r="D31" s="240"/>
      <c r="E31" s="240"/>
      <c r="F31" s="240"/>
      <c r="G31" s="46" t="s">
        <v>1357</v>
      </c>
      <c r="H31" s="233">
        <v>-35044000</v>
      </c>
      <c r="I31" s="233">
        <v>2503000</v>
      </c>
      <c r="J31" s="231"/>
      <c r="K31" s="231"/>
      <c r="L31" s="231"/>
    </row>
    <row r="32" spans="1:12">
      <c r="A32" s="111">
        <f>A31+1</f>
        <v>9</v>
      </c>
      <c r="B32" s="240"/>
      <c r="C32" s="240" t="s">
        <v>1520</v>
      </c>
      <c r="D32" s="240"/>
      <c r="E32" s="240"/>
      <c r="F32" s="240"/>
      <c r="G32" s="46" t="s">
        <v>1357</v>
      </c>
      <c r="H32" s="235">
        <v>-624650</v>
      </c>
      <c r="I32" s="235">
        <v>43100</v>
      </c>
      <c r="J32" s="231"/>
      <c r="K32" s="231"/>
      <c r="L32" s="231"/>
    </row>
    <row r="33" spans="1:12">
      <c r="A33" s="111">
        <f>A32+1</f>
        <v>10</v>
      </c>
      <c r="B33" s="240"/>
      <c r="C33" s="240" t="s">
        <v>1359</v>
      </c>
      <c r="D33" s="240"/>
      <c r="E33" s="240"/>
      <c r="F33" s="240"/>
      <c r="G33" s="46" t="s">
        <v>1357</v>
      </c>
      <c r="H33" s="368">
        <v>-7410000</v>
      </c>
      <c r="I33" s="459">
        <v>511200</v>
      </c>
      <c r="J33" s="231"/>
      <c r="K33" s="231"/>
      <c r="L33" s="231"/>
    </row>
    <row r="34" spans="1:12">
      <c r="A34" s="111">
        <f>A33+1</f>
        <v>11</v>
      </c>
      <c r="B34" s="240"/>
      <c r="C34" s="240"/>
      <c r="D34" s="240"/>
      <c r="E34" s="240"/>
      <c r="F34" s="14"/>
      <c r="G34" s="891" t="s">
        <v>197</v>
      </c>
      <c r="H34" s="235">
        <f>SUM(H30:H33)</f>
        <v>-11522650</v>
      </c>
      <c r="I34" s="235">
        <f>SUM(I30:I33)</f>
        <v>881000</v>
      </c>
      <c r="J34" s="231"/>
      <c r="K34" s="231"/>
      <c r="L34" s="231"/>
    </row>
    <row r="35" spans="1:12">
      <c r="A35" s="111"/>
      <c r="B35" s="240"/>
      <c r="C35" s="240"/>
      <c r="D35" s="240"/>
      <c r="E35" s="240"/>
      <c r="F35" s="14"/>
      <c r="G35" s="891"/>
      <c r="H35" s="233"/>
      <c r="I35" s="233"/>
      <c r="J35" s="231"/>
      <c r="K35" s="231"/>
      <c r="L35" s="231"/>
    </row>
    <row r="36" spans="1:12">
      <c r="A36" s="111"/>
      <c r="B36" s="939" t="s">
        <v>1360</v>
      </c>
      <c r="C36" s="240"/>
      <c r="D36" s="240"/>
      <c r="E36" s="240"/>
      <c r="F36" s="14"/>
      <c r="G36" s="891"/>
      <c r="H36" s="233"/>
      <c r="I36" s="233"/>
      <c r="J36" s="231"/>
      <c r="K36" s="231"/>
      <c r="L36" s="231"/>
    </row>
    <row r="37" spans="1:12">
      <c r="A37" s="111"/>
      <c r="B37" s="464" t="s">
        <v>1635</v>
      </c>
      <c r="C37" s="240"/>
      <c r="D37" s="240"/>
      <c r="E37" s="240"/>
      <c r="F37" s="14"/>
      <c r="G37" s="891"/>
      <c r="H37" s="233"/>
      <c r="I37" s="233"/>
      <c r="J37" s="231"/>
      <c r="K37" s="231"/>
      <c r="L37" s="231"/>
    </row>
    <row r="38" spans="1:12">
      <c r="A38" s="111"/>
      <c r="B38" s="464" t="s">
        <v>1361</v>
      </c>
      <c r="C38" s="240"/>
      <c r="D38" s="240"/>
      <c r="E38" s="240"/>
      <c r="F38" s="14"/>
      <c r="G38" s="891"/>
      <c r="H38" s="233"/>
      <c r="I38" s="233"/>
      <c r="J38" s="231"/>
      <c r="K38" s="231"/>
      <c r="L38" s="231"/>
    </row>
    <row r="39" spans="1:12">
      <c r="A39" s="452"/>
      <c r="B39" s="240"/>
      <c r="C39" s="240"/>
      <c r="D39" s="240"/>
      <c r="E39" s="240"/>
      <c r="F39" s="240"/>
      <c r="G39" s="425" t="s">
        <v>194</v>
      </c>
      <c r="H39" s="231"/>
      <c r="I39" s="231"/>
      <c r="J39" s="231"/>
      <c r="K39" s="231"/>
      <c r="L39" s="231"/>
    </row>
    <row r="40" spans="1:12">
      <c r="A40" s="452"/>
      <c r="B40" s="940"/>
      <c r="C40" s="376"/>
      <c r="D40" s="240"/>
      <c r="E40" s="240"/>
      <c r="F40" s="240"/>
      <c r="G40" s="29" t="s">
        <v>179</v>
      </c>
      <c r="H40" s="3" t="s">
        <v>171</v>
      </c>
      <c r="I40" s="461" t="s">
        <v>1362</v>
      </c>
      <c r="J40" s="231"/>
      <c r="K40" s="231"/>
      <c r="L40" s="231"/>
    </row>
    <row r="41" spans="1:12">
      <c r="A41" s="111">
        <f>A34+1</f>
        <v>12</v>
      </c>
      <c r="B41" s="464" t="s">
        <v>1363</v>
      </c>
      <c r="C41" s="240"/>
      <c r="D41" s="240"/>
      <c r="E41" s="240"/>
      <c r="F41" s="240"/>
      <c r="G41" s="464" t="str">
        <f>"2-IFPTRR Line "&amp;'2-IFPTRR'!A25&amp;""</f>
        <v>2-IFPTRR Line 16</v>
      </c>
      <c r="H41" s="367">
        <f>'2-IFPTRR'!D25</f>
        <v>0.14766864442642422</v>
      </c>
      <c r="I41" s="248">
        <v>1</v>
      </c>
      <c r="J41" s="231"/>
      <c r="K41" s="231"/>
      <c r="L41" s="231"/>
    </row>
    <row r="42" spans="1:12">
      <c r="A42" s="111">
        <f>A41+1</f>
        <v>13</v>
      </c>
      <c r="B42" s="464" t="s">
        <v>63</v>
      </c>
      <c r="C42" s="240"/>
      <c r="D42" s="240"/>
      <c r="E42" s="240"/>
      <c r="F42" s="240"/>
      <c r="G42" s="464"/>
      <c r="H42" s="462">
        <v>2017</v>
      </c>
      <c r="I42" s="248">
        <v>2</v>
      </c>
      <c r="J42" s="231"/>
      <c r="K42" s="231"/>
      <c r="L42" s="231"/>
    </row>
    <row r="43" spans="1:12">
      <c r="A43" s="111">
        <f>A42+1</f>
        <v>14</v>
      </c>
      <c r="B43" s="464" t="s">
        <v>1364</v>
      </c>
      <c r="C43" s="240"/>
      <c r="D43" s="240"/>
      <c r="E43" s="240"/>
      <c r="F43" s="240"/>
      <c r="G43" s="235"/>
      <c r="H43" s="233">
        <f>H34+ (I34*(H42-2010))</f>
        <v>-5355650</v>
      </c>
      <c r="I43" s="454">
        <v>3</v>
      </c>
      <c r="J43" s="231"/>
      <c r="K43" s="231"/>
      <c r="L43" s="231"/>
    </row>
    <row r="44" spans="1:12">
      <c r="A44" s="111">
        <f>A43+1</f>
        <v>15</v>
      </c>
      <c r="B44" s="464" t="s">
        <v>1365</v>
      </c>
      <c r="C44" s="376"/>
      <c r="D44" s="240"/>
      <c r="E44" s="240"/>
      <c r="F44" s="240"/>
      <c r="G44" s="46" t="str">
        <f>"Line "&amp;A43&amp;" * Line "&amp;A41&amp;""</f>
        <v>Line 14 * Line 12</v>
      </c>
      <c r="H44" s="235">
        <f xml:space="preserve"> H43*H41</f>
        <v>-790861.5755223789</v>
      </c>
      <c r="I44" s="231"/>
      <c r="J44" s="231"/>
      <c r="K44" s="231"/>
      <c r="L44" s="231"/>
    </row>
    <row r="45" spans="1:12">
      <c r="A45" s="14"/>
      <c r="B45" s="14"/>
      <c r="C45" s="14"/>
      <c r="D45" s="14"/>
      <c r="E45" s="14"/>
      <c r="F45" s="14"/>
      <c r="G45" s="14"/>
      <c r="L45" s="231"/>
    </row>
    <row r="46" spans="1:12">
      <c r="B46" s="396" t="s">
        <v>1525</v>
      </c>
      <c r="L46" s="231"/>
    </row>
    <row r="47" spans="1:12">
      <c r="L47" s="231"/>
    </row>
    <row r="48" spans="1:12">
      <c r="B48" s="231" t="str">
        <f>"The annual Wholesale Expense Difference impact is the negative of amounts stated in Lines "&amp;A30&amp;" to "&amp;A33&amp;" above, Column 2."</f>
        <v>The annual Wholesale Expense Difference impact is the negative of amounts stated in Lines 7 to 10 above, Column 2.</v>
      </c>
      <c r="L48" s="231"/>
    </row>
    <row r="49" spans="1:12">
      <c r="B49" s="231" t="s">
        <v>1392</v>
      </c>
      <c r="L49" s="231"/>
    </row>
    <row r="50" spans="1:12">
      <c r="A50" s="231"/>
      <c r="B50" s="231" t="s">
        <v>1636</v>
      </c>
      <c r="C50" s="231"/>
      <c r="D50" s="231"/>
      <c r="E50" s="231"/>
      <c r="F50" s="231"/>
      <c r="G50" s="231"/>
      <c r="H50" s="231"/>
      <c r="I50" s="231"/>
      <c r="J50" s="231"/>
      <c r="K50" s="231"/>
      <c r="L50" s="231"/>
    </row>
    <row r="52" spans="1:12">
      <c r="A52" s="231"/>
      <c r="B52" s="70" t="s">
        <v>1366</v>
      </c>
      <c r="C52" s="231"/>
      <c r="D52" s="231"/>
      <c r="E52" s="231"/>
      <c r="F52" s="231"/>
      <c r="G52" s="231"/>
      <c r="H52" s="231"/>
      <c r="I52" s="231"/>
      <c r="J52" s="231"/>
      <c r="K52" s="231"/>
      <c r="L52" s="231"/>
    </row>
    <row r="53" spans="1:12">
      <c r="A53" s="231"/>
      <c r="B53" s="231"/>
      <c r="C53" s="231"/>
      <c r="D53" s="231"/>
      <c r="E53" s="231"/>
      <c r="F53" s="231"/>
      <c r="G53" s="26"/>
      <c r="H53" s="231"/>
      <c r="I53" s="231"/>
      <c r="J53" s="231"/>
      <c r="K53" s="231"/>
      <c r="L53" s="231"/>
    </row>
    <row r="54" spans="1:12">
      <c r="B54" s="231"/>
      <c r="C54" s="231"/>
      <c r="D54" s="231"/>
      <c r="E54" s="231"/>
      <c r="F54" s="231"/>
      <c r="G54" s="25" t="s">
        <v>179</v>
      </c>
      <c r="H54" s="3" t="s">
        <v>171</v>
      </c>
      <c r="I54" s="231"/>
      <c r="J54" s="369"/>
      <c r="K54" s="231"/>
      <c r="L54" s="231"/>
    </row>
    <row r="55" spans="1:12">
      <c r="A55" s="111">
        <f>A44+1</f>
        <v>16</v>
      </c>
      <c r="B55" s="464" t="s">
        <v>1367</v>
      </c>
      <c r="C55" s="240"/>
      <c r="D55" s="240"/>
      <c r="E55" s="240"/>
      <c r="F55" s="240"/>
      <c r="G55" s="46" t="str">
        <f>"Line "&amp;A31&amp;""</f>
        <v>Line 8</v>
      </c>
      <c r="H55" s="233">
        <f>I31</f>
        <v>2503000</v>
      </c>
      <c r="I55" s="231"/>
      <c r="J55" s="231"/>
      <c r="K55" s="231"/>
      <c r="L55" s="231"/>
    </row>
    <row r="56" spans="1:12">
      <c r="A56" s="111">
        <f>A55+1</f>
        <v>17</v>
      </c>
      <c r="B56" s="46" t="s">
        <v>291</v>
      </c>
      <c r="C56" s="240"/>
      <c r="D56" s="240"/>
      <c r="E56" s="240"/>
      <c r="F56" s="240"/>
      <c r="G56" s="464" t="str">
        <f>"1-BaseTRR L "&amp;'1-BaseTRR'!A102&amp;""</f>
        <v>1-BaseTRR L 59</v>
      </c>
      <c r="H56" s="393">
        <f>'1-BaseTRR'!K102</f>
        <v>0.27983599999999997</v>
      </c>
      <c r="I56" s="231"/>
      <c r="J56" s="231"/>
      <c r="K56" s="231"/>
      <c r="L56" s="231"/>
    </row>
    <row r="57" spans="1:12">
      <c r="A57" s="111">
        <f>A56+1</f>
        <v>18</v>
      </c>
      <c r="B57" s="46" t="s">
        <v>1391</v>
      </c>
      <c r="C57" s="240"/>
      <c r="D57" s="240"/>
      <c r="E57" s="240"/>
      <c r="F57" s="240"/>
      <c r="G57" s="881" t="s">
        <v>290</v>
      </c>
      <c r="H57" s="463">
        <f>1/(1-H56)</f>
        <v>1.3885726029071155</v>
      </c>
      <c r="I57" s="231"/>
      <c r="J57" s="231"/>
      <c r="K57" s="231"/>
      <c r="L57" s="231"/>
    </row>
    <row r="58" spans="1:12">
      <c r="A58" s="111">
        <f>A57+1</f>
        <v>19</v>
      </c>
      <c r="B58" s="46" t="s">
        <v>333</v>
      </c>
      <c r="C58" s="240"/>
      <c r="D58" s="240"/>
      <c r="E58" s="240"/>
      <c r="F58" s="240"/>
      <c r="G58" s="240"/>
      <c r="H58" s="231"/>
      <c r="I58" s="231"/>
      <c r="J58" s="231"/>
      <c r="K58" s="231"/>
      <c r="L58" s="231"/>
    </row>
    <row r="59" spans="1:12">
      <c r="A59" s="111">
        <f>A58+1</f>
        <v>20</v>
      </c>
      <c r="B59" s="46" t="s">
        <v>332</v>
      </c>
      <c r="C59" s="240"/>
      <c r="D59" s="240"/>
      <c r="E59" s="240"/>
      <c r="F59" s="240"/>
      <c r="G59" s="46" t="str">
        <f>"- Line "&amp;A55&amp;" * Line "&amp;A57&amp;""</f>
        <v>- Line 16 * Line 18</v>
      </c>
      <c r="H59" s="244">
        <f>-H57*H55</f>
        <v>-3475597.2250765101</v>
      </c>
      <c r="I59" s="231"/>
      <c r="J59" s="231"/>
      <c r="K59" s="231"/>
      <c r="L59" s="231"/>
    </row>
    <row r="60" spans="1:12">
      <c r="A60" s="14"/>
      <c r="B60" s="14"/>
      <c r="C60" s="14"/>
      <c r="D60" s="14"/>
      <c r="E60" s="14"/>
      <c r="F60" s="14"/>
      <c r="G60" s="14"/>
    </row>
    <row r="61" spans="1:12">
      <c r="A61" s="14"/>
      <c r="B61" s="941" t="s">
        <v>1522</v>
      </c>
      <c r="C61" s="14"/>
      <c r="D61" s="14"/>
      <c r="E61" s="14"/>
      <c r="F61" s="14"/>
      <c r="G61" s="14"/>
    </row>
    <row r="62" spans="1:12">
      <c r="A62" s="14"/>
      <c r="B62" s="14"/>
      <c r="C62" s="14"/>
      <c r="D62" s="14"/>
      <c r="E62" s="14"/>
      <c r="F62" s="14"/>
      <c r="G62" s="14"/>
    </row>
    <row r="63" spans="1:12">
      <c r="A63" s="14"/>
      <c r="B63" s="14"/>
      <c r="C63" s="14"/>
      <c r="D63" s="14"/>
      <c r="E63" s="14"/>
      <c r="F63" s="14"/>
      <c r="G63" s="29" t="s">
        <v>179</v>
      </c>
      <c r="H63" s="3" t="s">
        <v>171</v>
      </c>
    </row>
    <row r="64" spans="1:12">
      <c r="A64" s="111">
        <f>A59+1</f>
        <v>21</v>
      </c>
      <c r="B64" s="464" t="s">
        <v>1521</v>
      </c>
      <c r="C64" s="14"/>
      <c r="D64" s="14"/>
      <c r="E64" s="14"/>
      <c r="F64" s="14"/>
      <c r="G64" s="46" t="str">
        <f>"Line "&amp;A32&amp;""</f>
        <v>Line 9</v>
      </c>
      <c r="H64" s="7">
        <f>I32</f>
        <v>43100</v>
      </c>
    </row>
    <row r="65" spans="1:12">
      <c r="A65" s="111">
        <f>A64+1</f>
        <v>22</v>
      </c>
      <c r="B65" s="46" t="s">
        <v>1391</v>
      </c>
      <c r="C65" s="240"/>
      <c r="D65" s="240"/>
      <c r="E65" s="240"/>
      <c r="F65" s="240"/>
      <c r="G65" s="46" t="str">
        <f>"Line "&amp;A57&amp;""</f>
        <v>Line 18</v>
      </c>
      <c r="H65" s="463">
        <f>H57</f>
        <v>1.3885726029071155</v>
      </c>
    </row>
    <row r="66" spans="1:12">
      <c r="A66" s="111">
        <f>A65+1</f>
        <v>23</v>
      </c>
      <c r="B66" s="464" t="s">
        <v>1523</v>
      </c>
      <c r="C66" s="14"/>
      <c r="D66" s="14"/>
      <c r="E66" s="14"/>
      <c r="F66" s="14"/>
      <c r="G66" s="46" t="str">
        <f>"- Line "&amp;A64&amp;" * Line "&amp;A65&amp;""</f>
        <v>- Line 21 * Line 22</v>
      </c>
      <c r="H66" s="7">
        <f>-H64*H65</f>
        <v>-59847.479185296681</v>
      </c>
    </row>
    <row r="67" spans="1:12">
      <c r="A67" s="111">
        <f t="shared" ref="A67:A74" si="0">A66+1</f>
        <v>24</v>
      </c>
      <c r="B67" s="464"/>
      <c r="C67" s="14"/>
      <c r="D67" s="14"/>
      <c r="E67" s="14"/>
      <c r="F67" s="14"/>
      <c r="G67" s="46"/>
      <c r="H67" s="7"/>
    </row>
    <row r="68" spans="1:12">
      <c r="A68" s="111">
        <f t="shared" si="0"/>
        <v>25</v>
      </c>
      <c r="B68" s="941" t="s">
        <v>2337</v>
      </c>
      <c r="C68" s="14"/>
      <c r="D68" s="14"/>
      <c r="E68" s="14"/>
      <c r="F68" s="14"/>
      <c r="G68" s="46"/>
      <c r="H68" s="7"/>
    </row>
    <row r="69" spans="1:12">
      <c r="A69" s="111">
        <f t="shared" si="0"/>
        <v>26</v>
      </c>
      <c r="B69" s="464"/>
      <c r="C69" s="14"/>
      <c r="D69" s="14"/>
      <c r="E69" s="14"/>
      <c r="F69" s="14"/>
      <c r="G69" s="29" t="s">
        <v>179</v>
      </c>
      <c r="H69" s="7"/>
      <c r="I69" s="560" t="s">
        <v>1362</v>
      </c>
    </row>
    <row r="70" spans="1:12">
      <c r="A70" s="111">
        <f t="shared" si="0"/>
        <v>27</v>
      </c>
      <c r="B70" s="464" t="s">
        <v>2338</v>
      </c>
      <c r="C70" s="14"/>
      <c r="D70" s="14"/>
      <c r="E70" s="14"/>
      <c r="F70" s="14"/>
      <c r="G70" s="476" t="s">
        <v>33</v>
      </c>
      <c r="H70" s="1023">
        <v>200769</v>
      </c>
      <c r="I70" s="476" t="s">
        <v>1187</v>
      </c>
    </row>
    <row r="71" spans="1:12">
      <c r="A71" s="111">
        <f t="shared" si="0"/>
        <v>28</v>
      </c>
      <c r="B71" s="464" t="s">
        <v>2339</v>
      </c>
      <c r="C71" s="14"/>
      <c r="D71" s="14"/>
      <c r="E71" s="14"/>
      <c r="F71" s="14"/>
      <c r="G71" s="476" t="s">
        <v>33</v>
      </c>
      <c r="H71" s="1023">
        <v>1529649</v>
      </c>
      <c r="I71" s="16" t="s">
        <v>1187</v>
      </c>
    </row>
    <row r="72" spans="1:12">
      <c r="A72" s="111">
        <f t="shared" si="0"/>
        <v>29</v>
      </c>
      <c r="B72" s="464" t="s">
        <v>2340</v>
      </c>
      <c r="C72" s="14"/>
      <c r="D72" s="14"/>
      <c r="E72" s="14"/>
      <c r="F72" s="14"/>
      <c r="G72" s="881" t="str">
        <f>"Line "&amp;A70&amp;" + "&amp;A71&amp;""</f>
        <v>Line 27 + 28</v>
      </c>
      <c r="H72" s="942">
        <f>SUM(H70:H71)</f>
        <v>1730418</v>
      </c>
    </row>
    <row r="73" spans="1:12">
      <c r="A73" s="111">
        <f t="shared" si="0"/>
        <v>30</v>
      </c>
      <c r="B73" s="464" t="s">
        <v>93</v>
      </c>
      <c r="C73" s="14"/>
      <c r="D73" s="14"/>
      <c r="E73" s="14"/>
      <c r="F73" s="14"/>
      <c r="G73" s="464" t="str">
        <f>"27-Allocators, Line "&amp;'27-Allocators'!A14&amp;""</f>
        <v>27-Allocators, Line 9</v>
      </c>
      <c r="H73" s="49">
        <f>'27-Allocators'!G14</f>
        <v>6.0143362776597958E-2</v>
      </c>
    </row>
    <row r="74" spans="1:12">
      <c r="A74" s="111">
        <f t="shared" si="0"/>
        <v>31</v>
      </c>
      <c r="B74" s="464" t="s">
        <v>2341</v>
      </c>
      <c r="C74" s="14"/>
      <c r="D74" s="14"/>
      <c r="E74" s="14"/>
      <c r="F74" s="14"/>
      <c r="G74" s="881" t="str">
        <f>"Line "&amp;A72&amp;" * "&amp;A73&amp;""</f>
        <v>Line 29 * 30</v>
      </c>
      <c r="H74" s="63">
        <f>H72*H73</f>
        <v>104073.15752915508</v>
      </c>
    </row>
    <row r="75" spans="1:12">
      <c r="G75" s="14"/>
    </row>
    <row r="76" spans="1:12">
      <c r="A76" s="240"/>
      <c r="B76" s="939" t="s">
        <v>1833</v>
      </c>
      <c r="C76" s="240"/>
      <c r="D76" s="240"/>
      <c r="E76" s="240"/>
      <c r="F76" s="240"/>
      <c r="G76" s="240"/>
      <c r="H76" s="240"/>
      <c r="I76" s="461" t="s">
        <v>1362</v>
      </c>
      <c r="J76" s="231"/>
      <c r="K76" s="231"/>
      <c r="L76" s="231"/>
    </row>
    <row r="77" spans="1:12">
      <c r="A77" s="111">
        <f>A74+1</f>
        <v>32</v>
      </c>
      <c r="B77" s="455" t="s">
        <v>1542</v>
      </c>
      <c r="C77" s="240"/>
      <c r="D77" s="240"/>
      <c r="E77" s="240"/>
      <c r="F77" s="240"/>
      <c r="G77" s="464" t="str">
        <f>" - Line "&amp;A30&amp;", Col. 2"</f>
        <v xml:space="preserve"> - Line 7, Col. 2</v>
      </c>
      <c r="H77" s="235">
        <f>-I30</f>
        <v>2176300</v>
      </c>
      <c r="I77" s="231"/>
      <c r="J77" s="231"/>
      <c r="K77" s="231"/>
      <c r="L77" s="231"/>
    </row>
    <row r="78" spans="1:12">
      <c r="A78" s="111">
        <f>A77+1</f>
        <v>33</v>
      </c>
      <c r="B78" s="455" t="s">
        <v>1358</v>
      </c>
      <c r="C78" s="240"/>
      <c r="D78" s="240"/>
      <c r="E78" s="240"/>
      <c r="F78" s="240"/>
      <c r="G78" s="464" t="str">
        <f>"Line "&amp;A59&amp;""</f>
        <v>Line 20</v>
      </c>
      <c r="H78" s="235">
        <f>H59</f>
        <v>-3475597.2250765101</v>
      </c>
      <c r="I78" s="231"/>
      <c r="J78" s="231"/>
      <c r="K78" s="231"/>
      <c r="L78" s="231"/>
    </row>
    <row r="79" spans="1:12">
      <c r="A79" s="111">
        <f>A78+1</f>
        <v>34</v>
      </c>
      <c r="B79" s="455" t="s">
        <v>1520</v>
      </c>
      <c r="C79" s="240"/>
      <c r="D79" s="240"/>
      <c r="E79" s="240"/>
      <c r="F79" s="240"/>
      <c r="G79" s="464" t="str">
        <f>"Line "&amp;A66&amp;""</f>
        <v>Line 23</v>
      </c>
      <c r="H79" s="235">
        <f>H66</f>
        <v>-59847.479185296681</v>
      </c>
      <c r="I79" s="231"/>
      <c r="J79" s="231"/>
      <c r="K79" s="231"/>
      <c r="L79" s="231"/>
    </row>
    <row r="80" spans="1:12">
      <c r="A80" s="111">
        <f>A79+1</f>
        <v>35</v>
      </c>
      <c r="B80" s="455" t="s">
        <v>1359</v>
      </c>
      <c r="C80" s="240"/>
      <c r="D80" s="240"/>
      <c r="E80" s="240"/>
      <c r="F80" s="240"/>
      <c r="G80" s="464" t="str">
        <f>"- Line "&amp;A33&amp;", Col. 2"</f>
        <v>- Line 10, Col. 2</v>
      </c>
      <c r="H80" s="235">
        <f>-I33</f>
        <v>-511200</v>
      </c>
      <c r="I80" s="231"/>
      <c r="J80" s="231"/>
      <c r="K80" s="231"/>
      <c r="L80" s="231"/>
    </row>
    <row r="81" spans="1:12">
      <c r="A81" s="111">
        <f t="shared" ref="A81:A83" si="1">A80+1</f>
        <v>36</v>
      </c>
      <c r="B81" s="455" t="s">
        <v>2342</v>
      </c>
      <c r="C81" s="240"/>
      <c r="D81" s="240"/>
      <c r="E81" s="240"/>
      <c r="F81" s="240"/>
      <c r="G81" s="881" t="str">
        <f>" - Line "&amp;A74&amp;""</f>
        <v xml:space="preserve"> - Line 31</v>
      </c>
      <c r="H81" s="235">
        <f>-H74</f>
        <v>-104073.15752915508</v>
      </c>
      <c r="I81" s="231"/>
      <c r="J81" s="231"/>
      <c r="K81" s="231"/>
      <c r="L81" s="231"/>
    </row>
    <row r="82" spans="1:12" s="999" customFormat="1">
      <c r="A82" s="111">
        <f t="shared" si="1"/>
        <v>37</v>
      </c>
      <c r="B82" s="877" t="s">
        <v>2343</v>
      </c>
      <c r="C82" s="240"/>
      <c r="D82" s="240"/>
      <c r="E82" s="240"/>
      <c r="F82" s="240"/>
      <c r="G82" s="881"/>
      <c r="H82" s="1040">
        <v>0</v>
      </c>
      <c r="I82" s="246" t="s">
        <v>1188</v>
      </c>
      <c r="J82" s="231"/>
      <c r="K82" s="231"/>
      <c r="L82" s="231"/>
    </row>
    <row r="83" spans="1:12">
      <c r="A83" s="111">
        <f t="shared" si="1"/>
        <v>38</v>
      </c>
      <c r="B83" s="240"/>
      <c r="C83" s="240"/>
      <c r="D83" s="240"/>
      <c r="E83" s="240"/>
      <c r="F83" s="240"/>
      <c r="G83" s="891" t="s">
        <v>1368</v>
      </c>
      <c r="H83" s="235">
        <f>SUM(H77:H82)</f>
        <v>-1974417.8617909618</v>
      </c>
      <c r="I83" s="231"/>
      <c r="J83" s="231"/>
      <c r="K83" s="231"/>
      <c r="L83" s="231"/>
    </row>
    <row r="84" spans="1:12">
      <c r="A84" s="240"/>
      <c r="B84" s="240"/>
      <c r="C84" s="240"/>
      <c r="D84" s="240"/>
      <c r="E84" s="240"/>
      <c r="F84" s="240"/>
      <c r="G84" s="240"/>
      <c r="H84" s="240"/>
      <c r="I84" s="231"/>
      <c r="J84" s="231"/>
      <c r="K84" s="231"/>
      <c r="L84" s="231"/>
    </row>
    <row r="85" spans="1:12">
      <c r="A85" s="240"/>
      <c r="B85" s="943" t="s">
        <v>1369</v>
      </c>
      <c r="C85" s="240"/>
      <c r="D85" s="240"/>
      <c r="E85" s="240"/>
      <c r="F85" s="240"/>
      <c r="G85" s="240"/>
      <c r="H85" s="240"/>
      <c r="I85" s="231"/>
      <c r="J85" s="231"/>
      <c r="K85" s="231"/>
      <c r="L85" s="231"/>
    </row>
    <row r="86" spans="1:12">
      <c r="A86" s="240"/>
      <c r="B86" s="14"/>
      <c r="C86" s="240"/>
      <c r="D86" s="240"/>
      <c r="E86" s="240"/>
      <c r="F86" s="240"/>
      <c r="G86" s="29" t="s">
        <v>179</v>
      </c>
      <c r="H86" s="125" t="s">
        <v>171</v>
      </c>
      <c r="I86" s="231"/>
      <c r="J86" s="231"/>
      <c r="K86" s="231"/>
      <c r="L86" s="231"/>
    </row>
    <row r="87" spans="1:12">
      <c r="A87" s="111">
        <f>A83+1</f>
        <v>39</v>
      </c>
      <c r="B87" s="880" t="s">
        <v>1365</v>
      </c>
      <c r="C87" s="240"/>
      <c r="D87" s="240"/>
      <c r="E87" s="240"/>
      <c r="F87" s="240"/>
      <c r="G87" s="464" t="str">
        <f>"Line "&amp;A44&amp;""</f>
        <v>Line 15</v>
      </c>
      <c r="H87" s="235">
        <f>H44</f>
        <v>-790861.5755223789</v>
      </c>
      <c r="I87" s="231"/>
      <c r="J87" s="231"/>
      <c r="K87" s="231"/>
      <c r="L87" s="231"/>
    </row>
    <row r="88" spans="1:12">
      <c r="A88" s="111">
        <f>A87+1</f>
        <v>40</v>
      </c>
      <c r="B88" s="240" t="s">
        <v>1370</v>
      </c>
      <c r="C88" s="240"/>
      <c r="D88" s="240"/>
      <c r="E88" s="240"/>
      <c r="F88" s="240"/>
      <c r="G88" s="464" t="str">
        <f>"Line "&amp;A83&amp;""</f>
        <v>Line 38</v>
      </c>
      <c r="H88" s="235">
        <f>H83</f>
        <v>-1974417.8617909618</v>
      </c>
      <c r="I88" s="231"/>
      <c r="J88" s="231"/>
      <c r="K88" s="231"/>
      <c r="L88" s="231"/>
    </row>
    <row r="89" spans="1:12">
      <c r="A89" s="111">
        <f>A88+1</f>
        <v>41</v>
      </c>
      <c r="B89" s="15" t="s">
        <v>1452</v>
      </c>
      <c r="C89" s="240"/>
      <c r="D89" s="240"/>
      <c r="E89" s="240"/>
      <c r="F89" s="240"/>
      <c r="G89" s="464" t="str">
        <f>"- 1-Base TRR, L "&amp;'1-BaseTRR'!A139&amp;""</f>
        <v>- 1-Base TRR, L 80</v>
      </c>
      <c r="H89" s="235">
        <f>-'1-BaseTRR'!K139</f>
        <v>-2994074.2114890064</v>
      </c>
      <c r="I89" s="231"/>
      <c r="J89" s="231"/>
      <c r="K89" s="231"/>
      <c r="L89" s="231"/>
    </row>
    <row r="90" spans="1:12">
      <c r="A90" s="111">
        <f t="shared" ref="A90:A93" si="2">A89+1</f>
        <v>42</v>
      </c>
      <c r="B90" s="15" t="s">
        <v>1453</v>
      </c>
      <c r="C90" s="240"/>
      <c r="D90" s="240"/>
      <c r="E90" s="240"/>
      <c r="F90" s="240"/>
      <c r="G90" s="464" t="str">
        <f>"- 2-IFPTRR, L "&amp;'2-IFPTRR'!A89&amp;""</f>
        <v>- 2-IFPTRR, L 80</v>
      </c>
      <c r="H90" s="459">
        <f>-'2-IFPTRR'!D89</f>
        <v>-315909.47824500833</v>
      </c>
      <c r="I90" s="231"/>
      <c r="J90" s="231"/>
      <c r="K90" s="231"/>
      <c r="L90" s="231"/>
    </row>
    <row r="91" spans="1:12">
      <c r="A91" s="111">
        <f t="shared" si="2"/>
        <v>43</v>
      </c>
      <c r="B91" s="15" t="s">
        <v>97</v>
      </c>
      <c r="C91" s="240"/>
      <c r="D91" s="240"/>
      <c r="E91" s="240"/>
      <c r="F91" s="240"/>
      <c r="G91" s="46" t="str">
        <f>"Sum Line "&amp;A87&amp;" to Line "&amp;A90&amp;""</f>
        <v>Sum Line 39 to Line 42</v>
      </c>
      <c r="H91" s="235">
        <f>SUM(H87:H90)</f>
        <v>-6075263.1270473562</v>
      </c>
      <c r="I91" s="240"/>
      <c r="J91" s="231"/>
      <c r="K91" s="231"/>
      <c r="L91" s="231"/>
    </row>
    <row r="92" spans="1:12">
      <c r="A92" s="111">
        <f t="shared" si="2"/>
        <v>44</v>
      </c>
      <c r="B92" s="15" t="s">
        <v>1377</v>
      </c>
      <c r="C92" s="240"/>
      <c r="D92" s="240"/>
      <c r="E92" s="240"/>
      <c r="F92" s="240"/>
      <c r="G92" s="14"/>
      <c r="H92" s="459">
        <f>'28-FFU'!D22*SUM(H87+H88)</f>
        <v>-25456.332916075422</v>
      </c>
      <c r="I92" s="464" t="s">
        <v>1185</v>
      </c>
      <c r="J92" s="231"/>
      <c r="K92" s="231"/>
      <c r="L92" s="231"/>
    </row>
    <row r="93" spans="1:12">
      <c r="A93" s="111">
        <f t="shared" si="2"/>
        <v>45</v>
      </c>
      <c r="B93" s="14" t="s">
        <v>1371</v>
      </c>
      <c r="C93" s="240"/>
      <c r="D93" s="240"/>
      <c r="E93" s="240"/>
      <c r="F93" s="240"/>
      <c r="G93" s="46" t="str">
        <f>"Line "&amp;A91&amp;" + Line "&amp;A92&amp;""</f>
        <v>Line 43 + Line 44</v>
      </c>
      <c r="H93" s="235">
        <f>H91+H92</f>
        <v>-6100719.4599634316</v>
      </c>
      <c r="I93" s="240"/>
      <c r="J93" s="231"/>
      <c r="K93" s="231"/>
      <c r="L93" s="231"/>
    </row>
    <row r="94" spans="1:12">
      <c r="A94" s="240"/>
      <c r="B94" s="14"/>
      <c r="C94" s="240"/>
      <c r="D94" s="240"/>
      <c r="E94" s="240"/>
      <c r="F94" s="240"/>
      <c r="G94" s="240"/>
      <c r="H94" s="240"/>
      <c r="I94" s="231"/>
      <c r="J94" s="231"/>
      <c r="K94" s="231"/>
      <c r="L94" s="231"/>
    </row>
    <row r="95" spans="1:12">
      <c r="A95" s="240"/>
      <c r="B95" s="898" t="s">
        <v>1372</v>
      </c>
      <c r="C95" s="240"/>
      <c r="D95" s="240"/>
      <c r="E95" s="240"/>
      <c r="F95" s="240"/>
      <c r="G95" s="240"/>
      <c r="H95" s="240"/>
      <c r="I95" s="231"/>
      <c r="J95" s="231"/>
      <c r="K95" s="231"/>
      <c r="L95" s="231"/>
    </row>
    <row r="96" spans="1:12">
      <c r="A96" s="240"/>
      <c r="B96" s="240" t="s">
        <v>1373</v>
      </c>
      <c r="C96" s="240"/>
      <c r="D96" s="240"/>
      <c r="E96" s="240"/>
      <c r="F96" s="240"/>
      <c r="G96" s="240"/>
      <c r="H96" s="240"/>
      <c r="I96" s="240"/>
      <c r="J96" s="231"/>
      <c r="K96" s="231"/>
      <c r="L96" s="231"/>
    </row>
    <row r="97" spans="1:12">
      <c r="A97" s="240"/>
      <c r="B97" s="240" t="s">
        <v>1374</v>
      </c>
      <c r="C97" s="240"/>
      <c r="D97" s="240"/>
      <c r="E97" s="240"/>
      <c r="F97" s="240"/>
      <c r="G97" s="240"/>
      <c r="H97" s="240"/>
      <c r="I97" s="240"/>
      <c r="J97" s="231"/>
      <c r="K97" s="231"/>
      <c r="L97" s="231"/>
    </row>
    <row r="98" spans="1:12">
      <c r="A98" s="240"/>
      <c r="B98" s="240" t="str">
        <f>"2) Input Prior Year for this Informational Filing in Line "&amp;A42&amp;"."</f>
        <v>2) Input Prior Year for this Informational Filing in Line 13.</v>
      </c>
      <c r="C98" s="14"/>
      <c r="D98" s="14"/>
      <c r="E98" s="14"/>
      <c r="F98" s="14"/>
      <c r="G98" s="14"/>
      <c r="H98" s="14"/>
      <c r="I98" s="240"/>
      <c r="J98" s="231"/>
      <c r="K98" s="231"/>
      <c r="L98" s="231"/>
    </row>
    <row r="99" spans="1:12">
      <c r="A99" s="240"/>
      <c r="B99" s="240" t="str">
        <f>"3) Calculation: (Line "&amp;A34&amp;", "&amp;H25&amp;") + ((Line "&amp;A34&amp;", "&amp;I25&amp;") * (Line "&amp;A42&amp;" - 2010))."</f>
        <v>3) Calculation: (Line 11, Col 1) + ((Line 11, Col 2) * (Line 13 - 2010)).</v>
      </c>
      <c r="C99" s="14"/>
      <c r="D99" s="14"/>
      <c r="E99" s="14"/>
      <c r="F99" s="14"/>
      <c r="G99" s="14"/>
      <c r="H99" s="14"/>
      <c r="I99" s="240"/>
      <c r="J99" s="231"/>
      <c r="K99" s="231"/>
      <c r="L99" s="231"/>
    </row>
    <row r="100" spans="1:12">
      <c r="A100" s="240"/>
      <c r="B100" s="240" t="str">
        <f>"4) Franchise Fee Exclusion is equal to the Franchise Fee Factor on the 28-FFU Line "&amp;'28-FFU'!A22&amp;""</f>
        <v>4) Franchise Fee Exclusion is equal to the Franchise Fee Factor on the 28-FFU Line 5</v>
      </c>
      <c r="C100" s="240"/>
      <c r="D100" s="240"/>
      <c r="E100" s="240"/>
      <c r="F100" s="240"/>
      <c r="G100" s="240"/>
      <c r="H100" s="240"/>
      <c r="I100" s="240"/>
      <c r="J100" s="231"/>
      <c r="K100" s="231"/>
      <c r="L100" s="231"/>
    </row>
    <row r="101" spans="1:12">
      <c r="A101" s="231"/>
      <c r="B101" s="240" t="str">
        <f>"times Line "&amp;A87&amp;" + "&amp;A88&amp;"."</f>
        <v>times Line 39 + 40.</v>
      </c>
      <c r="C101" s="240"/>
      <c r="D101" s="240"/>
      <c r="E101" s="240"/>
      <c r="F101" s="240"/>
      <c r="G101" s="240"/>
      <c r="H101" s="240"/>
      <c r="I101" s="240"/>
      <c r="J101" s="231"/>
      <c r="K101" s="231"/>
      <c r="L101" s="231"/>
    </row>
    <row r="102" spans="1:12">
      <c r="A102" s="231"/>
      <c r="B102" s="240" t="s">
        <v>2229</v>
      </c>
      <c r="C102" s="240"/>
      <c r="D102" s="240"/>
      <c r="E102" s="240"/>
      <c r="F102" s="240"/>
      <c r="G102" s="240"/>
      <c r="H102" s="240"/>
      <c r="I102" s="240"/>
      <c r="J102" s="231"/>
      <c r="K102" s="231"/>
      <c r="L102" s="231"/>
    </row>
    <row r="103" spans="1:12">
      <c r="A103" s="231"/>
      <c r="B103" s="479" t="s">
        <v>2344</v>
      </c>
      <c r="C103" s="240"/>
      <c r="D103" s="240"/>
      <c r="E103" s="240"/>
      <c r="F103" s="240"/>
      <c r="G103" s="240"/>
      <c r="H103" s="240"/>
      <c r="I103" s="240"/>
      <c r="J103" s="231"/>
      <c r="K103" s="231"/>
      <c r="L103" s="231"/>
    </row>
    <row r="104" spans="1:12">
      <c r="A104" s="231"/>
      <c r="B104" s="231"/>
      <c r="C104" s="231"/>
      <c r="D104" s="231"/>
      <c r="E104" s="231"/>
      <c r="F104" s="231"/>
      <c r="G104" s="231"/>
      <c r="H104" s="231"/>
      <c r="I104" s="231"/>
      <c r="J104" s="231"/>
      <c r="K104" s="231"/>
      <c r="L104" s="231"/>
    </row>
    <row r="105" spans="1:12">
      <c r="A105" s="231"/>
      <c r="B105" s="231"/>
      <c r="C105" s="231"/>
      <c r="D105" s="231"/>
      <c r="E105" s="231"/>
      <c r="F105" s="231"/>
      <c r="G105" s="231"/>
      <c r="H105" s="231"/>
      <c r="I105" s="231"/>
      <c r="J105" s="231"/>
      <c r="K105" s="231"/>
      <c r="L105" s="231"/>
    </row>
    <row r="106" spans="1:12">
      <c r="A106" s="231"/>
      <c r="B106" s="231"/>
      <c r="C106" s="231"/>
      <c r="D106" s="231"/>
      <c r="E106" s="231"/>
      <c r="F106" s="231"/>
      <c r="G106" s="231"/>
      <c r="H106" s="231"/>
      <c r="I106" s="231"/>
      <c r="J106" s="231"/>
      <c r="K106" s="231"/>
      <c r="L106" s="231"/>
    </row>
    <row r="107" spans="1:12">
      <c r="A107" s="231"/>
      <c r="B107" s="231"/>
      <c r="C107" s="231"/>
      <c r="D107" s="231"/>
      <c r="E107" s="231"/>
      <c r="F107" s="231"/>
      <c r="G107" s="231"/>
      <c r="H107" s="231"/>
      <c r="I107" s="231"/>
      <c r="J107" s="231"/>
      <c r="K107" s="231"/>
      <c r="L107" s="231"/>
    </row>
    <row r="108" spans="1:12">
      <c r="A108" s="231"/>
      <c r="B108" s="231"/>
      <c r="C108" s="231"/>
      <c r="D108" s="231"/>
      <c r="E108" s="231"/>
      <c r="F108" s="231"/>
      <c r="G108" s="231"/>
      <c r="H108" s="231"/>
      <c r="I108" s="231"/>
      <c r="J108" s="231"/>
      <c r="K108" s="231"/>
      <c r="L108" s="231"/>
    </row>
    <row r="109" spans="1:12">
      <c r="A109" s="231"/>
      <c r="B109" s="231"/>
      <c r="C109" s="231"/>
      <c r="D109" s="231"/>
      <c r="E109" s="231"/>
      <c r="F109" s="231"/>
      <c r="G109" s="231"/>
      <c r="H109" s="231"/>
      <c r="I109" s="231"/>
      <c r="J109" s="231"/>
      <c r="K109" s="231"/>
      <c r="L109" s="231"/>
    </row>
    <row r="110" spans="1:12">
      <c r="A110" s="231"/>
      <c r="B110" s="231"/>
      <c r="C110" s="231"/>
      <c r="D110" s="231"/>
      <c r="E110" s="231"/>
      <c r="F110" s="231"/>
      <c r="G110" s="231"/>
      <c r="H110" s="231"/>
      <c r="I110" s="231"/>
      <c r="J110" s="231"/>
      <c r="K110" s="231"/>
      <c r="L110" s="231"/>
    </row>
    <row r="111" spans="1:12">
      <c r="A111" s="231"/>
      <c r="B111" s="231"/>
      <c r="C111" s="231"/>
      <c r="D111" s="231"/>
      <c r="E111" s="231"/>
      <c r="F111" s="231"/>
      <c r="G111" s="231"/>
      <c r="H111" s="231"/>
      <c r="I111" s="231"/>
      <c r="J111" s="231"/>
      <c r="K111" s="231"/>
      <c r="L111" s="231"/>
    </row>
    <row r="112" spans="1:12">
      <c r="A112" s="231"/>
      <c r="B112" s="231"/>
      <c r="C112" s="231"/>
      <c r="D112" s="231"/>
      <c r="E112" s="231"/>
      <c r="F112" s="231"/>
      <c r="G112" s="231"/>
      <c r="H112" s="231"/>
      <c r="I112" s="231"/>
      <c r="J112" s="231"/>
      <c r="K112" s="231"/>
      <c r="L112" s="231"/>
    </row>
    <row r="113" spans="1:12">
      <c r="A113" s="231"/>
      <c r="B113" s="231"/>
      <c r="C113" s="231"/>
      <c r="D113" s="231"/>
      <c r="E113" s="231"/>
      <c r="F113" s="231"/>
      <c r="G113" s="231"/>
      <c r="H113" s="231"/>
      <c r="I113" s="231"/>
      <c r="J113" s="231"/>
      <c r="K113" s="231"/>
      <c r="L113" s="231"/>
    </row>
    <row r="114" spans="1:12">
      <c r="A114" s="231"/>
      <c r="B114" s="231"/>
      <c r="C114" s="231"/>
      <c r="D114" s="231"/>
      <c r="E114" s="231"/>
      <c r="F114" s="231"/>
      <c r="G114" s="231"/>
      <c r="H114" s="231"/>
      <c r="I114" s="231"/>
      <c r="J114" s="231"/>
      <c r="K114" s="231"/>
      <c r="L114" s="231"/>
    </row>
    <row r="115" spans="1:12">
      <c r="A115" s="231"/>
      <c r="B115" s="231"/>
      <c r="C115" s="231"/>
      <c r="D115" s="231"/>
      <c r="E115" s="231"/>
      <c r="F115" s="231"/>
      <c r="G115" s="231"/>
      <c r="H115" s="231"/>
      <c r="I115" s="231"/>
      <c r="J115" s="231"/>
      <c r="K115" s="231"/>
      <c r="L115" s="231"/>
    </row>
    <row r="116" spans="1:12">
      <c r="A116" s="231"/>
      <c r="B116" s="231"/>
      <c r="C116" s="231"/>
      <c r="D116" s="231"/>
      <c r="E116" s="231"/>
      <c r="F116" s="231"/>
      <c r="G116" s="231"/>
      <c r="H116" s="231"/>
      <c r="I116" s="231"/>
      <c r="J116" s="231"/>
      <c r="K116" s="231"/>
      <c r="L116" s="231"/>
    </row>
    <row r="117" spans="1:12">
      <c r="A117" s="231"/>
      <c r="B117" s="231"/>
      <c r="C117" s="231"/>
      <c r="D117" s="231"/>
      <c r="E117" s="231"/>
      <c r="F117" s="231"/>
      <c r="G117" s="231"/>
      <c r="H117" s="231"/>
      <c r="I117" s="231"/>
      <c r="J117" s="231"/>
      <c r="K117" s="231"/>
      <c r="L117" s="231"/>
    </row>
    <row r="118" spans="1:12">
      <c r="A118" s="231"/>
      <c r="B118" s="231"/>
      <c r="C118" s="231"/>
      <c r="D118" s="231"/>
      <c r="E118" s="231"/>
      <c r="F118" s="231"/>
      <c r="G118" s="231"/>
      <c r="H118" s="231"/>
      <c r="I118" s="231"/>
      <c r="J118" s="231"/>
      <c r="K118" s="231"/>
      <c r="L118" s="231"/>
    </row>
    <row r="119" spans="1:12">
      <c r="A119" s="231"/>
      <c r="B119" s="231"/>
      <c r="C119" s="231"/>
      <c r="D119" s="231"/>
      <c r="E119" s="231"/>
      <c r="F119" s="231"/>
      <c r="G119" s="231"/>
      <c r="H119" s="231"/>
      <c r="I119" s="231"/>
      <c r="J119" s="231"/>
      <c r="K119" s="231"/>
      <c r="L119" s="231"/>
    </row>
    <row r="120" spans="1:12">
      <c r="A120" s="231"/>
      <c r="B120" s="231"/>
      <c r="C120" s="231"/>
      <c r="D120" s="231"/>
      <c r="E120" s="231"/>
      <c r="F120" s="231"/>
      <c r="G120" s="231"/>
      <c r="H120" s="231"/>
      <c r="I120" s="231"/>
      <c r="J120" s="231"/>
      <c r="K120" s="231"/>
      <c r="L120" s="231"/>
    </row>
    <row r="121" spans="1:12">
      <c r="A121" s="231"/>
      <c r="B121" s="231"/>
      <c r="C121" s="231"/>
      <c r="D121" s="231"/>
      <c r="E121" s="231"/>
      <c r="F121" s="231"/>
      <c r="G121" s="231"/>
      <c r="H121" s="231"/>
      <c r="I121" s="231"/>
      <c r="J121" s="231"/>
      <c r="K121" s="231"/>
      <c r="L121" s="231"/>
    </row>
    <row r="122" spans="1:12">
      <c r="A122" s="231"/>
      <c r="B122" s="231"/>
      <c r="C122" s="231"/>
      <c r="D122" s="231"/>
      <c r="E122" s="231"/>
      <c r="F122" s="231"/>
      <c r="G122" s="231"/>
      <c r="H122" s="231"/>
      <c r="I122" s="231"/>
      <c r="J122" s="231"/>
      <c r="K122" s="231"/>
      <c r="L122" s="231"/>
    </row>
    <row r="123" spans="1:12">
      <c r="A123" s="231"/>
      <c r="B123" s="231"/>
      <c r="C123" s="231"/>
      <c r="D123" s="231"/>
      <c r="E123" s="231"/>
      <c r="F123" s="231"/>
      <c r="G123" s="231"/>
      <c r="H123" s="231"/>
      <c r="I123" s="231"/>
      <c r="J123" s="231"/>
      <c r="K123" s="231"/>
      <c r="L123" s="231"/>
    </row>
    <row r="124" spans="1:12">
      <c r="A124" s="231"/>
      <c r="B124" s="231"/>
      <c r="C124" s="231"/>
      <c r="D124" s="231"/>
      <c r="E124" s="231"/>
      <c r="F124" s="231"/>
      <c r="G124" s="231"/>
      <c r="H124" s="231"/>
      <c r="I124" s="231"/>
      <c r="J124" s="231"/>
      <c r="K124" s="231"/>
      <c r="L124" s="231"/>
    </row>
    <row r="125" spans="1:12">
      <c r="A125" s="231"/>
      <c r="B125" s="231"/>
      <c r="C125" s="231"/>
      <c r="D125" s="231"/>
      <c r="E125" s="231"/>
      <c r="F125" s="231"/>
      <c r="G125" s="231"/>
      <c r="H125" s="231"/>
      <c r="I125" s="231"/>
      <c r="J125" s="231"/>
      <c r="K125" s="231"/>
      <c r="L125" s="231"/>
    </row>
    <row r="126" spans="1:12">
      <c r="A126" s="231"/>
      <c r="B126" s="231"/>
      <c r="C126" s="231"/>
      <c r="D126" s="231"/>
      <c r="E126" s="231"/>
      <c r="F126" s="231"/>
      <c r="G126" s="231"/>
      <c r="H126" s="231"/>
      <c r="I126" s="231"/>
      <c r="J126" s="231"/>
      <c r="K126" s="231"/>
      <c r="L126" s="231"/>
    </row>
    <row r="127" spans="1:12">
      <c r="A127" s="231"/>
      <c r="B127" s="231"/>
      <c r="C127" s="231"/>
      <c r="D127" s="231"/>
      <c r="E127" s="231"/>
      <c r="F127" s="231"/>
      <c r="G127" s="231"/>
      <c r="H127" s="231"/>
      <c r="I127" s="231"/>
      <c r="J127" s="231"/>
      <c r="K127" s="231"/>
      <c r="L127" s="231"/>
    </row>
    <row r="128" spans="1:12">
      <c r="A128" s="231"/>
      <c r="B128" s="231"/>
      <c r="C128" s="231"/>
      <c r="D128" s="231"/>
      <c r="E128" s="231"/>
      <c r="F128" s="231"/>
      <c r="G128" s="231"/>
      <c r="H128" s="231"/>
      <c r="I128" s="231"/>
      <c r="J128" s="231"/>
      <c r="K128" s="231"/>
      <c r="L128" s="231"/>
    </row>
    <row r="129" spans="1:12">
      <c r="A129" s="231"/>
      <c r="B129" s="231"/>
      <c r="C129" s="231"/>
      <c r="D129" s="231"/>
      <c r="E129" s="231"/>
      <c r="F129" s="231"/>
      <c r="G129" s="231"/>
      <c r="H129" s="231"/>
      <c r="I129" s="231"/>
      <c r="J129" s="231"/>
      <c r="K129" s="231"/>
      <c r="L129" s="231"/>
    </row>
    <row r="130" spans="1:12">
      <c r="A130" s="231"/>
      <c r="B130" s="231"/>
      <c r="C130" s="231"/>
      <c r="D130" s="231"/>
      <c r="E130" s="231"/>
      <c r="F130" s="231"/>
      <c r="G130" s="231"/>
      <c r="H130" s="231"/>
      <c r="I130" s="231"/>
      <c r="J130" s="231"/>
      <c r="K130" s="231"/>
      <c r="L130" s="231"/>
    </row>
    <row r="131" spans="1:12">
      <c r="A131" s="231"/>
      <c r="B131" s="231"/>
      <c r="C131" s="231"/>
      <c r="D131" s="231"/>
      <c r="E131" s="231"/>
      <c r="F131" s="231"/>
      <c r="G131" s="231"/>
      <c r="H131" s="231"/>
      <c r="I131" s="231"/>
      <c r="J131" s="231"/>
      <c r="K131" s="231"/>
      <c r="L131" s="231"/>
    </row>
    <row r="132" spans="1:12">
      <c r="A132" s="231"/>
      <c r="B132" s="231"/>
      <c r="C132" s="231"/>
      <c r="D132" s="231"/>
      <c r="E132" s="231"/>
      <c r="F132" s="231"/>
      <c r="G132" s="231"/>
      <c r="H132" s="231"/>
      <c r="I132" s="231"/>
      <c r="J132" s="231"/>
      <c r="K132" s="231"/>
      <c r="L132" s="231"/>
    </row>
    <row r="133" spans="1:12">
      <c r="A133" s="231"/>
      <c r="B133" s="231"/>
      <c r="C133" s="231"/>
      <c r="D133" s="231"/>
      <c r="E133" s="231"/>
      <c r="F133" s="231"/>
      <c r="G133" s="231"/>
      <c r="H133" s="231"/>
      <c r="I133" s="231"/>
      <c r="J133" s="231"/>
      <c r="K133" s="231"/>
      <c r="L133" s="231"/>
    </row>
    <row r="134" spans="1:12">
      <c r="A134" s="231"/>
      <c r="B134" s="231"/>
      <c r="C134" s="231"/>
      <c r="D134" s="231"/>
      <c r="E134" s="231"/>
      <c r="F134" s="231"/>
      <c r="G134" s="231"/>
      <c r="H134" s="231"/>
      <c r="I134" s="231"/>
      <c r="J134" s="231"/>
      <c r="K134" s="231"/>
      <c r="L134" s="231"/>
    </row>
    <row r="135" spans="1:12">
      <c r="A135" s="231"/>
      <c r="B135" s="231"/>
      <c r="C135" s="231"/>
      <c r="D135" s="231"/>
      <c r="E135" s="231"/>
      <c r="F135" s="231"/>
      <c r="G135" s="231"/>
      <c r="H135" s="231"/>
      <c r="I135" s="231"/>
      <c r="J135" s="231"/>
      <c r="K135" s="231"/>
      <c r="L135" s="231"/>
    </row>
    <row r="136" spans="1:12">
      <c r="A136" s="231"/>
      <c r="B136" s="231"/>
      <c r="C136" s="231"/>
      <c r="D136" s="231"/>
      <c r="E136" s="231"/>
      <c r="F136" s="231"/>
      <c r="G136" s="231"/>
      <c r="H136" s="231"/>
      <c r="I136" s="231"/>
      <c r="J136" s="231"/>
      <c r="K136" s="231"/>
      <c r="L136" s="231"/>
    </row>
    <row r="137" spans="1:12">
      <c r="A137" s="231"/>
      <c r="B137" s="231"/>
      <c r="C137" s="231"/>
      <c r="D137" s="231"/>
      <c r="E137" s="231"/>
      <c r="F137" s="231"/>
      <c r="G137" s="231"/>
      <c r="H137" s="231"/>
      <c r="I137" s="231"/>
      <c r="J137" s="231"/>
      <c r="K137" s="231"/>
      <c r="L137" s="231"/>
    </row>
    <row r="138" spans="1:12">
      <c r="A138" s="231"/>
      <c r="B138" s="231"/>
      <c r="C138" s="231"/>
      <c r="D138" s="231"/>
      <c r="E138" s="231"/>
      <c r="F138" s="231"/>
      <c r="G138" s="231"/>
      <c r="H138" s="231"/>
      <c r="I138" s="231"/>
      <c r="J138" s="231"/>
      <c r="K138" s="231"/>
      <c r="L138" s="231"/>
    </row>
    <row r="139" spans="1:12">
      <c r="A139" s="231"/>
      <c r="B139" s="231"/>
      <c r="C139" s="231"/>
      <c r="D139" s="231"/>
      <c r="E139" s="231"/>
      <c r="F139" s="231"/>
      <c r="G139" s="231"/>
      <c r="H139" s="231"/>
      <c r="I139" s="231"/>
      <c r="J139" s="231"/>
      <c r="K139" s="231"/>
      <c r="L139" s="231"/>
    </row>
    <row r="140" spans="1:12">
      <c r="A140" s="231"/>
      <c r="B140" s="231"/>
      <c r="C140" s="231"/>
      <c r="D140" s="231"/>
      <c r="E140" s="231"/>
      <c r="F140" s="231"/>
      <c r="G140" s="231"/>
      <c r="H140" s="231"/>
      <c r="I140" s="231"/>
      <c r="J140" s="231"/>
      <c r="K140" s="231"/>
      <c r="L140" s="231"/>
    </row>
    <row r="141" spans="1:12">
      <c r="A141" s="231"/>
      <c r="B141" s="231"/>
      <c r="C141" s="231"/>
      <c r="D141" s="231"/>
      <c r="E141" s="231"/>
      <c r="F141" s="231"/>
      <c r="G141" s="231"/>
      <c r="H141" s="231"/>
      <c r="I141" s="231"/>
      <c r="J141" s="231"/>
      <c r="K141" s="231"/>
      <c r="L141" s="231"/>
    </row>
    <row r="142" spans="1:12">
      <c r="A142" s="231"/>
      <c r="B142" s="231"/>
      <c r="C142" s="231"/>
      <c r="D142" s="231"/>
      <c r="E142" s="231"/>
      <c r="F142" s="231"/>
      <c r="G142" s="231"/>
      <c r="H142" s="231"/>
      <c r="I142" s="231"/>
      <c r="J142" s="231"/>
      <c r="K142" s="231"/>
      <c r="L142" s="231"/>
    </row>
    <row r="143" spans="1:12">
      <c r="A143" s="231"/>
      <c r="B143" s="231"/>
      <c r="C143" s="231"/>
      <c r="D143" s="231"/>
      <c r="E143" s="231"/>
      <c r="F143" s="231"/>
      <c r="G143" s="231"/>
      <c r="H143" s="231"/>
      <c r="I143" s="231"/>
      <c r="J143" s="231"/>
      <c r="K143" s="231"/>
      <c r="L143" s="231"/>
    </row>
    <row r="144" spans="1:12">
      <c r="A144" s="231"/>
      <c r="B144" s="231"/>
      <c r="C144" s="231"/>
      <c r="D144" s="231"/>
      <c r="E144" s="231"/>
      <c r="F144" s="231"/>
      <c r="G144" s="231"/>
      <c r="H144" s="231"/>
      <c r="I144" s="231"/>
      <c r="J144" s="231"/>
      <c r="K144" s="231"/>
      <c r="L144" s="231"/>
    </row>
    <row r="145" spans="1:12">
      <c r="A145" s="231"/>
      <c r="B145" s="231"/>
      <c r="C145" s="231"/>
      <c r="D145" s="231"/>
      <c r="E145" s="231"/>
      <c r="F145" s="231"/>
      <c r="G145" s="231"/>
      <c r="H145" s="231"/>
      <c r="I145" s="231"/>
      <c r="J145" s="231"/>
      <c r="K145" s="231"/>
      <c r="L145" s="231"/>
    </row>
    <row r="146" spans="1:12">
      <c r="A146" s="231"/>
      <c r="B146" s="231"/>
      <c r="C146" s="231"/>
      <c r="D146" s="231"/>
      <c r="E146" s="231"/>
      <c r="F146" s="231"/>
      <c r="G146" s="231"/>
      <c r="H146" s="231"/>
      <c r="I146" s="231"/>
      <c r="J146" s="231"/>
      <c r="K146" s="231"/>
      <c r="L146" s="231"/>
    </row>
    <row r="147" spans="1:12">
      <c r="A147" s="231"/>
      <c r="B147" s="231"/>
      <c r="C147" s="231"/>
      <c r="D147" s="231"/>
      <c r="E147" s="231"/>
      <c r="F147" s="231"/>
      <c r="G147" s="231"/>
      <c r="H147" s="231"/>
      <c r="I147" s="231"/>
      <c r="J147" s="231"/>
      <c r="K147" s="231"/>
      <c r="L147" s="231"/>
    </row>
    <row r="148" spans="1:12">
      <c r="A148" s="231"/>
      <c r="B148" s="231"/>
      <c r="C148" s="231"/>
      <c r="D148" s="231"/>
      <c r="E148" s="231"/>
      <c r="F148" s="231"/>
      <c r="G148" s="231"/>
      <c r="H148" s="231"/>
      <c r="I148" s="231"/>
      <c r="J148" s="231"/>
      <c r="K148" s="231"/>
      <c r="L148" s="231"/>
    </row>
    <row r="149" spans="1:12">
      <c r="A149" s="231"/>
      <c r="B149" s="231"/>
      <c r="C149" s="231"/>
      <c r="D149" s="231"/>
      <c r="E149" s="231"/>
      <c r="F149" s="231"/>
      <c r="G149" s="231"/>
      <c r="H149" s="231"/>
      <c r="I149" s="231"/>
      <c r="J149" s="231"/>
      <c r="K149" s="231"/>
      <c r="L149" s="231"/>
    </row>
    <row r="150" spans="1:12">
      <c r="A150" s="231"/>
      <c r="B150" s="231"/>
      <c r="C150" s="231"/>
      <c r="D150" s="231"/>
      <c r="E150" s="231"/>
      <c r="F150" s="231"/>
      <c r="G150" s="231"/>
      <c r="H150" s="231"/>
      <c r="I150" s="231"/>
      <c r="J150" s="231"/>
      <c r="K150" s="231"/>
      <c r="L150" s="231"/>
    </row>
    <row r="151" spans="1:12">
      <c r="A151" s="231"/>
      <c r="B151" s="231"/>
      <c r="C151" s="231"/>
      <c r="D151" s="231"/>
      <c r="E151" s="231"/>
      <c r="F151" s="231"/>
      <c r="G151" s="231"/>
      <c r="H151" s="231"/>
      <c r="I151" s="231"/>
      <c r="J151" s="231"/>
      <c r="K151" s="231"/>
      <c r="L151" s="231"/>
    </row>
    <row r="152" spans="1:12">
      <c r="A152" s="231"/>
      <c r="B152" s="231"/>
      <c r="C152" s="231"/>
      <c r="D152" s="231"/>
      <c r="E152" s="231"/>
      <c r="F152" s="231"/>
      <c r="G152" s="231"/>
      <c r="H152" s="231"/>
      <c r="I152" s="231"/>
      <c r="J152" s="231"/>
      <c r="K152" s="231"/>
      <c r="L152" s="231"/>
    </row>
    <row r="153" spans="1:12">
      <c r="A153" s="231"/>
      <c r="B153" s="231"/>
      <c r="C153" s="231"/>
      <c r="D153" s="231"/>
      <c r="E153" s="231"/>
      <c r="F153" s="231"/>
      <c r="G153" s="231"/>
      <c r="H153" s="231"/>
      <c r="I153" s="231"/>
      <c r="J153" s="231"/>
      <c r="K153" s="231"/>
      <c r="L153" s="231"/>
    </row>
  </sheetData>
  <pageMargins left="0.7" right="0.7" top="0.75" bottom="0.75" header="0.3" footer="0.3"/>
  <pageSetup scale="80" orientation="portrait" cellComments="asDisplayed" r:id="rId1"/>
  <headerFooter>
    <oddHeader>&amp;CSchedule 25
Wholesale Differences to Base TRR
&amp;RExhibit SCE-4
TO2019A Formula Rate Spreadsheet</oddHeader>
    <oddFooter>&amp;R&amp;A</oddFooter>
  </headerFooter>
  <rowBreaks count="1" manualBreakCount="1">
    <brk id="67"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heetViews>
  <sheetFormatPr defaultRowHeight="13.2"/>
  <cols>
    <col min="1" max="1" width="4.6640625" customWidth="1"/>
    <col min="2" max="2" width="3.6640625" customWidth="1"/>
    <col min="3" max="3" width="18.6640625" customWidth="1"/>
    <col min="4" max="4" width="14.6640625" customWidth="1"/>
    <col min="5" max="5" width="45.6640625" customWidth="1"/>
    <col min="6" max="6" width="12.109375" bestFit="1" customWidth="1"/>
  </cols>
  <sheetData>
    <row r="1" spans="1:5">
      <c r="A1" s="1" t="s">
        <v>2400</v>
      </c>
    </row>
    <row r="3" spans="1:5">
      <c r="B3" s="1" t="s">
        <v>36</v>
      </c>
      <c r="E3" s="97" t="s">
        <v>17</v>
      </c>
    </row>
    <row r="4" spans="1:5">
      <c r="D4" s="2" t="s">
        <v>37</v>
      </c>
    </row>
    <row r="5" spans="1:5">
      <c r="C5" s="571" t="s">
        <v>13</v>
      </c>
      <c r="D5" s="2" t="s">
        <v>405</v>
      </c>
    </row>
    <row r="6" spans="1:5">
      <c r="A6" s="3" t="s">
        <v>331</v>
      </c>
      <c r="C6" s="3" t="s">
        <v>193</v>
      </c>
      <c r="D6" s="3" t="s">
        <v>407</v>
      </c>
      <c r="E6" s="3" t="s">
        <v>179</v>
      </c>
    </row>
    <row r="7" spans="1:5">
      <c r="A7" s="2">
        <v>1</v>
      </c>
      <c r="C7" s="542">
        <v>2019</v>
      </c>
      <c r="D7" s="1261">
        <v>0.21</v>
      </c>
      <c r="E7" s="897" t="s">
        <v>2784</v>
      </c>
    </row>
    <row r="8" spans="1:5">
      <c r="A8" s="2">
        <f>A7+1</f>
        <v>2</v>
      </c>
      <c r="E8" s="476"/>
    </row>
    <row r="9" spans="1:5">
      <c r="A9" s="2">
        <f t="shared" ref="A9:A23" si="0">A8+1</f>
        <v>3</v>
      </c>
      <c r="B9" s="1" t="s">
        <v>38</v>
      </c>
      <c r="E9" s="999"/>
    </row>
    <row r="10" spans="1:5">
      <c r="A10" s="2">
        <f t="shared" si="0"/>
        <v>4</v>
      </c>
      <c r="B10" s="1"/>
      <c r="D10" s="2"/>
      <c r="E10" s="999"/>
    </row>
    <row r="11" spans="1:5">
      <c r="A11" s="2">
        <f t="shared" si="0"/>
        <v>5</v>
      </c>
      <c r="D11" s="2" t="s">
        <v>2877</v>
      </c>
      <c r="E11" s="999"/>
    </row>
    <row r="12" spans="1:5">
      <c r="A12" s="2">
        <f t="shared" si="0"/>
        <v>6</v>
      </c>
      <c r="C12" s="571" t="s">
        <v>13</v>
      </c>
      <c r="D12" s="2" t="s">
        <v>405</v>
      </c>
      <c r="E12" s="999"/>
    </row>
    <row r="13" spans="1:5">
      <c r="A13" s="2">
        <f t="shared" si="0"/>
        <v>7</v>
      </c>
      <c r="C13" s="3" t="s">
        <v>193</v>
      </c>
      <c r="D13" s="3" t="s">
        <v>406</v>
      </c>
      <c r="E13" s="3" t="s">
        <v>179</v>
      </c>
    </row>
    <row r="14" spans="1:5">
      <c r="A14" s="2">
        <f t="shared" si="0"/>
        <v>8</v>
      </c>
      <c r="C14" s="542">
        <v>2019</v>
      </c>
      <c r="D14" s="1095">
        <v>8.8400000000000006E-2</v>
      </c>
      <c r="E14" s="897" t="s">
        <v>362</v>
      </c>
    </row>
    <row r="15" spans="1:5">
      <c r="A15" s="2">
        <f t="shared" si="0"/>
        <v>9</v>
      </c>
      <c r="C15" s="54"/>
      <c r="D15" s="14"/>
      <c r="E15" s="13"/>
    </row>
    <row r="16" spans="1:5">
      <c r="A16" s="2">
        <f t="shared" si="0"/>
        <v>10</v>
      </c>
      <c r="C16" s="54"/>
      <c r="D16" s="14"/>
      <c r="E16" s="16"/>
    </row>
    <row r="17" spans="1:9">
      <c r="A17" s="2">
        <f t="shared" si="0"/>
        <v>11</v>
      </c>
      <c r="C17" s="61"/>
      <c r="E17" s="16"/>
    </row>
    <row r="18" spans="1:9" ht="12.75" customHeight="1">
      <c r="A18" s="571">
        <f t="shared" si="0"/>
        <v>12</v>
      </c>
      <c r="B18" s="1" t="s">
        <v>1651</v>
      </c>
      <c r="E18" s="16"/>
    </row>
    <row r="19" spans="1:9" ht="12.75" customHeight="1">
      <c r="A19" s="571">
        <f t="shared" si="0"/>
        <v>13</v>
      </c>
      <c r="E19" s="115"/>
      <c r="F19" s="3" t="s">
        <v>175</v>
      </c>
    </row>
    <row r="20" spans="1:9" ht="12.75" customHeight="1">
      <c r="A20" s="571">
        <f t="shared" si="0"/>
        <v>14</v>
      </c>
      <c r="B20" s="14"/>
      <c r="C20" s="14" t="str">
        <f>"Total Electric Payroll Tax Expense (From 1-BaseTRR, Line "&amp;'1-BaseTRR'!A52&amp;")"</f>
        <v>Total Electric Payroll Tax Expense (From 1-BaseTRR, Line 31)</v>
      </c>
      <c r="D20" s="14"/>
      <c r="E20" s="14"/>
      <c r="F20" s="7">
        <f>'1-BaseTRR'!K52</f>
        <v>117049541</v>
      </c>
      <c r="G20" s="12"/>
    </row>
    <row r="21" spans="1:9" ht="12.75" customHeight="1">
      <c r="A21" s="571">
        <f t="shared" si="0"/>
        <v>15</v>
      </c>
      <c r="B21" s="14"/>
      <c r="C21" s="479" t="s">
        <v>2396</v>
      </c>
      <c r="D21" s="14"/>
      <c r="E21" s="14"/>
      <c r="F21" s="593">
        <v>0.39800000000000002</v>
      </c>
      <c r="G21" s="12"/>
    </row>
    <row r="22" spans="1:9" ht="12.75" customHeight="1">
      <c r="A22" s="571">
        <f t="shared" si="0"/>
        <v>16</v>
      </c>
      <c r="B22" s="14"/>
      <c r="C22" s="479" t="str">
        <f>"Capitalized Overhead portion of Electric Payroll Tax Expense (Line "&amp;A20&amp;" * Line "&amp;A21&amp;")"</f>
        <v>Capitalized Overhead portion of Electric Payroll Tax Expense (Line 14 * Line 15)</v>
      </c>
      <c r="D22" s="14"/>
      <c r="E22" s="14"/>
      <c r="F22" s="459">
        <f>F20*F21</f>
        <v>46585717.318000004</v>
      </c>
      <c r="G22" s="479"/>
      <c r="H22" s="14"/>
      <c r="I22" s="479"/>
    </row>
    <row r="23" spans="1:9">
      <c r="A23" s="571">
        <f t="shared" si="0"/>
        <v>17</v>
      </c>
      <c r="B23" s="14"/>
      <c r="C23" s="479" t="str">
        <f>"Non-Capitalized Overhead portion of Electric Payroll Tax Expense (Line "&amp;A20&amp;" - Line "&amp;A22&amp;")"</f>
        <v>Non-Capitalized Overhead portion of Electric Payroll Tax Expense (Line 14 - Line 16)</v>
      </c>
      <c r="D23" s="14"/>
      <c r="E23" s="14"/>
      <c r="F23" s="7">
        <f>F20-F22</f>
        <v>70463823.681999996</v>
      </c>
      <c r="G23" s="12"/>
      <c r="H23" s="14"/>
    </row>
    <row r="25" spans="1:9">
      <c r="B25" s="51" t="s">
        <v>232</v>
      </c>
    </row>
    <row r="26" spans="1:9">
      <c r="B26" s="944" t="s">
        <v>2397</v>
      </c>
      <c r="C26" s="14"/>
      <c r="D26" s="1005" t="s">
        <v>2873</v>
      </c>
      <c r="E26" s="1005"/>
      <c r="F26" s="97"/>
    </row>
    <row r="27" spans="1:9">
      <c r="B27" s="944" t="s">
        <v>2399</v>
      </c>
      <c r="C27" s="14"/>
      <c r="D27" s="14"/>
      <c r="E27" s="14"/>
      <c r="F27" s="14"/>
    </row>
    <row r="28" spans="1:9">
      <c r="B28" s="676"/>
      <c r="C28" s="14"/>
      <c r="D28" s="97" t="s">
        <v>2744</v>
      </c>
      <c r="E28" s="97"/>
      <c r="F28" s="97"/>
    </row>
    <row r="29" spans="1:9">
      <c r="B29" s="479" t="s">
        <v>2398</v>
      </c>
      <c r="C29" s="14"/>
      <c r="D29" s="14"/>
      <c r="E29" s="1005" t="s">
        <v>2764</v>
      </c>
    </row>
    <row r="30" spans="1:9">
      <c r="B30" s="476" t="s">
        <v>1817</v>
      </c>
      <c r="C30" s="14"/>
      <c r="D30" s="14"/>
      <c r="E30" s="973" t="s">
        <v>2766</v>
      </c>
    </row>
    <row r="31" spans="1:9">
      <c r="B31" s="477" t="s">
        <v>2688</v>
      </c>
    </row>
    <row r="32" spans="1:9">
      <c r="B32" s="477" t="s">
        <v>2689</v>
      </c>
    </row>
    <row r="33" spans="2:2">
      <c r="B33" s="477" t="s">
        <v>2690</v>
      </c>
    </row>
    <row r="34" spans="2:2">
      <c r="B34" s="477" t="s">
        <v>2691</v>
      </c>
    </row>
    <row r="35" spans="2:2">
      <c r="B35" s="477" t="s">
        <v>2778</v>
      </c>
    </row>
    <row r="36" spans="2:2">
      <c r="B36" s="477" t="s">
        <v>2692</v>
      </c>
    </row>
    <row r="37" spans="2:2">
      <c r="B37" s="477" t="s">
        <v>2693</v>
      </c>
    </row>
    <row r="38" spans="2:2">
      <c r="B38" s="477" t="s">
        <v>2694</v>
      </c>
    </row>
    <row r="39" spans="2:2">
      <c r="B39" s="477" t="s">
        <v>2695</v>
      </c>
    </row>
    <row r="40" spans="2:2">
      <c r="B40" s="477" t="s">
        <v>2696</v>
      </c>
    </row>
  </sheetData>
  <phoneticPr fontId="22" type="noConversion"/>
  <pageMargins left="0.75" right="0.75" top="1" bottom="1" header="0.5" footer="0.5"/>
  <pageSetup scale="75" orientation="portrait" cellComments="asDisplayed" r:id="rId1"/>
  <headerFooter alignWithMargins="0">
    <oddHeader>&amp;CSchedule 26
Tax Rates
&amp;RExhibit SCE-4
TO2019A Formula Rate Spreadsheet</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heetViews>
  <sheetFormatPr defaultRowHeight="13.2"/>
  <cols>
    <col min="1" max="2" width="4.6640625" customWidth="1"/>
    <col min="3" max="3" width="40.6640625" customWidth="1"/>
    <col min="4" max="4" width="20.6640625" customWidth="1"/>
    <col min="5" max="5" width="28.6640625" customWidth="1"/>
    <col min="6" max="6" width="2.6640625" customWidth="1"/>
    <col min="7" max="7" width="16.6640625" customWidth="1"/>
  </cols>
  <sheetData>
    <row r="1" spans="1:9">
      <c r="A1" s="1" t="s">
        <v>202</v>
      </c>
      <c r="B1" s="1"/>
    </row>
    <row r="2" spans="1:9">
      <c r="A2" s="1"/>
      <c r="B2" s="1"/>
      <c r="E2" s="97" t="s">
        <v>17</v>
      </c>
    </row>
    <row r="3" spans="1:9">
      <c r="A3" s="2"/>
      <c r="B3" s="1" t="s">
        <v>1133</v>
      </c>
      <c r="G3" s="99"/>
    </row>
    <row r="4" spans="1:9">
      <c r="A4" s="2"/>
      <c r="C4" s="1"/>
      <c r="D4" s="2"/>
      <c r="E4" s="2" t="s">
        <v>169</v>
      </c>
      <c r="G4" s="4" t="s">
        <v>63</v>
      </c>
    </row>
    <row r="5" spans="1:9">
      <c r="A5" s="51" t="s">
        <v>331</v>
      </c>
      <c r="C5" s="1"/>
      <c r="D5" s="3" t="s">
        <v>168</v>
      </c>
      <c r="E5" s="3" t="s">
        <v>170</v>
      </c>
      <c r="G5" s="3" t="s">
        <v>171</v>
      </c>
    </row>
    <row r="6" spans="1:9">
      <c r="A6" s="2">
        <v>1</v>
      </c>
      <c r="C6" s="945" t="s">
        <v>2853</v>
      </c>
      <c r="D6" s="14"/>
      <c r="E6" s="15" t="str">
        <f>"19-OandM Line "&amp;'19-OandM'!A124&amp;", Col. 7"</f>
        <v>19-OandM Line 91, Col. 7</v>
      </c>
      <c r="G6" s="7">
        <f>'19-OandM'!H124</f>
        <v>35938613.481827594</v>
      </c>
      <c r="I6" s="12"/>
    </row>
    <row r="7" spans="1:9">
      <c r="A7" s="2">
        <f>A6+1</f>
        <v>2</v>
      </c>
      <c r="C7" s="66" t="s">
        <v>239</v>
      </c>
      <c r="D7" s="14"/>
      <c r="E7" s="15" t="s">
        <v>285</v>
      </c>
      <c r="G7" s="6">
        <v>749285680</v>
      </c>
    </row>
    <row r="8" spans="1:9">
      <c r="A8" s="2">
        <f t="shared" ref="A8:A43" si="0">A7+1</f>
        <v>3</v>
      </c>
      <c r="C8" s="5" t="s">
        <v>240</v>
      </c>
      <c r="D8" s="14"/>
      <c r="E8" s="15" t="s">
        <v>286</v>
      </c>
      <c r="G8" s="6">
        <v>210410528</v>
      </c>
    </row>
    <row r="9" spans="1:9">
      <c r="A9" s="2">
        <f t="shared" si="0"/>
        <v>4</v>
      </c>
      <c r="C9" s="66" t="s">
        <v>1139</v>
      </c>
      <c r="D9" s="14"/>
      <c r="E9" s="15" t="str">
        <f>"Line "&amp;A7&amp;" - Line "&amp;A8&amp;""</f>
        <v>Line 2 - Line 3</v>
      </c>
      <c r="G9" s="7">
        <f>G7-G8</f>
        <v>538875152</v>
      </c>
    </row>
    <row r="10" spans="1:9">
      <c r="A10" s="2">
        <f t="shared" si="0"/>
        <v>5</v>
      </c>
      <c r="C10" s="945" t="s">
        <v>2035</v>
      </c>
      <c r="D10" s="14"/>
      <c r="E10" s="15" t="str">
        <f>"20-AandG, Note 2"</f>
        <v>20-AandG, Note 2</v>
      </c>
      <c r="G10" s="63">
        <f>'20-AandG'!E63</f>
        <v>88782682.320590109</v>
      </c>
      <c r="I10" s="12"/>
    </row>
    <row r="11" spans="1:9">
      <c r="A11" s="2">
        <f t="shared" si="0"/>
        <v>6</v>
      </c>
      <c r="C11" s="900" t="s">
        <v>2031</v>
      </c>
      <c r="D11" s="14"/>
      <c r="E11" s="15" t="str">
        <f>"20-AandG, Note 2"</f>
        <v>20-AandG, Note 2</v>
      </c>
      <c r="G11" s="101">
        <f>'20-AandG'!E60</f>
        <v>30108714.639316365</v>
      </c>
    </row>
    <row r="12" spans="1:9">
      <c r="A12" s="2">
        <f t="shared" si="0"/>
        <v>7</v>
      </c>
      <c r="C12" s="945" t="s">
        <v>2032</v>
      </c>
      <c r="D12" s="14"/>
      <c r="E12" s="15" t="str">
        <f>"Line "&amp;A10&amp;" - Line "&amp;A11&amp;""</f>
        <v>Line 5 - Line 6</v>
      </c>
      <c r="G12" s="7">
        <f>G10-G11</f>
        <v>58673967.681273744</v>
      </c>
    </row>
    <row r="13" spans="1:9">
      <c r="A13" s="2">
        <f t="shared" si="0"/>
        <v>8</v>
      </c>
      <c r="C13" s="945" t="s">
        <v>2033</v>
      </c>
      <c r="D13" s="14"/>
      <c r="E13" s="15" t="str">
        <f>"Line "&amp;A9&amp;" + Line "&amp;A12&amp;""</f>
        <v>Line 4 + Line 7</v>
      </c>
      <c r="G13" s="7">
        <f>G9+G12</f>
        <v>597549119.6812737</v>
      </c>
    </row>
    <row r="14" spans="1:9">
      <c r="A14" s="2">
        <f t="shared" si="0"/>
        <v>9</v>
      </c>
      <c r="C14" s="14" t="s">
        <v>200</v>
      </c>
      <c r="D14" s="14"/>
      <c r="E14" s="15" t="str">
        <f>"Line "&amp;A6&amp;" / Line "&amp;A13&amp;""</f>
        <v>Line 1 / Line 8</v>
      </c>
      <c r="G14" s="8">
        <f>G6/G13</f>
        <v>6.0143362776597958E-2</v>
      </c>
    </row>
    <row r="15" spans="1:9">
      <c r="A15" s="2">
        <f t="shared" si="0"/>
        <v>10</v>
      </c>
      <c r="C15" s="14"/>
      <c r="D15" s="14"/>
      <c r="E15" s="14"/>
    </row>
    <row r="16" spans="1:9">
      <c r="A16" s="2">
        <f t="shared" si="0"/>
        <v>11</v>
      </c>
      <c r="B16" s="1" t="s">
        <v>1134</v>
      </c>
      <c r="C16" s="14"/>
      <c r="D16" s="14"/>
      <c r="E16" s="14"/>
      <c r="G16" s="99"/>
    </row>
    <row r="17" spans="1:11">
      <c r="A17" s="2">
        <f t="shared" si="0"/>
        <v>12</v>
      </c>
      <c r="C17" s="14"/>
      <c r="D17" s="111"/>
      <c r="E17" s="111" t="s">
        <v>169</v>
      </c>
      <c r="G17" s="4" t="s">
        <v>63</v>
      </c>
    </row>
    <row r="18" spans="1:11">
      <c r="A18" s="2">
        <f t="shared" si="0"/>
        <v>13</v>
      </c>
      <c r="C18" s="14"/>
      <c r="D18" s="125" t="s">
        <v>168</v>
      </c>
      <c r="E18" s="125" t="s">
        <v>170</v>
      </c>
      <c r="G18" s="3" t="s">
        <v>171</v>
      </c>
    </row>
    <row r="19" spans="1:11">
      <c r="A19" s="2">
        <f t="shared" si="0"/>
        <v>14</v>
      </c>
      <c r="C19" s="14" t="s">
        <v>334</v>
      </c>
      <c r="D19" s="14"/>
      <c r="E19" s="15" t="str">
        <f>"7-PlantStudy, Line "&amp;'7-PlantStudy'!A28&amp;""</f>
        <v>7-PlantStudy, Line 21</v>
      </c>
      <c r="G19" s="63">
        <f>'7-PlantStudy'!E28</f>
        <v>8573445553.0836601</v>
      </c>
    </row>
    <row r="20" spans="1:11">
      <c r="A20" s="2">
        <f t="shared" si="0"/>
        <v>15</v>
      </c>
      <c r="C20" s="14" t="s">
        <v>335</v>
      </c>
      <c r="D20" s="14"/>
      <c r="E20" s="15" t="str">
        <f>"7-PlantStudy, Line "&amp;'7-PlantStudy'!A42&amp;""</f>
        <v>7-PlantStudy, Line 30</v>
      </c>
      <c r="G20" s="63">
        <f>'7-PlantStudy'!E42</f>
        <v>0</v>
      </c>
    </row>
    <row r="21" spans="1:11">
      <c r="A21" s="2">
        <f t="shared" si="0"/>
        <v>16</v>
      </c>
      <c r="C21" s="14" t="s">
        <v>59</v>
      </c>
      <c r="D21" s="14"/>
      <c r="E21" s="15" t="str">
        <f>"6-PlantInService, Line "&amp;'6-PlantInService'!A53&amp;", C2"</f>
        <v>6-PlantInService, Line 21, C2</v>
      </c>
      <c r="G21" s="63">
        <f>'6-PlantInService'!G53</f>
        <v>1324870316</v>
      </c>
      <c r="H21" s="99"/>
    </row>
    <row r="22" spans="1:11">
      <c r="A22" s="2">
        <f t="shared" si="0"/>
        <v>17</v>
      </c>
      <c r="C22" s="14" t="s">
        <v>2441</v>
      </c>
      <c r="D22" s="14"/>
      <c r="E22" s="14" t="str">
        <f>"Line "&amp;A21&amp;" * Line "&amp;A14&amp;""</f>
        <v>Line 16 * Line 9</v>
      </c>
      <c r="G22" s="63">
        <f>G21*G14</f>
        <v>79682156.047133967</v>
      </c>
    </row>
    <row r="23" spans="1:11">
      <c r="A23" s="2">
        <f t="shared" si="0"/>
        <v>18</v>
      </c>
      <c r="C23" s="14" t="s">
        <v>58</v>
      </c>
      <c r="D23" s="14"/>
      <c r="E23" s="15" t="str">
        <f>"6-PlantInService, Line "&amp;'6-PlantInService'!A53&amp;", C1"</f>
        <v>6-PlantInService, Line 21, C1</v>
      </c>
      <c r="G23" s="63">
        <f>'6-PlantInService'!F53</f>
        <v>3102162333</v>
      </c>
    </row>
    <row r="24" spans="1:11">
      <c r="A24" s="2">
        <f t="shared" si="0"/>
        <v>19</v>
      </c>
      <c r="C24" s="14" t="s">
        <v>2442</v>
      </c>
      <c r="D24" s="14"/>
      <c r="E24" s="14" t="str">
        <f>"Line "&amp;A23&amp;" * Line "&amp;A14&amp;""</f>
        <v>Line 18 * Line 9</v>
      </c>
      <c r="G24" s="63">
        <f>G23*G14</f>
        <v>186574474.58551648</v>
      </c>
    </row>
    <row r="25" spans="1:11">
      <c r="A25" s="2">
        <f t="shared" si="0"/>
        <v>20</v>
      </c>
      <c r="C25" s="15" t="s">
        <v>1137</v>
      </c>
      <c r="D25" s="14"/>
      <c r="E25" s="14" t="s">
        <v>34</v>
      </c>
      <c r="G25" s="6">
        <v>46164121713</v>
      </c>
    </row>
    <row r="26" spans="1:11">
      <c r="A26" s="2">
        <f t="shared" si="0"/>
        <v>21</v>
      </c>
      <c r="C26" s="14"/>
      <c r="D26" s="14"/>
      <c r="E26" s="14"/>
      <c r="G26" s="99"/>
    </row>
    <row r="27" spans="1:11">
      <c r="A27" s="2">
        <f t="shared" si="0"/>
        <v>22</v>
      </c>
      <c r="C27" s="14" t="s">
        <v>57</v>
      </c>
      <c r="D27" s="14"/>
      <c r="E27" s="15" t="str">
        <f>"(L"&amp;A19&amp;" + L"&amp;A20&amp;" + L"&amp;A22&amp;" + L"&amp;A24&amp;") / L"&amp;A25&amp;""</f>
        <v>(L14 + L15 + L17 + L19) / L20</v>
      </c>
      <c r="G27" s="8">
        <f>(G19+G20+G22+G24)/G25</f>
        <v>0.19148424914638884</v>
      </c>
    </row>
    <row r="28" spans="1:11">
      <c r="A28" s="571">
        <f t="shared" si="0"/>
        <v>23</v>
      </c>
      <c r="C28" s="14"/>
      <c r="D28" s="14"/>
      <c r="E28" s="15"/>
      <c r="G28" s="8"/>
    </row>
    <row r="29" spans="1:11">
      <c r="A29" s="111">
        <f t="shared" si="0"/>
        <v>24</v>
      </c>
      <c r="B29" s="44" t="s">
        <v>1857</v>
      </c>
      <c r="C29" s="14"/>
      <c r="D29" s="14"/>
      <c r="E29" s="14"/>
      <c r="F29" s="14"/>
      <c r="G29" s="14"/>
      <c r="H29" s="14"/>
      <c r="I29" s="14"/>
      <c r="J29" s="14"/>
      <c r="K29" s="14"/>
    </row>
    <row r="30" spans="1:11">
      <c r="A30" s="111">
        <f t="shared" si="0"/>
        <v>25</v>
      </c>
      <c r="B30" s="479"/>
      <c r="C30" s="14"/>
      <c r="D30" s="14"/>
      <c r="E30" s="14"/>
      <c r="F30" s="14"/>
      <c r="G30" s="14"/>
      <c r="H30" s="14"/>
      <c r="I30" s="14"/>
      <c r="J30" s="14"/>
      <c r="K30" s="14"/>
    </row>
    <row r="31" spans="1:11">
      <c r="A31" s="111">
        <f t="shared" si="0"/>
        <v>26</v>
      </c>
      <c r="B31" s="479" t="s">
        <v>2461</v>
      </c>
      <c r="C31" s="14"/>
      <c r="D31" s="125" t="s">
        <v>1801</v>
      </c>
      <c r="E31" s="125" t="s">
        <v>168</v>
      </c>
      <c r="F31" s="14"/>
      <c r="G31" s="560" t="s">
        <v>1802</v>
      </c>
      <c r="H31" s="14"/>
      <c r="I31" s="14"/>
      <c r="J31" s="14"/>
      <c r="K31" s="14"/>
    </row>
    <row r="32" spans="1:11">
      <c r="A32" s="111">
        <f t="shared" si="0"/>
        <v>27</v>
      </c>
      <c r="B32" s="14"/>
      <c r="C32" s="479" t="s">
        <v>1803</v>
      </c>
      <c r="D32" s="995">
        <v>5683.4189999999999</v>
      </c>
      <c r="E32" s="125"/>
      <c r="F32" s="14"/>
      <c r="G32" s="592" t="s">
        <v>2366</v>
      </c>
      <c r="H32" s="14"/>
      <c r="I32" s="14"/>
      <c r="J32" s="14"/>
      <c r="K32" s="14"/>
    </row>
    <row r="33" spans="1:11">
      <c r="A33" s="111">
        <f t="shared" si="0"/>
        <v>28</v>
      </c>
      <c r="B33" s="14"/>
      <c r="C33" s="479" t="s">
        <v>1804</v>
      </c>
      <c r="D33" s="995">
        <v>6472.5049999999992</v>
      </c>
      <c r="E33" s="125"/>
      <c r="F33" s="14"/>
      <c r="G33" s="592" t="s">
        <v>2367</v>
      </c>
      <c r="H33" s="14"/>
      <c r="I33" s="14"/>
      <c r="J33" s="14"/>
      <c r="K33" s="14"/>
    </row>
    <row r="34" spans="1:11">
      <c r="A34" s="111">
        <f t="shared" si="0"/>
        <v>29</v>
      </c>
      <c r="B34" s="14"/>
      <c r="C34" s="479" t="s">
        <v>1805</v>
      </c>
      <c r="D34" s="113">
        <f>SUM(D32:D33)</f>
        <v>12155.923999999999</v>
      </c>
      <c r="E34" s="15" t="str">
        <f>" = L"&amp;A32&amp;" + L"&amp;A33&amp;""</f>
        <v xml:space="preserve"> = L27 + L28</v>
      </c>
      <c r="F34" s="14"/>
      <c r="G34" s="592" t="s">
        <v>2368</v>
      </c>
      <c r="H34" s="14"/>
      <c r="I34" s="14"/>
      <c r="J34" s="14"/>
      <c r="K34" s="14"/>
    </row>
    <row r="35" spans="1:11">
      <c r="A35" s="111">
        <f t="shared" si="0"/>
        <v>30</v>
      </c>
      <c r="B35" s="14"/>
      <c r="C35" s="479" t="s">
        <v>2404</v>
      </c>
      <c r="D35" s="946">
        <f>D32/D34</f>
        <v>0.46754315015460779</v>
      </c>
      <c r="E35" s="15" t="str">
        <f>" = L"&amp;A32&amp;" / L"&amp;A34&amp;""</f>
        <v xml:space="preserve"> = L27 / L29</v>
      </c>
      <c r="F35" s="14"/>
      <c r="G35" s="901"/>
      <c r="H35" s="14"/>
      <c r="I35" s="14"/>
      <c r="J35" s="14"/>
      <c r="K35" s="14"/>
    </row>
    <row r="36" spans="1:11">
      <c r="A36" s="111">
        <f t="shared" si="0"/>
        <v>31</v>
      </c>
      <c r="B36" s="125"/>
      <c r="C36" s="125"/>
      <c r="D36" s="14"/>
      <c r="E36" s="125"/>
      <c r="F36" s="14"/>
      <c r="G36" s="125"/>
      <c r="H36" s="14"/>
      <c r="I36" s="14"/>
      <c r="J36" s="14"/>
      <c r="K36" s="14"/>
    </row>
    <row r="37" spans="1:11">
      <c r="A37" s="111">
        <f t="shared" si="0"/>
        <v>32</v>
      </c>
      <c r="B37" s="479" t="s">
        <v>2462</v>
      </c>
      <c r="C37" s="14"/>
      <c r="D37" s="125" t="s">
        <v>1801</v>
      </c>
      <c r="E37" s="125" t="s">
        <v>168</v>
      </c>
      <c r="F37" s="14"/>
      <c r="G37" s="560" t="s">
        <v>1802</v>
      </c>
      <c r="H37" s="14"/>
      <c r="I37" s="14"/>
      <c r="J37" s="14"/>
      <c r="K37" s="14"/>
    </row>
    <row r="38" spans="1:11">
      <c r="A38" s="111">
        <f t="shared" si="0"/>
        <v>33</v>
      </c>
      <c r="B38" s="870"/>
      <c r="C38" s="479" t="s">
        <v>1806</v>
      </c>
      <c r="D38" s="995">
        <v>5.2130000000000001</v>
      </c>
      <c r="E38" s="125"/>
      <c r="F38" s="14"/>
      <c r="G38" s="901" t="s">
        <v>1291</v>
      </c>
      <c r="H38" s="14"/>
      <c r="I38" s="14"/>
      <c r="J38" s="14"/>
      <c r="K38" s="14"/>
    </row>
    <row r="39" spans="1:11">
      <c r="A39" s="111">
        <f t="shared" si="0"/>
        <v>34</v>
      </c>
      <c r="B39" s="870"/>
      <c r="C39" s="479" t="s">
        <v>1807</v>
      </c>
      <c r="D39" s="995">
        <v>354.96499999999997</v>
      </c>
      <c r="E39" s="125"/>
      <c r="F39" s="14"/>
      <c r="G39" s="901" t="s">
        <v>1302</v>
      </c>
      <c r="H39" s="14"/>
      <c r="I39" s="14"/>
      <c r="J39" s="14"/>
      <c r="K39" s="14"/>
    </row>
    <row r="40" spans="1:11">
      <c r="A40" s="111">
        <f t="shared" si="0"/>
        <v>35</v>
      </c>
      <c r="B40" s="870"/>
      <c r="C40" s="479" t="s">
        <v>1808</v>
      </c>
      <c r="D40" s="113">
        <f>SUM(D38:D39)</f>
        <v>360.178</v>
      </c>
      <c r="E40" s="15" t="str">
        <f>" = L"&amp;A38&amp;" + L"&amp;A39&amp;""</f>
        <v xml:space="preserve"> = L33 + L34</v>
      </c>
      <c r="F40" s="14"/>
      <c r="G40" s="14"/>
      <c r="H40" s="14"/>
      <c r="I40" s="14"/>
      <c r="J40" s="14"/>
      <c r="K40" s="14"/>
    </row>
    <row r="41" spans="1:11">
      <c r="A41" s="111">
        <f t="shared" si="0"/>
        <v>36</v>
      </c>
      <c r="B41" s="870"/>
      <c r="C41" s="479" t="s">
        <v>2405</v>
      </c>
      <c r="D41" s="946">
        <f>D38/D40</f>
        <v>1.4473399263697395E-2</v>
      </c>
      <c r="E41" s="15" t="str">
        <f>" = L"&amp;A38&amp;" / L"&amp;A40&amp;""</f>
        <v xml:space="preserve"> = L33 / L35</v>
      </c>
      <c r="F41" s="14"/>
      <c r="G41" s="14"/>
      <c r="H41" s="14"/>
      <c r="I41" s="14"/>
      <c r="J41" s="14"/>
      <c r="K41" s="14"/>
    </row>
    <row r="42" spans="1:11">
      <c r="A42" s="111">
        <f t="shared" si="0"/>
        <v>37</v>
      </c>
      <c r="B42" s="870"/>
      <c r="C42" s="114"/>
      <c r="D42" s="14"/>
      <c r="E42" s="125"/>
      <c r="F42" s="14"/>
      <c r="G42" s="63"/>
      <c r="H42" s="14"/>
      <c r="I42" s="14"/>
      <c r="J42" s="14"/>
      <c r="K42" s="14"/>
    </row>
    <row r="43" spans="1:11">
      <c r="A43" s="111">
        <f t="shared" si="0"/>
        <v>38</v>
      </c>
      <c r="B43" s="479" t="s">
        <v>2463</v>
      </c>
      <c r="C43" s="14"/>
      <c r="D43" s="125" t="s">
        <v>1801</v>
      </c>
      <c r="E43" s="125" t="s">
        <v>168</v>
      </c>
      <c r="F43" s="14"/>
      <c r="G43" s="560" t="s">
        <v>1802</v>
      </c>
      <c r="H43" s="14"/>
      <c r="I43" s="14"/>
      <c r="J43" s="14"/>
      <c r="K43" s="14"/>
    </row>
    <row r="44" spans="1:11">
      <c r="A44" s="111">
        <f t="shared" ref="A44:A53" si="1">A43+1</f>
        <v>39</v>
      </c>
      <c r="B44" s="870"/>
      <c r="C44" s="479" t="s">
        <v>1809</v>
      </c>
      <c r="D44" s="995">
        <v>1205</v>
      </c>
      <c r="E44" s="125"/>
      <c r="F44" s="14"/>
      <c r="G44" s="901" t="s">
        <v>2369</v>
      </c>
      <c r="H44" s="14"/>
      <c r="I44" s="14"/>
      <c r="J44" s="14"/>
      <c r="K44" s="14"/>
    </row>
    <row r="45" spans="1:11">
      <c r="A45" s="111">
        <f t="shared" si="1"/>
        <v>40</v>
      </c>
      <c r="B45" s="870"/>
      <c r="C45" s="479" t="s">
        <v>1810</v>
      </c>
      <c r="D45" s="995">
        <v>2083</v>
      </c>
      <c r="E45" s="125"/>
      <c r="F45" s="14"/>
      <c r="G45" s="901"/>
      <c r="H45" s="14"/>
      <c r="I45" s="14"/>
      <c r="J45" s="14"/>
      <c r="K45" s="14"/>
    </row>
    <row r="46" spans="1:11">
      <c r="A46" s="111">
        <f t="shared" si="1"/>
        <v>41</v>
      </c>
      <c r="B46" s="870"/>
      <c r="C46" s="479" t="s">
        <v>1811</v>
      </c>
      <c r="D46" s="113">
        <f>SUM(D44:D45)</f>
        <v>3288</v>
      </c>
      <c r="E46" s="15" t="str">
        <f>" = L"&amp;A44&amp;" + L"&amp;A45&amp;""</f>
        <v xml:space="preserve"> = L39 + L40</v>
      </c>
      <c r="F46" s="14"/>
      <c r="G46" s="14"/>
      <c r="H46" s="14"/>
      <c r="I46" s="14"/>
      <c r="J46" s="14"/>
      <c r="K46" s="14"/>
    </row>
    <row r="47" spans="1:11">
      <c r="A47" s="111">
        <f t="shared" si="1"/>
        <v>42</v>
      </c>
      <c r="B47" s="870"/>
      <c r="C47" s="479" t="s">
        <v>1812</v>
      </c>
      <c r="D47" s="946">
        <f>D44/D46</f>
        <v>0.36648418491484186</v>
      </c>
      <c r="E47" s="15" t="str">
        <f>" = L"&amp;A44&amp;" / L"&amp;A46&amp;""</f>
        <v xml:space="preserve"> = L39 / L41</v>
      </c>
      <c r="F47" s="14"/>
      <c r="G47" s="14"/>
      <c r="H47" s="14"/>
      <c r="I47" s="14"/>
      <c r="J47" s="14"/>
      <c r="K47" s="14"/>
    </row>
    <row r="48" spans="1:11">
      <c r="A48" s="111">
        <f t="shared" si="1"/>
        <v>43</v>
      </c>
      <c r="B48" s="14"/>
      <c r="C48" s="79"/>
      <c r="D48" s="14"/>
      <c r="E48" s="14"/>
      <c r="F48" s="14"/>
      <c r="G48" s="14"/>
      <c r="H48" s="14"/>
      <c r="I48" s="14"/>
      <c r="J48" s="14"/>
      <c r="K48" s="14"/>
    </row>
    <row r="49" spans="1:11">
      <c r="A49" s="111">
        <f t="shared" si="1"/>
        <v>44</v>
      </c>
      <c r="B49" s="479" t="s">
        <v>2464</v>
      </c>
      <c r="C49" s="14"/>
      <c r="D49" s="125" t="s">
        <v>1801</v>
      </c>
      <c r="E49" s="125" t="s">
        <v>168</v>
      </c>
      <c r="F49" s="14"/>
      <c r="G49" s="560" t="s">
        <v>1802</v>
      </c>
      <c r="H49" s="14"/>
      <c r="I49" s="14"/>
      <c r="J49" s="14"/>
      <c r="K49" s="14"/>
    </row>
    <row r="50" spans="1:11">
      <c r="A50" s="111">
        <f t="shared" si="1"/>
        <v>45</v>
      </c>
      <c r="B50" s="870"/>
      <c r="C50" s="479" t="s">
        <v>1815</v>
      </c>
      <c r="D50" s="995">
        <v>0</v>
      </c>
      <c r="E50" s="125"/>
      <c r="F50" s="14"/>
      <c r="G50" s="592" t="s">
        <v>2370</v>
      </c>
      <c r="H50" s="14"/>
      <c r="I50" s="14"/>
      <c r="J50" s="14"/>
      <c r="K50" s="14"/>
    </row>
    <row r="51" spans="1:11">
      <c r="A51" s="111">
        <f t="shared" si="1"/>
        <v>46</v>
      </c>
      <c r="B51" s="870"/>
      <c r="C51" s="479" t="s">
        <v>1813</v>
      </c>
      <c r="D51" s="995">
        <v>8853</v>
      </c>
      <c r="E51" s="125"/>
      <c r="F51" s="14"/>
      <c r="G51" s="592" t="s">
        <v>1306</v>
      </c>
      <c r="H51" s="14"/>
      <c r="I51" s="14"/>
      <c r="J51" s="14"/>
      <c r="K51" s="14"/>
    </row>
    <row r="52" spans="1:11">
      <c r="A52" s="111">
        <f t="shared" si="1"/>
        <v>47</v>
      </c>
      <c r="B52" s="870"/>
      <c r="C52" s="479" t="s">
        <v>1814</v>
      </c>
      <c r="D52" s="113">
        <f>SUM(D50:D51)</f>
        <v>8853</v>
      </c>
      <c r="E52" s="15" t="str">
        <f>" = L"&amp;A50&amp;" + L"&amp;A51&amp;""</f>
        <v xml:space="preserve"> = L45 + L46</v>
      </c>
      <c r="F52" s="14"/>
      <c r="G52" s="592" t="s">
        <v>1307</v>
      </c>
      <c r="H52" s="14"/>
      <c r="I52" s="14"/>
      <c r="J52" s="14"/>
      <c r="K52" s="14"/>
    </row>
    <row r="53" spans="1:11">
      <c r="A53" s="111">
        <f t="shared" si="1"/>
        <v>48</v>
      </c>
      <c r="B53" s="870"/>
      <c r="C53" s="479" t="s">
        <v>1816</v>
      </c>
      <c r="D53" s="946">
        <f>D50/D52</f>
        <v>0</v>
      </c>
      <c r="E53" s="15" t="str">
        <f>" = L"&amp;A50&amp;" / L"&amp;A52&amp;""</f>
        <v xml:space="preserve"> = L45 / L47</v>
      </c>
      <c r="F53" s="14"/>
      <c r="G53" s="592" t="s">
        <v>2371</v>
      </c>
      <c r="H53" s="14"/>
      <c r="I53" s="14"/>
      <c r="J53" s="14"/>
      <c r="K53" s="14"/>
    </row>
    <row r="54" spans="1:11">
      <c r="A54" s="571"/>
      <c r="E54" s="14"/>
      <c r="F54" s="14"/>
      <c r="G54" s="14"/>
      <c r="H54" s="14"/>
      <c r="I54" s="14"/>
      <c r="J54" s="14"/>
      <c r="K54" s="14"/>
    </row>
    <row r="55" spans="1:11">
      <c r="A55" s="571"/>
      <c r="E55" s="14"/>
      <c r="F55" s="14"/>
      <c r="G55" s="14"/>
      <c r="H55" s="14"/>
      <c r="I55" s="14"/>
      <c r="J55" s="14"/>
      <c r="K55" s="14"/>
    </row>
    <row r="56" spans="1:11">
      <c r="A56" s="571"/>
      <c r="E56" s="14"/>
      <c r="F56" s="14"/>
      <c r="G56" s="14"/>
      <c r="H56" s="14"/>
      <c r="I56" s="14"/>
      <c r="J56" s="14"/>
      <c r="K56" s="14"/>
    </row>
    <row r="57" spans="1:11">
      <c r="A57" s="571"/>
    </row>
    <row r="58" spans="1:11">
      <c r="A58" s="571"/>
    </row>
    <row r="59" spans="1:11">
      <c r="A59" s="571"/>
    </row>
    <row r="60" spans="1:11">
      <c r="A60" s="571"/>
    </row>
    <row r="61" spans="1:11">
      <c r="A61" s="571"/>
    </row>
    <row r="62" spans="1:11">
      <c r="A62" s="571"/>
    </row>
    <row r="63" spans="1:11">
      <c r="A63" s="571"/>
    </row>
    <row r="64" spans="1:11">
      <c r="A64" s="571"/>
    </row>
    <row r="65" spans="1:1">
      <c r="A65" s="571"/>
    </row>
  </sheetData>
  <phoneticPr fontId="22" type="noConversion"/>
  <pageMargins left="0.75" right="0.75" top="1" bottom="1" header="0.5" footer="0.5"/>
  <pageSetup scale="70" orientation="landscape" cellComments="asDisplayed" r:id="rId1"/>
  <headerFooter alignWithMargins="0">
    <oddHeader>&amp;CSchedule 27
Allocation Factors
&amp;RExhibit SCE-4
TO2019A Formula Rate Spreadsheet</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activeCell="D22" sqref="D22"/>
    </sheetView>
  </sheetViews>
  <sheetFormatPr defaultRowHeight="13.2"/>
  <cols>
    <col min="1" max="1" width="4.6640625" customWidth="1"/>
    <col min="2" max="2" width="3.6640625" customWidth="1"/>
    <col min="3" max="6" width="10.6640625" customWidth="1"/>
    <col min="7" max="7" width="9.44140625" bestFit="1" customWidth="1"/>
    <col min="8" max="8" width="4.6640625" customWidth="1"/>
    <col min="9" max="9" width="35.6640625" customWidth="1"/>
  </cols>
  <sheetData>
    <row r="1" spans="1:9">
      <c r="A1" s="1" t="s">
        <v>1653</v>
      </c>
    </row>
    <row r="3" spans="1:9">
      <c r="B3" s="1" t="s">
        <v>503</v>
      </c>
      <c r="I3" s="97" t="s">
        <v>17</v>
      </c>
    </row>
    <row r="4" spans="1:9">
      <c r="B4" s="1"/>
      <c r="I4" s="14"/>
    </row>
    <row r="5" spans="1:9">
      <c r="E5" s="111" t="s">
        <v>1874</v>
      </c>
    </row>
    <row r="6" spans="1:9">
      <c r="A6" s="51" t="s">
        <v>331</v>
      </c>
      <c r="C6" s="3" t="s">
        <v>234</v>
      </c>
      <c r="D6" s="3" t="s">
        <v>235</v>
      </c>
      <c r="E6" s="947" t="s">
        <v>63</v>
      </c>
      <c r="G6" s="3" t="s">
        <v>236</v>
      </c>
      <c r="I6" s="51" t="s">
        <v>205</v>
      </c>
    </row>
    <row r="7" spans="1:9">
      <c r="A7" s="2">
        <v>1</v>
      </c>
      <c r="C7" s="150">
        <v>2017</v>
      </c>
      <c r="D7" s="1005" t="s">
        <v>2669</v>
      </c>
      <c r="E7" s="97">
        <v>365</v>
      </c>
      <c r="F7" s="999"/>
      <c r="G7" s="1017">
        <v>9.2057000000000007E-3</v>
      </c>
      <c r="H7" s="999"/>
      <c r="I7" s="737" t="s">
        <v>2670</v>
      </c>
    </row>
    <row r="8" spans="1:9">
      <c r="A8" s="2">
        <v>2</v>
      </c>
      <c r="C8" s="97"/>
      <c r="D8" s="97"/>
      <c r="E8" s="97"/>
      <c r="G8" s="97"/>
      <c r="I8" s="116"/>
    </row>
    <row r="10" spans="1:9">
      <c r="B10" s="1" t="s">
        <v>1654</v>
      </c>
    </row>
    <row r="11" spans="1:9">
      <c r="B11" s="1"/>
    </row>
    <row r="12" spans="1:9">
      <c r="E12" s="111" t="s">
        <v>1874</v>
      </c>
    </row>
    <row r="13" spans="1:9">
      <c r="C13" s="3" t="s">
        <v>234</v>
      </c>
      <c r="D13" s="3" t="s">
        <v>235</v>
      </c>
      <c r="E13" s="947" t="s">
        <v>63</v>
      </c>
      <c r="G13" s="3" t="s">
        <v>237</v>
      </c>
      <c r="I13" s="51" t="s">
        <v>205</v>
      </c>
    </row>
    <row r="14" spans="1:9">
      <c r="A14" s="2">
        <v>3</v>
      </c>
      <c r="C14" s="150">
        <v>2017</v>
      </c>
      <c r="D14" s="97" t="s">
        <v>2669</v>
      </c>
      <c r="E14" s="97">
        <v>365</v>
      </c>
      <c r="F14" s="999"/>
      <c r="G14" s="88">
        <v>2.4076000000000002E-3</v>
      </c>
      <c r="H14" s="999"/>
      <c r="I14" s="1005" t="s">
        <v>2671</v>
      </c>
    </row>
    <row r="15" spans="1:9">
      <c r="A15" s="2">
        <v>4</v>
      </c>
      <c r="C15" s="150"/>
      <c r="D15" s="97"/>
      <c r="E15" s="97"/>
      <c r="G15" s="88"/>
      <c r="I15" s="116"/>
    </row>
    <row r="18" spans="1:9">
      <c r="B18" s="1" t="s">
        <v>502</v>
      </c>
    </row>
    <row r="19" spans="1:9">
      <c r="B19" s="1"/>
    </row>
    <row r="20" spans="1:9">
      <c r="C20" s="2" t="s">
        <v>404</v>
      </c>
      <c r="D20" s="2"/>
      <c r="E20" s="2"/>
    </row>
    <row r="21" spans="1:9">
      <c r="C21" s="3" t="s">
        <v>193</v>
      </c>
      <c r="D21" s="3" t="s">
        <v>236</v>
      </c>
      <c r="E21" s="3" t="s">
        <v>237</v>
      </c>
      <c r="I21" s="51" t="s">
        <v>168</v>
      </c>
    </row>
    <row r="22" spans="1:9">
      <c r="A22" s="2">
        <v>5</v>
      </c>
      <c r="C22" s="151">
        <v>2017</v>
      </c>
      <c r="D22" s="948">
        <f>E41</f>
        <v>9.2057000000000007E-3</v>
      </c>
      <c r="E22" s="948">
        <f>E42</f>
        <v>2.4076000000000002E-3</v>
      </c>
      <c r="F22" s="14"/>
      <c r="G22" s="14"/>
      <c r="H22" s="14"/>
      <c r="I22" s="479" t="s">
        <v>1749</v>
      </c>
    </row>
    <row r="24" spans="1:9">
      <c r="B24" s="1" t="s">
        <v>232</v>
      </c>
    </row>
    <row r="25" spans="1:9">
      <c r="B25" s="12" t="s">
        <v>553</v>
      </c>
    </row>
    <row r="26" spans="1:9">
      <c r="B26" s="12" t="s">
        <v>552</v>
      </c>
    </row>
    <row r="28" spans="1:9">
      <c r="B28" s="1" t="s">
        <v>379</v>
      </c>
    </row>
    <row r="29" spans="1:9">
      <c r="B29" s="479" t="s">
        <v>1751</v>
      </c>
      <c r="C29" s="14"/>
      <c r="D29" s="14"/>
      <c r="E29" s="14"/>
      <c r="F29" s="14"/>
      <c r="G29" s="14"/>
      <c r="H29" s="14"/>
      <c r="I29" s="14"/>
    </row>
    <row r="30" spans="1:9">
      <c r="B30" s="479" t="s">
        <v>1760</v>
      </c>
      <c r="C30" s="14"/>
      <c r="D30" s="14"/>
      <c r="E30" s="14"/>
      <c r="F30" s="14"/>
      <c r="G30" s="14"/>
      <c r="H30" s="14"/>
      <c r="I30" s="14"/>
    </row>
    <row r="31" spans="1:9">
      <c r="B31" s="479" t="s">
        <v>1879</v>
      </c>
      <c r="C31" s="14"/>
      <c r="D31" s="14"/>
      <c r="E31" s="14"/>
      <c r="F31" s="14"/>
      <c r="G31" s="14"/>
      <c r="H31" s="14"/>
      <c r="I31" s="14"/>
    </row>
    <row r="32" spans="1:9">
      <c r="B32" s="479" t="s">
        <v>1878</v>
      </c>
      <c r="C32" s="14"/>
      <c r="D32" s="14"/>
      <c r="E32" s="14"/>
      <c r="F32" s="14"/>
      <c r="G32" s="14"/>
      <c r="H32" s="14"/>
      <c r="I32" s="14"/>
    </row>
    <row r="33" spans="2:9">
      <c r="B33" s="479" t="s">
        <v>1746</v>
      </c>
      <c r="C33" s="14"/>
      <c r="D33" s="14"/>
      <c r="E33" s="14"/>
      <c r="F33" s="14"/>
      <c r="G33" s="14"/>
      <c r="H33" s="14"/>
      <c r="I33" s="14"/>
    </row>
    <row r="34" spans="2:9">
      <c r="B34" s="479" t="s">
        <v>1747</v>
      </c>
      <c r="C34" s="14"/>
      <c r="D34" s="14"/>
      <c r="E34" s="14"/>
      <c r="F34" s="14"/>
      <c r="G34" s="14"/>
      <c r="H34" s="14"/>
      <c r="I34" s="14"/>
    </row>
    <row r="35" spans="2:9">
      <c r="B35" s="479" t="s">
        <v>2036</v>
      </c>
      <c r="C35" s="14"/>
      <c r="D35" s="14"/>
      <c r="E35" s="14"/>
      <c r="F35" s="14"/>
      <c r="G35" s="14"/>
      <c r="H35" s="14"/>
      <c r="I35" s="14"/>
    </row>
    <row r="36" spans="2:9">
      <c r="B36" s="479" t="s">
        <v>1750</v>
      </c>
      <c r="C36" s="14"/>
      <c r="D36" s="14"/>
      <c r="E36" s="14"/>
      <c r="F36" s="14"/>
      <c r="G36" s="14"/>
      <c r="H36" s="14"/>
      <c r="I36" s="14"/>
    </row>
    <row r="37" spans="2:9">
      <c r="B37" s="479" t="s">
        <v>1748</v>
      </c>
      <c r="C37" s="14"/>
      <c r="D37" s="14"/>
      <c r="E37" s="14"/>
      <c r="F37" s="14"/>
      <c r="G37" s="14"/>
      <c r="H37" s="14"/>
      <c r="I37" s="14"/>
    </row>
    <row r="38" spans="2:9">
      <c r="B38" s="479" t="s">
        <v>1877</v>
      </c>
      <c r="C38" s="14"/>
      <c r="D38" s="14"/>
      <c r="E38" s="14"/>
      <c r="F38" s="14"/>
      <c r="G38" s="14"/>
      <c r="H38" s="14"/>
      <c r="I38" s="14"/>
    </row>
    <row r="39" spans="2:9">
      <c r="B39" s="14"/>
      <c r="C39" s="14"/>
      <c r="D39" s="14"/>
      <c r="E39" s="14"/>
      <c r="F39" s="14"/>
      <c r="G39" s="14"/>
      <c r="H39" s="14"/>
      <c r="I39" s="14"/>
    </row>
    <row r="40" spans="2:9">
      <c r="B40" s="14"/>
      <c r="C40" s="14"/>
      <c r="D40" s="14"/>
      <c r="E40" s="125" t="s">
        <v>1445</v>
      </c>
      <c r="F40" s="14"/>
      <c r="G40" s="865" t="s">
        <v>154</v>
      </c>
      <c r="H40" s="14"/>
      <c r="I40" s="14"/>
    </row>
    <row r="41" spans="2:9">
      <c r="B41" s="14"/>
      <c r="C41" s="14"/>
      <c r="D41" s="874" t="s">
        <v>1875</v>
      </c>
      <c r="E41" s="948">
        <f>((G7*E7) + (G8*E8))/(E7+E8)</f>
        <v>9.2057000000000007E-3</v>
      </c>
      <c r="F41" s="14"/>
      <c r="G41" s="592" t="s">
        <v>2406</v>
      </c>
      <c r="H41" s="14"/>
      <c r="I41" s="14"/>
    </row>
    <row r="42" spans="2:9">
      <c r="B42" s="14"/>
      <c r="C42" s="14"/>
      <c r="D42" s="874" t="s">
        <v>1876</v>
      </c>
      <c r="E42" s="948">
        <f>((G14*E14) + (G15*E15))/(E14+E15)</f>
        <v>2.4076000000000002E-3</v>
      </c>
      <c r="F42" s="14"/>
      <c r="G42" s="592" t="s">
        <v>2407</v>
      </c>
      <c r="H42" s="14"/>
      <c r="I42" s="14"/>
    </row>
  </sheetData>
  <phoneticPr fontId="22" type="noConversion"/>
  <pageMargins left="0.75" right="0.75" top="1" bottom="1" header="0.5" footer="0.5"/>
  <pageSetup scale="82" orientation="portrait" cellComments="asDisplayed" r:id="rId1"/>
  <headerFooter alignWithMargins="0">
    <oddHeader>&amp;CSchedule 28
FF and U
&amp;RExhibit SCE-4
TO2019A Formula Rate Spreadsheet</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130" zoomScaleNormal="130" workbookViewId="0"/>
  </sheetViews>
  <sheetFormatPr defaultRowHeight="13.2"/>
  <cols>
    <col min="1" max="1" width="4.6640625" customWidth="1"/>
    <col min="2" max="2" width="17.109375" customWidth="1"/>
    <col min="3" max="3" width="25.6640625" customWidth="1"/>
    <col min="4" max="6" width="13.6640625" customWidth="1"/>
    <col min="7" max="7" width="3.6640625" customWidth="1"/>
    <col min="8" max="8" width="14.6640625" customWidth="1"/>
    <col min="9" max="10" width="13.6640625" customWidth="1"/>
  </cols>
  <sheetData>
    <row r="1" spans="1:10">
      <c r="A1" s="1" t="s">
        <v>1393</v>
      </c>
    </row>
    <row r="2" spans="1:10">
      <c r="G2" s="43" t="s">
        <v>17</v>
      </c>
      <c r="H2" s="43"/>
      <c r="I2" s="97"/>
    </row>
    <row r="3" spans="1:10">
      <c r="A3" s="3" t="s">
        <v>331</v>
      </c>
      <c r="B3" s="3" t="s">
        <v>83</v>
      </c>
      <c r="F3" s="51" t="s">
        <v>168</v>
      </c>
      <c r="G3" s="51" t="s">
        <v>179</v>
      </c>
      <c r="J3" s="51"/>
    </row>
    <row r="4" spans="1:10">
      <c r="A4" s="2">
        <v>1</v>
      </c>
      <c r="B4" s="47">
        <f>'1-BaseTRR'!K156</f>
        <v>1322194021.4057741</v>
      </c>
      <c r="C4" s="52" t="s">
        <v>133</v>
      </c>
      <c r="G4" s="15" t="str">
        <f>"1-BaseTRR, Line "&amp;'1-BaseTRR'!A156&amp;""</f>
        <v>1-BaseTRR, Line 89</v>
      </c>
      <c r="H4" s="14"/>
    </row>
    <row r="5" spans="1:10">
      <c r="A5" s="2">
        <f t="shared" ref="A5:A10" si="0">A4+1</f>
        <v>2</v>
      </c>
      <c r="B5" s="1046">
        <v>-72958321.50922896</v>
      </c>
      <c r="C5" s="52" t="s">
        <v>134</v>
      </c>
      <c r="F5" s="15" t="s">
        <v>361</v>
      </c>
      <c r="G5" s="1034" t="s">
        <v>2779</v>
      </c>
      <c r="H5" s="1036"/>
      <c r="I5" s="1034" t="s">
        <v>2780</v>
      </c>
    </row>
    <row r="6" spans="1:10">
      <c r="A6" s="2">
        <f t="shared" si="0"/>
        <v>3</v>
      </c>
      <c r="B6" s="1046">
        <v>-72644843.510922894</v>
      </c>
      <c r="C6" s="52" t="s">
        <v>135</v>
      </c>
      <c r="F6" s="14"/>
      <c r="G6" s="1034" t="s">
        <v>2779</v>
      </c>
      <c r="H6" s="1036"/>
      <c r="I6" s="1034" t="s">
        <v>2780</v>
      </c>
    </row>
    <row r="7" spans="1:10">
      <c r="A7" s="2">
        <f t="shared" si="0"/>
        <v>4</v>
      </c>
      <c r="B7" s="1046">
        <v>-313478</v>
      </c>
      <c r="C7" s="52" t="s">
        <v>136</v>
      </c>
      <c r="F7" s="14"/>
      <c r="G7" s="1034" t="s">
        <v>2779</v>
      </c>
      <c r="H7" s="1036"/>
      <c r="I7" s="1034" t="s">
        <v>2780</v>
      </c>
    </row>
    <row r="8" spans="1:10">
      <c r="A8" s="2">
        <f t="shared" si="0"/>
        <v>5</v>
      </c>
      <c r="B8" s="47">
        <f>-'33-RetailRates'!E61</f>
        <v>-9957569.3957200255</v>
      </c>
      <c r="C8" s="52" t="s">
        <v>137</v>
      </c>
      <c r="F8" s="14" t="s">
        <v>362</v>
      </c>
      <c r="G8" t="s">
        <v>82</v>
      </c>
    </row>
    <row r="9" spans="1:10">
      <c r="A9" s="2">
        <f t="shared" si="0"/>
        <v>6</v>
      </c>
      <c r="B9" s="8">
        <f>'31-HVLV'!C45</f>
        <v>0.96998092897342225</v>
      </c>
      <c r="C9" s="52" t="s">
        <v>81</v>
      </c>
      <c r="G9" s="15" t="str">
        <f>"31-HVLV, Line "&amp;'31-HVLV'!A45&amp;""</f>
        <v>31-HVLV, Line 37</v>
      </c>
      <c r="H9" s="14"/>
      <c r="I9" s="14"/>
    </row>
    <row r="10" spans="1:10">
      <c r="A10" s="2">
        <f t="shared" si="0"/>
        <v>7</v>
      </c>
      <c r="B10" s="8">
        <f>'31-HVLV'!D45</f>
        <v>3.001907102657778E-2</v>
      </c>
      <c r="C10" s="52" t="s">
        <v>80</v>
      </c>
      <c r="G10" s="15" t="str">
        <f>"31-HVLV, Line "&amp;'31-HVLV'!A45&amp;""</f>
        <v>31-HVLV, Line 37</v>
      </c>
      <c r="H10" s="14"/>
      <c r="I10" s="14"/>
    </row>
    <row r="11" spans="1:10">
      <c r="C11" s="37"/>
      <c r="D11" s="89"/>
      <c r="E11" s="89"/>
      <c r="F11" s="89"/>
      <c r="G11" s="89"/>
      <c r="H11" s="89"/>
      <c r="J11" s="89"/>
    </row>
    <row r="12" spans="1:10">
      <c r="B12" s="1" t="s">
        <v>1518</v>
      </c>
      <c r="C12" s="37"/>
      <c r="D12" s="89"/>
      <c r="E12" s="89"/>
      <c r="F12" s="89"/>
      <c r="G12" s="89"/>
      <c r="H12" s="89"/>
    </row>
    <row r="13" spans="1:10">
      <c r="B13" s="1"/>
      <c r="C13" s="37"/>
      <c r="D13" s="89"/>
      <c r="E13" s="89"/>
      <c r="F13" s="89"/>
      <c r="G13" s="89"/>
      <c r="H13" s="89"/>
    </row>
    <row r="14" spans="1:10">
      <c r="B14" s="1"/>
      <c r="C14" s="37"/>
      <c r="D14" s="84" t="s">
        <v>360</v>
      </c>
      <c r="E14" s="84" t="s">
        <v>344</v>
      </c>
      <c r="F14" s="84" t="s">
        <v>345</v>
      </c>
      <c r="G14" s="89"/>
      <c r="H14" s="89"/>
    </row>
    <row r="15" spans="1:10">
      <c r="B15" s="1"/>
      <c r="C15" s="37"/>
      <c r="F15" s="89"/>
      <c r="G15" s="89"/>
      <c r="H15" s="89"/>
    </row>
    <row r="16" spans="1:10">
      <c r="E16" s="2" t="s">
        <v>471</v>
      </c>
      <c r="F16" s="2" t="s">
        <v>472</v>
      </c>
    </row>
    <row r="17" spans="1:9">
      <c r="C17" s="37"/>
      <c r="D17" s="3" t="s">
        <v>138</v>
      </c>
      <c r="E17" s="3" t="s">
        <v>470</v>
      </c>
      <c r="F17" s="3" t="s">
        <v>470</v>
      </c>
      <c r="G17" s="3"/>
      <c r="H17" s="3" t="s">
        <v>179</v>
      </c>
    </row>
    <row r="18" spans="1:9">
      <c r="A18" s="2">
        <f>A10+1</f>
        <v>8</v>
      </c>
      <c r="B18" s="90"/>
      <c r="C18" s="68" t="s">
        <v>149</v>
      </c>
      <c r="D18" s="7">
        <f>B4</f>
        <v>1322194021.4057741</v>
      </c>
      <c r="E18" s="7">
        <f>D18*B9</f>
        <v>1282502985.1662776</v>
      </c>
      <c r="F18" s="7">
        <f>D18*B10</f>
        <v>39691036.239496432</v>
      </c>
      <c r="G18" s="7"/>
      <c r="H18" s="479" t="s">
        <v>283</v>
      </c>
    </row>
    <row r="19" spans="1:9">
      <c r="A19" s="501">
        <f>A18+1</f>
        <v>9</v>
      </c>
      <c r="B19" s="90"/>
      <c r="C19" s="68" t="s">
        <v>1516</v>
      </c>
      <c r="D19" s="7">
        <f>'24-CWIPTRR'!E145</f>
        <v>77978242.903134003</v>
      </c>
      <c r="E19" s="7">
        <f>'24-CWIPTRR'!E145</f>
        <v>77978242.903134003</v>
      </c>
      <c r="F19" s="7">
        <v>0</v>
      </c>
      <c r="G19" s="7"/>
      <c r="H19" s="479" t="s">
        <v>960</v>
      </c>
    </row>
    <row r="20" spans="1:9">
      <c r="A20" s="501">
        <f>A19+1</f>
        <v>10</v>
      </c>
      <c r="B20" s="90"/>
      <c r="C20" s="68" t="s">
        <v>1517</v>
      </c>
      <c r="D20" s="7">
        <f>D18-D19</f>
        <v>1244215778.50264</v>
      </c>
      <c r="E20" s="7">
        <f t="shared" ref="E20:F20" si="1">E18-E19</f>
        <v>1204524742.2631435</v>
      </c>
      <c r="F20" s="7">
        <f t="shared" si="1"/>
        <v>39691036.239496432</v>
      </c>
      <c r="G20" s="7"/>
      <c r="H20" s="479" t="s">
        <v>961</v>
      </c>
    </row>
    <row r="21" spans="1:9">
      <c r="B21" s="90"/>
      <c r="C21" s="90"/>
      <c r="D21" s="7"/>
      <c r="E21" s="7"/>
      <c r="F21" s="7"/>
      <c r="G21" s="7"/>
      <c r="H21" s="14"/>
    </row>
    <row r="22" spans="1:9">
      <c r="A22" s="2">
        <f>A20+1</f>
        <v>11</v>
      </c>
      <c r="B22" s="1"/>
      <c r="C22" s="68" t="s">
        <v>139</v>
      </c>
      <c r="D22" s="7">
        <f>B5</f>
        <v>-72958321.50922896</v>
      </c>
      <c r="E22" s="7">
        <f>B6</f>
        <v>-72644843.510922894</v>
      </c>
      <c r="F22" s="7">
        <f>B7</f>
        <v>-313478</v>
      </c>
      <c r="G22" s="7"/>
      <c r="H22" s="14" t="str">
        <f>"Lines "&amp;A5&amp;" to "&amp;A7&amp;""</f>
        <v>Lines 2 to 4</v>
      </c>
    </row>
    <row r="23" spans="1:9">
      <c r="B23" s="1"/>
      <c r="C23" s="68"/>
      <c r="D23" s="7"/>
      <c r="E23" s="7"/>
      <c r="F23" s="7"/>
      <c r="G23" s="7"/>
    </row>
    <row r="24" spans="1:9">
      <c r="A24" s="2">
        <f>A22+1</f>
        <v>12</v>
      </c>
      <c r="B24" s="1"/>
      <c r="C24" s="68" t="s">
        <v>1643</v>
      </c>
      <c r="D24" s="91">
        <f>$B$8</f>
        <v>-9957569.3957200255</v>
      </c>
      <c r="E24" s="91">
        <f>$B$8*$B$9</f>
        <v>-9658652.4127778299</v>
      </c>
      <c r="F24" s="91">
        <f>$B$8*$B$10</f>
        <v>-298916.9829421966</v>
      </c>
      <c r="G24" s="91"/>
      <c r="H24" s="477" t="s">
        <v>528</v>
      </c>
    </row>
    <row r="25" spans="1:9">
      <c r="A25" s="557"/>
      <c r="B25" s="1"/>
      <c r="C25" s="68"/>
      <c r="D25" s="91"/>
      <c r="E25" s="91"/>
      <c r="F25" s="91"/>
      <c r="G25" s="91"/>
      <c r="H25" s="477"/>
    </row>
    <row r="26" spans="1:9">
      <c r="B26" s="1"/>
      <c r="C26" s="68" t="s">
        <v>1644</v>
      </c>
      <c r="D26" s="91"/>
      <c r="E26" s="91"/>
      <c r="F26" s="91"/>
      <c r="G26" s="91"/>
    </row>
    <row r="27" spans="1:9">
      <c r="A27" s="2">
        <f>A24+1</f>
        <v>13</v>
      </c>
      <c r="B27" s="1"/>
      <c r="C27" s="68" t="s">
        <v>1645</v>
      </c>
      <c r="D27" s="7">
        <f>D18+D22+D24</f>
        <v>1239278130.5008252</v>
      </c>
      <c r="E27" s="7">
        <f>E18+E22+E24</f>
        <v>1200199489.2425768</v>
      </c>
      <c r="F27" s="7">
        <f>F18+F22+F24</f>
        <v>39078641.256554238</v>
      </c>
      <c r="G27" s="7"/>
      <c r="H27" s="47" t="str">
        <f>"Sum of Lines "&amp;A18&amp;", "&amp;A22&amp;", and "&amp;A24&amp;""</f>
        <v>Sum of Lines 8, 11, and 12</v>
      </c>
      <c r="I27" s="14"/>
    </row>
    <row r="28" spans="1:9">
      <c r="E28" s="7"/>
    </row>
    <row r="29" spans="1:9">
      <c r="B29" s="51" t="s">
        <v>232</v>
      </c>
    </row>
    <row r="30" spans="1:9">
      <c r="B30" s="12" t="s">
        <v>1421</v>
      </c>
    </row>
    <row r="31" spans="1:9">
      <c r="B31" s="477" t="s">
        <v>1655</v>
      </c>
    </row>
    <row r="32" spans="1:9">
      <c r="B32" s="12" t="s">
        <v>1422</v>
      </c>
    </row>
    <row r="33" spans="2:6">
      <c r="B33" s="479" t="s">
        <v>1794</v>
      </c>
      <c r="C33" s="14"/>
      <c r="D33" s="97" t="s">
        <v>2465</v>
      </c>
      <c r="E33" s="97"/>
      <c r="F33" s="14"/>
    </row>
    <row r="34" spans="2:6">
      <c r="B34" s="15" t="str">
        <f>"3) Column 1 is from Line "&amp;A4&amp;"."</f>
        <v>3) Column 1 is from Line 1.</v>
      </c>
      <c r="C34" s="14"/>
    </row>
    <row r="35" spans="2:6">
      <c r="B35" s="46" t="str">
        <f>"Column 2 equals Column 1 * Line "&amp;A9&amp;"."</f>
        <v>Column 2 equals Column 1 * Line 6.</v>
      </c>
      <c r="C35" s="14"/>
    </row>
    <row r="36" spans="2:6">
      <c r="B36" s="46" t="str">
        <f>"Column 3 equals Column 1 * Line "&amp;A10&amp;"."</f>
        <v>Column 3 equals Column 1 * Line 7.</v>
      </c>
      <c r="C36" s="14"/>
    </row>
    <row r="37" spans="2:6">
      <c r="B37" s="14" t="str">
        <f>"4) From 24-CWIPTRR, Line "&amp;'24-CWIPTRR'!A145&amp;".  All High Voltage."</f>
        <v>4) From 24-CWIPTRR, Line 88.  All High Voltage.</v>
      </c>
      <c r="C37" s="14"/>
    </row>
    <row r="38" spans="2:6">
      <c r="B38" s="14" t="str">
        <f>"5) Line "&amp;A18&amp;" - Line "&amp;A19&amp;""</f>
        <v>5) Line 8 - Line 9</v>
      </c>
      <c r="C38" s="14"/>
    </row>
    <row r="39" spans="2:6">
      <c r="B39" s="15" t="str">
        <f>"6) Column 1 is from Line "&amp;A8&amp;"."</f>
        <v>6) Column 1 is from Line 5.</v>
      </c>
      <c r="C39" s="14"/>
    </row>
    <row r="40" spans="2:6">
      <c r="B40" s="46" t="str">
        <f>"Column 2 equals Column 1 * Line "&amp;A9&amp;"."</f>
        <v>Column 2 equals Column 1 * Line 6.</v>
      </c>
      <c r="C40" s="14"/>
    </row>
    <row r="41" spans="2:6">
      <c r="B41" s="13" t="str">
        <f>"Column 3 equals Column 1 * Line "&amp;A10&amp;"."</f>
        <v>Column 3 equals Column 1 * Line 7.</v>
      </c>
    </row>
  </sheetData>
  <phoneticPr fontId="22" type="noConversion"/>
  <pageMargins left="0.75" right="0.75" top="1" bottom="1" header="0.5" footer="0.5"/>
  <pageSetup scale="90" orientation="landscape" cellComments="asDisplayed" r:id="rId1"/>
  <headerFooter alignWithMargins="0">
    <oddHeader>&amp;CSchedule 29
Wholesale TRRs
&amp;RExhibit SCE-4
TO2019A Formula Rate Spreadsheet</oddHead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4" zoomScaleNormal="100" workbookViewId="0">
      <selection activeCell="E33" sqref="E33"/>
    </sheetView>
  </sheetViews>
  <sheetFormatPr defaultRowHeight="13.2"/>
  <cols>
    <col min="1" max="2" width="4.6640625" customWidth="1"/>
    <col min="4" max="4" width="24.44140625" customWidth="1"/>
    <col min="5" max="5" width="17.6640625" customWidth="1"/>
    <col min="6" max="6" width="9.109375" style="16"/>
    <col min="7" max="7" width="10.109375" bestFit="1" customWidth="1"/>
  </cols>
  <sheetData>
    <row r="1" spans="1:9">
      <c r="A1" s="1" t="s">
        <v>1419</v>
      </c>
    </row>
    <row r="2" spans="1:9">
      <c r="B2" s="1"/>
    </row>
    <row r="3" spans="1:9">
      <c r="B3" s="12" t="s">
        <v>140</v>
      </c>
      <c r="E3" s="14"/>
      <c r="F3" s="114"/>
    </row>
    <row r="4" spans="1:9">
      <c r="B4" s="12"/>
    </row>
    <row r="5" spans="1:9">
      <c r="B5" s="13" t="s">
        <v>141</v>
      </c>
    </row>
    <row r="6" spans="1:9">
      <c r="B6" s="481" t="s">
        <v>2333</v>
      </c>
    </row>
    <row r="7" spans="1:9">
      <c r="B7" s="481" t="s">
        <v>2334</v>
      </c>
    </row>
    <row r="8" spans="1:9">
      <c r="B8" s="12"/>
    </row>
    <row r="9" spans="1:9">
      <c r="B9" s="12"/>
    </row>
    <row r="10" spans="1:9">
      <c r="B10" s="1" t="s">
        <v>142</v>
      </c>
    </row>
    <row r="11" spans="1:9">
      <c r="A11" s="3" t="s">
        <v>331</v>
      </c>
      <c r="G11" s="3" t="s">
        <v>179</v>
      </c>
    </row>
    <row r="12" spans="1:9">
      <c r="A12" s="2">
        <v>1</v>
      </c>
      <c r="D12" s="94" t="s">
        <v>1395</v>
      </c>
      <c r="E12" s="7">
        <f>'29-WholesaleTRRs'!F27</f>
        <v>39078641.256554238</v>
      </c>
      <c r="G12" s="46" t="str">
        <f>"29-WholesaleTRRs, Line "&amp;'29-WholesaleTRRs'!A27&amp;", C3"</f>
        <v>29-WholesaleTRRs, Line 13, C3</v>
      </c>
      <c r="H12" s="14"/>
      <c r="I12" s="14"/>
    </row>
    <row r="13" spans="1:9">
      <c r="A13" s="2">
        <f>A12+1</f>
        <v>2</v>
      </c>
      <c r="D13" s="94" t="s">
        <v>1394</v>
      </c>
      <c r="E13" s="113">
        <f>'32-GrossLoad'!F8</f>
        <v>86703491.390000001</v>
      </c>
      <c r="F13" s="13" t="s">
        <v>284</v>
      </c>
      <c r="G13" s="46" t="str">
        <f>"32-Gross Load, Line "&amp;'32-GrossLoad'!A8&amp;""</f>
        <v>32-Gross Load, Line 4</v>
      </c>
      <c r="H13" s="14"/>
      <c r="I13" s="14"/>
    </row>
    <row r="14" spans="1:9">
      <c r="A14" s="2">
        <f>A13+1</f>
        <v>3</v>
      </c>
      <c r="D14" s="94" t="s">
        <v>1396</v>
      </c>
      <c r="E14" s="92">
        <f>E12/(E13*1000)</f>
        <v>4.507158896378814E-4</v>
      </c>
      <c r="F14" s="16" t="s">
        <v>143</v>
      </c>
      <c r="G14" s="114" t="str">
        <f>"Line "&amp;A12&amp;" / (Line "&amp;A13&amp;" * 1000)"</f>
        <v>Line 1 / (Line 2 * 1000)</v>
      </c>
      <c r="H14" s="14"/>
      <c r="I14" s="14"/>
    </row>
    <row r="15" spans="1:9">
      <c r="D15" s="37"/>
      <c r="E15" s="71"/>
      <c r="G15" s="14"/>
      <c r="H15" s="14"/>
      <c r="I15" s="14"/>
    </row>
    <row r="16" spans="1:9">
      <c r="G16" s="14"/>
      <c r="H16" s="14"/>
      <c r="I16" s="14"/>
    </row>
    <row r="17" spans="1:9">
      <c r="B17" s="1" t="s">
        <v>144</v>
      </c>
      <c r="G17" s="14"/>
      <c r="H17" s="14"/>
      <c r="I17" s="14"/>
    </row>
    <row r="18" spans="1:9">
      <c r="C18" s="52" t="s">
        <v>145</v>
      </c>
      <c r="G18" s="14"/>
      <c r="H18" s="14"/>
      <c r="I18" s="14"/>
    </row>
    <row r="19" spans="1:9">
      <c r="G19" s="125" t="s">
        <v>179</v>
      </c>
      <c r="H19" s="14"/>
      <c r="I19" s="14"/>
    </row>
    <row r="20" spans="1:9">
      <c r="A20" s="571">
        <f>A14+1</f>
        <v>4</v>
      </c>
      <c r="D20" s="37" t="s">
        <v>146</v>
      </c>
      <c r="E20" s="7">
        <f>'29-WholesaleTRRs'!E27</f>
        <v>1200199489.2425768</v>
      </c>
      <c r="G20" s="46" t="str">
        <f>"29-WholesaleTRRs, Line "&amp;'29-WholesaleTRRs'!A27&amp;", C2"</f>
        <v>29-WholesaleTRRs, Line 13, C2</v>
      </c>
      <c r="H20" s="14"/>
      <c r="I20" s="14"/>
    </row>
    <row r="21" spans="1:9">
      <c r="A21" s="2">
        <f>A20+1</f>
        <v>5</v>
      </c>
      <c r="D21" s="94" t="s">
        <v>1394</v>
      </c>
      <c r="E21" s="113">
        <f>'32-GrossLoad'!F8</f>
        <v>86703491.390000001</v>
      </c>
      <c r="F21" s="13" t="s">
        <v>284</v>
      </c>
      <c r="G21" s="46" t="str">
        <f>"32-Gross Load, Line "&amp;'32-GrossLoad'!A8&amp;""</f>
        <v>32-Gross Load, Line 4</v>
      </c>
      <c r="H21" s="14"/>
      <c r="I21" s="14"/>
    </row>
    <row r="22" spans="1:9">
      <c r="A22" s="2">
        <f>A21+1</f>
        <v>6</v>
      </c>
      <c r="D22" s="94" t="s">
        <v>1397</v>
      </c>
      <c r="E22" s="93">
        <f>E20/(E21*1000)</f>
        <v>1.3842573926394416E-2</v>
      </c>
      <c r="F22" s="16" t="s">
        <v>143</v>
      </c>
      <c r="G22" s="114" t="str">
        <f>"Line "&amp;A20&amp;" / (Line "&amp;A21&amp;" * 1000)"</f>
        <v>Line 4 / (Line 5 * 1000)</v>
      </c>
      <c r="H22" s="14"/>
      <c r="I22" s="14"/>
    </row>
    <row r="23" spans="1:9">
      <c r="G23" s="14"/>
      <c r="H23" s="14"/>
      <c r="I23" s="14"/>
    </row>
    <row r="24" spans="1:9">
      <c r="B24" s="1" t="s">
        <v>147</v>
      </c>
      <c r="G24" s="14"/>
      <c r="H24" s="14"/>
      <c r="I24" s="14"/>
    </row>
    <row r="25" spans="1:9">
      <c r="G25" s="125" t="s">
        <v>179</v>
      </c>
      <c r="H25" s="14"/>
      <c r="I25" s="14"/>
    </row>
    <row r="26" spans="1:9">
      <c r="A26" s="2">
        <f>A22+1</f>
        <v>7</v>
      </c>
      <c r="D26" s="94" t="s">
        <v>1398</v>
      </c>
      <c r="E26" s="7">
        <f>'29-WholesaleTRRs'!E27</f>
        <v>1200199489.2425768</v>
      </c>
      <c r="G26" s="46" t="str">
        <f>"29-WholesaleTRRs, Line "&amp;'29-WholesaleTRRs'!A27&amp;", C2"</f>
        <v>29-WholesaleTRRs, Line 13, C2</v>
      </c>
      <c r="H26" s="14"/>
      <c r="I26" s="14"/>
    </row>
    <row r="27" spans="1:9">
      <c r="A27" s="2">
        <f>A26+1</f>
        <v>8</v>
      </c>
      <c r="D27" s="94" t="s">
        <v>1399</v>
      </c>
      <c r="E27" s="113">
        <f>'32-GrossLoad'!F11</f>
        <v>162441.60000000001</v>
      </c>
      <c r="F27" s="16" t="s">
        <v>148</v>
      </c>
      <c r="G27" s="46" t="str">
        <f>"32-Gross Load, Line "&amp;'32-GrossLoad'!A11&amp;""</f>
        <v>32-Gross Load, Line 5</v>
      </c>
      <c r="H27" s="14"/>
      <c r="I27" s="14"/>
    </row>
    <row r="28" spans="1:9">
      <c r="A28" s="2">
        <f>A27+1</f>
        <v>9</v>
      </c>
      <c r="D28" s="94" t="s">
        <v>1400</v>
      </c>
      <c r="E28" s="71">
        <f>ROUND((E26/(E27*1000)),2)</f>
        <v>7.39</v>
      </c>
      <c r="F28" s="13" t="s">
        <v>328</v>
      </c>
      <c r="G28" s="114" t="str">
        <f>"Line "&amp;A26&amp;" / (Line "&amp;A27&amp;" * 1000)"</f>
        <v>Line 7 / (Line 8 * 1000)</v>
      </c>
      <c r="H28" s="14"/>
      <c r="I28" s="14"/>
    </row>
    <row r="29" spans="1:9">
      <c r="G29" s="14"/>
      <c r="H29" s="14"/>
      <c r="I29" s="14"/>
    </row>
    <row r="31" spans="1:9">
      <c r="B31" s="51" t="s">
        <v>232</v>
      </c>
    </row>
    <row r="32" spans="1:9">
      <c r="B32" s="12" t="s">
        <v>1420</v>
      </c>
    </row>
    <row r="33" spans="2:4">
      <c r="B33" s="477" t="s">
        <v>1795</v>
      </c>
      <c r="D33" s="14"/>
    </row>
  </sheetData>
  <phoneticPr fontId="22" type="noConversion"/>
  <pageMargins left="0.75" right="0.75" top="1" bottom="1" header="0.5" footer="0.5"/>
  <pageSetup scale="84" orientation="portrait" cellComments="asDisplayed" r:id="rId1"/>
  <headerFooter alignWithMargins="0">
    <oddHeader>&amp;CSchedule 30
Wholesale Rates
&amp;RExhibit SCE-4
TO2019A Formula Rate Spreadsheet</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sheetViews>
  <sheetFormatPr defaultRowHeight="13.8"/>
  <cols>
    <col min="1" max="1" width="4.6640625" customWidth="1"/>
    <col min="2" max="2" width="38" style="141" customWidth="1"/>
    <col min="3" max="3" width="16.33203125" style="141" customWidth="1"/>
    <col min="4" max="4" width="14.6640625" style="141" customWidth="1"/>
    <col min="5" max="5" width="16" style="141" customWidth="1"/>
    <col min="6" max="6" width="3.44140625" style="141" bestFit="1" customWidth="1"/>
    <col min="7" max="8" width="14.6640625" style="141" customWidth="1"/>
    <col min="9" max="9" width="17.33203125" style="141" customWidth="1"/>
    <col min="10" max="11" width="14.6640625" style="141" customWidth="1"/>
  </cols>
  <sheetData>
    <row r="1" spans="1:11" ht="13.2">
      <c r="A1" s="250" t="s">
        <v>459</v>
      </c>
      <c r="B1" s="17"/>
      <c r="C1" s="17"/>
      <c r="D1" s="17"/>
      <c r="E1" s="17"/>
      <c r="F1" s="17"/>
      <c r="G1" s="17"/>
      <c r="H1" s="17"/>
      <c r="I1" s="17"/>
      <c r="J1" s="17"/>
      <c r="K1" s="17"/>
    </row>
    <row r="2" spans="1:11" ht="13.2">
      <c r="A2" s="17" t="s">
        <v>469</v>
      </c>
      <c r="B2" s="17"/>
      <c r="C2" s="17"/>
      <c r="D2" s="17"/>
      <c r="E2" s="17"/>
      <c r="F2" s="17"/>
      <c r="G2" s="17"/>
      <c r="H2" s="17"/>
      <c r="I2" s="251" t="s">
        <v>451</v>
      </c>
      <c r="J2" s="251"/>
      <c r="K2" s="17"/>
    </row>
    <row r="3" spans="1:11" ht="13.2">
      <c r="A3" s="12"/>
      <c r="B3" s="17"/>
      <c r="C3" s="17"/>
      <c r="D3" s="17"/>
      <c r="E3" s="17"/>
      <c r="F3" s="17"/>
      <c r="G3" s="17"/>
      <c r="H3" s="17"/>
      <c r="I3" s="17"/>
      <c r="J3" s="17"/>
      <c r="K3" s="17"/>
    </row>
    <row r="4" spans="1:11" ht="13.2">
      <c r="A4" s="12"/>
      <c r="B4" s="17"/>
      <c r="C4" s="17"/>
      <c r="D4" s="17"/>
      <c r="E4" s="17"/>
      <c r="F4" s="17"/>
      <c r="G4" s="488" t="s">
        <v>1752</v>
      </c>
      <c r="H4" s="488"/>
      <c r="I4" s="488"/>
      <c r="J4" s="488"/>
      <c r="K4" s="17"/>
    </row>
    <row r="5" spans="1:11" ht="13.2">
      <c r="A5" s="12"/>
      <c r="B5" s="250" t="s">
        <v>480</v>
      </c>
      <c r="C5" s="17"/>
      <c r="D5" s="17"/>
      <c r="E5" s="17"/>
      <c r="F5" s="17"/>
      <c r="G5" s="488" t="s">
        <v>1753</v>
      </c>
      <c r="H5" s="488"/>
      <c r="I5" s="488"/>
      <c r="J5" s="488"/>
      <c r="K5" s="17"/>
    </row>
    <row r="6" spans="1:11" ht="13.2">
      <c r="A6" s="12"/>
      <c r="B6" s="17"/>
      <c r="C6" s="26" t="s">
        <v>461</v>
      </c>
      <c r="D6" s="26"/>
      <c r="E6" s="26"/>
      <c r="F6" s="26"/>
      <c r="G6" s="26"/>
      <c r="H6" s="26"/>
      <c r="I6" s="26" t="s">
        <v>14</v>
      </c>
      <c r="J6" s="26" t="s">
        <v>15</v>
      </c>
      <c r="K6" s="26" t="s">
        <v>75</v>
      </c>
    </row>
    <row r="7" spans="1:11" ht="13.2">
      <c r="A7" s="12"/>
      <c r="B7" s="250" t="s">
        <v>466</v>
      </c>
      <c r="C7" s="31" t="s">
        <v>462</v>
      </c>
      <c r="D7" s="31" t="s">
        <v>423</v>
      </c>
      <c r="E7" s="31" t="s">
        <v>456</v>
      </c>
      <c r="F7" s="31"/>
      <c r="G7" s="31" t="s">
        <v>463</v>
      </c>
      <c r="H7" s="31" t="s">
        <v>464</v>
      </c>
      <c r="I7" s="31" t="s">
        <v>456</v>
      </c>
      <c r="J7" s="31" t="s">
        <v>456</v>
      </c>
      <c r="K7" s="31" t="s">
        <v>465</v>
      </c>
    </row>
    <row r="8" spans="1:11" ht="13.2">
      <c r="A8" s="3" t="s">
        <v>331</v>
      </c>
      <c r="B8" s="250"/>
      <c r="C8" s="31"/>
      <c r="D8" s="31"/>
      <c r="E8" s="31"/>
      <c r="F8" s="31"/>
      <c r="G8" s="31"/>
      <c r="H8" s="31"/>
      <c r="I8" s="31"/>
      <c r="J8" s="31"/>
      <c r="K8" s="31"/>
    </row>
    <row r="9" spans="1:11" ht="13.2">
      <c r="A9" s="2">
        <v>1</v>
      </c>
      <c r="B9" s="252" t="s">
        <v>468</v>
      </c>
      <c r="C9" s="253"/>
      <c r="D9" s="254"/>
      <c r="E9" s="254"/>
      <c r="F9" s="255"/>
      <c r="G9" s="253"/>
      <c r="H9" s="256"/>
      <c r="I9" s="256"/>
      <c r="J9" s="256"/>
      <c r="K9" s="256"/>
    </row>
    <row r="10" spans="1:11" ht="13.2">
      <c r="A10" s="2">
        <f>A9+1</f>
        <v>2</v>
      </c>
      <c r="B10" s="257" t="s">
        <v>1210</v>
      </c>
      <c r="C10" s="258">
        <f>SUM(D10:E10)</f>
        <v>4456571806.8405781</v>
      </c>
      <c r="D10" s="259">
        <f>G10+H10</f>
        <v>207303576.66310143</v>
      </c>
      <c r="E10" s="259">
        <f>I10+J10</f>
        <v>4249268230.1774769</v>
      </c>
      <c r="F10" s="260"/>
      <c r="G10" s="1138">
        <v>207303576.66310143</v>
      </c>
      <c r="H10" s="1138">
        <v>0</v>
      </c>
      <c r="I10" s="1138">
        <v>4249268230.1774769</v>
      </c>
      <c r="J10" s="1138">
        <v>0</v>
      </c>
      <c r="K10" s="1138">
        <v>0</v>
      </c>
    </row>
    <row r="11" spans="1:11" ht="13.2">
      <c r="A11" s="2">
        <f t="shared" ref="A11:A47" si="0">A10+1</f>
        <v>3</v>
      </c>
      <c r="B11" s="257" t="s">
        <v>460</v>
      </c>
      <c r="C11" s="261">
        <f>SUM(D11:E11)</f>
        <v>97777322.6793935</v>
      </c>
      <c r="D11" s="262">
        <f>G11+H11</f>
        <v>5523117.0762849972</v>
      </c>
      <c r="E11" s="262">
        <f>I11+J11</f>
        <v>92254205.603108495</v>
      </c>
      <c r="F11" s="263"/>
      <c r="G11" s="1139">
        <v>0</v>
      </c>
      <c r="H11" s="1139">
        <v>5523117.0762849972</v>
      </c>
      <c r="I11" s="1139">
        <v>0</v>
      </c>
      <c r="J11" s="1139">
        <v>92254205.603108495</v>
      </c>
      <c r="K11" s="1139">
        <v>0</v>
      </c>
    </row>
    <row r="12" spans="1:11" ht="13.2">
      <c r="A12" s="2">
        <f t="shared" si="0"/>
        <v>4</v>
      </c>
      <c r="B12" s="1311" t="s">
        <v>2872</v>
      </c>
      <c r="C12" s="264">
        <f>SUM(C10:C11)</f>
        <v>4554349129.5199718</v>
      </c>
      <c r="D12" s="264">
        <f t="shared" ref="D12:K12" si="1">SUM(D10:D11)</f>
        <v>212826693.73938644</v>
      </c>
      <c r="E12" s="264">
        <f t="shared" si="1"/>
        <v>4341522435.7805853</v>
      </c>
      <c r="F12" s="264"/>
      <c r="G12" s="264">
        <f t="shared" si="1"/>
        <v>207303576.66310143</v>
      </c>
      <c r="H12" s="264">
        <f t="shared" si="1"/>
        <v>5523117.0762849972</v>
      </c>
      <c r="I12" s="264">
        <f t="shared" si="1"/>
        <v>4249268230.1774769</v>
      </c>
      <c r="J12" s="264">
        <f t="shared" si="1"/>
        <v>92254205.603108495</v>
      </c>
      <c r="K12" s="264">
        <f t="shared" si="1"/>
        <v>0</v>
      </c>
    </row>
    <row r="13" spans="1:11" ht="13.2">
      <c r="A13" s="2">
        <f t="shared" si="0"/>
        <v>5</v>
      </c>
      <c r="B13" s="265"/>
      <c r="C13" s="266"/>
      <c r="D13" s="266"/>
      <c r="E13" s="266"/>
      <c r="F13" s="267"/>
      <c r="G13" s="266"/>
      <c r="H13" s="268"/>
      <c r="I13" s="269"/>
      <c r="J13" s="268"/>
      <c r="K13" s="268"/>
    </row>
    <row r="14" spans="1:11" ht="13.2">
      <c r="A14" s="2">
        <f t="shared" si="0"/>
        <v>6</v>
      </c>
      <c r="B14" s="270" t="s">
        <v>457</v>
      </c>
      <c r="C14" s="266"/>
      <c r="D14" s="266"/>
      <c r="E14" s="266"/>
      <c r="F14" s="267"/>
      <c r="G14" s="266"/>
      <c r="H14" s="268"/>
      <c r="I14" s="269"/>
      <c r="J14" s="268"/>
      <c r="K14" s="268"/>
    </row>
    <row r="15" spans="1:11" ht="13.2">
      <c r="A15" s="2">
        <f t="shared" si="0"/>
        <v>7</v>
      </c>
      <c r="B15" s="271" t="s">
        <v>467</v>
      </c>
      <c r="C15" s="259">
        <f>SUM(D15:E15)</f>
        <v>3527998671.120451</v>
      </c>
      <c r="D15" s="259">
        <f>G15+H15</f>
        <v>39632448.522313528</v>
      </c>
      <c r="E15" s="259">
        <f>I15+J15</f>
        <v>3488366222.5981374</v>
      </c>
      <c r="F15" s="272"/>
      <c r="G15" s="998">
        <v>39632448.522313528</v>
      </c>
      <c r="H15" s="1140">
        <v>0</v>
      </c>
      <c r="I15" s="998">
        <v>3488366222.5981374</v>
      </c>
      <c r="J15" s="1140">
        <v>0</v>
      </c>
      <c r="K15" s="1140">
        <v>0</v>
      </c>
    </row>
    <row r="16" spans="1:11" ht="13.2">
      <c r="A16" s="2">
        <f t="shared" si="0"/>
        <v>8</v>
      </c>
      <c r="B16" s="863" t="s">
        <v>2197</v>
      </c>
      <c r="C16" s="266">
        <f>SUM(D16:E16)</f>
        <v>449562934.3716104</v>
      </c>
      <c r="D16" s="259">
        <f>G16+H16</f>
        <v>190904.55649879423</v>
      </c>
      <c r="E16" s="259">
        <f>I16+J16+K16</f>
        <v>449372029.81511164</v>
      </c>
      <c r="F16" s="267"/>
      <c r="G16" s="1140">
        <v>110504.92212449294</v>
      </c>
      <c r="H16" s="1140">
        <v>80399.634374301299</v>
      </c>
      <c r="I16" s="1140">
        <v>267329959.43419534</v>
      </c>
      <c r="J16" s="1140">
        <v>128270186.53408805</v>
      </c>
      <c r="K16" s="1140">
        <v>53771883.846828237</v>
      </c>
    </row>
    <row r="17" spans="1:11" ht="15">
      <c r="A17" s="2">
        <f t="shared" si="0"/>
        <v>9</v>
      </c>
      <c r="B17" s="863" t="s">
        <v>2230</v>
      </c>
      <c r="C17" s="273">
        <f>SUM(D17:E17)</f>
        <v>41534818.091050737</v>
      </c>
      <c r="D17" s="262">
        <f>G17+H17</f>
        <v>127274.00001383394</v>
      </c>
      <c r="E17" s="274">
        <f>I17+J17</f>
        <v>41407544.091036901</v>
      </c>
      <c r="F17" s="275"/>
      <c r="G17" s="1141">
        <v>0</v>
      </c>
      <c r="H17" s="1142">
        <v>127274.00001383394</v>
      </c>
      <c r="I17" s="1141">
        <v>0</v>
      </c>
      <c r="J17" s="1142">
        <v>41407544.091036901</v>
      </c>
      <c r="K17" s="1141">
        <v>0</v>
      </c>
    </row>
    <row r="18" spans="1:11" ht="13.2">
      <c r="A18" s="2">
        <f t="shared" si="0"/>
        <v>10</v>
      </c>
      <c r="B18" s="949" t="s">
        <v>2871</v>
      </c>
      <c r="C18" s="259">
        <f>SUM(C15:C17)</f>
        <v>4019096423.5831122</v>
      </c>
      <c r="D18" s="259">
        <f>SUM(D15:D17)</f>
        <v>39950627.078826159</v>
      </c>
      <c r="E18" s="259">
        <f>SUM(E15:E17)</f>
        <v>3979145796.5042858</v>
      </c>
      <c r="F18" s="276"/>
      <c r="G18" s="259">
        <f>SUM(G15:G17)</f>
        <v>39742953.444438018</v>
      </c>
      <c r="H18" s="259">
        <f>SUM(H15:H17)</f>
        <v>207673.63438813522</v>
      </c>
      <c r="I18" s="259">
        <f>SUM(I15:I17)</f>
        <v>3755696182.0323329</v>
      </c>
      <c r="J18" s="259">
        <f>SUM(J15:J17)</f>
        <v>169677730.62512493</v>
      </c>
      <c r="K18" s="259">
        <f>SUM(K15:K17)</f>
        <v>53771883.846828237</v>
      </c>
    </row>
    <row r="19" spans="1:11" ht="13.2">
      <c r="A19" s="2">
        <f t="shared" si="0"/>
        <v>11</v>
      </c>
      <c r="B19" s="265"/>
      <c r="C19" s="950"/>
      <c r="D19" s="950"/>
      <c r="E19" s="950"/>
      <c r="F19" s="278"/>
      <c r="G19" s="277"/>
      <c r="H19" s="277"/>
      <c r="I19" s="277"/>
      <c r="J19" s="277"/>
      <c r="K19" s="277"/>
    </row>
    <row r="20" spans="1:11" ht="13.2">
      <c r="A20" s="2">
        <f t="shared" si="0"/>
        <v>12</v>
      </c>
      <c r="B20" s="949" t="s">
        <v>458</v>
      </c>
      <c r="C20" s="951">
        <f>C12+C18</f>
        <v>8573445553.1030846</v>
      </c>
      <c r="D20" s="951">
        <f t="shared" ref="D20:K20" si="2">D12+D18</f>
        <v>252777320.8182126</v>
      </c>
      <c r="E20" s="951">
        <f>E12+E18</f>
        <v>8320668232.2848711</v>
      </c>
      <c r="F20" s="279"/>
      <c r="G20" s="279">
        <f t="shared" si="2"/>
        <v>247046530.10753945</v>
      </c>
      <c r="H20" s="279">
        <f t="shared" si="2"/>
        <v>5730790.710673132</v>
      </c>
      <c r="I20" s="279">
        <f t="shared" si="2"/>
        <v>8004964412.2098103</v>
      </c>
      <c r="J20" s="279">
        <f t="shared" si="2"/>
        <v>261931936.22823343</v>
      </c>
      <c r="K20" s="279">
        <f t="shared" si="2"/>
        <v>53771883.846828237</v>
      </c>
    </row>
    <row r="21" spans="1:11" ht="13.2">
      <c r="A21" s="2">
        <f t="shared" si="0"/>
        <v>13</v>
      </c>
      <c r="B21" s="17"/>
      <c r="C21" s="280"/>
      <c r="D21" s="281"/>
      <c r="E21" s="280"/>
      <c r="F21" s="17"/>
      <c r="G21" s="280"/>
      <c r="H21" s="280"/>
      <c r="I21" s="280"/>
      <c r="J21" s="280"/>
      <c r="K21" s="280"/>
    </row>
    <row r="22" spans="1:11" ht="13.2">
      <c r="A22" s="2">
        <f t="shared" si="0"/>
        <v>14</v>
      </c>
      <c r="B22" s="17"/>
      <c r="C22" s="280"/>
      <c r="D22" s="281"/>
      <c r="E22" s="280"/>
      <c r="F22" s="17"/>
      <c r="G22" s="280"/>
      <c r="H22" s="280"/>
      <c r="I22" s="280"/>
      <c r="J22" s="280"/>
      <c r="K22" s="280"/>
    </row>
    <row r="23" spans="1:11" ht="13.2">
      <c r="A23" s="2">
        <f t="shared" si="0"/>
        <v>15</v>
      </c>
      <c r="B23" s="490" t="s">
        <v>2198</v>
      </c>
      <c r="C23" s="280"/>
      <c r="D23" s="281"/>
      <c r="E23" s="280"/>
      <c r="F23" s="17"/>
      <c r="G23" s="280"/>
      <c r="H23" s="280"/>
      <c r="I23" s="280"/>
      <c r="J23" s="280"/>
      <c r="K23" s="280"/>
    </row>
    <row r="24" spans="1:11" ht="13.2">
      <c r="A24" s="2">
        <f t="shared" si="0"/>
        <v>16</v>
      </c>
      <c r="B24" s="17"/>
      <c r="C24" s="282" t="s">
        <v>471</v>
      </c>
      <c r="D24" s="26" t="s">
        <v>472</v>
      </c>
      <c r="E24" s="26"/>
      <c r="F24" s="17"/>
      <c r="G24" s="17"/>
      <c r="H24" s="17"/>
      <c r="I24" s="17"/>
      <c r="J24" s="17"/>
      <c r="K24" s="17"/>
    </row>
    <row r="25" spans="1:11" ht="13.2">
      <c r="A25" s="2">
        <f t="shared" si="0"/>
        <v>17</v>
      </c>
      <c r="B25" s="17" t="s">
        <v>330</v>
      </c>
      <c r="C25" s="31" t="s">
        <v>470</v>
      </c>
      <c r="D25" s="31" t="s">
        <v>470</v>
      </c>
      <c r="E25" s="31" t="s">
        <v>196</v>
      </c>
      <c r="F25" s="17"/>
      <c r="G25" s="283" t="s">
        <v>232</v>
      </c>
      <c r="H25" s="17"/>
      <c r="I25" s="17"/>
      <c r="J25" s="17"/>
      <c r="K25" s="17"/>
    </row>
    <row r="26" spans="1:11" ht="13.2">
      <c r="A26" s="2">
        <f t="shared" si="0"/>
        <v>18</v>
      </c>
      <c r="B26" s="77" t="s">
        <v>423</v>
      </c>
      <c r="C26" s="279">
        <f>G20</f>
        <v>247046530.10753945</v>
      </c>
      <c r="D26" s="279">
        <f>H20</f>
        <v>5730790.710673132</v>
      </c>
      <c r="E26" s="284">
        <f>SUM(C26:D26)</f>
        <v>252777320.81821257</v>
      </c>
      <c r="F26" s="17"/>
      <c r="G26" s="265" t="s">
        <v>476</v>
      </c>
      <c r="H26" s="265"/>
      <c r="I26" s="265"/>
      <c r="J26" s="265"/>
      <c r="K26" s="265"/>
    </row>
    <row r="27" spans="1:11" ht="13.2">
      <c r="A27" s="2">
        <f t="shared" si="0"/>
        <v>19</v>
      </c>
      <c r="B27" s="77" t="s">
        <v>456</v>
      </c>
      <c r="C27" s="279">
        <f>I20</f>
        <v>8004964412.2098103</v>
      </c>
      <c r="D27" s="279">
        <f>J20</f>
        <v>261931936.22823343</v>
      </c>
      <c r="E27" s="284">
        <f>SUM(C27:D27)</f>
        <v>8266896348.4380436</v>
      </c>
      <c r="F27" s="17"/>
      <c r="G27" s="265" t="s">
        <v>476</v>
      </c>
      <c r="H27" s="265"/>
      <c r="I27" s="265"/>
      <c r="J27" s="265"/>
      <c r="K27" s="265"/>
    </row>
    <row r="28" spans="1:11" ht="13.2">
      <c r="A28" s="2">
        <f t="shared" si="0"/>
        <v>20</v>
      </c>
      <c r="B28" s="32" t="s">
        <v>474</v>
      </c>
      <c r="C28" s="279">
        <f>SUM(C26:C27)</f>
        <v>8252010942.3173494</v>
      </c>
      <c r="D28" s="279">
        <f>SUM(D26:D27)</f>
        <v>267662726.93890655</v>
      </c>
      <c r="E28" s="279">
        <f>SUM(C28:D28)</f>
        <v>8519673669.2562561</v>
      </c>
      <c r="F28" s="17"/>
      <c r="G28" s="265" t="s">
        <v>477</v>
      </c>
      <c r="H28" s="265"/>
      <c r="I28" s="265"/>
      <c r="J28" s="265"/>
      <c r="K28" s="265"/>
    </row>
    <row r="29" spans="1:11" ht="13.2">
      <c r="A29" s="111">
        <f t="shared" si="0"/>
        <v>21</v>
      </c>
      <c r="B29" s="285" t="s">
        <v>473</v>
      </c>
      <c r="C29" s="286">
        <f>C28/E28</f>
        <v>0.96858298365290874</v>
      </c>
      <c r="D29" s="286">
        <f>D28/E28</f>
        <v>3.1417016347091237E-2</v>
      </c>
      <c r="E29" s="287"/>
      <c r="F29" s="952"/>
      <c r="G29" s="1310" t="s">
        <v>478</v>
      </c>
      <c r="H29" s="265"/>
      <c r="I29" s="265"/>
      <c r="J29" s="265"/>
      <c r="K29" s="952"/>
    </row>
    <row r="30" spans="1:11" ht="13.2">
      <c r="A30" s="111">
        <f t="shared" si="0"/>
        <v>22</v>
      </c>
      <c r="B30" s="288"/>
      <c r="C30" s="289"/>
      <c r="D30" s="289"/>
      <c r="E30" s="289"/>
      <c r="F30" s="288"/>
      <c r="G30" s="288"/>
      <c r="H30" s="288"/>
      <c r="I30" s="288"/>
      <c r="J30" s="288"/>
      <c r="K30" s="288"/>
    </row>
    <row r="31" spans="1:11" ht="13.2">
      <c r="A31" s="111">
        <f t="shared" si="0"/>
        <v>23</v>
      </c>
      <c r="B31" s="265" t="s">
        <v>475</v>
      </c>
      <c r="C31" s="953">
        <f>K20*C29</f>
        <v>52082531.692998543</v>
      </c>
      <c r="D31" s="953">
        <f>K20*D29</f>
        <v>1689352.153829694</v>
      </c>
      <c r="E31" s="953">
        <f>K20</f>
        <v>53771883.846828237</v>
      </c>
      <c r="F31" s="265"/>
      <c r="G31" s="488" t="str">
        <f>"Straddling Transformers split by Gross Plant Percentages on Line "&amp;A29&amp;""</f>
        <v>Straddling Transformers split by Gross Plant Percentages on Line 21</v>
      </c>
      <c r="H31" s="265"/>
      <c r="I31" s="265"/>
      <c r="J31" s="265"/>
      <c r="K31" s="265"/>
    </row>
    <row r="32" spans="1:11">
      <c r="A32" s="111">
        <f t="shared" si="0"/>
        <v>24</v>
      </c>
      <c r="B32" s="614" t="s">
        <v>2349</v>
      </c>
      <c r="C32" s="954">
        <f>'12-AbandonedPlant'!G22</f>
        <v>0</v>
      </c>
      <c r="D32" s="954">
        <f>E32-C32</f>
        <v>0</v>
      </c>
      <c r="E32" s="954">
        <f>'12-AbandonedPlant'!G19</f>
        <v>0</v>
      </c>
      <c r="F32" s="614"/>
      <c r="G32" s="614" t="s">
        <v>2350</v>
      </c>
      <c r="H32" s="955"/>
      <c r="I32" s="265"/>
      <c r="J32" s="265"/>
      <c r="K32" s="265"/>
    </row>
    <row r="33" spans="1:12" ht="13.2">
      <c r="A33" s="111">
        <f t="shared" si="0"/>
        <v>25</v>
      </c>
      <c r="B33" s="265" t="s">
        <v>479</v>
      </c>
      <c r="C33" s="259">
        <f>C28+C31+C32</f>
        <v>8304093474.0103483</v>
      </c>
      <c r="D33" s="259">
        <f>D28+D31+D32</f>
        <v>269352079.09273624</v>
      </c>
      <c r="E33" s="259">
        <f>E28+E31+E32</f>
        <v>8573445553.1030846</v>
      </c>
      <c r="F33" s="265"/>
      <c r="G33" s="614" t="str">
        <f>"Line "&amp;A28&amp;" + Line "&amp;A31&amp;" + Line "&amp;A32&amp;""</f>
        <v>Line 20 + Line 23 + Line 24</v>
      </c>
      <c r="H33" s="614"/>
      <c r="I33" s="265"/>
      <c r="J33" s="265"/>
      <c r="K33" s="265"/>
    </row>
    <row r="34" spans="1:12" ht="13.2">
      <c r="A34" s="111">
        <f t="shared" si="0"/>
        <v>26</v>
      </c>
      <c r="B34" s="265"/>
      <c r="C34" s="290"/>
      <c r="D34" s="290"/>
      <c r="E34" s="956"/>
      <c r="F34" s="265"/>
      <c r="G34" s="265"/>
      <c r="H34" s="265"/>
      <c r="I34" s="265"/>
      <c r="J34" s="265"/>
      <c r="K34" s="265"/>
    </row>
    <row r="35" spans="1:12" ht="13.2">
      <c r="A35" s="111">
        <f t="shared" si="0"/>
        <v>27</v>
      </c>
      <c r="B35" s="265"/>
      <c r="C35" s="957"/>
      <c r="D35" s="957"/>
      <c r="E35" s="265"/>
      <c r="F35" s="265"/>
      <c r="G35" s="957"/>
      <c r="H35" s="957"/>
      <c r="I35" s="957"/>
      <c r="J35" s="265"/>
      <c r="K35" s="265"/>
    </row>
    <row r="36" spans="1:12" ht="13.2">
      <c r="A36" s="111">
        <f t="shared" si="0"/>
        <v>28</v>
      </c>
      <c r="B36" s="270" t="s">
        <v>2351</v>
      </c>
      <c r="C36" s="265"/>
      <c r="D36" s="265"/>
      <c r="E36" s="265"/>
      <c r="F36" s="265"/>
      <c r="G36" s="265"/>
      <c r="H36" s="265"/>
      <c r="I36" s="265"/>
      <c r="J36" s="265"/>
      <c r="K36" s="265"/>
    </row>
    <row r="37" spans="1:12" ht="13.2">
      <c r="A37" s="111">
        <f t="shared" si="0"/>
        <v>29</v>
      </c>
      <c r="B37" s="270"/>
      <c r="C37" s="265"/>
      <c r="D37" s="265"/>
      <c r="E37" s="265"/>
      <c r="F37" s="265"/>
      <c r="G37" s="265"/>
      <c r="H37" s="265"/>
      <c r="I37" s="265"/>
      <c r="J37" s="265"/>
      <c r="K37" s="265"/>
    </row>
    <row r="38" spans="1:12" ht="13.2">
      <c r="A38" s="111">
        <f t="shared" si="0"/>
        <v>30</v>
      </c>
      <c r="B38" s="270"/>
      <c r="C38" s="958" t="s">
        <v>471</v>
      </c>
      <c r="D38" s="425" t="s">
        <v>472</v>
      </c>
      <c r="E38" s="425"/>
      <c r="F38" s="265"/>
      <c r="G38" s="265"/>
      <c r="H38" s="265"/>
      <c r="I38" s="265"/>
      <c r="J38" s="265"/>
      <c r="K38" s="265"/>
    </row>
    <row r="39" spans="1:12" ht="13.2">
      <c r="A39" s="111">
        <f t="shared" si="0"/>
        <v>31</v>
      </c>
      <c r="B39" s="270"/>
      <c r="C39" s="469" t="s">
        <v>470</v>
      </c>
      <c r="D39" s="469" t="s">
        <v>470</v>
      </c>
      <c r="E39" s="469" t="s">
        <v>196</v>
      </c>
      <c r="F39" s="265"/>
      <c r="G39" s="959" t="s">
        <v>232</v>
      </c>
      <c r="H39" s="265"/>
      <c r="I39" s="265"/>
      <c r="J39" s="265"/>
      <c r="K39" s="265"/>
    </row>
    <row r="40" spans="1:12" ht="13.2">
      <c r="A40" s="111">
        <f t="shared" si="0"/>
        <v>32</v>
      </c>
      <c r="B40" s="265" t="s">
        <v>479</v>
      </c>
      <c r="C40" s="272">
        <f>C33</f>
        <v>8304093474.0103483</v>
      </c>
      <c r="D40" s="272">
        <f>D33</f>
        <v>269352079.09273624</v>
      </c>
      <c r="E40" s="272">
        <f>E33</f>
        <v>8573445553.1030846</v>
      </c>
      <c r="F40" s="265"/>
      <c r="G40" s="265" t="str">
        <f>"Line "&amp;A33&amp;""</f>
        <v>Line 25</v>
      </c>
      <c r="H40" s="265"/>
      <c r="I40" s="265"/>
      <c r="J40" s="265"/>
      <c r="K40" s="265"/>
      <c r="L40" s="14"/>
    </row>
    <row r="41" spans="1:12" ht="13.2">
      <c r="A41" s="111">
        <f t="shared" si="0"/>
        <v>33</v>
      </c>
      <c r="B41" s="488" t="s">
        <v>2352</v>
      </c>
      <c r="C41" s="272">
        <f>'16-PlantAdditions'!K37-'16-PlantAdditions'!P37</f>
        <v>508628193.74837041</v>
      </c>
      <c r="D41" s="272">
        <f>'16-PlantAdditions'!P37</f>
        <v>12714511.833981665</v>
      </c>
      <c r="E41" s="960">
        <f>SUM(C41:D41)</f>
        <v>521342705.5823521</v>
      </c>
      <c r="F41" s="265"/>
      <c r="G41" s="265" t="str">
        <f>"13-Month Average: 16-PlantAdditions, Line "&amp;'16-PlantAdditions'!A37&amp;", Cols 7  (for Total) and 12 (for LV).  HV = C7 - C12."</f>
        <v>13-Month Average: 16-PlantAdditions, Line 25, Cols 7  (for Total) and 12 (for LV).  HV = C7 - C12.</v>
      </c>
      <c r="H41" s="265"/>
      <c r="I41" s="265"/>
      <c r="J41" s="265"/>
      <c r="K41" s="265"/>
      <c r="L41" s="14"/>
    </row>
    <row r="42" spans="1:12" ht="13.2">
      <c r="A42" s="111">
        <f t="shared" si="0"/>
        <v>34</v>
      </c>
      <c r="B42" s="488" t="s">
        <v>2353</v>
      </c>
      <c r="C42" s="552">
        <f>'10-CWIP'!K79</f>
        <v>301458236.65036386</v>
      </c>
      <c r="D42" s="552">
        <v>0</v>
      </c>
      <c r="E42" s="552">
        <f>SUM(C42:D42)</f>
        <v>301458236.65036386</v>
      </c>
      <c r="F42" s="265"/>
      <c r="G42" s="265" t="str">
        <f>"13 Month Average: 10-CWIP, Line "&amp;'10-CWIP'!A79&amp;", Col. 8"</f>
        <v>13 Month Average: 10-CWIP, Line 54, Col. 8</v>
      </c>
      <c r="H42" s="265"/>
      <c r="I42" s="265"/>
      <c r="J42" s="265"/>
      <c r="K42" s="265"/>
    </row>
    <row r="43" spans="1:12" ht="13.2">
      <c r="A43" s="111">
        <f t="shared" si="0"/>
        <v>35</v>
      </c>
      <c r="B43" s="488" t="s">
        <v>2354</v>
      </c>
      <c r="C43" s="272">
        <f>SUM(C40:C42)</f>
        <v>9114179904.4090824</v>
      </c>
      <c r="D43" s="272">
        <f t="shared" ref="D43:E43" si="3">SUM(D40:D42)</f>
        <v>282066590.92671794</v>
      </c>
      <c r="E43" s="272">
        <f t="shared" si="3"/>
        <v>9396246495.3358002</v>
      </c>
      <c r="F43" s="265"/>
      <c r="G43" s="265" t="str">
        <f>"Line "&amp;A40&amp;" + Line "&amp;A41&amp;" + Line "&amp;A42&amp;""</f>
        <v>Line 32 + Line 33 + Line 34</v>
      </c>
      <c r="H43" s="265"/>
      <c r="I43" s="265"/>
      <c r="J43" s="265"/>
      <c r="K43" s="265"/>
    </row>
    <row r="44" spans="1:12" ht="13.2">
      <c r="A44" s="111">
        <f t="shared" si="0"/>
        <v>36</v>
      </c>
      <c r="B44" s="265"/>
      <c r="C44" s="265"/>
      <c r="D44" s="265"/>
      <c r="E44" s="265"/>
      <c r="F44" s="265"/>
      <c r="G44" s="265"/>
      <c r="H44" s="265"/>
      <c r="I44" s="265"/>
      <c r="J44" s="265"/>
      <c r="K44" s="265"/>
    </row>
    <row r="45" spans="1:12" ht="13.2">
      <c r="A45" s="111">
        <f t="shared" si="0"/>
        <v>37</v>
      </c>
      <c r="B45" s="265" t="s">
        <v>1138</v>
      </c>
      <c r="C45" s="961">
        <f>C43/E43</f>
        <v>0.96998092897342225</v>
      </c>
      <c r="D45" s="961">
        <f>D43/E43</f>
        <v>3.001907102657778E-2</v>
      </c>
      <c r="E45" s="265"/>
      <c r="F45" s="265"/>
      <c r="G45" s="962" t="str">
        <f>"Percent of Total on Line "&amp;A43&amp;""</f>
        <v>Percent of Total on Line 35</v>
      </c>
      <c r="H45" s="265"/>
      <c r="I45" s="265"/>
      <c r="J45" s="265"/>
      <c r="K45" s="265"/>
    </row>
    <row r="46" spans="1:12" ht="13.2">
      <c r="A46" s="111">
        <f t="shared" si="0"/>
        <v>38</v>
      </c>
      <c r="B46" s="913" t="s">
        <v>1471</v>
      </c>
      <c r="C46" s="265"/>
      <c r="D46" s="265"/>
      <c r="E46" s="265"/>
      <c r="F46" s="265"/>
      <c r="G46" s="265"/>
      <c r="H46" s="265"/>
      <c r="I46" s="265"/>
      <c r="J46" s="265"/>
      <c r="K46" s="265"/>
    </row>
    <row r="47" spans="1:12" ht="13.2">
      <c r="A47" s="111">
        <f t="shared" si="0"/>
        <v>39</v>
      </c>
      <c r="B47" s="488" t="s">
        <v>1626</v>
      </c>
      <c r="C47" s="265"/>
      <c r="D47" s="265"/>
      <c r="E47" s="265"/>
      <c r="F47" s="265"/>
      <c r="G47" s="265"/>
      <c r="H47" s="265"/>
      <c r="I47" s="265"/>
      <c r="J47" s="265"/>
      <c r="K47" s="265"/>
    </row>
    <row r="48" spans="1:12" ht="13.2">
      <c r="A48" s="15"/>
      <c r="B48" s="44"/>
      <c r="C48" s="265"/>
      <c r="D48" s="265"/>
      <c r="E48" s="265"/>
      <c r="F48" s="265"/>
      <c r="G48" s="265"/>
      <c r="H48" s="265"/>
      <c r="I48" s="265"/>
      <c r="J48" s="265"/>
      <c r="K48" s="265"/>
    </row>
    <row r="49" spans="1:11" ht="13.2">
      <c r="A49" s="15"/>
      <c r="B49" s="44"/>
      <c r="C49" s="614"/>
      <c r="D49" s="614"/>
      <c r="E49" s="614"/>
      <c r="F49" s="614"/>
      <c r="G49" s="614"/>
      <c r="H49" s="614"/>
      <c r="I49" s="265"/>
      <c r="J49" s="265"/>
      <c r="K49" s="265"/>
    </row>
    <row r="50" spans="1:11" ht="13.2">
      <c r="A50" s="15"/>
      <c r="B50" s="614"/>
      <c r="C50" s="614"/>
      <c r="D50" s="614"/>
      <c r="E50" s="614"/>
      <c r="F50" s="614"/>
      <c r="G50" s="614"/>
      <c r="H50" s="614"/>
      <c r="I50" s="265"/>
      <c r="J50" s="265"/>
      <c r="K50" s="265"/>
    </row>
    <row r="51" spans="1:11">
      <c r="A51" s="14"/>
      <c r="B51" s="614"/>
      <c r="C51" s="955"/>
      <c r="D51" s="955"/>
      <c r="E51" s="955"/>
      <c r="F51" s="955"/>
      <c r="G51" s="955"/>
      <c r="H51" s="955"/>
      <c r="I51" s="963"/>
      <c r="J51" s="963"/>
      <c r="K51" s="963"/>
    </row>
  </sheetData>
  <pageMargins left="0.7" right="0.7" top="0.75" bottom="0.75" header="0.3" footer="0.3"/>
  <pageSetup scale="70" orientation="landscape" cellComments="asDisplayed" r:id="rId1"/>
  <headerFooter>
    <oddHeader>&amp;CSchedule 31
High and Low Voltage Gross Plant
&amp;RExhibit SCE-4
TO2019A Formula Rate Spreadsheet</oddHeader>
    <oddFooter>&amp;R31-HVLV</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defaultRowHeight="13.2"/>
  <cols>
    <col min="1" max="1" width="4.6640625" customWidth="1"/>
    <col min="5" max="5" width="3.109375" customWidth="1"/>
    <col min="6" max="6" width="12.6640625" customWidth="1"/>
    <col min="7" max="7" width="22.6640625" customWidth="1"/>
    <col min="8" max="8" width="25.6640625" customWidth="1"/>
  </cols>
  <sheetData>
    <row r="1" spans="1:8">
      <c r="A1" s="1" t="s">
        <v>1637</v>
      </c>
    </row>
    <row r="3" spans="1:8">
      <c r="G3" s="2"/>
    </row>
    <row r="4" spans="1:8">
      <c r="A4" s="3" t="s">
        <v>331</v>
      </c>
      <c r="F4" s="3" t="s">
        <v>284</v>
      </c>
      <c r="G4" s="3" t="s">
        <v>154</v>
      </c>
      <c r="H4" s="51" t="s">
        <v>179</v>
      </c>
    </row>
    <row r="5" spans="1:8">
      <c r="A5" s="2">
        <v>1</v>
      </c>
      <c r="B5" s="477" t="s">
        <v>336</v>
      </c>
      <c r="F5" s="1241">
        <v>86680005.390000001</v>
      </c>
      <c r="G5" s="16"/>
      <c r="H5" t="s">
        <v>361</v>
      </c>
    </row>
    <row r="6" spans="1:8">
      <c r="A6" s="2">
        <v>2</v>
      </c>
      <c r="B6" s="12" t="s">
        <v>337</v>
      </c>
      <c r="F6" s="1241">
        <v>14868</v>
      </c>
      <c r="G6" s="16"/>
      <c r="H6" t="s">
        <v>362</v>
      </c>
    </row>
    <row r="7" spans="1:8" s="999" customFormat="1">
      <c r="A7" s="571">
        <v>3</v>
      </c>
      <c r="B7" s="477" t="s">
        <v>2825</v>
      </c>
      <c r="C7" s="477"/>
      <c r="D7" s="477"/>
      <c r="F7" s="100">
        <v>8618</v>
      </c>
      <c r="G7" s="16"/>
      <c r="H7" s="477" t="s">
        <v>1185</v>
      </c>
    </row>
    <row r="8" spans="1:8">
      <c r="A8" s="2">
        <v>4</v>
      </c>
      <c r="B8" s="50" t="s">
        <v>326</v>
      </c>
      <c r="F8" s="99">
        <f>SUM(F5:F7)</f>
        <v>86703491.390000001</v>
      </c>
      <c r="G8" s="476" t="s">
        <v>2827</v>
      </c>
      <c r="H8" s="12" t="s">
        <v>327</v>
      </c>
    </row>
    <row r="9" spans="1:8">
      <c r="A9" s="2"/>
      <c r="G9" s="16"/>
    </row>
    <row r="10" spans="1:8">
      <c r="A10" s="2"/>
      <c r="G10" s="16"/>
    </row>
    <row r="11" spans="1:8">
      <c r="A11" s="2">
        <v>5</v>
      </c>
      <c r="B11" s="479" t="s">
        <v>2189</v>
      </c>
      <c r="C11" s="14"/>
      <c r="D11" s="14"/>
      <c r="E11" s="37"/>
      <c r="F11" s="1242">
        <v>162441.60000000001</v>
      </c>
      <c r="G11" s="16"/>
      <c r="H11" s="12" t="s">
        <v>361</v>
      </c>
    </row>
    <row r="12" spans="1:8">
      <c r="B12" s="14"/>
      <c r="C12" s="14"/>
      <c r="D12" s="14"/>
    </row>
    <row r="13" spans="1:8">
      <c r="B13" s="14"/>
      <c r="C13" s="14"/>
      <c r="D13" s="14"/>
    </row>
    <row r="14" spans="1:8">
      <c r="B14" s="865" t="s">
        <v>232</v>
      </c>
      <c r="C14" s="14"/>
      <c r="D14" s="14"/>
    </row>
    <row r="15" spans="1:8">
      <c r="B15" s="15" t="s">
        <v>1236</v>
      </c>
      <c r="C15" s="14"/>
      <c r="D15" s="14"/>
    </row>
    <row r="16" spans="1:8">
      <c r="B16" s="15" t="s">
        <v>1237</v>
      </c>
      <c r="C16" s="14"/>
      <c r="D16" s="14"/>
    </row>
    <row r="17" spans="2:8">
      <c r="B17" s="479" t="s">
        <v>1859</v>
      </c>
      <c r="C17" s="14"/>
      <c r="D17" s="14"/>
      <c r="E17" s="14"/>
      <c r="F17" s="14"/>
      <c r="G17" s="14"/>
      <c r="H17" s="14"/>
    </row>
    <row r="18" spans="2:8">
      <c r="B18" s="477" t="s">
        <v>2826</v>
      </c>
    </row>
    <row r="19" spans="2:8" ht="15.6">
      <c r="B19" s="596"/>
    </row>
  </sheetData>
  <pageMargins left="0.7" right="0.7" top="0.75" bottom="0.75" header="0.3" footer="0.3"/>
  <pageSetup orientation="landscape" cellComments="asDisplayed" r:id="rId1"/>
  <headerFooter>
    <oddHeader>&amp;CSchedule 32 
Gross Load
&amp;RExhibit SCE-4
TO2019A Formula Rate Spreadsheet</oddHead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2"/>
  <sheetViews>
    <sheetView zoomScale="90" zoomScaleNormal="90" zoomScalePageLayoutView="75" workbookViewId="0"/>
  </sheetViews>
  <sheetFormatPr defaultColWidth="9.109375" defaultRowHeight="13.2"/>
  <cols>
    <col min="1" max="1" width="5.44140625" style="742" customWidth="1"/>
    <col min="2" max="2" width="18.5546875" style="742" customWidth="1"/>
    <col min="3" max="12" width="15.6640625" style="742" customWidth="1"/>
    <col min="13" max="13" width="15.6640625" style="741" customWidth="1"/>
    <col min="14" max="14" width="15.6640625" style="742" customWidth="1"/>
    <col min="15" max="15" width="9.109375" style="742"/>
    <col min="16" max="16" width="9.88671875" style="742" customWidth="1"/>
    <col min="17" max="16384" width="9.109375" style="742"/>
  </cols>
  <sheetData>
    <row r="1" spans="1:16" ht="15.6">
      <c r="A1" s="738" t="s">
        <v>371</v>
      </c>
      <c r="B1" s="739"/>
      <c r="C1" s="739"/>
      <c r="D1" s="739"/>
      <c r="E1" s="739"/>
      <c r="F1" s="739"/>
      <c r="G1" s="739"/>
      <c r="H1" s="739"/>
      <c r="I1" s="739"/>
      <c r="J1" s="739"/>
      <c r="K1" s="740"/>
      <c r="L1" s="740"/>
    </row>
    <row r="2" spans="1:16" ht="14.25" customHeight="1">
      <c r="A2" s="738"/>
      <c r="B2" s="739"/>
      <c r="C2" s="739"/>
      <c r="D2" s="739"/>
      <c r="E2" s="739"/>
      <c r="F2" s="739"/>
      <c r="G2" s="739"/>
      <c r="H2" s="739"/>
      <c r="I2" s="739"/>
      <c r="J2" s="739"/>
      <c r="K2" s="740"/>
      <c r="L2" s="740"/>
    </row>
    <row r="3" spans="1:16">
      <c r="E3" s="743" t="s">
        <v>179</v>
      </c>
      <c r="K3" s="744"/>
      <c r="L3" s="744"/>
    </row>
    <row r="4" spans="1:16">
      <c r="C4" s="745" t="s">
        <v>1168</v>
      </c>
      <c r="D4" s="746">
        <f>'1-BaseTRR'!K151</f>
        <v>1328294740.8657374</v>
      </c>
      <c r="E4" s="1363" t="s">
        <v>2185</v>
      </c>
      <c r="F4" s="750"/>
      <c r="G4" s="748" t="s">
        <v>451</v>
      </c>
      <c r="H4" s="749"/>
      <c r="J4" s="750"/>
      <c r="K4" s="744"/>
      <c r="L4" s="744"/>
    </row>
    <row r="5" spans="1:16">
      <c r="C5" s="745"/>
      <c r="D5" s="751"/>
      <c r="E5" s="747"/>
      <c r="K5" s="744"/>
      <c r="L5" s="744"/>
    </row>
    <row r="6" spans="1:16" ht="15.6">
      <c r="B6" s="738" t="s">
        <v>1169</v>
      </c>
      <c r="D6" s="745"/>
      <c r="E6" s="751"/>
      <c r="F6" s="747"/>
      <c r="K6" s="744"/>
      <c r="L6" s="744"/>
    </row>
    <row r="7" spans="1:16">
      <c r="C7" s="752" t="s">
        <v>360</v>
      </c>
      <c r="D7" s="752" t="s">
        <v>344</v>
      </c>
      <c r="E7" s="752" t="s">
        <v>345</v>
      </c>
      <c r="F7" s="791" t="s">
        <v>346</v>
      </c>
      <c r="G7" s="791" t="s">
        <v>347</v>
      </c>
      <c r="H7" s="791" t="s">
        <v>348</v>
      </c>
      <c r="I7" s="791" t="s">
        <v>349</v>
      </c>
      <c r="J7" s="791" t="s">
        <v>541</v>
      </c>
      <c r="K7" s="791" t="s">
        <v>958</v>
      </c>
      <c r="L7" s="791" t="s">
        <v>971</v>
      </c>
      <c r="M7" s="791" t="s">
        <v>974</v>
      </c>
      <c r="N7" s="743" t="s">
        <v>992</v>
      </c>
      <c r="O7" s="743" t="s">
        <v>1478</v>
      </c>
      <c r="P7" s="743" t="s">
        <v>1479</v>
      </c>
    </row>
    <row r="8" spans="1:16">
      <c r="C8" s="780" t="s">
        <v>361</v>
      </c>
      <c r="D8" s="750"/>
      <c r="E8" s="780" t="s">
        <v>362</v>
      </c>
      <c r="F8" s="780" t="s">
        <v>1170</v>
      </c>
      <c r="G8" s="780" t="s">
        <v>1185</v>
      </c>
      <c r="H8" s="780" t="s">
        <v>1187</v>
      </c>
      <c r="I8" s="780" t="s">
        <v>1188</v>
      </c>
      <c r="J8" s="780" t="s">
        <v>1189</v>
      </c>
      <c r="K8" s="750"/>
      <c r="L8" s="750"/>
    </row>
    <row r="9" spans="1:16" s="756" customFormat="1">
      <c r="A9" s="754"/>
      <c r="B9" s="754"/>
      <c r="C9" s="752"/>
      <c r="D9" s="755"/>
      <c r="E9" s="1418" t="s">
        <v>2111</v>
      </c>
      <c r="F9" s="1419"/>
      <c r="G9" s="1419"/>
      <c r="H9" s="1420"/>
      <c r="I9" s="1421"/>
      <c r="J9" s="1347"/>
      <c r="K9" s="1048"/>
      <c r="L9" s="780" t="s">
        <v>2247</v>
      </c>
      <c r="M9" s="780" t="s">
        <v>2247</v>
      </c>
      <c r="N9" s="780" t="s">
        <v>2247</v>
      </c>
    </row>
    <row r="10" spans="1:16" s="1314" customFormat="1" ht="128.25" customHeight="1">
      <c r="A10" s="1312"/>
      <c r="B10" s="1312"/>
      <c r="C10" s="757"/>
      <c r="D10" s="1361" t="s">
        <v>2112</v>
      </c>
      <c r="E10" s="1049" t="s">
        <v>2248</v>
      </c>
      <c r="F10" s="1049" t="s">
        <v>2249</v>
      </c>
      <c r="G10" s="1050" t="s">
        <v>2240</v>
      </c>
      <c r="H10" s="1049" t="s">
        <v>2113</v>
      </c>
      <c r="I10" s="1049" t="s">
        <v>2114</v>
      </c>
      <c r="J10" s="1362" t="s">
        <v>2250</v>
      </c>
      <c r="K10" s="1361" t="s">
        <v>2251</v>
      </c>
      <c r="L10" s="1361" t="s">
        <v>2252</v>
      </c>
      <c r="M10" s="1059" t="s">
        <v>2115</v>
      </c>
      <c r="N10" s="1349"/>
      <c r="O10" s="1350"/>
      <c r="P10" s="1313"/>
    </row>
    <row r="11" spans="1:16" s="1315" customFormat="1" ht="55.2" customHeight="1">
      <c r="A11" s="743" t="s">
        <v>321</v>
      </c>
      <c r="B11" s="758" t="s">
        <v>1171</v>
      </c>
      <c r="C11" s="759" t="s">
        <v>1172</v>
      </c>
      <c r="D11" s="760" t="s">
        <v>1173</v>
      </c>
      <c r="E11" s="758" t="s">
        <v>2253</v>
      </c>
      <c r="F11" s="798" t="s">
        <v>2254</v>
      </c>
      <c r="G11" s="1060" t="s">
        <v>2241</v>
      </c>
      <c r="H11" s="758" t="s">
        <v>2117</v>
      </c>
      <c r="I11" s="758" t="s">
        <v>2118</v>
      </c>
      <c r="J11" s="758" t="s">
        <v>2242</v>
      </c>
      <c r="K11" s="762" t="s">
        <v>2119</v>
      </c>
      <c r="L11" s="763" t="s">
        <v>2120</v>
      </c>
      <c r="M11" s="761" t="s">
        <v>2116</v>
      </c>
      <c r="N11" s="758" t="s">
        <v>2117</v>
      </c>
      <c r="O11" s="758" t="s">
        <v>2118</v>
      </c>
      <c r="P11" s="758" t="s">
        <v>168</v>
      </c>
    </row>
    <row r="12" spans="1:16" s="783" customFormat="1">
      <c r="A12" s="764" t="s">
        <v>583</v>
      </c>
      <c r="B12" s="482" t="s">
        <v>2099</v>
      </c>
      <c r="C12" s="1077">
        <f>M115</f>
        <v>0.41715756295892231</v>
      </c>
      <c r="D12" s="767">
        <f>$D$4*C12</f>
        <v>554108196.9907043</v>
      </c>
      <c r="E12" s="983">
        <v>28442.665725131195</v>
      </c>
      <c r="F12" s="789"/>
      <c r="G12" s="1143">
        <v>1431.1169319999999</v>
      </c>
      <c r="H12" s="984">
        <v>0</v>
      </c>
      <c r="I12" s="985">
        <v>1.2E-2</v>
      </c>
      <c r="J12" s="1078">
        <f>(E12+F12)-G12</f>
        <v>27011.548793131195</v>
      </c>
      <c r="K12" s="1316">
        <f>D12/(J12*10^6)</f>
        <v>2.0513751404421847E-2</v>
      </c>
      <c r="L12" s="765"/>
      <c r="N12" s="740"/>
      <c r="O12" s="739"/>
      <c r="P12" s="780"/>
    </row>
    <row r="13" spans="1:16" s="783" customFormat="1" ht="13.8" thickBot="1">
      <c r="A13" s="764" t="s">
        <v>585</v>
      </c>
      <c r="B13" s="482" t="s">
        <v>2858</v>
      </c>
      <c r="C13" s="1077">
        <f>M116</f>
        <v>7.7722971549576289E-2</v>
      </c>
      <c r="D13" s="767">
        <f t="shared" ref="D13:D26" si="0">$D$4*C13</f>
        <v>103239014.35375953</v>
      </c>
      <c r="E13" s="983">
        <v>5910.7051936480202</v>
      </c>
      <c r="F13" s="789"/>
      <c r="G13" s="1143">
        <v>10.965268999999999</v>
      </c>
      <c r="H13" s="984">
        <v>0</v>
      </c>
      <c r="I13" s="985">
        <v>0</v>
      </c>
      <c r="J13" s="1078">
        <f t="shared" ref="J13:J27" si="1">(E13+F13)-G13</f>
        <v>5899.73992464802</v>
      </c>
      <c r="K13" s="1316">
        <f>D13/(J13*10^6)</f>
        <v>1.749890938792845E-2</v>
      </c>
      <c r="L13" s="765"/>
      <c r="M13" s="990">
        <v>5942.3050000000003</v>
      </c>
      <c r="N13" s="991">
        <v>29137</v>
      </c>
      <c r="O13" s="992">
        <v>0</v>
      </c>
      <c r="P13" s="780"/>
    </row>
    <row r="14" spans="1:16" s="783" customFormat="1" ht="16.2" thickBot="1">
      <c r="A14" s="764" t="s">
        <v>2121</v>
      </c>
      <c r="B14" s="482" t="s">
        <v>2869</v>
      </c>
      <c r="C14" s="1317"/>
      <c r="D14" s="1317"/>
      <c r="E14" s="986">
        <v>0</v>
      </c>
      <c r="F14" s="789"/>
      <c r="G14" s="789"/>
      <c r="H14" s="986"/>
      <c r="I14" s="986"/>
      <c r="J14" s="1078">
        <f t="shared" si="1"/>
        <v>0</v>
      </c>
      <c r="K14" s="766"/>
      <c r="L14" s="1318">
        <f>N14</f>
        <v>3.568790772915337</v>
      </c>
      <c r="M14" s="1319">
        <f>K13*M13*10^6</f>
        <v>103983856.75043418</v>
      </c>
      <c r="N14" s="1320">
        <f>M14/((N13+O13)*10^3)</f>
        <v>3.568790772915337</v>
      </c>
      <c r="O14" s="1321"/>
      <c r="P14" s="1051" t="s">
        <v>2255</v>
      </c>
    </row>
    <row r="15" spans="1:16" s="783" customFormat="1">
      <c r="A15" s="764" t="s">
        <v>588</v>
      </c>
      <c r="B15" s="482" t="s">
        <v>2100</v>
      </c>
      <c r="C15" s="1077">
        <f t="shared" ref="C15:C26" si="2">M117</f>
        <v>4.8821729011409675E-4</v>
      </c>
      <c r="D15" s="767">
        <f t="shared" si="0"/>
        <v>648496.45885827672</v>
      </c>
      <c r="E15" s="983">
        <v>57.65441525896685</v>
      </c>
      <c r="F15" s="789"/>
      <c r="G15" s="789"/>
      <c r="H15" s="984">
        <v>0</v>
      </c>
      <c r="I15" s="985"/>
      <c r="J15" s="1078">
        <f t="shared" si="1"/>
        <v>57.65441525896685</v>
      </c>
      <c r="K15" s="1316">
        <f>D15/(J15*10^6)</f>
        <v>1.1247992993171805E-2</v>
      </c>
      <c r="L15" s="765"/>
      <c r="N15" s="740"/>
      <c r="O15" s="739"/>
      <c r="P15" s="780"/>
    </row>
    <row r="16" spans="1:16" s="783" customFormat="1">
      <c r="A16" s="764" t="s">
        <v>1174</v>
      </c>
      <c r="B16" s="482" t="s">
        <v>2860</v>
      </c>
      <c r="C16" s="1077">
        <f t="shared" si="2"/>
        <v>0.16512300329148344</v>
      </c>
      <c r="D16" s="767">
        <f t="shared" si="0"/>
        <v>219332016.86803329</v>
      </c>
      <c r="E16" s="983">
        <v>13099.623737986469</v>
      </c>
      <c r="F16" s="789"/>
      <c r="G16" s="1143">
        <v>60.681649</v>
      </c>
      <c r="H16" s="984">
        <v>44897.048691843833</v>
      </c>
      <c r="I16" s="985">
        <v>36</v>
      </c>
      <c r="J16" s="1078">
        <f t="shared" si="1"/>
        <v>13038.942088986469</v>
      </c>
      <c r="K16" s="765"/>
      <c r="L16" s="1322">
        <f t="shared" ref="L16:L25" si="3">D16/((I16+H16)*10^3)</f>
        <v>4.8813072616603037</v>
      </c>
      <c r="N16" s="740"/>
      <c r="O16" s="1323"/>
      <c r="P16" s="780"/>
    </row>
    <row r="17" spans="1:16" s="783" customFormat="1">
      <c r="A17" s="764" t="s">
        <v>1175</v>
      </c>
      <c r="B17" s="482" t="s">
        <v>2101</v>
      </c>
      <c r="C17" s="1077">
        <f t="shared" si="2"/>
        <v>9.1109534503765688E-2</v>
      </c>
      <c r="D17" s="767">
        <f t="shared" si="0"/>
        <v>121020315.52407742</v>
      </c>
      <c r="E17" s="983">
        <v>7839.7227893620366</v>
      </c>
      <c r="F17" s="789"/>
      <c r="G17" s="1143">
        <v>67.631294999999994</v>
      </c>
      <c r="H17" s="984">
        <v>22682.823241736238</v>
      </c>
      <c r="I17" s="985">
        <v>70</v>
      </c>
      <c r="J17" s="1078">
        <f t="shared" si="1"/>
        <v>7772.0914943620364</v>
      </c>
      <c r="K17" s="765"/>
      <c r="L17" s="1322">
        <f t="shared" si="3"/>
        <v>5.3189142392705779</v>
      </c>
      <c r="N17" s="740"/>
      <c r="O17" s="1323"/>
      <c r="P17" s="780"/>
    </row>
    <row r="18" spans="1:16" s="783" customFormat="1">
      <c r="A18" s="764" t="s">
        <v>1176</v>
      </c>
      <c r="B18" s="482" t="s">
        <v>2102</v>
      </c>
      <c r="C18" s="1077">
        <f t="shared" si="2"/>
        <v>8.786516797636329E-2</v>
      </c>
      <c r="D18" s="767">
        <f t="shared" si="0"/>
        <v>116710840.52828796</v>
      </c>
      <c r="E18" s="987">
        <v>8054.7949481649785</v>
      </c>
      <c r="F18" s="789"/>
      <c r="G18" s="1143">
        <v>36.841942000000003</v>
      </c>
      <c r="H18" s="988">
        <v>20531.249905383705</v>
      </c>
      <c r="I18" s="989"/>
      <c r="J18" s="1078">
        <f t="shared" si="1"/>
        <v>8017.9530061649784</v>
      </c>
      <c r="K18" s="765"/>
      <c r="L18" s="1322">
        <f t="shared" si="3"/>
        <v>5.6845462924146686</v>
      </c>
      <c r="N18" s="740"/>
      <c r="O18" s="1323"/>
      <c r="P18" s="780"/>
    </row>
    <row r="19" spans="1:16" s="783" customFormat="1">
      <c r="A19" s="764" t="s">
        <v>1177</v>
      </c>
      <c r="B19" s="482" t="s">
        <v>2103</v>
      </c>
      <c r="C19" s="1077">
        <f t="shared" si="2"/>
        <v>5.8332062030947623E-2</v>
      </c>
      <c r="D19" s="767">
        <f t="shared" si="0"/>
        <v>77482171.219561696</v>
      </c>
      <c r="E19" s="987">
        <v>5509.0234073804368</v>
      </c>
      <c r="F19" s="789"/>
      <c r="G19" s="1143">
        <v>23.47401</v>
      </c>
      <c r="H19" s="988">
        <v>12816.540281423206</v>
      </c>
      <c r="I19" s="989"/>
      <c r="J19" s="1078">
        <f t="shared" si="1"/>
        <v>5485.5493973804369</v>
      </c>
      <c r="K19" s="765"/>
      <c r="L19" s="1322">
        <f t="shared" si="3"/>
        <v>6.0454825965683874</v>
      </c>
      <c r="N19" s="740"/>
      <c r="O19" s="1323"/>
      <c r="P19" s="780"/>
    </row>
    <row r="20" spans="1:16" s="783" customFormat="1">
      <c r="A20" s="764" t="s">
        <v>1178</v>
      </c>
      <c r="B20" s="482" t="s">
        <v>2104</v>
      </c>
      <c r="C20" s="1077">
        <f t="shared" si="2"/>
        <v>6.3225171793126492E-2</v>
      </c>
      <c r="D20" s="767">
        <f t="shared" si="0"/>
        <v>83981663.183142692</v>
      </c>
      <c r="E20" s="987">
        <v>5868.347711666559</v>
      </c>
      <c r="F20" s="789"/>
      <c r="G20" s="1143">
        <v>0.34428500000000001</v>
      </c>
      <c r="H20" s="988">
        <v>11893.803925166892</v>
      </c>
      <c r="I20" s="989"/>
      <c r="J20" s="1078">
        <f t="shared" si="1"/>
        <v>5868.0034266665589</v>
      </c>
      <c r="K20" s="765"/>
      <c r="L20" s="1322">
        <f t="shared" si="3"/>
        <v>7.0609591104356699</v>
      </c>
      <c r="N20" s="1324"/>
      <c r="O20" s="1325"/>
      <c r="P20" s="780"/>
    </row>
    <row r="21" spans="1:16" s="783" customFormat="1">
      <c r="A21" s="764" t="s">
        <v>1179</v>
      </c>
      <c r="B21" s="482" t="s">
        <v>2105</v>
      </c>
      <c r="C21" s="1077">
        <f t="shared" si="2"/>
        <v>9.4129449672762362E-4</v>
      </c>
      <c r="D21" s="767">
        <f t="shared" si="0"/>
        <v>1250316.5296091635</v>
      </c>
      <c r="E21" s="988">
        <v>113.334082</v>
      </c>
      <c r="F21" s="988">
        <v>96.768373999999994</v>
      </c>
      <c r="G21" s="1143"/>
      <c r="H21" s="988">
        <v>324.75900000000001</v>
      </c>
      <c r="I21" s="989">
        <v>284.89100000000002</v>
      </c>
      <c r="J21" s="1078">
        <f t="shared" si="1"/>
        <v>210.10245599999999</v>
      </c>
      <c r="K21" s="765"/>
      <c r="L21" s="1322">
        <f t="shared" si="3"/>
        <v>2.0508759609762377</v>
      </c>
      <c r="N21" s="1326"/>
      <c r="O21" s="1327"/>
      <c r="P21" s="780"/>
    </row>
    <row r="22" spans="1:16" s="783" customFormat="1">
      <c r="A22" s="764" t="s">
        <v>1180</v>
      </c>
      <c r="B22" s="482" t="s">
        <v>2106</v>
      </c>
      <c r="C22" s="1077">
        <f t="shared" si="2"/>
        <v>2.0312693233991161E-3</v>
      </c>
      <c r="D22" s="767">
        <f t="shared" si="0"/>
        <v>2698124.3595529506</v>
      </c>
      <c r="E22" s="988">
        <v>534.32201499999996</v>
      </c>
      <c r="F22" s="988">
        <v>243.32826499999999</v>
      </c>
      <c r="G22" s="1143"/>
      <c r="H22" s="988">
        <v>1309.7729999999999</v>
      </c>
      <c r="I22" s="989">
        <v>1372.845</v>
      </c>
      <c r="J22" s="1078">
        <f t="shared" si="1"/>
        <v>777.65027999999995</v>
      </c>
      <c r="K22" s="765"/>
      <c r="L22" s="1322">
        <f t="shared" si="3"/>
        <v>1.0057803084721533</v>
      </c>
      <c r="N22" s="1326"/>
      <c r="O22" s="1327"/>
      <c r="P22" s="780"/>
    </row>
    <row r="23" spans="1:16" s="783" customFormat="1">
      <c r="A23" s="764" t="s">
        <v>1181</v>
      </c>
      <c r="B23" s="482" t="s">
        <v>2107</v>
      </c>
      <c r="C23" s="1077">
        <f t="shared" si="2"/>
        <v>4.1530365638655139E-3</v>
      </c>
      <c r="D23" s="767">
        <f t="shared" si="0"/>
        <v>5516456.626405675</v>
      </c>
      <c r="E23" s="988">
        <v>1671.8327079999999</v>
      </c>
      <c r="F23" s="988">
        <v>559.65611000000001</v>
      </c>
      <c r="G23" s="1143"/>
      <c r="H23" s="988">
        <v>3308.7579999999998</v>
      </c>
      <c r="I23" s="989">
        <v>8393.759</v>
      </c>
      <c r="J23" s="1078">
        <f t="shared" si="1"/>
        <v>2231.4888179999998</v>
      </c>
      <c r="K23" s="765"/>
      <c r="L23" s="1322">
        <f t="shared" si="3"/>
        <v>0.47139060993508275</v>
      </c>
      <c r="N23" s="1324"/>
      <c r="O23" s="1325"/>
      <c r="P23" s="780"/>
    </row>
    <row r="24" spans="1:16" s="783" customFormat="1">
      <c r="A24" s="764" t="s">
        <v>1182</v>
      </c>
      <c r="B24" s="482" t="s">
        <v>2108</v>
      </c>
      <c r="C24" s="1077">
        <f t="shared" si="2"/>
        <v>1.5693804876949012E-2</v>
      </c>
      <c r="D24" s="767">
        <f t="shared" si="0"/>
        <v>20845998.482224435</v>
      </c>
      <c r="E24" s="983">
        <v>1816.152596448351</v>
      </c>
      <c r="F24" s="789"/>
      <c r="G24" s="1143">
        <v>6.0771559999999996</v>
      </c>
      <c r="H24" s="983">
        <v>8121.2567213684442</v>
      </c>
      <c r="I24" s="983">
        <v>0.51600000000000001</v>
      </c>
      <c r="J24" s="1078">
        <f t="shared" si="1"/>
        <v>1810.0754404483509</v>
      </c>
      <c r="K24" s="765"/>
      <c r="L24" s="1322">
        <f t="shared" si="3"/>
        <v>2.5666808463352413</v>
      </c>
      <c r="N24" s="1328"/>
      <c r="O24" s="1328"/>
      <c r="P24" s="1329"/>
    </row>
    <row r="25" spans="1:16" s="783" customFormat="1">
      <c r="A25" s="764" t="s">
        <v>1183</v>
      </c>
      <c r="B25" s="482" t="s">
        <v>2109</v>
      </c>
      <c r="C25" s="1077">
        <f t="shared" si="2"/>
        <v>1.1853497445840093E-2</v>
      </c>
      <c r="D25" s="767">
        <f t="shared" si="0"/>
        <v>15744938.318174846</v>
      </c>
      <c r="E25" s="983">
        <v>1453.6399206185063</v>
      </c>
      <c r="F25" s="789"/>
      <c r="G25" s="1143">
        <v>16.064630000000001</v>
      </c>
      <c r="H25" s="983">
        <v>4933.4076605278942</v>
      </c>
      <c r="I25" s="983">
        <v>8.2040000000000006</v>
      </c>
      <c r="J25" s="1078">
        <f t="shared" si="1"/>
        <v>1437.5752906185062</v>
      </c>
      <c r="K25" s="765"/>
      <c r="L25" s="1322">
        <f t="shared" si="3"/>
        <v>3.1861949905818525</v>
      </c>
      <c r="M25" s="1323"/>
      <c r="N25" s="739"/>
      <c r="O25" s="747"/>
      <c r="P25" s="780"/>
    </row>
    <row r="26" spans="1:16" s="783" customFormat="1">
      <c r="A26" s="764" t="s">
        <v>1184</v>
      </c>
      <c r="B26" s="482" t="s">
        <v>2110</v>
      </c>
      <c r="C26" s="1077">
        <f t="shared" si="2"/>
        <v>4.3034058989195444E-3</v>
      </c>
      <c r="D26" s="767">
        <f t="shared" si="0"/>
        <v>5716191.4233454224</v>
      </c>
      <c r="E26" s="983">
        <v>698.31266766750207</v>
      </c>
      <c r="F26" s="789"/>
      <c r="G26" s="789"/>
      <c r="H26" s="984">
        <v>0</v>
      </c>
      <c r="I26" s="985"/>
      <c r="J26" s="1078">
        <f t="shared" si="1"/>
        <v>698.31266766750207</v>
      </c>
      <c r="K26" s="1316">
        <f>D26/(J26*10^6)</f>
        <v>8.1857192172076661E-3</v>
      </c>
      <c r="L26" s="765"/>
      <c r="M26" s="739"/>
      <c r="N26" s="739"/>
      <c r="O26" s="747"/>
      <c r="P26" s="780"/>
    </row>
    <row r="27" spans="1:16" s="783" customFormat="1">
      <c r="A27" s="764" t="s">
        <v>1186</v>
      </c>
      <c r="B27" s="768" t="s">
        <v>76</v>
      </c>
      <c r="C27" s="1077"/>
      <c r="D27" s="767"/>
      <c r="E27" s="983"/>
      <c r="F27" s="789"/>
      <c r="G27" s="789"/>
      <c r="H27" s="984"/>
      <c r="I27" s="985"/>
      <c r="J27" s="1078">
        <f t="shared" si="1"/>
        <v>0</v>
      </c>
      <c r="K27" s="1316"/>
      <c r="L27" s="765"/>
      <c r="M27" s="739"/>
      <c r="N27" s="739"/>
      <c r="O27" s="747"/>
      <c r="P27" s="780"/>
    </row>
    <row r="28" spans="1:16" s="783" customFormat="1">
      <c r="A28" s="764">
        <v>2</v>
      </c>
      <c r="B28" s="485" t="s">
        <v>197</v>
      </c>
      <c r="C28" s="1356">
        <f t="shared" ref="C28:D28" si="4">SUM(C12:C27)</f>
        <v>1.0000000000000002</v>
      </c>
      <c r="D28" s="1358">
        <f t="shared" si="4"/>
        <v>1328294740.8657377</v>
      </c>
      <c r="E28" s="1355">
        <f t="shared" ref="E28:J28" si="5">SUM(E12:E27)</f>
        <v>81070.131918333005</v>
      </c>
      <c r="F28" s="1355">
        <f t="shared" si="5"/>
        <v>899.75274899999999</v>
      </c>
      <c r="G28" s="1355">
        <f t="shared" si="5"/>
        <v>1653.1971679999999</v>
      </c>
      <c r="H28" s="1355">
        <f t="shared" si="5"/>
        <v>130819.42042745023</v>
      </c>
      <c r="I28" s="1355">
        <f t="shared" si="5"/>
        <v>10166.226999999999</v>
      </c>
      <c r="J28" s="1355">
        <f t="shared" si="5"/>
        <v>80316.687499333013</v>
      </c>
      <c r="K28" s="753"/>
      <c r="L28" s="739"/>
      <c r="M28" s="739"/>
      <c r="N28" s="739"/>
      <c r="O28" s="739"/>
      <c r="P28" s="780"/>
    </row>
    <row r="29" spans="1:16" s="750" customFormat="1">
      <c r="A29" s="764">
        <f>A28+1</f>
        <v>3</v>
      </c>
      <c r="B29" s="742"/>
      <c r="C29" s="742"/>
      <c r="D29" s="742"/>
      <c r="E29" s="742"/>
      <c r="F29" s="742"/>
      <c r="G29" s="742"/>
      <c r="H29" s="742"/>
      <c r="I29" s="742"/>
      <c r="J29" s="769"/>
      <c r="K29" s="769"/>
      <c r="M29" s="741"/>
    </row>
    <row r="30" spans="1:16" s="750" customFormat="1">
      <c r="A30" s="764">
        <f t="shared" ref="A30:A34" si="6">A29+1</f>
        <v>4</v>
      </c>
      <c r="B30" s="742"/>
      <c r="C30" s="742"/>
      <c r="D30" s="742"/>
      <c r="E30" s="742"/>
      <c r="G30" s="1052"/>
      <c r="I30" s="791"/>
      <c r="J30" s="770"/>
      <c r="K30" s="770"/>
      <c r="L30" s="770"/>
      <c r="M30" s="741"/>
    </row>
    <row r="31" spans="1:16" s="750" customFormat="1" ht="15.6">
      <c r="A31" s="764">
        <f t="shared" si="6"/>
        <v>5</v>
      </c>
      <c r="B31" s="1061" t="s">
        <v>2256</v>
      </c>
      <c r="C31" s="742"/>
      <c r="D31" s="742"/>
      <c r="E31" s="742"/>
      <c r="F31" s="742"/>
      <c r="G31" s="742"/>
      <c r="H31" s="742"/>
      <c r="I31" s="742"/>
      <c r="J31" s="742"/>
      <c r="K31" s="742"/>
      <c r="L31" s="742"/>
      <c r="M31" s="741"/>
    </row>
    <row r="32" spans="1:16" s="783" customFormat="1">
      <c r="A32" s="764">
        <f t="shared" si="6"/>
        <v>6</v>
      </c>
      <c r="B32" s="739"/>
      <c r="C32" s="752" t="s">
        <v>360</v>
      </c>
      <c r="D32" s="752" t="s">
        <v>344</v>
      </c>
      <c r="E32" s="752" t="s">
        <v>345</v>
      </c>
      <c r="F32" s="752" t="s">
        <v>346</v>
      </c>
      <c r="G32" s="752" t="s">
        <v>347</v>
      </c>
      <c r="H32" s="752" t="s">
        <v>348</v>
      </c>
      <c r="I32" s="752" t="s">
        <v>349</v>
      </c>
      <c r="J32" s="752" t="s">
        <v>541</v>
      </c>
      <c r="K32" s="739"/>
      <c r="M32" s="780"/>
    </row>
    <row r="33" spans="1:13" s="1314" customFormat="1" ht="26.4">
      <c r="A33" s="764">
        <f t="shared" si="6"/>
        <v>7</v>
      </c>
      <c r="B33" s="1312"/>
      <c r="C33" s="1313" t="s">
        <v>2122</v>
      </c>
      <c r="D33" s="1351" t="s">
        <v>2257</v>
      </c>
      <c r="E33" s="1351" t="s">
        <v>2258</v>
      </c>
      <c r="F33" s="1360"/>
      <c r="H33" s="1050" t="s">
        <v>2122</v>
      </c>
      <c r="I33" s="1050" t="s">
        <v>1190</v>
      </c>
      <c r="J33" s="1352" t="s">
        <v>2259</v>
      </c>
      <c r="K33" s="1062"/>
      <c r="L33" s="1062"/>
      <c r="M33" s="1062"/>
    </row>
    <row r="34" spans="1:13" s="783" customFormat="1">
      <c r="A34" s="764">
        <f t="shared" si="6"/>
        <v>8</v>
      </c>
      <c r="B34" s="739"/>
      <c r="C34" s="752"/>
      <c r="D34" s="752"/>
      <c r="E34" s="752"/>
      <c r="F34" s="1063"/>
      <c r="K34" s="1063"/>
      <c r="L34" s="1063"/>
      <c r="M34" s="1064"/>
    </row>
    <row r="35" spans="1:13" s="774" customFormat="1" ht="52.8">
      <c r="A35" s="764">
        <v>9</v>
      </c>
      <c r="B35" s="772" t="s">
        <v>1171</v>
      </c>
      <c r="C35" s="763" t="s">
        <v>2260</v>
      </c>
      <c r="D35" s="772" t="s">
        <v>2261</v>
      </c>
      <c r="E35" s="772" t="s">
        <v>2262</v>
      </c>
      <c r="F35" s="1065"/>
      <c r="G35" s="772" t="s">
        <v>1171</v>
      </c>
      <c r="H35" s="772" t="s">
        <v>2263</v>
      </c>
      <c r="I35" s="772" t="s">
        <v>2264</v>
      </c>
      <c r="J35" s="772" t="s">
        <v>2265</v>
      </c>
      <c r="K35" s="1065"/>
      <c r="L35" s="1066"/>
      <c r="M35" s="1066"/>
    </row>
    <row r="36" spans="1:13" s="777" customFormat="1">
      <c r="A36" s="775" t="s">
        <v>2123</v>
      </c>
      <c r="B36" s="776" t="s">
        <v>2105</v>
      </c>
      <c r="C36" s="1067">
        <f>D21</f>
        <v>1250316.5296091635</v>
      </c>
      <c r="D36" s="1330">
        <f>I21</f>
        <v>284.89100000000002</v>
      </c>
      <c r="E36" s="1331">
        <f>C36/D36/10^3</f>
        <v>4.3887540484226015</v>
      </c>
      <c r="F36" s="1068"/>
      <c r="G36" s="776" t="s">
        <v>2102</v>
      </c>
      <c r="H36" s="767">
        <f>D18</f>
        <v>116710840.52828796</v>
      </c>
      <c r="I36" s="1058">
        <f>H18+H21</f>
        <v>20856.008905383707</v>
      </c>
      <c r="J36" s="777">
        <f>H36/(I36*10^3)</f>
        <v>5.5960294732210523</v>
      </c>
      <c r="K36" s="1069"/>
      <c r="L36" s="1070"/>
      <c r="M36" s="1068"/>
    </row>
    <row r="37" spans="1:13" s="777" customFormat="1">
      <c r="A37" s="775" t="s">
        <v>2124</v>
      </c>
      <c r="B37" s="776" t="s">
        <v>2106</v>
      </c>
      <c r="C37" s="1067">
        <f>D22</f>
        <v>2698124.3595529506</v>
      </c>
      <c r="D37" s="1330">
        <f>I22</f>
        <v>1372.845</v>
      </c>
      <c r="E37" s="1331">
        <f t="shared" ref="E37:E38" si="7">C37/D37/10^3</f>
        <v>1.9653525048734202</v>
      </c>
      <c r="F37" s="1068"/>
      <c r="G37" s="776" t="s">
        <v>2103</v>
      </c>
      <c r="H37" s="767">
        <f t="shared" ref="H37:H38" si="8">D19</f>
        <v>77482171.219561696</v>
      </c>
      <c r="I37" s="1058">
        <f t="shared" ref="I37:I38" si="9">H19+H22</f>
        <v>14126.313281423205</v>
      </c>
      <c r="J37" s="777">
        <f t="shared" ref="J37:J38" si="10">H37/(I37*10^3)</f>
        <v>5.4849534819148138</v>
      </c>
      <c r="K37" s="1069"/>
      <c r="L37" s="1070"/>
      <c r="M37" s="1068"/>
    </row>
    <row r="38" spans="1:13" s="777" customFormat="1">
      <c r="A38" s="775" t="s">
        <v>2125</v>
      </c>
      <c r="B38" s="776" t="s">
        <v>2107</v>
      </c>
      <c r="C38" s="1067">
        <f>D23</f>
        <v>5516456.626405675</v>
      </c>
      <c r="D38" s="1330">
        <f>I23</f>
        <v>8393.759</v>
      </c>
      <c r="E38" s="1331">
        <f t="shared" si="7"/>
        <v>0.65720931782836212</v>
      </c>
      <c r="F38" s="1068"/>
      <c r="G38" s="776" t="s">
        <v>2104</v>
      </c>
      <c r="H38" s="767">
        <f t="shared" si="8"/>
        <v>83981663.183142692</v>
      </c>
      <c r="I38" s="1058">
        <f t="shared" si="9"/>
        <v>15202.561925166892</v>
      </c>
      <c r="J38" s="777">
        <f t="shared" si="10"/>
        <v>5.5241783323451745</v>
      </c>
      <c r="K38" s="1069"/>
      <c r="L38" s="1070"/>
      <c r="M38" s="1068"/>
    </row>
    <row r="39" spans="1:13" s="783" customFormat="1">
      <c r="A39" s="775" t="s">
        <v>2126</v>
      </c>
      <c r="B39" s="768" t="s">
        <v>76</v>
      </c>
      <c r="C39" s="752"/>
      <c r="D39" s="752"/>
      <c r="E39" s="752"/>
      <c r="F39" s="752"/>
      <c r="G39" s="768" t="s">
        <v>76</v>
      </c>
      <c r="H39" s="752"/>
      <c r="I39" s="771"/>
      <c r="K39" s="739"/>
      <c r="M39" s="780"/>
    </row>
    <row r="40" spans="1:13" s="750" customFormat="1">
      <c r="A40" s="764">
        <v>10</v>
      </c>
      <c r="B40" s="742"/>
      <c r="C40" s="752"/>
      <c r="D40" s="752"/>
      <c r="E40" s="752"/>
      <c r="F40" s="752"/>
      <c r="G40" s="752"/>
      <c r="H40" s="752"/>
      <c r="I40" s="771"/>
      <c r="K40" s="742"/>
      <c r="M40" s="741"/>
    </row>
    <row r="41" spans="1:13" s="783" customFormat="1">
      <c r="A41" s="764">
        <v>11</v>
      </c>
      <c r="B41" s="1341" t="s">
        <v>1646</v>
      </c>
      <c r="C41" s="739"/>
      <c r="D41" s="739"/>
      <c r="E41" s="739"/>
      <c r="G41" s="739"/>
      <c r="H41" s="739"/>
      <c r="I41" s="739"/>
      <c r="J41" s="739"/>
      <c r="K41" s="739"/>
      <c r="L41" s="739"/>
      <c r="M41" s="780"/>
    </row>
    <row r="42" spans="1:13" s="783" customFormat="1">
      <c r="A42" s="764">
        <v>12</v>
      </c>
      <c r="B42" s="739"/>
      <c r="C42" s="752" t="s">
        <v>360</v>
      </c>
      <c r="D42" s="752" t="s">
        <v>344</v>
      </c>
      <c r="E42" s="752" t="s">
        <v>345</v>
      </c>
      <c r="F42" s="752" t="s">
        <v>346</v>
      </c>
      <c r="G42" s="752" t="s">
        <v>347</v>
      </c>
      <c r="H42" s="752" t="s">
        <v>348</v>
      </c>
      <c r="I42" s="752" t="s">
        <v>349</v>
      </c>
      <c r="J42" s="752" t="s">
        <v>541</v>
      </c>
      <c r="K42" s="752" t="s">
        <v>958</v>
      </c>
      <c r="L42" s="752" t="s">
        <v>971</v>
      </c>
      <c r="M42" s="752" t="s">
        <v>974</v>
      </c>
    </row>
    <row r="43" spans="1:13" s="1314" customFormat="1" ht="39.6">
      <c r="A43" s="779">
        <v>13</v>
      </c>
      <c r="B43" s="1312"/>
      <c r="C43" s="1351" t="s">
        <v>2266</v>
      </c>
      <c r="D43" s="1351" t="s">
        <v>2267</v>
      </c>
      <c r="E43" s="1351" t="s">
        <v>2268</v>
      </c>
      <c r="G43" s="1351" t="s">
        <v>2269</v>
      </c>
      <c r="H43" s="1351" t="s">
        <v>2270</v>
      </c>
      <c r="I43" s="1351" t="s">
        <v>2271</v>
      </c>
      <c r="J43" s="1351" t="s">
        <v>2127</v>
      </c>
      <c r="K43" s="1351" t="s">
        <v>2128</v>
      </c>
      <c r="L43" s="793"/>
      <c r="M43" s="1351" t="s">
        <v>2269</v>
      </c>
    </row>
    <row r="44" spans="1:13" s="783" customFormat="1">
      <c r="A44" s="764">
        <v>14</v>
      </c>
      <c r="B44" s="739"/>
      <c r="C44" s="780"/>
      <c r="D44" s="1359" t="s">
        <v>2243</v>
      </c>
      <c r="E44" s="1053"/>
      <c r="G44" s="780"/>
      <c r="H44" s="780" t="s">
        <v>2244</v>
      </c>
      <c r="I44" s="780" t="s">
        <v>2272</v>
      </c>
      <c r="J44" s="780"/>
      <c r="K44" s="780"/>
      <c r="L44" s="780"/>
      <c r="M44" s="1048"/>
    </row>
    <row r="45" spans="1:13" s="1315" customFormat="1" ht="66">
      <c r="A45" s="764">
        <v>15</v>
      </c>
      <c r="B45" s="761" t="str">
        <f>B11</f>
        <v>CPUC Rate Group</v>
      </c>
      <c r="C45" s="763" t="s">
        <v>2273</v>
      </c>
      <c r="D45" s="763" t="s">
        <v>2129</v>
      </c>
      <c r="E45" s="763" t="s">
        <v>2130</v>
      </c>
      <c r="G45" s="763" t="s">
        <v>1191</v>
      </c>
      <c r="H45" s="763" t="s">
        <v>2131</v>
      </c>
      <c r="I45" s="773" t="s">
        <v>2132</v>
      </c>
      <c r="J45" s="763" t="s">
        <v>2133</v>
      </c>
      <c r="K45" s="773" t="s">
        <v>2134</v>
      </c>
      <c r="L45" s="781" t="s">
        <v>168</v>
      </c>
      <c r="M45" s="1266" t="s">
        <v>2797</v>
      </c>
    </row>
    <row r="46" spans="1:13" s="783" customFormat="1" ht="13.8" thickBot="1">
      <c r="A46" s="764" t="s">
        <v>2135</v>
      </c>
      <c r="B46" s="482" t="str">
        <f>B12</f>
        <v>Domestic</v>
      </c>
      <c r="C46" s="1067">
        <f>D46+E46</f>
        <v>554108196.9907043</v>
      </c>
      <c r="D46" s="1067">
        <f>D12-E46</f>
        <v>554108196.9907043</v>
      </c>
      <c r="E46" s="1332"/>
      <c r="G46" s="1332">
        <f>D46/(J12*10^6)</f>
        <v>2.0513751404421847E-2</v>
      </c>
      <c r="H46" s="1332"/>
      <c r="I46" s="1333"/>
      <c r="J46" s="1334"/>
      <c r="K46" s="1332"/>
      <c r="L46" s="1332"/>
      <c r="M46" s="1264"/>
    </row>
    <row r="47" spans="1:13" s="783" customFormat="1" ht="13.8" thickBot="1">
      <c r="A47" s="764" t="s">
        <v>2136</v>
      </c>
      <c r="B47" s="482" t="str">
        <f>B13</f>
        <v>TOU-GS-1</v>
      </c>
      <c r="C47" s="1067">
        <f t="shared" ref="C47:C59" si="11">D47+E47</f>
        <v>103239014.35375953</v>
      </c>
      <c r="D47" s="1067">
        <f t="shared" ref="D47" si="12">D13-E47</f>
        <v>103239014.35375953</v>
      </c>
      <c r="E47" s="1067">
        <f>I47*I13*10^3</f>
        <v>0</v>
      </c>
      <c r="G47" s="1332">
        <f>D47/(J13*10^6)</f>
        <v>1.749890938792845E-2</v>
      </c>
      <c r="H47" s="1335">
        <f>(M14-E47)/N13/10^3</f>
        <v>3.568790772915337</v>
      </c>
      <c r="I47" s="1336">
        <f>MIN($I$54,L14)</f>
        <v>3.568790772915337</v>
      </c>
      <c r="J47" s="1336"/>
      <c r="K47" s="1336"/>
      <c r="L47" s="1051" t="s">
        <v>2274</v>
      </c>
      <c r="M47" s="1267">
        <f>$D47/(J13*10^6)</f>
        <v>1.749890938792845E-2</v>
      </c>
    </row>
    <row r="48" spans="1:13" s="783" customFormat="1" ht="13.8" thickBot="1">
      <c r="A48" s="764" t="s">
        <v>2137</v>
      </c>
      <c r="B48" s="482" t="str">
        <f t="shared" ref="B48:B59" si="13">B15</f>
        <v>TC-1</v>
      </c>
      <c r="C48" s="1067">
        <f t="shared" si="11"/>
        <v>648496.45885827672</v>
      </c>
      <c r="D48" s="1067">
        <f>D15-E48</f>
        <v>648496.45885827672</v>
      </c>
      <c r="E48" s="1332"/>
      <c r="G48" s="1332">
        <f>D48/(J15*10^6)</f>
        <v>1.1247992993171805E-2</v>
      </c>
      <c r="H48" s="1332"/>
      <c r="I48" s="1333"/>
      <c r="J48" s="1334"/>
      <c r="K48" s="1332"/>
      <c r="L48" s="1332"/>
      <c r="M48" s="1265"/>
    </row>
    <row r="49" spans="1:13" s="783" customFormat="1">
      <c r="A49" s="764" t="s">
        <v>2138</v>
      </c>
      <c r="B49" s="482" t="str">
        <f t="shared" si="13"/>
        <v>TOU-GS-2</v>
      </c>
      <c r="C49" s="1067">
        <f t="shared" si="11"/>
        <v>219332016.86803329</v>
      </c>
      <c r="D49" s="1067">
        <f t="shared" ref="D49:D50" si="14">D16-E49</f>
        <v>219174021.72229007</v>
      </c>
      <c r="E49" s="1067">
        <f>I49*I16*10^3</f>
        <v>157995.14574321365</v>
      </c>
      <c r="G49" s="1067"/>
      <c r="H49" s="1071">
        <f t="shared" ref="H49:H58" si="15">D49/H16/10^3</f>
        <v>4.8817022077913563</v>
      </c>
      <c r="I49" s="1072">
        <f>MIN($I$54,L16)</f>
        <v>4.3887540484226015</v>
      </c>
      <c r="J49" s="1334"/>
      <c r="K49" s="1332"/>
      <c r="L49" s="1423" t="s">
        <v>2275</v>
      </c>
      <c r="M49" s="1268">
        <f>($D49+D50)/((J16+J17)*10^6)</f>
        <v>1.6332063619124194E-2</v>
      </c>
    </row>
    <row r="50" spans="1:13" s="783" customFormat="1" ht="13.8" thickBot="1">
      <c r="A50" s="764" t="s">
        <v>2139</v>
      </c>
      <c r="B50" s="482" t="str">
        <f t="shared" si="13"/>
        <v>TOU-GS-3</v>
      </c>
      <c r="C50" s="1067">
        <f t="shared" si="11"/>
        <v>121020315.52407742</v>
      </c>
      <c r="D50" s="1067">
        <f t="shared" si="14"/>
        <v>120713102.74068783</v>
      </c>
      <c r="E50" s="1067">
        <f>I50*I17*10^3</f>
        <v>307212.78338958212</v>
      </c>
      <c r="G50" s="1067"/>
      <c r="H50" s="1071">
        <f t="shared" si="15"/>
        <v>5.3217847467319039</v>
      </c>
      <c r="I50" s="1072">
        <f>MIN($I$54,L17)</f>
        <v>4.3887540484226015</v>
      </c>
      <c r="J50" s="1334"/>
      <c r="K50" s="1332"/>
      <c r="L50" s="1424"/>
      <c r="M50" s="1269">
        <f>M49</f>
        <v>1.6332063619124194E-2</v>
      </c>
    </row>
    <row r="51" spans="1:13" s="783" customFormat="1">
      <c r="A51" s="764" t="s">
        <v>2140</v>
      </c>
      <c r="B51" s="482" t="str">
        <f t="shared" si="13"/>
        <v>TOU-8-SEC</v>
      </c>
      <c r="C51" s="1067">
        <f t="shared" si="11"/>
        <v>114893479.59259416</v>
      </c>
      <c r="D51" s="1067">
        <f>J36*H18*1000</f>
        <v>114893479.59259416</v>
      </c>
      <c r="E51" s="1332"/>
      <c r="G51" s="1067"/>
      <c r="H51" s="1071">
        <f t="shared" si="15"/>
        <v>5.5960294732210523</v>
      </c>
      <c r="I51" s="1333"/>
      <c r="J51" s="1334"/>
      <c r="K51" s="1332"/>
      <c r="L51" s="1332"/>
      <c r="M51" s="1267">
        <f>$D51/(J18*10^6)</f>
        <v>1.4329527686711675E-2</v>
      </c>
    </row>
    <row r="52" spans="1:13" s="783" customFormat="1">
      <c r="A52" s="764" t="s">
        <v>2141</v>
      </c>
      <c r="B52" s="482" t="str">
        <f t="shared" si="13"/>
        <v>TOU-8-PRI</v>
      </c>
      <c r="C52" s="1067">
        <f t="shared" si="11"/>
        <v>70298127.242693678</v>
      </c>
      <c r="D52" s="1067">
        <f t="shared" ref="D52:D53" si="16">J37*H19*1000</f>
        <v>70298127.242693678</v>
      </c>
      <c r="E52" s="1332"/>
      <c r="G52" s="1067"/>
      <c r="H52" s="1071">
        <f t="shared" si="15"/>
        <v>5.4849534819148138</v>
      </c>
      <c r="I52" s="1333"/>
      <c r="J52" s="1334"/>
      <c r="K52" s="1332"/>
      <c r="L52" s="1332"/>
      <c r="M52" s="1267">
        <f>$D52/(J19*10^6)</f>
        <v>1.2815147973375969E-2</v>
      </c>
    </row>
    <row r="53" spans="1:13" s="783" customFormat="1">
      <c r="A53" s="764" t="s">
        <v>2142</v>
      </c>
      <c r="B53" s="482" t="str">
        <f t="shared" si="13"/>
        <v>TOU-8-SUB</v>
      </c>
      <c r="C53" s="1067">
        <f t="shared" si="11"/>
        <v>65703493.932568938</v>
      </c>
      <c r="D53" s="1067">
        <f t="shared" si="16"/>
        <v>65703493.932568938</v>
      </c>
      <c r="E53" s="1332"/>
      <c r="G53" s="1067"/>
      <c r="H53" s="1071">
        <f t="shared" si="15"/>
        <v>5.5241783323451745</v>
      </c>
      <c r="I53" s="1333"/>
      <c r="J53" s="1337"/>
      <c r="K53" s="1338"/>
      <c r="L53" s="1338"/>
      <c r="M53" s="1267">
        <f>$D53/(J20*10^6)</f>
        <v>1.1196907901243875E-2</v>
      </c>
    </row>
    <row r="54" spans="1:13" s="783" customFormat="1">
      <c r="A54" s="764" t="s">
        <v>2143</v>
      </c>
      <c r="B54" s="482" t="str">
        <f t="shared" si="13"/>
        <v>TOU-8-Standby-SEC</v>
      </c>
      <c r="C54" s="1067">
        <f t="shared" si="11"/>
        <v>3067677.4653029591</v>
      </c>
      <c r="D54" s="1067">
        <f>J36*H21*1000</f>
        <v>1817360.9356937958</v>
      </c>
      <c r="E54" s="1067">
        <f>I54*I21*10^3</f>
        <v>1250316.5296091633</v>
      </c>
      <c r="G54" s="1067"/>
      <c r="H54" s="1071">
        <f>J36</f>
        <v>5.5960294732210523</v>
      </c>
      <c r="I54" s="1072">
        <f>E36</f>
        <v>4.3887540484226015</v>
      </c>
      <c r="J54" s="1337"/>
      <c r="K54" s="1338"/>
      <c r="L54" s="1338"/>
      <c r="M54" s="753"/>
    </row>
    <row r="55" spans="1:13" s="783" customFormat="1">
      <c r="A55" s="764" t="s">
        <v>2144</v>
      </c>
      <c r="B55" s="482" t="str">
        <f t="shared" si="13"/>
        <v>TOU-8-Standby-PRI</v>
      </c>
      <c r="C55" s="1067">
        <f t="shared" si="11"/>
        <v>9882168.3364209607</v>
      </c>
      <c r="D55" s="1067">
        <f t="shared" ref="D55:D56" si="17">J37*H22*1000</f>
        <v>7184043.9768680111</v>
      </c>
      <c r="E55" s="1067">
        <f>I55*I22*10^3</f>
        <v>2698124.3595529506</v>
      </c>
      <c r="G55" s="1067"/>
      <c r="H55" s="1071">
        <f>J37</f>
        <v>5.4849534819148138</v>
      </c>
      <c r="I55" s="1072">
        <f>E37</f>
        <v>1.9653525048734202</v>
      </c>
      <c r="J55" s="1337"/>
      <c r="K55" s="1338"/>
      <c r="L55" s="1338"/>
      <c r="M55" s="753"/>
    </row>
    <row r="56" spans="1:13" s="783" customFormat="1" ht="13.8" thickBot="1">
      <c r="A56" s="764" t="s">
        <v>2145</v>
      </c>
      <c r="B56" s="482" t="str">
        <f t="shared" si="13"/>
        <v>TOU-8-Standby-SUB</v>
      </c>
      <c r="C56" s="1067">
        <f t="shared" si="11"/>
        <v>23794625.876979429</v>
      </c>
      <c r="D56" s="1067">
        <f t="shared" si="17"/>
        <v>18278169.250573754</v>
      </c>
      <c r="E56" s="1067">
        <f>I56*I23*10^3</f>
        <v>5516456.626405675</v>
      </c>
      <c r="G56" s="1067"/>
      <c r="H56" s="1071">
        <f>J38</f>
        <v>5.5241783323451745</v>
      </c>
      <c r="I56" s="1072">
        <f>E38</f>
        <v>0.65720931782836212</v>
      </c>
      <c r="J56" s="1337"/>
      <c r="K56" s="1338"/>
      <c r="L56" s="1338"/>
      <c r="M56" s="753"/>
    </row>
    <row r="57" spans="1:13" s="783" customFormat="1" ht="13.8" thickBot="1">
      <c r="A57" s="764" t="s">
        <v>2146</v>
      </c>
      <c r="B57" s="482" t="str">
        <f t="shared" si="13"/>
        <v>TOU-PA-2</v>
      </c>
      <c r="C57" s="1067">
        <f t="shared" si="11"/>
        <v>20845998.482224435</v>
      </c>
      <c r="D57" s="1067">
        <f t="shared" ref="D57:D59" si="18">D24-E57</f>
        <v>20844674.074907724</v>
      </c>
      <c r="E57" s="1067">
        <f>I57*I24*10^3</f>
        <v>1324.4073167089846</v>
      </c>
      <c r="G57" s="1067"/>
      <c r="H57" s="1071">
        <f t="shared" si="15"/>
        <v>2.5666808463352413</v>
      </c>
      <c r="I57" s="1072">
        <f>MIN($I$54,L24)</f>
        <v>2.5666808463352413</v>
      </c>
      <c r="J57" s="1339">
        <f>H57*0.746</f>
        <v>1.91474391136609</v>
      </c>
      <c r="K57" s="1336">
        <f>I57*0.746</f>
        <v>1.91474391136609</v>
      </c>
      <c r="L57" s="1051" t="s">
        <v>2293</v>
      </c>
      <c r="M57" s="753"/>
    </row>
    <row r="58" spans="1:13" s="783" customFormat="1">
      <c r="A58" s="764" t="s">
        <v>2147</v>
      </c>
      <c r="B58" s="482" t="str">
        <f t="shared" si="13"/>
        <v>TOU-PA-3</v>
      </c>
      <c r="C58" s="1067">
        <f t="shared" si="11"/>
        <v>15744938.318174846</v>
      </c>
      <c r="D58" s="1067">
        <f t="shared" si="18"/>
        <v>15718798.774472114</v>
      </c>
      <c r="E58" s="1067">
        <f>I58*I25*10^3</f>
        <v>26139.543702733517</v>
      </c>
      <c r="G58" s="1067"/>
      <c r="H58" s="1071">
        <f t="shared" si="15"/>
        <v>3.186194990581853</v>
      </c>
      <c r="I58" s="1072">
        <f>MIN($I$54,L25)</f>
        <v>3.1861949905818525</v>
      </c>
      <c r="J58" s="1334"/>
      <c r="K58" s="1332"/>
      <c r="L58" s="1332"/>
      <c r="M58" s="753"/>
    </row>
    <row r="59" spans="1:13" s="783" customFormat="1">
      <c r="A59" s="764" t="s">
        <v>2148</v>
      </c>
      <c r="B59" s="482" t="str">
        <f t="shared" si="13"/>
        <v>Street Lighting</v>
      </c>
      <c r="C59" s="1067">
        <f t="shared" si="11"/>
        <v>5716191.4233454224</v>
      </c>
      <c r="D59" s="1067">
        <f t="shared" si="18"/>
        <v>5716191.4233454224</v>
      </c>
      <c r="E59" s="1332"/>
      <c r="G59" s="1332">
        <f>D59/(J26*10^6)</f>
        <v>8.1857192172076661E-3</v>
      </c>
      <c r="H59" s="1332"/>
      <c r="I59" s="1333"/>
      <c r="J59" s="1334"/>
      <c r="K59" s="1332"/>
      <c r="L59" s="1332"/>
      <c r="M59" s="753"/>
    </row>
    <row r="60" spans="1:13" s="783" customFormat="1">
      <c r="A60" s="764" t="s">
        <v>2149</v>
      </c>
      <c r="B60" s="768" t="s">
        <v>76</v>
      </c>
      <c r="C60" s="1067"/>
      <c r="D60" s="1067"/>
      <c r="E60" s="1332"/>
      <c r="G60" s="1332"/>
      <c r="H60" s="1332"/>
      <c r="I60" s="1333"/>
      <c r="J60" s="1334"/>
      <c r="K60" s="1332"/>
      <c r="L60" s="1332"/>
      <c r="M60" s="753"/>
    </row>
    <row r="61" spans="1:13" s="783" customFormat="1">
      <c r="A61" s="764">
        <v>17</v>
      </c>
      <c r="B61" s="483" t="s">
        <v>197</v>
      </c>
      <c r="C61" s="1358">
        <f>SUM(C46:C60)</f>
        <v>1328294740.8657377</v>
      </c>
      <c r="D61" s="1358">
        <f>SUM(D46:D60)</f>
        <v>1318337171.4700174</v>
      </c>
      <c r="E61" s="1358">
        <f>SUM(E46:E59)</f>
        <v>9957569.3957200255</v>
      </c>
      <c r="G61" s="1340"/>
      <c r="H61" s="1340"/>
      <c r="I61" s="1340"/>
      <c r="J61" s="1340"/>
      <c r="K61" s="739"/>
      <c r="L61" s="739"/>
      <c r="M61" s="753"/>
    </row>
    <row r="62" spans="1:13" s="783" customFormat="1">
      <c r="A62" s="764">
        <v>18</v>
      </c>
      <c r="B62" s="739"/>
      <c r="C62" s="739"/>
      <c r="D62" s="739"/>
      <c r="E62" s="739"/>
      <c r="F62" s="739"/>
      <c r="G62" s="739"/>
      <c r="H62" s="739"/>
      <c r="I62" s="739"/>
      <c r="J62" s="739"/>
      <c r="K62" s="739"/>
      <c r="L62" s="739"/>
      <c r="M62" s="780"/>
    </row>
    <row r="63" spans="1:13" s="783" customFormat="1">
      <c r="A63" s="764">
        <v>19</v>
      </c>
      <c r="B63" s="782" t="s">
        <v>232</v>
      </c>
      <c r="C63" s="739"/>
      <c r="D63" s="739"/>
      <c r="E63" s="739"/>
      <c r="F63" s="739"/>
      <c r="G63" s="739"/>
      <c r="H63" s="739"/>
      <c r="I63" s="739"/>
      <c r="J63" s="739"/>
      <c r="K63" s="739"/>
      <c r="L63" s="739"/>
      <c r="M63" s="780"/>
    </row>
    <row r="64" spans="1:13" s="783" customFormat="1">
      <c r="A64" s="739"/>
      <c r="B64" s="783" t="s">
        <v>2150</v>
      </c>
      <c r="M64" s="780"/>
    </row>
    <row r="65" spans="1:13" s="783" customFormat="1">
      <c r="A65" s="739"/>
      <c r="B65" s="783" t="s">
        <v>2245</v>
      </c>
      <c r="M65" s="780"/>
    </row>
    <row r="66" spans="1:13" s="783" customFormat="1">
      <c r="A66" s="739"/>
      <c r="B66" s="783" t="s">
        <v>2276</v>
      </c>
      <c r="M66" s="780"/>
    </row>
    <row r="67" spans="1:13" s="783" customFormat="1">
      <c r="A67" s="739"/>
      <c r="B67" s="1054" t="s">
        <v>2277</v>
      </c>
      <c r="M67" s="780"/>
    </row>
    <row r="68" spans="1:13" s="783" customFormat="1">
      <c r="A68" s="739"/>
      <c r="B68" s="1054" t="s">
        <v>2278</v>
      </c>
      <c r="M68" s="780"/>
    </row>
    <row r="69" spans="1:13" s="783" customFormat="1">
      <c r="A69" s="739"/>
      <c r="B69" s="1073" t="s">
        <v>2279</v>
      </c>
      <c r="M69" s="780"/>
    </row>
    <row r="70" spans="1:13" s="783" customFormat="1">
      <c r="A70" s="739"/>
      <c r="B70" s="783" t="s">
        <v>2280</v>
      </c>
      <c r="M70" s="780"/>
    </row>
    <row r="71" spans="1:13" s="783" customFormat="1">
      <c r="A71" s="739"/>
      <c r="B71" s="783" t="s">
        <v>2281</v>
      </c>
      <c r="M71" s="780"/>
    </row>
    <row r="72" spans="1:13" s="783" customFormat="1">
      <c r="A72" s="739"/>
      <c r="B72" s="783" t="s">
        <v>2282</v>
      </c>
      <c r="M72" s="780"/>
    </row>
    <row r="73" spans="1:13" s="783" customFormat="1">
      <c r="A73" s="739"/>
      <c r="B73" s="783" t="s">
        <v>2283</v>
      </c>
      <c r="M73" s="780"/>
    </row>
    <row r="74" spans="1:13" s="783" customFormat="1">
      <c r="A74" s="739"/>
      <c r="B74" s="783" t="s">
        <v>2284</v>
      </c>
      <c r="M74" s="780"/>
    </row>
    <row r="75" spans="1:13" s="783" customFormat="1">
      <c r="A75" s="739"/>
      <c r="B75" s="1054" t="s">
        <v>2285</v>
      </c>
      <c r="M75" s="780"/>
    </row>
    <row r="76" spans="1:13" s="783" customFormat="1">
      <c r="A76" s="739"/>
      <c r="B76" s="1054" t="s">
        <v>2286</v>
      </c>
      <c r="M76" s="780"/>
    </row>
    <row r="77" spans="1:13" s="783" customFormat="1">
      <c r="A77" s="739"/>
      <c r="B77" s="1054" t="s">
        <v>2287</v>
      </c>
      <c r="M77" s="780"/>
    </row>
    <row r="78" spans="1:13" s="783" customFormat="1" ht="15.6">
      <c r="A78" s="739"/>
      <c r="B78" s="783" t="s">
        <v>2874</v>
      </c>
      <c r="M78" s="780"/>
    </row>
    <row r="79" spans="1:13" s="783" customFormat="1">
      <c r="A79" s="739"/>
      <c r="B79" s="783" t="s">
        <v>2878</v>
      </c>
      <c r="M79" s="780"/>
    </row>
    <row r="80" spans="1:13" s="783" customFormat="1">
      <c r="A80" s="739"/>
      <c r="B80" s="783" t="s">
        <v>2288</v>
      </c>
      <c r="M80" s="780"/>
    </row>
    <row r="81" spans="1:13" s="783" customFormat="1">
      <c r="A81" s="739"/>
      <c r="B81" s="739" t="s">
        <v>2798</v>
      </c>
      <c r="M81" s="780"/>
    </row>
    <row r="82" spans="1:13" s="783" customFormat="1">
      <c r="A82" s="739"/>
      <c r="B82" s="739" t="s">
        <v>2799</v>
      </c>
      <c r="M82" s="780"/>
    </row>
    <row r="83" spans="1:13" s="783" customFormat="1">
      <c r="A83" s="739"/>
      <c r="B83" s="783" t="s">
        <v>2800</v>
      </c>
      <c r="M83" s="780"/>
    </row>
    <row r="84" spans="1:13" s="783" customFormat="1">
      <c r="A84" s="739"/>
      <c r="B84" s="783" t="s">
        <v>2801</v>
      </c>
      <c r="M84" s="780"/>
    </row>
    <row r="85" spans="1:13">
      <c r="A85" s="764">
        <v>20</v>
      </c>
    </row>
    <row r="86" spans="1:13" s="750" customFormat="1">
      <c r="A86" s="764">
        <v>21</v>
      </c>
      <c r="B86" s="784"/>
      <c r="C86" s="742"/>
      <c r="D86" s="742"/>
      <c r="M86" s="741"/>
    </row>
    <row r="87" spans="1:13" s="783" customFormat="1" ht="15.6">
      <c r="A87" s="764">
        <v>22</v>
      </c>
      <c r="B87" s="738" t="s">
        <v>1192</v>
      </c>
      <c r="C87" s="739"/>
      <c r="D87" s="739"/>
      <c r="E87" s="739"/>
      <c r="F87" s="739"/>
      <c r="G87" s="739"/>
      <c r="H87" s="739"/>
      <c r="I87" s="739"/>
      <c r="J87" s="739"/>
      <c r="K87" s="739"/>
      <c r="L87" s="739"/>
      <c r="M87" s="780"/>
    </row>
    <row r="88" spans="1:13" s="739" customFormat="1">
      <c r="A88" s="764">
        <v>23</v>
      </c>
      <c r="M88" s="780"/>
    </row>
    <row r="89" spans="1:13" s="739" customFormat="1">
      <c r="A89" s="764">
        <v>24</v>
      </c>
      <c r="M89" s="780"/>
    </row>
    <row r="90" spans="1:13" s="783" customFormat="1" ht="25.5" customHeight="1">
      <c r="A90" s="764">
        <v>25</v>
      </c>
      <c r="B90" s="761" t="str">
        <f>B11</f>
        <v>CPUC Rate Group</v>
      </c>
      <c r="C90" s="785" t="s">
        <v>1193</v>
      </c>
      <c r="D90" s="786"/>
      <c r="E90" s="786"/>
      <c r="F90" s="786"/>
      <c r="G90" s="786"/>
      <c r="H90" s="786"/>
      <c r="I90" s="786"/>
      <c r="J90" s="786"/>
      <c r="K90" s="1342"/>
      <c r="L90" s="739"/>
      <c r="M90" s="780"/>
    </row>
    <row r="91" spans="1:13" s="783" customFormat="1">
      <c r="A91" s="764" t="s">
        <v>2151</v>
      </c>
      <c r="B91" s="787" t="s">
        <v>2099</v>
      </c>
      <c r="C91" s="788" t="s">
        <v>2775</v>
      </c>
      <c r="D91" s="789"/>
      <c r="E91" s="789"/>
      <c r="F91" s="789"/>
      <c r="G91" s="789"/>
      <c r="H91" s="789"/>
      <c r="I91" s="789"/>
      <c r="J91" s="789"/>
      <c r="K91" s="789"/>
      <c r="L91" s="739"/>
      <c r="M91" s="780"/>
    </row>
    <row r="92" spans="1:13" s="783" customFormat="1">
      <c r="A92" s="764"/>
      <c r="B92" s="1055" t="s">
        <v>2246</v>
      </c>
      <c r="C92" s="1273" t="s">
        <v>2857</v>
      </c>
      <c r="D92" s="789"/>
      <c r="E92" s="1057"/>
      <c r="F92" s="1057"/>
      <c r="G92" s="1057"/>
      <c r="H92" s="1057"/>
      <c r="I92" s="789"/>
      <c r="J92" s="789"/>
      <c r="K92" s="789"/>
      <c r="L92" s="739"/>
      <c r="M92" s="780"/>
    </row>
    <row r="93" spans="1:13" s="783" customFormat="1">
      <c r="A93" s="764" t="s">
        <v>2152</v>
      </c>
      <c r="B93" s="787" t="s">
        <v>2858</v>
      </c>
      <c r="C93" s="788" t="s">
        <v>2859</v>
      </c>
      <c r="D93" s="789"/>
      <c r="E93" s="789"/>
      <c r="F93" s="789"/>
      <c r="G93" s="789"/>
      <c r="H93" s="789"/>
      <c r="I93" s="789"/>
      <c r="J93" s="787"/>
      <c r="K93" s="789"/>
      <c r="L93" s="739"/>
      <c r="M93" s="780"/>
    </row>
    <row r="94" spans="1:13" s="783" customFormat="1">
      <c r="A94" s="764" t="s">
        <v>2153</v>
      </c>
      <c r="B94" s="787" t="s">
        <v>2100</v>
      </c>
      <c r="C94" s="788" t="s">
        <v>2776</v>
      </c>
      <c r="D94" s="789"/>
      <c r="E94" s="789"/>
      <c r="F94" s="789"/>
      <c r="G94" s="789"/>
      <c r="H94" s="789"/>
      <c r="I94" s="789"/>
      <c r="J94" s="787"/>
      <c r="K94" s="789"/>
      <c r="L94" s="739"/>
      <c r="M94" s="780"/>
    </row>
    <row r="95" spans="1:13" s="783" customFormat="1">
      <c r="A95" s="764" t="s">
        <v>2154</v>
      </c>
      <c r="B95" s="787" t="s">
        <v>2860</v>
      </c>
      <c r="C95" s="788" t="s">
        <v>2861</v>
      </c>
      <c r="D95" s="789"/>
      <c r="E95" s="789"/>
      <c r="F95" s="789"/>
      <c r="G95" s="789"/>
      <c r="H95" s="789"/>
      <c r="I95" s="789"/>
      <c r="J95" s="787"/>
      <c r="K95" s="789"/>
      <c r="L95" s="739"/>
      <c r="M95" s="780"/>
    </row>
    <row r="96" spans="1:13" s="783" customFormat="1">
      <c r="A96" s="764" t="s">
        <v>2155</v>
      </c>
      <c r="B96" s="787" t="s">
        <v>2101</v>
      </c>
      <c r="C96" s="788" t="s">
        <v>2862</v>
      </c>
      <c r="D96" s="789"/>
      <c r="E96" s="789"/>
      <c r="F96" s="789"/>
      <c r="G96" s="789"/>
      <c r="H96" s="789"/>
      <c r="I96" s="789"/>
      <c r="J96" s="787"/>
      <c r="K96" s="789"/>
      <c r="L96" s="739"/>
      <c r="M96" s="780"/>
    </row>
    <row r="97" spans="1:13" s="783" customFormat="1">
      <c r="A97" s="764" t="s">
        <v>2156</v>
      </c>
      <c r="B97" s="1055" t="s">
        <v>2102</v>
      </c>
      <c r="C97" s="1056" t="s">
        <v>2863</v>
      </c>
      <c r="D97" s="1057"/>
      <c r="E97" s="1057"/>
      <c r="F97" s="1057"/>
      <c r="G97" s="1057"/>
      <c r="H97" s="1057"/>
      <c r="I97" s="1057"/>
      <c r="J97" s="1055"/>
      <c r="K97" s="789"/>
      <c r="L97" s="739"/>
      <c r="M97" s="780"/>
    </row>
    <row r="98" spans="1:13" s="739" customFormat="1">
      <c r="A98" s="764" t="s">
        <v>2157</v>
      </c>
      <c r="B98" s="1055" t="s">
        <v>2103</v>
      </c>
      <c r="C98" s="1056" t="s">
        <v>2863</v>
      </c>
      <c r="D98" s="1057"/>
      <c r="E98" s="1057"/>
      <c r="F98" s="1057"/>
      <c r="G98" s="1057"/>
      <c r="H98" s="1057"/>
      <c r="I98" s="1057"/>
      <c r="J98" s="1055"/>
      <c r="K98" s="789"/>
      <c r="M98" s="780"/>
    </row>
    <row r="99" spans="1:13" s="739" customFormat="1">
      <c r="A99" s="764" t="s">
        <v>2158</v>
      </c>
      <c r="B99" s="1055" t="s">
        <v>2104</v>
      </c>
      <c r="C99" s="1056" t="s">
        <v>2863</v>
      </c>
      <c r="D99" s="1057"/>
      <c r="E99" s="1057"/>
      <c r="F99" s="1057"/>
      <c r="G99" s="1057"/>
      <c r="H99" s="1057"/>
      <c r="I99" s="1057"/>
      <c r="J99" s="1055"/>
      <c r="K99" s="789"/>
      <c r="M99" s="780"/>
    </row>
    <row r="100" spans="1:13" s="739" customFormat="1">
      <c r="A100" s="764" t="s">
        <v>2159</v>
      </c>
      <c r="B100" s="1055" t="s">
        <v>2105</v>
      </c>
      <c r="C100" s="1056" t="s">
        <v>2864</v>
      </c>
      <c r="D100" s="1057"/>
      <c r="E100" s="1057"/>
      <c r="F100" s="1057"/>
      <c r="G100" s="1057"/>
      <c r="H100" s="1057"/>
      <c r="I100" s="1057"/>
      <c r="J100" s="1055"/>
      <c r="K100" s="789"/>
      <c r="M100" s="780"/>
    </row>
    <row r="101" spans="1:13" s="739" customFormat="1">
      <c r="A101" s="764" t="s">
        <v>2160</v>
      </c>
      <c r="B101" s="1055" t="s">
        <v>2106</v>
      </c>
      <c r="C101" s="1056" t="s">
        <v>2865</v>
      </c>
      <c r="D101" s="1057"/>
      <c r="E101" s="1057"/>
      <c r="F101" s="1057"/>
      <c r="G101" s="1057"/>
      <c r="H101" s="1057"/>
      <c r="I101" s="1057"/>
      <c r="J101" s="1055"/>
      <c r="K101" s="789"/>
      <c r="M101" s="780"/>
    </row>
    <row r="102" spans="1:13" s="739" customFormat="1">
      <c r="A102" s="764" t="s">
        <v>2161</v>
      </c>
      <c r="B102" s="1055" t="s">
        <v>2107</v>
      </c>
      <c r="C102" s="1056" t="s">
        <v>2865</v>
      </c>
      <c r="D102" s="1057"/>
      <c r="E102" s="1057"/>
      <c r="F102" s="1057"/>
      <c r="G102" s="1057"/>
      <c r="H102" s="1057"/>
      <c r="I102" s="1057"/>
      <c r="J102" s="1055"/>
      <c r="K102" s="789"/>
      <c r="M102" s="780"/>
    </row>
    <row r="103" spans="1:13" s="739" customFormat="1">
      <c r="A103" s="764" t="s">
        <v>2162</v>
      </c>
      <c r="B103" s="787" t="s">
        <v>2108</v>
      </c>
      <c r="C103" s="788" t="s">
        <v>2866</v>
      </c>
      <c r="D103" s="789"/>
      <c r="E103" s="789"/>
      <c r="F103" s="789"/>
      <c r="G103" s="789"/>
      <c r="H103" s="789"/>
      <c r="I103" s="789"/>
      <c r="J103" s="787"/>
      <c r="K103" s="789"/>
      <c r="M103" s="780"/>
    </row>
    <row r="104" spans="1:13" s="739" customFormat="1">
      <c r="A104" s="764" t="s">
        <v>2163</v>
      </c>
      <c r="B104" s="787" t="s">
        <v>2109</v>
      </c>
      <c r="C104" s="788" t="s">
        <v>2867</v>
      </c>
      <c r="D104" s="789"/>
      <c r="E104" s="789"/>
      <c r="F104" s="789"/>
      <c r="G104" s="789"/>
      <c r="H104" s="789"/>
      <c r="I104" s="789"/>
      <c r="J104" s="787"/>
      <c r="K104" s="789"/>
      <c r="M104" s="780"/>
    </row>
    <row r="105" spans="1:13" s="739" customFormat="1">
      <c r="A105" s="764" t="s">
        <v>2164</v>
      </c>
      <c r="B105" s="787" t="s">
        <v>2110</v>
      </c>
      <c r="C105" s="788" t="s">
        <v>2868</v>
      </c>
      <c r="D105" s="789"/>
      <c r="E105" s="789"/>
      <c r="F105" s="789"/>
      <c r="G105" s="789"/>
      <c r="H105" s="789"/>
      <c r="I105" s="789"/>
      <c r="J105" s="787"/>
      <c r="K105" s="789"/>
      <c r="M105" s="780"/>
    </row>
    <row r="106" spans="1:13" s="739" customFormat="1">
      <c r="A106" s="764" t="s">
        <v>2165</v>
      </c>
      <c r="B106" s="790" t="s">
        <v>76</v>
      </c>
      <c r="C106" s="788"/>
      <c r="D106" s="789"/>
      <c r="E106" s="789"/>
      <c r="F106" s="789"/>
      <c r="G106" s="789"/>
      <c r="H106" s="789"/>
      <c r="I106" s="789"/>
      <c r="J106" s="787"/>
      <c r="K106" s="789"/>
      <c r="M106" s="780"/>
    </row>
    <row r="107" spans="1:13" s="739" customFormat="1">
      <c r="A107" s="764">
        <v>27</v>
      </c>
      <c r="M107" s="780"/>
    </row>
    <row r="108" spans="1:13" s="739" customFormat="1">
      <c r="A108" s="764">
        <f t="shared" ref="A108:A114" si="19">A107+1</f>
        <v>28</v>
      </c>
      <c r="M108" s="780"/>
    </row>
    <row r="109" spans="1:13" s="739" customFormat="1" ht="15.6">
      <c r="A109" s="764">
        <f t="shared" si="19"/>
        <v>29</v>
      </c>
      <c r="B109" s="738" t="s">
        <v>1194</v>
      </c>
      <c r="M109" s="780"/>
    </row>
    <row r="110" spans="1:13" s="739" customFormat="1">
      <c r="A110" s="764">
        <f t="shared" si="19"/>
        <v>30</v>
      </c>
      <c r="C110" s="752" t="s">
        <v>360</v>
      </c>
      <c r="D110" s="752" t="s">
        <v>344</v>
      </c>
      <c r="E110" s="752" t="s">
        <v>345</v>
      </c>
      <c r="F110" s="752" t="s">
        <v>346</v>
      </c>
      <c r="G110" s="791" t="s">
        <v>347</v>
      </c>
      <c r="H110" s="791" t="s">
        <v>348</v>
      </c>
      <c r="I110" s="791" t="s">
        <v>349</v>
      </c>
      <c r="J110" s="791" t="s">
        <v>541</v>
      </c>
      <c r="K110" s="791" t="s">
        <v>958</v>
      </c>
      <c r="L110" s="791" t="s">
        <v>971</v>
      </c>
      <c r="M110" s="791" t="s">
        <v>974</v>
      </c>
    </row>
    <row r="111" spans="1:13" s="1312" customFormat="1" ht="39.6">
      <c r="A111" s="792">
        <f t="shared" si="19"/>
        <v>31</v>
      </c>
      <c r="C111" s="757"/>
      <c r="D111" s="757"/>
      <c r="E111" s="757"/>
      <c r="F111" s="1351" t="s">
        <v>2166</v>
      </c>
      <c r="G111" s="793"/>
      <c r="H111" s="1351"/>
      <c r="I111" s="1352" t="s">
        <v>2167</v>
      </c>
      <c r="J111" s="1352" t="s">
        <v>2289</v>
      </c>
      <c r="K111" s="1352" t="s">
        <v>2290</v>
      </c>
      <c r="L111" s="1352" t="s">
        <v>2291</v>
      </c>
      <c r="M111" s="1352" t="s">
        <v>2292</v>
      </c>
    </row>
    <row r="112" spans="1:13" s="1074" customFormat="1">
      <c r="A112" s="764">
        <f t="shared" si="19"/>
        <v>32</v>
      </c>
      <c r="C112" s="794"/>
      <c r="D112" s="794"/>
      <c r="E112" s="794"/>
      <c r="F112" s="1353"/>
      <c r="G112" s="795"/>
      <c r="H112" s="1353"/>
      <c r="I112" s="1050" t="s">
        <v>2802</v>
      </c>
      <c r="J112" s="1354"/>
      <c r="K112" s="1353"/>
      <c r="L112" s="1353"/>
      <c r="M112" s="1353"/>
    </row>
    <row r="113" spans="1:13" s="739" customFormat="1" ht="21.75" customHeight="1">
      <c r="A113" s="764">
        <f t="shared" si="19"/>
        <v>33</v>
      </c>
      <c r="B113" s="1343"/>
      <c r="C113" s="1418" t="s">
        <v>1464</v>
      </c>
      <c r="D113" s="1419"/>
      <c r="E113" s="1419"/>
      <c r="F113" s="1422"/>
      <c r="G113" s="1343"/>
      <c r="H113" s="796"/>
      <c r="I113" s="1344"/>
      <c r="J113" s="1344"/>
      <c r="K113" s="1343"/>
      <c r="L113" s="1345" t="s">
        <v>148</v>
      </c>
      <c r="M113" s="797"/>
    </row>
    <row r="114" spans="1:13" s="753" customFormat="1" ht="51.75" customHeight="1">
      <c r="A114" s="764">
        <f t="shared" si="19"/>
        <v>34</v>
      </c>
      <c r="B114" s="798" t="str">
        <f>B11</f>
        <v>CPUC Rate Group</v>
      </c>
      <c r="C114" s="799">
        <v>2014</v>
      </c>
      <c r="D114" s="800">
        <v>2015</v>
      </c>
      <c r="E114" s="800">
        <v>2016</v>
      </c>
      <c r="F114" s="798" t="s">
        <v>2168</v>
      </c>
      <c r="G114" s="798" t="s">
        <v>1195</v>
      </c>
      <c r="H114" s="801" t="s">
        <v>2294</v>
      </c>
      <c r="I114" s="1075" t="s">
        <v>2295</v>
      </c>
      <c r="J114" s="798" t="s">
        <v>2254</v>
      </c>
      <c r="K114" s="798" t="s">
        <v>2296</v>
      </c>
      <c r="L114" s="798" t="s">
        <v>1465</v>
      </c>
      <c r="M114" s="798" t="s">
        <v>2169</v>
      </c>
    </row>
    <row r="115" spans="1:13" s="739" customFormat="1">
      <c r="A115" s="764" t="s">
        <v>2170</v>
      </c>
      <c r="B115" s="482" t="str">
        <f>B12</f>
        <v>Domestic</v>
      </c>
      <c r="C115" s="1076">
        <v>68996.84</v>
      </c>
      <c r="D115" s="1076">
        <v>70774.77</v>
      </c>
      <c r="E115" s="1076">
        <v>70601.36</v>
      </c>
      <c r="F115" s="1058">
        <f>(C115+D115+E115)/3</f>
        <v>70124.323333333319</v>
      </c>
      <c r="G115" s="1346">
        <v>1.0905</v>
      </c>
      <c r="H115" s="981">
        <v>29556.667926666665</v>
      </c>
      <c r="I115" s="1058">
        <f>E12</f>
        <v>28442.665725131195</v>
      </c>
      <c r="J115" s="1058">
        <f>F12</f>
        <v>0</v>
      </c>
      <c r="K115" s="1078">
        <f>I115+J115</f>
        <v>28442.665725131195</v>
      </c>
      <c r="L115" s="1058">
        <f>(F115*G115)*(K115/H115)</f>
        <v>73588.369176484135</v>
      </c>
      <c r="M115" s="1077">
        <f t="shared" ref="M115:M128" si="20">L115/$L$130</f>
        <v>0.41715756295892231</v>
      </c>
    </row>
    <row r="116" spans="1:13" s="739" customFormat="1">
      <c r="A116" s="764" t="s">
        <v>2171</v>
      </c>
      <c r="B116" s="482" t="str">
        <f>B13</f>
        <v>TOU-GS-1</v>
      </c>
      <c r="C116" s="1076">
        <v>12145.16</v>
      </c>
      <c r="D116" s="1076">
        <v>12888.83</v>
      </c>
      <c r="E116" s="1076">
        <v>12483.47</v>
      </c>
      <c r="F116" s="1058">
        <f t="shared" ref="F116:F128" si="21">(C116+D116+E116)/3</f>
        <v>12505.82</v>
      </c>
      <c r="G116" s="1346">
        <v>1.0909</v>
      </c>
      <c r="H116" s="981">
        <v>5881.3626699999995</v>
      </c>
      <c r="I116" s="1058">
        <f t="shared" ref="I116" si="22">E13</f>
        <v>5910.7051936480202</v>
      </c>
      <c r="J116" s="1058">
        <f>F13</f>
        <v>0</v>
      </c>
      <c r="K116" s="1078">
        <f t="shared" ref="K116:K128" si="23">I116+J116</f>
        <v>5910.7051936480202</v>
      </c>
      <c r="L116" s="1058">
        <f t="shared" ref="L116:L128" si="24">(F116*G116)*(K116/H116)</f>
        <v>13710.66290471832</v>
      </c>
      <c r="M116" s="1077">
        <f t="shared" si="20"/>
        <v>7.7722971549576289E-2</v>
      </c>
    </row>
    <row r="117" spans="1:13" s="739" customFormat="1">
      <c r="A117" s="764" t="s">
        <v>2172</v>
      </c>
      <c r="B117" s="482" t="str">
        <f t="shared" ref="B117:B128" si="25">B15</f>
        <v>TC-1</v>
      </c>
      <c r="C117" s="1076">
        <v>85.18</v>
      </c>
      <c r="D117" s="1076">
        <v>83.21</v>
      </c>
      <c r="E117" s="1076">
        <v>81.87</v>
      </c>
      <c r="F117" s="1058">
        <f t="shared" si="21"/>
        <v>83.42</v>
      </c>
      <c r="G117" s="1346">
        <v>1.0916999999999999</v>
      </c>
      <c r="H117" s="981">
        <v>60.96546</v>
      </c>
      <c r="I117" s="1058">
        <f t="shared" ref="I117:J119" si="26">E15</f>
        <v>57.65441525896685</v>
      </c>
      <c r="J117" s="1058">
        <f t="shared" si="26"/>
        <v>0</v>
      </c>
      <c r="K117" s="1078">
        <f t="shared" si="23"/>
        <v>57.65441525896685</v>
      </c>
      <c r="L117" s="1058">
        <f t="shared" si="24"/>
        <v>86.123607416885235</v>
      </c>
      <c r="M117" s="1077">
        <f t="shared" si="20"/>
        <v>4.8821729011409675E-4</v>
      </c>
    </row>
    <row r="118" spans="1:13" s="739" customFormat="1">
      <c r="A118" s="764" t="s">
        <v>2173</v>
      </c>
      <c r="B118" s="482" t="str">
        <f t="shared" si="25"/>
        <v>TOU-GS-2</v>
      </c>
      <c r="C118" s="1076">
        <v>30524.12</v>
      </c>
      <c r="D118" s="1076">
        <v>30626.46</v>
      </c>
      <c r="E118" s="1076">
        <v>29451.81</v>
      </c>
      <c r="F118" s="1058">
        <f t="shared" si="21"/>
        <v>30200.796666666665</v>
      </c>
      <c r="G118" s="1346">
        <v>1.0905</v>
      </c>
      <c r="H118" s="981">
        <v>14811.063876666667</v>
      </c>
      <c r="I118" s="1058">
        <f t="shared" si="26"/>
        <v>13099.623737986469</v>
      </c>
      <c r="J118" s="1058">
        <f t="shared" si="26"/>
        <v>0</v>
      </c>
      <c r="K118" s="1078">
        <f t="shared" si="23"/>
        <v>13099.623737986469</v>
      </c>
      <c r="L118" s="1058">
        <f t="shared" si="24"/>
        <v>29128.400404765085</v>
      </c>
      <c r="M118" s="1077">
        <f t="shared" si="20"/>
        <v>0.16512300329148344</v>
      </c>
    </row>
    <row r="119" spans="1:13" s="739" customFormat="1">
      <c r="A119" s="764" t="s">
        <v>2174</v>
      </c>
      <c r="B119" s="482" t="str">
        <f t="shared" si="25"/>
        <v>TOU-GS-3</v>
      </c>
      <c r="C119" s="1076">
        <v>16197.25</v>
      </c>
      <c r="D119" s="1076">
        <v>16184.27</v>
      </c>
      <c r="E119" s="1076">
        <v>15946.69</v>
      </c>
      <c r="F119" s="1058">
        <f t="shared" si="21"/>
        <v>16109.403333333334</v>
      </c>
      <c r="G119" s="1346">
        <v>1.0900000000000001</v>
      </c>
      <c r="H119" s="981">
        <v>8565.12637</v>
      </c>
      <c r="I119" s="1058">
        <f t="shared" si="26"/>
        <v>7839.7227893620366</v>
      </c>
      <c r="J119" s="1058">
        <f t="shared" si="26"/>
        <v>0</v>
      </c>
      <c r="K119" s="1078">
        <f t="shared" si="23"/>
        <v>7839.7227893620366</v>
      </c>
      <c r="L119" s="1058">
        <f t="shared" si="24"/>
        <v>16072.109571751751</v>
      </c>
      <c r="M119" s="1077">
        <f t="shared" si="20"/>
        <v>9.1109534503765688E-2</v>
      </c>
    </row>
    <row r="120" spans="1:13" s="739" customFormat="1">
      <c r="A120" s="764" t="s">
        <v>2175</v>
      </c>
      <c r="B120" s="482" t="str">
        <f t="shared" si="25"/>
        <v>TOU-8-SEC</v>
      </c>
      <c r="C120" s="1076">
        <v>15190.25</v>
      </c>
      <c r="D120" s="1076">
        <v>14907.32</v>
      </c>
      <c r="E120" s="1076">
        <v>14707.02</v>
      </c>
      <c r="F120" s="1058">
        <f t="shared" si="21"/>
        <v>14934.863333333333</v>
      </c>
      <c r="G120" s="1346">
        <v>1.0909</v>
      </c>
      <c r="H120" s="982">
        <v>8585.843809647542</v>
      </c>
      <c r="I120" s="1058">
        <f>E18+E21</f>
        <v>8168.1290301649788</v>
      </c>
      <c r="J120" s="1058">
        <f t="shared" ref="J120:J128" si="27">F18</f>
        <v>0</v>
      </c>
      <c r="K120" s="1078">
        <f>I120+J120</f>
        <v>8168.1290301649788</v>
      </c>
      <c r="L120" s="1058">
        <f t="shared" si="24"/>
        <v>15499.789511032091</v>
      </c>
      <c r="M120" s="1077">
        <f t="shared" si="20"/>
        <v>8.786516797636329E-2</v>
      </c>
    </row>
    <row r="121" spans="1:13" s="739" customFormat="1">
      <c r="A121" s="764" t="s">
        <v>2176</v>
      </c>
      <c r="B121" s="482" t="str">
        <f t="shared" si="25"/>
        <v>TOU-8-PRI</v>
      </c>
      <c r="C121" s="1076">
        <v>9948.57</v>
      </c>
      <c r="D121" s="1076">
        <v>9881.76</v>
      </c>
      <c r="E121" s="1076">
        <v>9683.99</v>
      </c>
      <c r="F121" s="1058">
        <f t="shared" si="21"/>
        <v>9838.1066666666666</v>
      </c>
      <c r="G121" s="1346">
        <v>1.0644</v>
      </c>
      <c r="H121" s="982">
        <v>6150.0327036823846</v>
      </c>
      <c r="I121" s="1058">
        <f>E19+E22</f>
        <v>6043.3454223804365</v>
      </c>
      <c r="J121" s="1058">
        <f t="shared" si="27"/>
        <v>0</v>
      </c>
      <c r="K121" s="1078">
        <f t="shared" si="23"/>
        <v>6043.3454223804365</v>
      </c>
      <c r="L121" s="1058">
        <f t="shared" si="24"/>
        <v>10290.023954286158</v>
      </c>
      <c r="M121" s="1077">
        <f t="shared" si="20"/>
        <v>5.8332062030947623E-2</v>
      </c>
    </row>
    <row r="122" spans="1:13" s="739" customFormat="1">
      <c r="A122" s="764" t="s">
        <v>2177</v>
      </c>
      <c r="B122" s="482" t="str">
        <f t="shared" si="25"/>
        <v>TOU-8-SUB</v>
      </c>
      <c r="C122" s="1076">
        <v>11843.23</v>
      </c>
      <c r="D122" s="1076">
        <v>10984.46</v>
      </c>
      <c r="E122" s="1076">
        <v>11021.36</v>
      </c>
      <c r="F122" s="1058">
        <f t="shared" si="21"/>
        <v>11283.016666666668</v>
      </c>
      <c r="G122" s="1346">
        <v>1.0315000000000001</v>
      </c>
      <c r="H122" s="982">
        <v>7868.2314182368382</v>
      </c>
      <c r="I122" s="1058">
        <f>E20+E23</f>
        <v>7540.1804196665589</v>
      </c>
      <c r="J122" s="1058">
        <f t="shared" si="27"/>
        <v>0</v>
      </c>
      <c r="K122" s="1078">
        <f t="shared" si="23"/>
        <v>7540.1804196665589</v>
      </c>
      <c r="L122" s="1058">
        <f t="shared" si="24"/>
        <v>11153.189337280148</v>
      </c>
      <c r="M122" s="1077">
        <f t="shared" si="20"/>
        <v>6.3225171793126492E-2</v>
      </c>
    </row>
    <row r="123" spans="1:13" s="739" customFormat="1">
      <c r="A123" s="764" t="s">
        <v>2178</v>
      </c>
      <c r="B123" s="482" t="str">
        <f t="shared" si="25"/>
        <v>TOU-8-Standby-SEC</v>
      </c>
      <c r="C123" s="1076">
        <v>100.81</v>
      </c>
      <c r="D123" s="1076">
        <v>143.15</v>
      </c>
      <c r="E123" s="1076">
        <v>155.46</v>
      </c>
      <c r="F123" s="1058">
        <f t="shared" si="21"/>
        <v>133.14000000000001</v>
      </c>
      <c r="G123" s="1346">
        <v>1.0911</v>
      </c>
      <c r="H123" s="982">
        <v>84.658774149536043</v>
      </c>
      <c r="I123" s="1078">
        <f>E21*0</f>
        <v>0</v>
      </c>
      <c r="J123" s="1058">
        <f t="shared" si="27"/>
        <v>96.768373999999994</v>
      </c>
      <c r="K123" s="1078">
        <f t="shared" si="23"/>
        <v>96.768373999999994</v>
      </c>
      <c r="L123" s="1058">
        <f t="shared" si="24"/>
        <v>166.04835457773083</v>
      </c>
      <c r="M123" s="1077">
        <f t="shared" si="20"/>
        <v>9.4129449672762362E-4</v>
      </c>
    </row>
    <row r="124" spans="1:13" s="739" customFormat="1">
      <c r="A124" s="764" t="s">
        <v>2179</v>
      </c>
      <c r="B124" s="482" t="str">
        <f t="shared" si="25"/>
        <v>TOU-8-Standby-PRI</v>
      </c>
      <c r="C124" s="1076">
        <v>294.37</v>
      </c>
      <c r="D124" s="1076">
        <v>311.39999999999998</v>
      </c>
      <c r="E124" s="1076">
        <v>372.99</v>
      </c>
      <c r="F124" s="1058">
        <f t="shared" si="21"/>
        <v>326.25333333333333</v>
      </c>
      <c r="G124" s="1346">
        <v>1.0645</v>
      </c>
      <c r="H124" s="982">
        <v>235.83953844949079</v>
      </c>
      <c r="I124" s="1078">
        <f>E22*0</f>
        <v>0</v>
      </c>
      <c r="J124" s="1058">
        <f t="shared" si="27"/>
        <v>243.32826499999999</v>
      </c>
      <c r="K124" s="1078">
        <f t="shared" si="23"/>
        <v>243.32826499999999</v>
      </c>
      <c r="L124" s="1058">
        <f t="shared" si="24"/>
        <v>358.3245520155665</v>
      </c>
      <c r="M124" s="1077">
        <f t="shared" si="20"/>
        <v>2.0312693233991161E-3</v>
      </c>
    </row>
    <row r="125" spans="1:13" s="739" customFormat="1">
      <c r="A125" s="764" t="s">
        <v>2180</v>
      </c>
      <c r="B125" s="482" t="str">
        <f t="shared" si="25"/>
        <v>TOU-8-Standby-SUB</v>
      </c>
      <c r="C125" s="986">
        <v>587.17999999999995</v>
      </c>
      <c r="D125" s="986">
        <v>631.27</v>
      </c>
      <c r="E125" s="986">
        <v>713.8</v>
      </c>
      <c r="F125" s="1058">
        <f t="shared" si="21"/>
        <v>644.08333333333326</v>
      </c>
      <c r="G125" s="1346">
        <v>1.0316000000000001</v>
      </c>
      <c r="H125" s="982">
        <v>507.57454349336689</v>
      </c>
      <c r="I125" s="1078">
        <f>E23*0</f>
        <v>0</v>
      </c>
      <c r="J125" s="1058">
        <f t="shared" si="27"/>
        <v>559.65611000000001</v>
      </c>
      <c r="K125" s="1078">
        <f t="shared" si="23"/>
        <v>559.65611000000001</v>
      </c>
      <c r="L125" s="1058">
        <f t="shared" si="24"/>
        <v>732.61332168456136</v>
      </c>
      <c r="M125" s="1077">
        <f t="shared" si="20"/>
        <v>4.1530365638655139E-3</v>
      </c>
    </row>
    <row r="126" spans="1:13" s="739" customFormat="1">
      <c r="A126" s="764" t="s">
        <v>2181</v>
      </c>
      <c r="B126" s="482" t="str">
        <f t="shared" si="25"/>
        <v>TOU-PA-2</v>
      </c>
      <c r="C126" s="1076">
        <v>3188.9</v>
      </c>
      <c r="D126" s="1076">
        <v>3023.59</v>
      </c>
      <c r="E126" s="1076">
        <v>2748.37</v>
      </c>
      <c r="F126" s="1058">
        <f t="shared" si="21"/>
        <v>2986.9533333333334</v>
      </c>
      <c r="G126" s="1346">
        <v>1.091</v>
      </c>
      <c r="H126" s="981">
        <v>2137.80564</v>
      </c>
      <c r="I126" s="1058">
        <f>E24</f>
        <v>1816.152596448351</v>
      </c>
      <c r="J126" s="1058">
        <f t="shared" si="27"/>
        <v>0</v>
      </c>
      <c r="K126" s="1078">
        <f t="shared" si="23"/>
        <v>1816.152596448351</v>
      </c>
      <c r="L126" s="1058">
        <f t="shared" si="24"/>
        <v>2768.4539598826664</v>
      </c>
      <c r="M126" s="1077">
        <f t="shared" si="20"/>
        <v>1.5693804876949012E-2</v>
      </c>
    </row>
    <row r="127" spans="1:13" s="739" customFormat="1">
      <c r="A127" s="764" t="s">
        <v>2182</v>
      </c>
      <c r="B127" s="482" t="str">
        <f t="shared" si="25"/>
        <v>TOU-PA-3</v>
      </c>
      <c r="C127" s="1076">
        <v>1845.59</v>
      </c>
      <c r="D127" s="1076">
        <v>1832.57</v>
      </c>
      <c r="E127" s="1076">
        <v>1891.42</v>
      </c>
      <c r="F127" s="1058">
        <f t="shared" si="21"/>
        <v>1856.5266666666666</v>
      </c>
      <c r="G127" s="1346">
        <v>1.0895999999999999</v>
      </c>
      <c r="H127" s="981">
        <v>1406.2727466666665</v>
      </c>
      <c r="I127" s="1058">
        <f>E25</f>
        <v>1453.6399206185063</v>
      </c>
      <c r="J127" s="1058">
        <f t="shared" si="27"/>
        <v>0</v>
      </c>
      <c r="K127" s="1078">
        <f t="shared" si="23"/>
        <v>1453.6399206185063</v>
      </c>
      <c r="L127" s="1058">
        <f t="shared" si="24"/>
        <v>2091.0073879276315</v>
      </c>
      <c r="M127" s="1077">
        <f t="shared" si="20"/>
        <v>1.1853497445840093E-2</v>
      </c>
    </row>
    <row r="128" spans="1:13" s="739" customFormat="1">
      <c r="A128" s="764" t="s">
        <v>2183</v>
      </c>
      <c r="B128" s="482" t="str">
        <f t="shared" si="25"/>
        <v>Street Lighting</v>
      </c>
      <c r="C128" s="1076">
        <v>812</v>
      </c>
      <c r="D128" s="1076">
        <v>659.6</v>
      </c>
      <c r="E128" s="1076">
        <v>684.89</v>
      </c>
      <c r="F128" s="1058">
        <f t="shared" si="21"/>
        <v>718.82999999999993</v>
      </c>
      <c r="G128" s="1346">
        <v>1.0938000000000001</v>
      </c>
      <c r="H128" s="981">
        <v>723.25703333333331</v>
      </c>
      <c r="I128" s="1058">
        <f>E26</f>
        <v>698.31266766750207</v>
      </c>
      <c r="J128" s="1058">
        <f t="shared" si="27"/>
        <v>0</v>
      </c>
      <c r="K128" s="1078">
        <f t="shared" si="23"/>
        <v>698.31266766750207</v>
      </c>
      <c r="L128" s="1058">
        <f t="shared" si="24"/>
        <v>759.139112233079</v>
      </c>
      <c r="M128" s="1077">
        <f t="shared" si="20"/>
        <v>4.3034058989195444E-3</v>
      </c>
    </row>
    <row r="129" spans="1:13" s="739" customFormat="1">
      <c r="A129" s="764" t="s">
        <v>2184</v>
      </c>
      <c r="B129" s="768" t="s">
        <v>76</v>
      </c>
      <c r="C129" s="1076"/>
      <c r="D129" s="1076"/>
      <c r="E129" s="1076"/>
      <c r="F129" s="1058"/>
      <c r="G129" s="1346"/>
      <c r="H129" s="981"/>
      <c r="K129" s="1078"/>
      <c r="L129" s="1058"/>
      <c r="M129" s="1077"/>
    </row>
    <row r="130" spans="1:13" s="739" customFormat="1">
      <c r="A130" s="764">
        <v>36</v>
      </c>
      <c r="B130" s="485" t="s">
        <v>197</v>
      </c>
      <c r="C130" s="1355">
        <f>SUM(C115:C129)</f>
        <v>171759.44999999998</v>
      </c>
      <c r="D130" s="1355">
        <f>SUM(D115:D129)</f>
        <v>172932.66</v>
      </c>
      <c r="E130" s="1355">
        <f>SUM(E115:E129)</f>
        <v>170544.5</v>
      </c>
      <c r="F130" s="1355">
        <f>SUM(F115:F129)</f>
        <v>171745.53666666665</v>
      </c>
      <c r="G130" s="1356"/>
      <c r="H130" s="1355">
        <f t="shared" ref="H130:M130" si="28">SUM(H115:H129)</f>
        <v>86574.702510992487</v>
      </c>
      <c r="I130" s="1355">
        <f t="shared" si="28"/>
        <v>81070.131918333005</v>
      </c>
      <c r="J130" s="1355">
        <f t="shared" si="28"/>
        <v>899.75274899999999</v>
      </c>
      <c r="K130" s="1355">
        <f t="shared" si="28"/>
        <v>81969.884667333012</v>
      </c>
      <c r="L130" s="1355">
        <f t="shared" si="28"/>
        <v>176404.25515605579</v>
      </c>
      <c r="M130" s="1357">
        <f t="shared" si="28"/>
        <v>1.0000000000000002</v>
      </c>
    </row>
    <row r="131" spans="1:13">
      <c r="J131" s="802"/>
      <c r="L131" s="777"/>
      <c r="M131" s="778"/>
    </row>
    <row r="132" spans="1:13">
      <c r="J132" s="802"/>
      <c r="L132" s="777"/>
      <c r="M132" s="778"/>
    </row>
    <row r="133" spans="1:13">
      <c r="J133" s="802"/>
      <c r="L133" s="777"/>
      <c r="M133" s="778"/>
    </row>
    <row r="134" spans="1:13">
      <c r="J134" s="802"/>
      <c r="L134" s="777"/>
      <c r="M134" s="778"/>
    </row>
    <row r="135" spans="1:13">
      <c r="J135" s="802"/>
      <c r="L135" s="777"/>
      <c r="M135" s="778"/>
    </row>
    <row r="136" spans="1:13">
      <c r="J136" s="802"/>
      <c r="L136" s="777"/>
      <c r="M136" s="778"/>
    </row>
    <row r="137" spans="1:13">
      <c r="J137" s="802"/>
      <c r="L137" s="777"/>
      <c r="M137" s="778"/>
    </row>
    <row r="138" spans="1:13">
      <c r="J138" s="802"/>
      <c r="L138" s="777"/>
      <c r="M138" s="778"/>
    </row>
    <row r="139" spans="1:13">
      <c r="J139" s="802"/>
      <c r="L139" s="777"/>
      <c r="M139" s="778"/>
    </row>
    <row r="140" spans="1:13">
      <c r="L140" s="777"/>
    </row>
    <row r="144" spans="1:13">
      <c r="M144" s="742"/>
    </row>
    <row r="145" spans="13:13">
      <c r="M145" s="742"/>
    </row>
    <row r="146" spans="13:13">
      <c r="M146" s="742"/>
    </row>
    <row r="147" spans="13:13">
      <c r="M147" s="742"/>
    </row>
    <row r="148" spans="13:13">
      <c r="M148" s="742"/>
    </row>
    <row r="149" spans="13:13">
      <c r="M149" s="742"/>
    </row>
    <row r="150" spans="13:13">
      <c r="M150" s="742"/>
    </row>
    <row r="151" spans="13:13">
      <c r="M151" s="742"/>
    </row>
    <row r="152" spans="13:13">
      <c r="M152" s="742"/>
    </row>
    <row r="153" spans="13:13">
      <c r="M153" s="742"/>
    </row>
    <row r="154" spans="13:13">
      <c r="M154" s="742"/>
    </row>
    <row r="155" spans="13:13">
      <c r="M155" s="742"/>
    </row>
    <row r="156" spans="13:13">
      <c r="M156" s="742"/>
    </row>
    <row r="157" spans="13:13">
      <c r="M157" s="742"/>
    </row>
    <row r="158" spans="13:13">
      <c r="M158" s="742"/>
    </row>
    <row r="159" spans="13:13">
      <c r="M159" s="742"/>
    </row>
    <row r="160" spans="13:13">
      <c r="M160" s="742"/>
    </row>
    <row r="161" spans="13:13">
      <c r="M161" s="742"/>
    </row>
    <row r="162" spans="13:13">
      <c r="M162" s="742"/>
    </row>
    <row r="163" spans="13:13">
      <c r="M163" s="742"/>
    </row>
    <row r="164" spans="13:13">
      <c r="M164" s="742"/>
    </row>
    <row r="165" spans="13:13">
      <c r="M165" s="742"/>
    </row>
    <row r="166" spans="13:13">
      <c r="M166" s="742"/>
    </row>
    <row r="167" spans="13:13">
      <c r="M167" s="742"/>
    </row>
    <row r="168" spans="13:13">
      <c r="M168" s="742"/>
    </row>
    <row r="169" spans="13:13">
      <c r="M169" s="742"/>
    </row>
    <row r="170" spans="13:13">
      <c r="M170" s="742"/>
    </row>
    <row r="171" spans="13:13">
      <c r="M171" s="742"/>
    </row>
    <row r="172" spans="13:13">
      <c r="M172" s="742"/>
    </row>
    <row r="173" spans="13:13">
      <c r="M173" s="742"/>
    </row>
    <row r="174" spans="13:13">
      <c r="M174" s="742"/>
    </row>
    <row r="175" spans="13:13">
      <c r="M175" s="742"/>
    </row>
    <row r="176" spans="13:13">
      <c r="M176" s="742"/>
    </row>
    <row r="177" spans="13:13">
      <c r="M177" s="742"/>
    </row>
    <row r="178" spans="13:13">
      <c r="M178" s="742"/>
    </row>
    <row r="179" spans="13:13">
      <c r="M179" s="742"/>
    </row>
    <row r="180" spans="13:13">
      <c r="M180" s="742"/>
    </row>
    <row r="181" spans="13:13">
      <c r="M181" s="742"/>
    </row>
    <row r="182" spans="13:13">
      <c r="M182" s="742"/>
    </row>
    <row r="183" spans="13:13">
      <c r="M183" s="742"/>
    </row>
    <row r="184" spans="13:13">
      <c r="M184" s="742"/>
    </row>
    <row r="185" spans="13:13">
      <c r="M185" s="742"/>
    </row>
    <row r="186" spans="13:13">
      <c r="M186" s="742"/>
    </row>
    <row r="187" spans="13:13">
      <c r="M187" s="742"/>
    </row>
    <row r="188" spans="13:13">
      <c r="M188" s="742"/>
    </row>
    <row r="189" spans="13:13">
      <c r="M189" s="742"/>
    </row>
    <row r="190" spans="13:13">
      <c r="M190" s="742"/>
    </row>
    <row r="191" spans="13:13">
      <c r="M191" s="742"/>
    </row>
    <row r="192" spans="13:13">
      <c r="M192" s="742"/>
    </row>
    <row r="193" spans="13:13">
      <c r="M193" s="742"/>
    </row>
    <row r="194" spans="13:13">
      <c r="M194" s="742"/>
    </row>
    <row r="195" spans="13:13">
      <c r="M195" s="742"/>
    </row>
    <row r="196" spans="13:13">
      <c r="M196" s="742"/>
    </row>
    <row r="197" spans="13:13">
      <c r="M197" s="742"/>
    </row>
    <row r="198" spans="13:13">
      <c r="M198" s="742"/>
    </row>
    <row r="199" spans="13:13">
      <c r="M199" s="742"/>
    </row>
    <row r="200" spans="13:13">
      <c r="M200" s="742"/>
    </row>
    <row r="201" spans="13:13">
      <c r="M201" s="742"/>
    </row>
    <row r="202" spans="13:13">
      <c r="M202" s="742"/>
    </row>
    <row r="203" spans="13:13">
      <c r="M203" s="742"/>
    </row>
    <row r="204" spans="13:13">
      <c r="M204" s="742"/>
    </row>
    <row r="205" spans="13:13">
      <c r="M205" s="742"/>
    </row>
    <row r="206" spans="13:13">
      <c r="M206" s="742"/>
    </row>
    <row r="207" spans="13:13">
      <c r="M207" s="742"/>
    </row>
    <row r="208" spans="13:13">
      <c r="M208" s="742"/>
    </row>
    <row r="209" spans="13:13">
      <c r="M209" s="742"/>
    </row>
    <row r="210" spans="13:13">
      <c r="M210" s="742"/>
    </row>
    <row r="211" spans="13:13">
      <c r="M211" s="742"/>
    </row>
    <row r="212" spans="13:13">
      <c r="M212" s="742"/>
    </row>
    <row r="213" spans="13:13">
      <c r="M213" s="742"/>
    </row>
    <row r="214" spans="13:13">
      <c r="M214" s="742"/>
    </row>
    <row r="215" spans="13:13">
      <c r="M215" s="742"/>
    </row>
    <row r="216" spans="13:13">
      <c r="M216" s="742"/>
    </row>
    <row r="217" spans="13:13">
      <c r="M217" s="742"/>
    </row>
    <row r="218" spans="13:13">
      <c r="M218" s="742"/>
    </row>
    <row r="219" spans="13:13">
      <c r="M219" s="742"/>
    </row>
    <row r="220" spans="13:13">
      <c r="M220" s="742"/>
    </row>
    <row r="221" spans="13:13">
      <c r="M221" s="742"/>
    </row>
    <row r="222" spans="13:13">
      <c r="M222" s="742"/>
    </row>
    <row r="223" spans="13:13">
      <c r="M223" s="742"/>
    </row>
    <row r="224" spans="13:13">
      <c r="M224" s="742"/>
    </row>
    <row r="225" spans="13:13">
      <c r="M225" s="742"/>
    </row>
    <row r="226" spans="13:13">
      <c r="M226" s="742"/>
    </row>
    <row r="227" spans="13:13">
      <c r="M227" s="742"/>
    </row>
    <row r="228" spans="13:13">
      <c r="M228" s="742"/>
    </row>
    <row r="229" spans="13:13">
      <c r="M229" s="742"/>
    </row>
    <row r="230" spans="13:13">
      <c r="M230" s="742"/>
    </row>
    <row r="231" spans="13:13">
      <c r="M231" s="742"/>
    </row>
    <row r="232" spans="13:13">
      <c r="M232" s="742"/>
    </row>
    <row r="233" spans="13:13">
      <c r="M233" s="742"/>
    </row>
    <row r="234" spans="13:13">
      <c r="M234" s="742"/>
    </row>
    <row r="235" spans="13:13">
      <c r="M235" s="742"/>
    </row>
    <row r="236" spans="13:13">
      <c r="M236" s="742"/>
    </row>
    <row r="237" spans="13:13">
      <c r="M237" s="742"/>
    </row>
    <row r="238" spans="13:13">
      <c r="M238" s="742"/>
    </row>
    <row r="239" spans="13:13">
      <c r="M239" s="742"/>
    </row>
    <row r="240" spans="13:13">
      <c r="M240" s="742"/>
    </row>
    <row r="241" spans="13:13">
      <c r="M241" s="742"/>
    </row>
    <row r="242" spans="13:13">
      <c r="M242" s="742"/>
    </row>
    <row r="243" spans="13:13">
      <c r="M243" s="742"/>
    </row>
    <row r="244" spans="13:13">
      <c r="M244" s="742"/>
    </row>
    <row r="245" spans="13:13">
      <c r="M245" s="742"/>
    </row>
    <row r="246" spans="13:13">
      <c r="M246" s="742"/>
    </row>
    <row r="247" spans="13:13">
      <c r="M247" s="742"/>
    </row>
    <row r="248" spans="13:13">
      <c r="M248" s="742"/>
    </row>
    <row r="249" spans="13:13">
      <c r="M249" s="742"/>
    </row>
    <row r="250" spans="13:13">
      <c r="M250" s="742"/>
    </row>
    <row r="251" spans="13:13">
      <c r="M251" s="742"/>
    </row>
    <row r="252" spans="13:13">
      <c r="M252" s="742"/>
    </row>
  </sheetData>
  <mergeCells count="3">
    <mergeCell ref="E9:I9"/>
    <mergeCell ref="C113:F113"/>
    <mergeCell ref="L49:L50"/>
  </mergeCells>
  <pageMargins left="0.7" right="0.7" top="0.75" bottom="0.75" header="0.3" footer="0.3"/>
  <pageSetup scale="53" orientation="landscape" cellComments="asDisplayed" r:id="rId1"/>
  <headerFooter>
    <oddHeader>&amp;C&amp;"Arial,Bold"Schedule 33
Retail Transmission Rates&amp;"Arial,Regular"
&amp;RExhibit SCE-4
TO2019A Formula Rate Spreadsheet</oddHeader>
    <oddFooter>&amp;R33-RetailRates</oddFooter>
  </headerFooter>
  <rowBreaks count="4" manualBreakCount="4">
    <brk id="40" max="16383" man="1"/>
    <brk id="86" max="16383" man="1"/>
    <brk id="183" max="16383" man="1"/>
    <brk id="23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 zoomScale="110" zoomScaleNormal="110" workbookViewId="0"/>
  </sheetViews>
  <sheetFormatPr defaultRowHeight="13.2"/>
  <cols>
    <col min="1" max="1" width="4.88671875" customWidth="1"/>
    <col min="2" max="2" width="1.6640625" customWidth="1"/>
    <col min="3" max="3" width="46" customWidth="1"/>
    <col min="4" max="4" width="1.6640625" customWidth="1"/>
    <col min="5" max="5" width="34" customWidth="1"/>
    <col min="6" max="6" width="1.6640625" customWidth="1"/>
    <col min="7" max="7" width="16.6640625" customWidth="1"/>
    <col min="8" max="8" width="1.6640625" customWidth="1"/>
    <col min="9" max="9" width="16.6640625" customWidth="1"/>
    <col min="10" max="10" width="1.6640625" customWidth="1"/>
    <col min="11" max="11" width="16.6640625" customWidth="1"/>
    <col min="12" max="12" width="2.88671875" customWidth="1"/>
    <col min="13" max="13" width="35.44140625" bestFit="1" customWidth="1"/>
    <col min="14" max="14" width="20.109375" customWidth="1"/>
    <col min="257" max="257" width="4.88671875" customWidth="1"/>
    <col min="258" max="258" width="1.6640625" customWidth="1"/>
    <col min="259" max="259" width="46" customWidth="1"/>
    <col min="260" max="260" width="1.6640625" customWidth="1"/>
    <col min="261" max="261" width="34" customWidth="1"/>
    <col min="262" max="262" width="1.6640625" customWidth="1"/>
    <col min="263" max="263" width="16" customWidth="1"/>
    <col min="264" max="264" width="1.6640625" customWidth="1"/>
    <col min="265" max="265" width="14" customWidth="1"/>
    <col min="266" max="266" width="1.6640625" customWidth="1"/>
    <col min="267" max="267" width="11.5546875" customWidth="1"/>
    <col min="268" max="268" width="2.88671875" customWidth="1"/>
    <col min="269" max="269" width="35.44140625" bestFit="1" customWidth="1"/>
    <col min="270" max="270" width="20.109375" customWidth="1"/>
    <col min="513" max="513" width="4.88671875" customWidth="1"/>
    <col min="514" max="514" width="1.6640625" customWidth="1"/>
    <col min="515" max="515" width="46" customWidth="1"/>
    <col min="516" max="516" width="1.6640625" customWidth="1"/>
    <col min="517" max="517" width="34" customWidth="1"/>
    <col min="518" max="518" width="1.6640625" customWidth="1"/>
    <col min="519" max="519" width="16" customWidth="1"/>
    <col min="520" max="520" width="1.6640625" customWidth="1"/>
    <col min="521" max="521" width="14" customWidth="1"/>
    <col min="522" max="522" width="1.6640625" customWidth="1"/>
    <col min="523" max="523" width="11.5546875" customWidth="1"/>
    <col min="524" max="524" width="2.88671875" customWidth="1"/>
    <col min="525" max="525" width="35.44140625" bestFit="1" customWidth="1"/>
    <col min="526" max="526" width="20.109375" customWidth="1"/>
    <col min="769" max="769" width="4.88671875" customWidth="1"/>
    <col min="770" max="770" width="1.6640625" customWidth="1"/>
    <col min="771" max="771" width="46" customWidth="1"/>
    <col min="772" max="772" width="1.6640625" customWidth="1"/>
    <col min="773" max="773" width="34" customWidth="1"/>
    <col min="774" max="774" width="1.6640625" customWidth="1"/>
    <col min="775" max="775" width="16" customWidth="1"/>
    <col min="776" max="776" width="1.6640625" customWidth="1"/>
    <col min="777" max="777" width="14" customWidth="1"/>
    <col min="778" max="778" width="1.6640625" customWidth="1"/>
    <col min="779" max="779" width="11.5546875" customWidth="1"/>
    <col min="780" max="780" width="2.88671875" customWidth="1"/>
    <col min="781" max="781" width="35.44140625" bestFit="1" customWidth="1"/>
    <col min="782" max="782" width="20.109375" customWidth="1"/>
    <col min="1025" max="1025" width="4.88671875" customWidth="1"/>
    <col min="1026" max="1026" width="1.6640625" customWidth="1"/>
    <col min="1027" max="1027" width="46" customWidth="1"/>
    <col min="1028" max="1028" width="1.6640625" customWidth="1"/>
    <col min="1029" max="1029" width="34" customWidth="1"/>
    <col min="1030" max="1030" width="1.6640625" customWidth="1"/>
    <col min="1031" max="1031" width="16" customWidth="1"/>
    <col min="1032" max="1032" width="1.6640625" customWidth="1"/>
    <col min="1033" max="1033" width="14" customWidth="1"/>
    <col min="1034" max="1034" width="1.6640625" customWidth="1"/>
    <col min="1035" max="1035" width="11.5546875" customWidth="1"/>
    <col min="1036" max="1036" width="2.88671875" customWidth="1"/>
    <col min="1037" max="1037" width="35.44140625" bestFit="1" customWidth="1"/>
    <col min="1038" max="1038" width="20.109375" customWidth="1"/>
    <col min="1281" max="1281" width="4.88671875" customWidth="1"/>
    <col min="1282" max="1282" width="1.6640625" customWidth="1"/>
    <col min="1283" max="1283" width="46" customWidth="1"/>
    <col min="1284" max="1284" width="1.6640625" customWidth="1"/>
    <col min="1285" max="1285" width="34" customWidth="1"/>
    <col min="1286" max="1286" width="1.6640625" customWidth="1"/>
    <col min="1287" max="1287" width="16" customWidth="1"/>
    <col min="1288" max="1288" width="1.6640625" customWidth="1"/>
    <col min="1289" max="1289" width="14" customWidth="1"/>
    <col min="1290" max="1290" width="1.6640625" customWidth="1"/>
    <col min="1291" max="1291" width="11.5546875" customWidth="1"/>
    <col min="1292" max="1292" width="2.88671875" customWidth="1"/>
    <col min="1293" max="1293" width="35.44140625" bestFit="1" customWidth="1"/>
    <col min="1294" max="1294" width="20.109375" customWidth="1"/>
    <col min="1537" max="1537" width="4.88671875" customWidth="1"/>
    <col min="1538" max="1538" width="1.6640625" customWidth="1"/>
    <col min="1539" max="1539" width="46" customWidth="1"/>
    <col min="1540" max="1540" width="1.6640625" customWidth="1"/>
    <col min="1541" max="1541" width="34" customWidth="1"/>
    <col min="1542" max="1542" width="1.6640625" customWidth="1"/>
    <col min="1543" max="1543" width="16" customWidth="1"/>
    <col min="1544" max="1544" width="1.6640625" customWidth="1"/>
    <col min="1545" max="1545" width="14" customWidth="1"/>
    <col min="1546" max="1546" width="1.6640625" customWidth="1"/>
    <col min="1547" max="1547" width="11.5546875" customWidth="1"/>
    <col min="1548" max="1548" width="2.88671875" customWidth="1"/>
    <col min="1549" max="1549" width="35.44140625" bestFit="1" customWidth="1"/>
    <col min="1550" max="1550" width="20.109375" customWidth="1"/>
    <col min="1793" max="1793" width="4.88671875" customWidth="1"/>
    <col min="1794" max="1794" width="1.6640625" customWidth="1"/>
    <col min="1795" max="1795" width="46" customWidth="1"/>
    <col min="1796" max="1796" width="1.6640625" customWidth="1"/>
    <col min="1797" max="1797" width="34" customWidth="1"/>
    <col min="1798" max="1798" width="1.6640625" customWidth="1"/>
    <col min="1799" max="1799" width="16" customWidth="1"/>
    <col min="1800" max="1800" width="1.6640625" customWidth="1"/>
    <col min="1801" max="1801" width="14" customWidth="1"/>
    <col min="1802" max="1802" width="1.6640625" customWidth="1"/>
    <col min="1803" max="1803" width="11.5546875" customWidth="1"/>
    <col min="1804" max="1804" width="2.88671875" customWidth="1"/>
    <col min="1805" max="1805" width="35.44140625" bestFit="1" customWidth="1"/>
    <col min="1806" max="1806" width="20.109375" customWidth="1"/>
    <col min="2049" max="2049" width="4.88671875" customWidth="1"/>
    <col min="2050" max="2050" width="1.6640625" customWidth="1"/>
    <col min="2051" max="2051" width="46" customWidth="1"/>
    <col min="2052" max="2052" width="1.6640625" customWidth="1"/>
    <col min="2053" max="2053" width="34" customWidth="1"/>
    <col min="2054" max="2054" width="1.6640625" customWidth="1"/>
    <col min="2055" max="2055" width="16" customWidth="1"/>
    <col min="2056" max="2056" width="1.6640625" customWidth="1"/>
    <col min="2057" max="2057" width="14" customWidth="1"/>
    <col min="2058" max="2058" width="1.6640625" customWidth="1"/>
    <col min="2059" max="2059" width="11.5546875" customWidth="1"/>
    <col min="2060" max="2060" width="2.88671875" customWidth="1"/>
    <col min="2061" max="2061" width="35.44140625" bestFit="1" customWidth="1"/>
    <col min="2062" max="2062" width="20.109375" customWidth="1"/>
    <col min="2305" max="2305" width="4.88671875" customWidth="1"/>
    <col min="2306" max="2306" width="1.6640625" customWidth="1"/>
    <col min="2307" max="2307" width="46" customWidth="1"/>
    <col min="2308" max="2308" width="1.6640625" customWidth="1"/>
    <col min="2309" max="2309" width="34" customWidth="1"/>
    <col min="2310" max="2310" width="1.6640625" customWidth="1"/>
    <col min="2311" max="2311" width="16" customWidth="1"/>
    <col min="2312" max="2312" width="1.6640625" customWidth="1"/>
    <col min="2313" max="2313" width="14" customWidth="1"/>
    <col min="2314" max="2314" width="1.6640625" customWidth="1"/>
    <col min="2315" max="2315" width="11.5546875" customWidth="1"/>
    <col min="2316" max="2316" width="2.88671875" customWidth="1"/>
    <col min="2317" max="2317" width="35.44140625" bestFit="1" customWidth="1"/>
    <col min="2318" max="2318" width="20.109375" customWidth="1"/>
    <col min="2561" max="2561" width="4.88671875" customWidth="1"/>
    <col min="2562" max="2562" width="1.6640625" customWidth="1"/>
    <col min="2563" max="2563" width="46" customWidth="1"/>
    <col min="2564" max="2564" width="1.6640625" customWidth="1"/>
    <col min="2565" max="2565" width="34" customWidth="1"/>
    <col min="2566" max="2566" width="1.6640625" customWidth="1"/>
    <col min="2567" max="2567" width="16" customWidth="1"/>
    <col min="2568" max="2568" width="1.6640625" customWidth="1"/>
    <col min="2569" max="2569" width="14" customWidth="1"/>
    <col min="2570" max="2570" width="1.6640625" customWidth="1"/>
    <col min="2571" max="2571" width="11.5546875" customWidth="1"/>
    <col min="2572" max="2572" width="2.88671875" customWidth="1"/>
    <col min="2573" max="2573" width="35.44140625" bestFit="1" customWidth="1"/>
    <col min="2574" max="2574" width="20.109375" customWidth="1"/>
    <col min="2817" max="2817" width="4.88671875" customWidth="1"/>
    <col min="2818" max="2818" width="1.6640625" customWidth="1"/>
    <col min="2819" max="2819" width="46" customWidth="1"/>
    <col min="2820" max="2820" width="1.6640625" customWidth="1"/>
    <col min="2821" max="2821" width="34" customWidth="1"/>
    <col min="2822" max="2822" width="1.6640625" customWidth="1"/>
    <col min="2823" max="2823" width="16" customWidth="1"/>
    <col min="2824" max="2824" width="1.6640625" customWidth="1"/>
    <col min="2825" max="2825" width="14" customWidth="1"/>
    <col min="2826" max="2826" width="1.6640625" customWidth="1"/>
    <col min="2827" max="2827" width="11.5546875" customWidth="1"/>
    <col min="2828" max="2828" width="2.88671875" customWidth="1"/>
    <col min="2829" max="2829" width="35.44140625" bestFit="1" customWidth="1"/>
    <col min="2830" max="2830" width="20.109375" customWidth="1"/>
    <col min="3073" max="3073" width="4.88671875" customWidth="1"/>
    <col min="3074" max="3074" width="1.6640625" customWidth="1"/>
    <col min="3075" max="3075" width="46" customWidth="1"/>
    <col min="3076" max="3076" width="1.6640625" customWidth="1"/>
    <col min="3077" max="3077" width="34" customWidth="1"/>
    <col min="3078" max="3078" width="1.6640625" customWidth="1"/>
    <col min="3079" max="3079" width="16" customWidth="1"/>
    <col min="3080" max="3080" width="1.6640625" customWidth="1"/>
    <col min="3081" max="3081" width="14" customWidth="1"/>
    <col min="3082" max="3082" width="1.6640625" customWidth="1"/>
    <col min="3083" max="3083" width="11.5546875" customWidth="1"/>
    <col min="3084" max="3084" width="2.88671875" customWidth="1"/>
    <col min="3085" max="3085" width="35.44140625" bestFit="1" customWidth="1"/>
    <col min="3086" max="3086" width="20.109375" customWidth="1"/>
    <col min="3329" max="3329" width="4.88671875" customWidth="1"/>
    <col min="3330" max="3330" width="1.6640625" customWidth="1"/>
    <col min="3331" max="3331" width="46" customWidth="1"/>
    <col min="3332" max="3332" width="1.6640625" customWidth="1"/>
    <col min="3333" max="3333" width="34" customWidth="1"/>
    <col min="3334" max="3334" width="1.6640625" customWidth="1"/>
    <col min="3335" max="3335" width="16" customWidth="1"/>
    <col min="3336" max="3336" width="1.6640625" customWidth="1"/>
    <col min="3337" max="3337" width="14" customWidth="1"/>
    <col min="3338" max="3338" width="1.6640625" customWidth="1"/>
    <col min="3339" max="3339" width="11.5546875" customWidth="1"/>
    <col min="3340" max="3340" width="2.88671875" customWidth="1"/>
    <col min="3341" max="3341" width="35.44140625" bestFit="1" customWidth="1"/>
    <col min="3342" max="3342" width="20.109375" customWidth="1"/>
    <col min="3585" max="3585" width="4.88671875" customWidth="1"/>
    <col min="3586" max="3586" width="1.6640625" customWidth="1"/>
    <col min="3587" max="3587" width="46" customWidth="1"/>
    <col min="3588" max="3588" width="1.6640625" customWidth="1"/>
    <col min="3589" max="3589" width="34" customWidth="1"/>
    <col min="3590" max="3590" width="1.6640625" customWidth="1"/>
    <col min="3591" max="3591" width="16" customWidth="1"/>
    <col min="3592" max="3592" width="1.6640625" customWidth="1"/>
    <col min="3593" max="3593" width="14" customWidth="1"/>
    <col min="3594" max="3594" width="1.6640625" customWidth="1"/>
    <col min="3595" max="3595" width="11.5546875" customWidth="1"/>
    <col min="3596" max="3596" width="2.88671875" customWidth="1"/>
    <col min="3597" max="3597" width="35.44140625" bestFit="1" customWidth="1"/>
    <col min="3598" max="3598" width="20.109375" customWidth="1"/>
    <col min="3841" max="3841" width="4.88671875" customWidth="1"/>
    <col min="3842" max="3842" width="1.6640625" customWidth="1"/>
    <col min="3843" max="3843" width="46" customWidth="1"/>
    <col min="3844" max="3844" width="1.6640625" customWidth="1"/>
    <col min="3845" max="3845" width="34" customWidth="1"/>
    <col min="3846" max="3846" width="1.6640625" customWidth="1"/>
    <col min="3847" max="3847" width="16" customWidth="1"/>
    <col min="3848" max="3848" width="1.6640625" customWidth="1"/>
    <col min="3849" max="3849" width="14" customWidth="1"/>
    <col min="3850" max="3850" width="1.6640625" customWidth="1"/>
    <col min="3851" max="3851" width="11.5546875" customWidth="1"/>
    <col min="3852" max="3852" width="2.88671875" customWidth="1"/>
    <col min="3853" max="3853" width="35.44140625" bestFit="1" customWidth="1"/>
    <col min="3854" max="3854" width="20.109375" customWidth="1"/>
    <col min="4097" max="4097" width="4.88671875" customWidth="1"/>
    <col min="4098" max="4098" width="1.6640625" customWidth="1"/>
    <col min="4099" max="4099" width="46" customWidth="1"/>
    <col min="4100" max="4100" width="1.6640625" customWidth="1"/>
    <col min="4101" max="4101" width="34" customWidth="1"/>
    <col min="4102" max="4102" width="1.6640625" customWidth="1"/>
    <col min="4103" max="4103" width="16" customWidth="1"/>
    <col min="4104" max="4104" width="1.6640625" customWidth="1"/>
    <col min="4105" max="4105" width="14" customWidth="1"/>
    <col min="4106" max="4106" width="1.6640625" customWidth="1"/>
    <col min="4107" max="4107" width="11.5546875" customWidth="1"/>
    <col min="4108" max="4108" width="2.88671875" customWidth="1"/>
    <col min="4109" max="4109" width="35.44140625" bestFit="1" customWidth="1"/>
    <col min="4110" max="4110" width="20.109375" customWidth="1"/>
    <col min="4353" max="4353" width="4.88671875" customWidth="1"/>
    <col min="4354" max="4354" width="1.6640625" customWidth="1"/>
    <col min="4355" max="4355" width="46" customWidth="1"/>
    <col min="4356" max="4356" width="1.6640625" customWidth="1"/>
    <col min="4357" max="4357" width="34" customWidth="1"/>
    <col min="4358" max="4358" width="1.6640625" customWidth="1"/>
    <col min="4359" max="4359" width="16" customWidth="1"/>
    <col min="4360" max="4360" width="1.6640625" customWidth="1"/>
    <col min="4361" max="4361" width="14" customWidth="1"/>
    <col min="4362" max="4362" width="1.6640625" customWidth="1"/>
    <col min="4363" max="4363" width="11.5546875" customWidth="1"/>
    <col min="4364" max="4364" width="2.88671875" customWidth="1"/>
    <col min="4365" max="4365" width="35.44140625" bestFit="1" customWidth="1"/>
    <col min="4366" max="4366" width="20.109375" customWidth="1"/>
    <col min="4609" max="4609" width="4.88671875" customWidth="1"/>
    <col min="4610" max="4610" width="1.6640625" customWidth="1"/>
    <col min="4611" max="4611" width="46" customWidth="1"/>
    <col min="4612" max="4612" width="1.6640625" customWidth="1"/>
    <col min="4613" max="4613" width="34" customWidth="1"/>
    <col min="4614" max="4614" width="1.6640625" customWidth="1"/>
    <col min="4615" max="4615" width="16" customWidth="1"/>
    <col min="4616" max="4616" width="1.6640625" customWidth="1"/>
    <col min="4617" max="4617" width="14" customWidth="1"/>
    <col min="4618" max="4618" width="1.6640625" customWidth="1"/>
    <col min="4619" max="4619" width="11.5546875" customWidth="1"/>
    <col min="4620" max="4620" width="2.88671875" customWidth="1"/>
    <col min="4621" max="4621" width="35.44140625" bestFit="1" customWidth="1"/>
    <col min="4622" max="4622" width="20.109375" customWidth="1"/>
    <col min="4865" max="4865" width="4.88671875" customWidth="1"/>
    <col min="4866" max="4866" width="1.6640625" customWidth="1"/>
    <col min="4867" max="4867" width="46" customWidth="1"/>
    <col min="4868" max="4868" width="1.6640625" customWidth="1"/>
    <col min="4869" max="4869" width="34" customWidth="1"/>
    <col min="4870" max="4870" width="1.6640625" customWidth="1"/>
    <col min="4871" max="4871" width="16" customWidth="1"/>
    <col min="4872" max="4872" width="1.6640625" customWidth="1"/>
    <col min="4873" max="4873" width="14" customWidth="1"/>
    <col min="4874" max="4874" width="1.6640625" customWidth="1"/>
    <col min="4875" max="4875" width="11.5546875" customWidth="1"/>
    <col min="4876" max="4876" width="2.88671875" customWidth="1"/>
    <col min="4877" max="4877" width="35.44140625" bestFit="1" customWidth="1"/>
    <col min="4878" max="4878" width="20.109375" customWidth="1"/>
    <col min="5121" max="5121" width="4.88671875" customWidth="1"/>
    <col min="5122" max="5122" width="1.6640625" customWidth="1"/>
    <col min="5123" max="5123" width="46" customWidth="1"/>
    <col min="5124" max="5124" width="1.6640625" customWidth="1"/>
    <col min="5125" max="5125" width="34" customWidth="1"/>
    <col min="5126" max="5126" width="1.6640625" customWidth="1"/>
    <col min="5127" max="5127" width="16" customWidth="1"/>
    <col min="5128" max="5128" width="1.6640625" customWidth="1"/>
    <col min="5129" max="5129" width="14" customWidth="1"/>
    <col min="5130" max="5130" width="1.6640625" customWidth="1"/>
    <col min="5131" max="5131" width="11.5546875" customWidth="1"/>
    <col min="5132" max="5132" width="2.88671875" customWidth="1"/>
    <col min="5133" max="5133" width="35.44140625" bestFit="1" customWidth="1"/>
    <col min="5134" max="5134" width="20.109375" customWidth="1"/>
    <col min="5377" max="5377" width="4.88671875" customWidth="1"/>
    <col min="5378" max="5378" width="1.6640625" customWidth="1"/>
    <col min="5379" max="5379" width="46" customWidth="1"/>
    <col min="5380" max="5380" width="1.6640625" customWidth="1"/>
    <col min="5381" max="5381" width="34" customWidth="1"/>
    <col min="5382" max="5382" width="1.6640625" customWidth="1"/>
    <col min="5383" max="5383" width="16" customWidth="1"/>
    <col min="5384" max="5384" width="1.6640625" customWidth="1"/>
    <col min="5385" max="5385" width="14" customWidth="1"/>
    <col min="5386" max="5386" width="1.6640625" customWidth="1"/>
    <col min="5387" max="5387" width="11.5546875" customWidth="1"/>
    <col min="5388" max="5388" width="2.88671875" customWidth="1"/>
    <col min="5389" max="5389" width="35.44140625" bestFit="1" customWidth="1"/>
    <col min="5390" max="5390" width="20.109375" customWidth="1"/>
    <col min="5633" max="5633" width="4.88671875" customWidth="1"/>
    <col min="5634" max="5634" width="1.6640625" customWidth="1"/>
    <col min="5635" max="5635" width="46" customWidth="1"/>
    <col min="5636" max="5636" width="1.6640625" customWidth="1"/>
    <col min="5637" max="5637" width="34" customWidth="1"/>
    <col min="5638" max="5638" width="1.6640625" customWidth="1"/>
    <col min="5639" max="5639" width="16" customWidth="1"/>
    <col min="5640" max="5640" width="1.6640625" customWidth="1"/>
    <col min="5641" max="5641" width="14" customWidth="1"/>
    <col min="5642" max="5642" width="1.6640625" customWidth="1"/>
    <col min="5643" max="5643" width="11.5546875" customWidth="1"/>
    <col min="5644" max="5644" width="2.88671875" customWidth="1"/>
    <col min="5645" max="5645" width="35.44140625" bestFit="1" customWidth="1"/>
    <col min="5646" max="5646" width="20.109375" customWidth="1"/>
    <col min="5889" max="5889" width="4.88671875" customWidth="1"/>
    <col min="5890" max="5890" width="1.6640625" customWidth="1"/>
    <col min="5891" max="5891" width="46" customWidth="1"/>
    <col min="5892" max="5892" width="1.6640625" customWidth="1"/>
    <col min="5893" max="5893" width="34" customWidth="1"/>
    <col min="5894" max="5894" width="1.6640625" customWidth="1"/>
    <col min="5895" max="5895" width="16" customWidth="1"/>
    <col min="5896" max="5896" width="1.6640625" customWidth="1"/>
    <col min="5897" max="5897" width="14" customWidth="1"/>
    <col min="5898" max="5898" width="1.6640625" customWidth="1"/>
    <col min="5899" max="5899" width="11.5546875" customWidth="1"/>
    <col min="5900" max="5900" width="2.88671875" customWidth="1"/>
    <col min="5901" max="5901" width="35.44140625" bestFit="1" customWidth="1"/>
    <col min="5902" max="5902" width="20.109375" customWidth="1"/>
    <col min="6145" max="6145" width="4.88671875" customWidth="1"/>
    <col min="6146" max="6146" width="1.6640625" customWidth="1"/>
    <col min="6147" max="6147" width="46" customWidth="1"/>
    <col min="6148" max="6148" width="1.6640625" customWidth="1"/>
    <col min="6149" max="6149" width="34" customWidth="1"/>
    <col min="6150" max="6150" width="1.6640625" customWidth="1"/>
    <col min="6151" max="6151" width="16" customWidth="1"/>
    <col min="6152" max="6152" width="1.6640625" customWidth="1"/>
    <col min="6153" max="6153" width="14" customWidth="1"/>
    <col min="6154" max="6154" width="1.6640625" customWidth="1"/>
    <col min="6155" max="6155" width="11.5546875" customWidth="1"/>
    <col min="6156" max="6156" width="2.88671875" customWidth="1"/>
    <col min="6157" max="6157" width="35.44140625" bestFit="1" customWidth="1"/>
    <col min="6158" max="6158" width="20.109375" customWidth="1"/>
    <col min="6401" max="6401" width="4.88671875" customWidth="1"/>
    <col min="6402" max="6402" width="1.6640625" customWidth="1"/>
    <col min="6403" max="6403" width="46" customWidth="1"/>
    <col min="6404" max="6404" width="1.6640625" customWidth="1"/>
    <col min="6405" max="6405" width="34" customWidth="1"/>
    <col min="6406" max="6406" width="1.6640625" customWidth="1"/>
    <col min="6407" max="6407" width="16" customWidth="1"/>
    <col min="6408" max="6408" width="1.6640625" customWidth="1"/>
    <col min="6409" max="6409" width="14" customWidth="1"/>
    <col min="6410" max="6410" width="1.6640625" customWidth="1"/>
    <col min="6411" max="6411" width="11.5546875" customWidth="1"/>
    <col min="6412" max="6412" width="2.88671875" customWidth="1"/>
    <col min="6413" max="6413" width="35.44140625" bestFit="1" customWidth="1"/>
    <col min="6414" max="6414" width="20.109375" customWidth="1"/>
    <col min="6657" max="6657" width="4.88671875" customWidth="1"/>
    <col min="6658" max="6658" width="1.6640625" customWidth="1"/>
    <col min="6659" max="6659" width="46" customWidth="1"/>
    <col min="6660" max="6660" width="1.6640625" customWidth="1"/>
    <col min="6661" max="6661" width="34" customWidth="1"/>
    <col min="6662" max="6662" width="1.6640625" customWidth="1"/>
    <col min="6663" max="6663" width="16" customWidth="1"/>
    <col min="6664" max="6664" width="1.6640625" customWidth="1"/>
    <col min="6665" max="6665" width="14" customWidth="1"/>
    <col min="6666" max="6666" width="1.6640625" customWidth="1"/>
    <col min="6667" max="6667" width="11.5546875" customWidth="1"/>
    <col min="6668" max="6668" width="2.88671875" customWidth="1"/>
    <col min="6669" max="6669" width="35.44140625" bestFit="1" customWidth="1"/>
    <col min="6670" max="6670" width="20.109375" customWidth="1"/>
    <col min="6913" max="6913" width="4.88671875" customWidth="1"/>
    <col min="6914" max="6914" width="1.6640625" customWidth="1"/>
    <col min="6915" max="6915" width="46" customWidth="1"/>
    <col min="6916" max="6916" width="1.6640625" customWidth="1"/>
    <col min="6917" max="6917" width="34" customWidth="1"/>
    <col min="6918" max="6918" width="1.6640625" customWidth="1"/>
    <col min="6919" max="6919" width="16" customWidth="1"/>
    <col min="6920" max="6920" width="1.6640625" customWidth="1"/>
    <col min="6921" max="6921" width="14" customWidth="1"/>
    <col min="6922" max="6922" width="1.6640625" customWidth="1"/>
    <col min="6923" max="6923" width="11.5546875" customWidth="1"/>
    <col min="6924" max="6924" width="2.88671875" customWidth="1"/>
    <col min="6925" max="6925" width="35.44140625" bestFit="1" customWidth="1"/>
    <col min="6926" max="6926" width="20.109375" customWidth="1"/>
    <col min="7169" max="7169" width="4.88671875" customWidth="1"/>
    <col min="7170" max="7170" width="1.6640625" customWidth="1"/>
    <col min="7171" max="7171" width="46" customWidth="1"/>
    <col min="7172" max="7172" width="1.6640625" customWidth="1"/>
    <col min="7173" max="7173" width="34" customWidth="1"/>
    <col min="7174" max="7174" width="1.6640625" customWidth="1"/>
    <col min="7175" max="7175" width="16" customWidth="1"/>
    <col min="7176" max="7176" width="1.6640625" customWidth="1"/>
    <col min="7177" max="7177" width="14" customWidth="1"/>
    <col min="7178" max="7178" width="1.6640625" customWidth="1"/>
    <col min="7179" max="7179" width="11.5546875" customWidth="1"/>
    <col min="7180" max="7180" width="2.88671875" customWidth="1"/>
    <col min="7181" max="7181" width="35.44140625" bestFit="1" customWidth="1"/>
    <col min="7182" max="7182" width="20.109375" customWidth="1"/>
    <col min="7425" max="7425" width="4.88671875" customWidth="1"/>
    <col min="7426" max="7426" width="1.6640625" customWidth="1"/>
    <col min="7427" max="7427" width="46" customWidth="1"/>
    <col min="7428" max="7428" width="1.6640625" customWidth="1"/>
    <col min="7429" max="7429" width="34" customWidth="1"/>
    <col min="7430" max="7430" width="1.6640625" customWidth="1"/>
    <col min="7431" max="7431" width="16" customWidth="1"/>
    <col min="7432" max="7432" width="1.6640625" customWidth="1"/>
    <col min="7433" max="7433" width="14" customWidth="1"/>
    <col min="7434" max="7434" width="1.6640625" customWidth="1"/>
    <col min="7435" max="7435" width="11.5546875" customWidth="1"/>
    <col min="7436" max="7436" width="2.88671875" customWidth="1"/>
    <col min="7437" max="7437" width="35.44140625" bestFit="1" customWidth="1"/>
    <col min="7438" max="7438" width="20.109375" customWidth="1"/>
    <col min="7681" max="7681" width="4.88671875" customWidth="1"/>
    <col min="7682" max="7682" width="1.6640625" customWidth="1"/>
    <col min="7683" max="7683" width="46" customWidth="1"/>
    <col min="7684" max="7684" width="1.6640625" customWidth="1"/>
    <col min="7685" max="7685" width="34" customWidth="1"/>
    <col min="7686" max="7686" width="1.6640625" customWidth="1"/>
    <col min="7687" max="7687" width="16" customWidth="1"/>
    <col min="7688" max="7688" width="1.6640625" customWidth="1"/>
    <col min="7689" max="7689" width="14" customWidth="1"/>
    <col min="7690" max="7690" width="1.6640625" customWidth="1"/>
    <col min="7691" max="7691" width="11.5546875" customWidth="1"/>
    <col min="7692" max="7692" width="2.88671875" customWidth="1"/>
    <col min="7693" max="7693" width="35.44140625" bestFit="1" customWidth="1"/>
    <col min="7694" max="7694" width="20.109375" customWidth="1"/>
    <col min="7937" max="7937" width="4.88671875" customWidth="1"/>
    <col min="7938" max="7938" width="1.6640625" customWidth="1"/>
    <col min="7939" max="7939" width="46" customWidth="1"/>
    <col min="7940" max="7940" width="1.6640625" customWidth="1"/>
    <col min="7941" max="7941" width="34" customWidth="1"/>
    <col min="7942" max="7942" width="1.6640625" customWidth="1"/>
    <col min="7943" max="7943" width="16" customWidth="1"/>
    <col min="7944" max="7944" width="1.6640625" customWidth="1"/>
    <col min="7945" max="7945" width="14" customWidth="1"/>
    <col min="7946" max="7946" width="1.6640625" customWidth="1"/>
    <col min="7947" max="7947" width="11.5546875" customWidth="1"/>
    <col min="7948" max="7948" width="2.88671875" customWidth="1"/>
    <col min="7949" max="7949" width="35.44140625" bestFit="1" customWidth="1"/>
    <col min="7950" max="7950" width="20.109375" customWidth="1"/>
    <col min="8193" max="8193" width="4.88671875" customWidth="1"/>
    <col min="8194" max="8194" width="1.6640625" customWidth="1"/>
    <col min="8195" max="8195" width="46" customWidth="1"/>
    <col min="8196" max="8196" width="1.6640625" customWidth="1"/>
    <col min="8197" max="8197" width="34" customWidth="1"/>
    <col min="8198" max="8198" width="1.6640625" customWidth="1"/>
    <col min="8199" max="8199" width="16" customWidth="1"/>
    <col min="8200" max="8200" width="1.6640625" customWidth="1"/>
    <col min="8201" max="8201" width="14" customWidth="1"/>
    <col min="8202" max="8202" width="1.6640625" customWidth="1"/>
    <col min="8203" max="8203" width="11.5546875" customWidth="1"/>
    <col min="8204" max="8204" width="2.88671875" customWidth="1"/>
    <col min="8205" max="8205" width="35.44140625" bestFit="1" customWidth="1"/>
    <col min="8206" max="8206" width="20.109375" customWidth="1"/>
    <col min="8449" max="8449" width="4.88671875" customWidth="1"/>
    <col min="8450" max="8450" width="1.6640625" customWidth="1"/>
    <col min="8451" max="8451" width="46" customWidth="1"/>
    <col min="8452" max="8452" width="1.6640625" customWidth="1"/>
    <col min="8453" max="8453" width="34" customWidth="1"/>
    <col min="8454" max="8454" width="1.6640625" customWidth="1"/>
    <col min="8455" max="8455" width="16" customWidth="1"/>
    <col min="8456" max="8456" width="1.6640625" customWidth="1"/>
    <col min="8457" max="8457" width="14" customWidth="1"/>
    <col min="8458" max="8458" width="1.6640625" customWidth="1"/>
    <col min="8459" max="8459" width="11.5546875" customWidth="1"/>
    <col min="8460" max="8460" width="2.88671875" customWidth="1"/>
    <col min="8461" max="8461" width="35.44140625" bestFit="1" customWidth="1"/>
    <col min="8462" max="8462" width="20.109375" customWidth="1"/>
    <col min="8705" max="8705" width="4.88671875" customWidth="1"/>
    <col min="8706" max="8706" width="1.6640625" customWidth="1"/>
    <col min="8707" max="8707" width="46" customWidth="1"/>
    <col min="8708" max="8708" width="1.6640625" customWidth="1"/>
    <col min="8709" max="8709" width="34" customWidth="1"/>
    <col min="8710" max="8710" width="1.6640625" customWidth="1"/>
    <col min="8711" max="8711" width="16" customWidth="1"/>
    <col min="8712" max="8712" width="1.6640625" customWidth="1"/>
    <col min="8713" max="8713" width="14" customWidth="1"/>
    <col min="8714" max="8714" width="1.6640625" customWidth="1"/>
    <col min="8715" max="8715" width="11.5546875" customWidth="1"/>
    <col min="8716" max="8716" width="2.88671875" customWidth="1"/>
    <col min="8717" max="8717" width="35.44140625" bestFit="1" customWidth="1"/>
    <col min="8718" max="8718" width="20.109375" customWidth="1"/>
    <col min="8961" max="8961" width="4.88671875" customWidth="1"/>
    <col min="8962" max="8962" width="1.6640625" customWidth="1"/>
    <col min="8963" max="8963" width="46" customWidth="1"/>
    <col min="8964" max="8964" width="1.6640625" customWidth="1"/>
    <col min="8965" max="8965" width="34" customWidth="1"/>
    <col min="8966" max="8966" width="1.6640625" customWidth="1"/>
    <col min="8967" max="8967" width="16" customWidth="1"/>
    <col min="8968" max="8968" width="1.6640625" customWidth="1"/>
    <col min="8969" max="8969" width="14" customWidth="1"/>
    <col min="8970" max="8970" width="1.6640625" customWidth="1"/>
    <col min="8971" max="8971" width="11.5546875" customWidth="1"/>
    <col min="8972" max="8972" width="2.88671875" customWidth="1"/>
    <col min="8973" max="8973" width="35.44140625" bestFit="1" customWidth="1"/>
    <col min="8974" max="8974" width="20.109375" customWidth="1"/>
    <col min="9217" max="9217" width="4.88671875" customWidth="1"/>
    <col min="9218" max="9218" width="1.6640625" customWidth="1"/>
    <col min="9219" max="9219" width="46" customWidth="1"/>
    <col min="9220" max="9220" width="1.6640625" customWidth="1"/>
    <col min="9221" max="9221" width="34" customWidth="1"/>
    <col min="9222" max="9222" width="1.6640625" customWidth="1"/>
    <col min="9223" max="9223" width="16" customWidth="1"/>
    <col min="9224" max="9224" width="1.6640625" customWidth="1"/>
    <col min="9225" max="9225" width="14" customWidth="1"/>
    <col min="9226" max="9226" width="1.6640625" customWidth="1"/>
    <col min="9227" max="9227" width="11.5546875" customWidth="1"/>
    <col min="9228" max="9228" width="2.88671875" customWidth="1"/>
    <col min="9229" max="9229" width="35.44140625" bestFit="1" customWidth="1"/>
    <col min="9230" max="9230" width="20.109375" customWidth="1"/>
    <col min="9473" max="9473" width="4.88671875" customWidth="1"/>
    <col min="9474" max="9474" width="1.6640625" customWidth="1"/>
    <col min="9475" max="9475" width="46" customWidth="1"/>
    <col min="9476" max="9476" width="1.6640625" customWidth="1"/>
    <col min="9477" max="9477" width="34" customWidth="1"/>
    <col min="9478" max="9478" width="1.6640625" customWidth="1"/>
    <col min="9479" max="9479" width="16" customWidth="1"/>
    <col min="9480" max="9480" width="1.6640625" customWidth="1"/>
    <col min="9481" max="9481" width="14" customWidth="1"/>
    <col min="9482" max="9482" width="1.6640625" customWidth="1"/>
    <col min="9483" max="9483" width="11.5546875" customWidth="1"/>
    <col min="9484" max="9484" width="2.88671875" customWidth="1"/>
    <col min="9485" max="9485" width="35.44140625" bestFit="1" customWidth="1"/>
    <col min="9486" max="9486" width="20.109375" customWidth="1"/>
    <col min="9729" max="9729" width="4.88671875" customWidth="1"/>
    <col min="9730" max="9730" width="1.6640625" customWidth="1"/>
    <col min="9731" max="9731" width="46" customWidth="1"/>
    <col min="9732" max="9732" width="1.6640625" customWidth="1"/>
    <col min="9733" max="9733" width="34" customWidth="1"/>
    <col min="9734" max="9734" width="1.6640625" customWidth="1"/>
    <col min="9735" max="9735" width="16" customWidth="1"/>
    <col min="9736" max="9736" width="1.6640625" customWidth="1"/>
    <col min="9737" max="9737" width="14" customWidth="1"/>
    <col min="9738" max="9738" width="1.6640625" customWidth="1"/>
    <col min="9739" max="9739" width="11.5546875" customWidth="1"/>
    <col min="9740" max="9740" width="2.88671875" customWidth="1"/>
    <col min="9741" max="9741" width="35.44140625" bestFit="1" customWidth="1"/>
    <col min="9742" max="9742" width="20.109375" customWidth="1"/>
    <col min="9985" max="9985" width="4.88671875" customWidth="1"/>
    <col min="9986" max="9986" width="1.6640625" customWidth="1"/>
    <col min="9987" max="9987" width="46" customWidth="1"/>
    <col min="9988" max="9988" width="1.6640625" customWidth="1"/>
    <col min="9989" max="9989" width="34" customWidth="1"/>
    <col min="9990" max="9990" width="1.6640625" customWidth="1"/>
    <col min="9991" max="9991" width="16" customWidth="1"/>
    <col min="9992" max="9992" width="1.6640625" customWidth="1"/>
    <col min="9993" max="9993" width="14" customWidth="1"/>
    <col min="9994" max="9994" width="1.6640625" customWidth="1"/>
    <col min="9995" max="9995" width="11.5546875" customWidth="1"/>
    <col min="9996" max="9996" width="2.88671875" customWidth="1"/>
    <col min="9997" max="9997" width="35.44140625" bestFit="1" customWidth="1"/>
    <col min="9998" max="9998" width="20.109375" customWidth="1"/>
    <col min="10241" max="10241" width="4.88671875" customWidth="1"/>
    <col min="10242" max="10242" width="1.6640625" customWidth="1"/>
    <col min="10243" max="10243" width="46" customWidth="1"/>
    <col min="10244" max="10244" width="1.6640625" customWidth="1"/>
    <col min="10245" max="10245" width="34" customWidth="1"/>
    <col min="10246" max="10246" width="1.6640625" customWidth="1"/>
    <col min="10247" max="10247" width="16" customWidth="1"/>
    <col min="10248" max="10248" width="1.6640625" customWidth="1"/>
    <col min="10249" max="10249" width="14" customWidth="1"/>
    <col min="10250" max="10250" width="1.6640625" customWidth="1"/>
    <col min="10251" max="10251" width="11.5546875" customWidth="1"/>
    <col min="10252" max="10252" width="2.88671875" customWidth="1"/>
    <col min="10253" max="10253" width="35.44140625" bestFit="1" customWidth="1"/>
    <col min="10254" max="10254" width="20.109375" customWidth="1"/>
    <col min="10497" max="10497" width="4.88671875" customWidth="1"/>
    <col min="10498" max="10498" width="1.6640625" customWidth="1"/>
    <col min="10499" max="10499" width="46" customWidth="1"/>
    <col min="10500" max="10500" width="1.6640625" customWidth="1"/>
    <col min="10501" max="10501" width="34" customWidth="1"/>
    <col min="10502" max="10502" width="1.6640625" customWidth="1"/>
    <col min="10503" max="10503" width="16" customWidth="1"/>
    <col min="10504" max="10504" width="1.6640625" customWidth="1"/>
    <col min="10505" max="10505" width="14" customWidth="1"/>
    <col min="10506" max="10506" width="1.6640625" customWidth="1"/>
    <col min="10507" max="10507" width="11.5546875" customWidth="1"/>
    <col min="10508" max="10508" width="2.88671875" customWidth="1"/>
    <col min="10509" max="10509" width="35.44140625" bestFit="1" customWidth="1"/>
    <col min="10510" max="10510" width="20.109375" customWidth="1"/>
    <col min="10753" max="10753" width="4.88671875" customWidth="1"/>
    <col min="10754" max="10754" width="1.6640625" customWidth="1"/>
    <col min="10755" max="10755" width="46" customWidth="1"/>
    <col min="10756" max="10756" width="1.6640625" customWidth="1"/>
    <col min="10757" max="10757" width="34" customWidth="1"/>
    <col min="10758" max="10758" width="1.6640625" customWidth="1"/>
    <col min="10759" max="10759" width="16" customWidth="1"/>
    <col min="10760" max="10760" width="1.6640625" customWidth="1"/>
    <col min="10761" max="10761" width="14" customWidth="1"/>
    <col min="10762" max="10762" width="1.6640625" customWidth="1"/>
    <col min="10763" max="10763" width="11.5546875" customWidth="1"/>
    <col min="10764" max="10764" width="2.88671875" customWidth="1"/>
    <col min="10765" max="10765" width="35.44140625" bestFit="1" customWidth="1"/>
    <col min="10766" max="10766" width="20.109375" customWidth="1"/>
    <col min="11009" max="11009" width="4.88671875" customWidth="1"/>
    <col min="11010" max="11010" width="1.6640625" customWidth="1"/>
    <col min="11011" max="11011" width="46" customWidth="1"/>
    <col min="11012" max="11012" width="1.6640625" customWidth="1"/>
    <col min="11013" max="11013" width="34" customWidth="1"/>
    <col min="11014" max="11014" width="1.6640625" customWidth="1"/>
    <col min="11015" max="11015" width="16" customWidth="1"/>
    <col min="11016" max="11016" width="1.6640625" customWidth="1"/>
    <col min="11017" max="11017" width="14" customWidth="1"/>
    <col min="11018" max="11018" width="1.6640625" customWidth="1"/>
    <col min="11019" max="11019" width="11.5546875" customWidth="1"/>
    <col min="11020" max="11020" width="2.88671875" customWidth="1"/>
    <col min="11021" max="11021" width="35.44140625" bestFit="1" customWidth="1"/>
    <col min="11022" max="11022" width="20.109375" customWidth="1"/>
    <col min="11265" max="11265" width="4.88671875" customWidth="1"/>
    <col min="11266" max="11266" width="1.6640625" customWidth="1"/>
    <col min="11267" max="11267" width="46" customWidth="1"/>
    <col min="11268" max="11268" width="1.6640625" customWidth="1"/>
    <col min="11269" max="11269" width="34" customWidth="1"/>
    <col min="11270" max="11270" width="1.6640625" customWidth="1"/>
    <col min="11271" max="11271" width="16" customWidth="1"/>
    <col min="11272" max="11272" width="1.6640625" customWidth="1"/>
    <col min="11273" max="11273" width="14" customWidth="1"/>
    <col min="11274" max="11274" width="1.6640625" customWidth="1"/>
    <col min="11275" max="11275" width="11.5546875" customWidth="1"/>
    <col min="11276" max="11276" width="2.88671875" customWidth="1"/>
    <col min="11277" max="11277" width="35.44140625" bestFit="1" customWidth="1"/>
    <col min="11278" max="11278" width="20.109375" customWidth="1"/>
    <col min="11521" max="11521" width="4.88671875" customWidth="1"/>
    <col min="11522" max="11522" width="1.6640625" customWidth="1"/>
    <col min="11523" max="11523" width="46" customWidth="1"/>
    <col min="11524" max="11524" width="1.6640625" customWidth="1"/>
    <col min="11525" max="11525" width="34" customWidth="1"/>
    <col min="11526" max="11526" width="1.6640625" customWidth="1"/>
    <col min="11527" max="11527" width="16" customWidth="1"/>
    <col min="11528" max="11528" width="1.6640625" customWidth="1"/>
    <col min="11529" max="11529" width="14" customWidth="1"/>
    <col min="11530" max="11530" width="1.6640625" customWidth="1"/>
    <col min="11531" max="11531" width="11.5546875" customWidth="1"/>
    <col min="11532" max="11532" width="2.88671875" customWidth="1"/>
    <col min="11533" max="11533" width="35.44140625" bestFit="1" customWidth="1"/>
    <col min="11534" max="11534" width="20.109375" customWidth="1"/>
    <col min="11777" max="11777" width="4.88671875" customWidth="1"/>
    <col min="11778" max="11778" width="1.6640625" customWidth="1"/>
    <col min="11779" max="11779" width="46" customWidth="1"/>
    <col min="11780" max="11780" width="1.6640625" customWidth="1"/>
    <col min="11781" max="11781" width="34" customWidth="1"/>
    <col min="11782" max="11782" width="1.6640625" customWidth="1"/>
    <col min="11783" max="11783" width="16" customWidth="1"/>
    <col min="11784" max="11784" width="1.6640625" customWidth="1"/>
    <col min="11785" max="11785" width="14" customWidth="1"/>
    <col min="11786" max="11786" width="1.6640625" customWidth="1"/>
    <col min="11787" max="11787" width="11.5546875" customWidth="1"/>
    <col min="11788" max="11788" width="2.88671875" customWidth="1"/>
    <col min="11789" max="11789" width="35.44140625" bestFit="1" customWidth="1"/>
    <col min="11790" max="11790" width="20.109375" customWidth="1"/>
    <col min="12033" max="12033" width="4.88671875" customWidth="1"/>
    <col min="12034" max="12034" width="1.6640625" customWidth="1"/>
    <col min="12035" max="12035" width="46" customWidth="1"/>
    <col min="12036" max="12036" width="1.6640625" customWidth="1"/>
    <col min="12037" max="12037" width="34" customWidth="1"/>
    <col min="12038" max="12038" width="1.6640625" customWidth="1"/>
    <col min="12039" max="12039" width="16" customWidth="1"/>
    <col min="12040" max="12040" width="1.6640625" customWidth="1"/>
    <col min="12041" max="12041" width="14" customWidth="1"/>
    <col min="12042" max="12042" width="1.6640625" customWidth="1"/>
    <col min="12043" max="12043" width="11.5546875" customWidth="1"/>
    <col min="12044" max="12044" width="2.88671875" customWidth="1"/>
    <col min="12045" max="12045" width="35.44140625" bestFit="1" customWidth="1"/>
    <col min="12046" max="12046" width="20.109375" customWidth="1"/>
    <col min="12289" max="12289" width="4.88671875" customWidth="1"/>
    <col min="12290" max="12290" width="1.6640625" customWidth="1"/>
    <col min="12291" max="12291" width="46" customWidth="1"/>
    <col min="12292" max="12292" width="1.6640625" customWidth="1"/>
    <col min="12293" max="12293" width="34" customWidth="1"/>
    <col min="12294" max="12294" width="1.6640625" customWidth="1"/>
    <col min="12295" max="12295" width="16" customWidth="1"/>
    <col min="12296" max="12296" width="1.6640625" customWidth="1"/>
    <col min="12297" max="12297" width="14" customWidth="1"/>
    <col min="12298" max="12298" width="1.6640625" customWidth="1"/>
    <col min="12299" max="12299" width="11.5546875" customWidth="1"/>
    <col min="12300" max="12300" width="2.88671875" customWidth="1"/>
    <col min="12301" max="12301" width="35.44140625" bestFit="1" customWidth="1"/>
    <col min="12302" max="12302" width="20.109375" customWidth="1"/>
    <col min="12545" max="12545" width="4.88671875" customWidth="1"/>
    <col min="12546" max="12546" width="1.6640625" customWidth="1"/>
    <col min="12547" max="12547" width="46" customWidth="1"/>
    <col min="12548" max="12548" width="1.6640625" customWidth="1"/>
    <col min="12549" max="12549" width="34" customWidth="1"/>
    <col min="12550" max="12550" width="1.6640625" customWidth="1"/>
    <col min="12551" max="12551" width="16" customWidth="1"/>
    <col min="12552" max="12552" width="1.6640625" customWidth="1"/>
    <col min="12553" max="12553" width="14" customWidth="1"/>
    <col min="12554" max="12554" width="1.6640625" customWidth="1"/>
    <col min="12555" max="12555" width="11.5546875" customWidth="1"/>
    <col min="12556" max="12556" width="2.88671875" customWidth="1"/>
    <col min="12557" max="12557" width="35.44140625" bestFit="1" customWidth="1"/>
    <col min="12558" max="12558" width="20.109375" customWidth="1"/>
    <col min="12801" max="12801" width="4.88671875" customWidth="1"/>
    <col min="12802" max="12802" width="1.6640625" customWidth="1"/>
    <col min="12803" max="12803" width="46" customWidth="1"/>
    <col min="12804" max="12804" width="1.6640625" customWidth="1"/>
    <col min="12805" max="12805" width="34" customWidth="1"/>
    <col min="12806" max="12806" width="1.6640625" customWidth="1"/>
    <col min="12807" max="12807" width="16" customWidth="1"/>
    <col min="12808" max="12808" width="1.6640625" customWidth="1"/>
    <col min="12809" max="12809" width="14" customWidth="1"/>
    <col min="12810" max="12810" width="1.6640625" customWidth="1"/>
    <col min="12811" max="12811" width="11.5546875" customWidth="1"/>
    <col min="12812" max="12812" width="2.88671875" customWidth="1"/>
    <col min="12813" max="12813" width="35.44140625" bestFit="1" customWidth="1"/>
    <col min="12814" max="12814" width="20.109375" customWidth="1"/>
    <col min="13057" max="13057" width="4.88671875" customWidth="1"/>
    <col min="13058" max="13058" width="1.6640625" customWidth="1"/>
    <col min="13059" max="13059" width="46" customWidth="1"/>
    <col min="13060" max="13060" width="1.6640625" customWidth="1"/>
    <col min="13061" max="13061" width="34" customWidth="1"/>
    <col min="13062" max="13062" width="1.6640625" customWidth="1"/>
    <col min="13063" max="13063" width="16" customWidth="1"/>
    <col min="13064" max="13064" width="1.6640625" customWidth="1"/>
    <col min="13065" max="13065" width="14" customWidth="1"/>
    <col min="13066" max="13066" width="1.6640625" customWidth="1"/>
    <col min="13067" max="13067" width="11.5546875" customWidth="1"/>
    <col min="13068" max="13068" width="2.88671875" customWidth="1"/>
    <col min="13069" max="13069" width="35.44140625" bestFit="1" customWidth="1"/>
    <col min="13070" max="13070" width="20.109375" customWidth="1"/>
    <col min="13313" max="13313" width="4.88671875" customWidth="1"/>
    <col min="13314" max="13314" width="1.6640625" customWidth="1"/>
    <col min="13315" max="13315" width="46" customWidth="1"/>
    <col min="13316" max="13316" width="1.6640625" customWidth="1"/>
    <col min="13317" max="13317" width="34" customWidth="1"/>
    <col min="13318" max="13318" width="1.6640625" customWidth="1"/>
    <col min="13319" max="13319" width="16" customWidth="1"/>
    <col min="13320" max="13320" width="1.6640625" customWidth="1"/>
    <col min="13321" max="13321" width="14" customWidth="1"/>
    <col min="13322" max="13322" width="1.6640625" customWidth="1"/>
    <col min="13323" max="13323" width="11.5546875" customWidth="1"/>
    <col min="13324" max="13324" width="2.88671875" customWidth="1"/>
    <col min="13325" max="13325" width="35.44140625" bestFit="1" customWidth="1"/>
    <col min="13326" max="13326" width="20.109375" customWidth="1"/>
    <col min="13569" max="13569" width="4.88671875" customWidth="1"/>
    <col min="13570" max="13570" width="1.6640625" customWidth="1"/>
    <col min="13571" max="13571" width="46" customWidth="1"/>
    <col min="13572" max="13572" width="1.6640625" customWidth="1"/>
    <col min="13573" max="13573" width="34" customWidth="1"/>
    <col min="13574" max="13574" width="1.6640625" customWidth="1"/>
    <col min="13575" max="13575" width="16" customWidth="1"/>
    <col min="13576" max="13576" width="1.6640625" customWidth="1"/>
    <col min="13577" max="13577" width="14" customWidth="1"/>
    <col min="13578" max="13578" width="1.6640625" customWidth="1"/>
    <col min="13579" max="13579" width="11.5546875" customWidth="1"/>
    <col min="13580" max="13580" width="2.88671875" customWidth="1"/>
    <col min="13581" max="13581" width="35.44140625" bestFit="1" customWidth="1"/>
    <col min="13582" max="13582" width="20.109375" customWidth="1"/>
    <col min="13825" max="13825" width="4.88671875" customWidth="1"/>
    <col min="13826" max="13826" width="1.6640625" customWidth="1"/>
    <col min="13827" max="13827" width="46" customWidth="1"/>
    <col min="13828" max="13828" width="1.6640625" customWidth="1"/>
    <col min="13829" max="13829" width="34" customWidth="1"/>
    <col min="13830" max="13830" width="1.6640625" customWidth="1"/>
    <col min="13831" max="13831" width="16" customWidth="1"/>
    <col min="13832" max="13832" width="1.6640625" customWidth="1"/>
    <col min="13833" max="13833" width="14" customWidth="1"/>
    <col min="13834" max="13834" width="1.6640625" customWidth="1"/>
    <col min="13835" max="13835" width="11.5546875" customWidth="1"/>
    <col min="13836" max="13836" width="2.88671875" customWidth="1"/>
    <col min="13837" max="13837" width="35.44140625" bestFit="1" customWidth="1"/>
    <col min="13838" max="13838" width="20.109375" customWidth="1"/>
    <col min="14081" max="14081" width="4.88671875" customWidth="1"/>
    <col min="14082" max="14082" width="1.6640625" customWidth="1"/>
    <col min="14083" max="14083" width="46" customWidth="1"/>
    <col min="14084" max="14084" width="1.6640625" customWidth="1"/>
    <col min="14085" max="14085" width="34" customWidth="1"/>
    <col min="14086" max="14086" width="1.6640625" customWidth="1"/>
    <col min="14087" max="14087" width="16" customWidth="1"/>
    <col min="14088" max="14088" width="1.6640625" customWidth="1"/>
    <col min="14089" max="14089" width="14" customWidth="1"/>
    <col min="14090" max="14090" width="1.6640625" customWidth="1"/>
    <col min="14091" max="14091" width="11.5546875" customWidth="1"/>
    <col min="14092" max="14092" width="2.88671875" customWidth="1"/>
    <col min="14093" max="14093" width="35.44140625" bestFit="1" customWidth="1"/>
    <col min="14094" max="14094" width="20.109375" customWidth="1"/>
    <col min="14337" max="14337" width="4.88671875" customWidth="1"/>
    <col min="14338" max="14338" width="1.6640625" customWidth="1"/>
    <col min="14339" max="14339" width="46" customWidth="1"/>
    <col min="14340" max="14340" width="1.6640625" customWidth="1"/>
    <col min="14341" max="14341" width="34" customWidth="1"/>
    <col min="14342" max="14342" width="1.6640625" customWidth="1"/>
    <col min="14343" max="14343" width="16" customWidth="1"/>
    <col min="14344" max="14344" width="1.6640625" customWidth="1"/>
    <col min="14345" max="14345" width="14" customWidth="1"/>
    <col min="14346" max="14346" width="1.6640625" customWidth="1"/>
    <col min="14347" max="14347" width="11.5546875" customWidth="1"/>
    <col min="14348" max="14348" width="2.88671875" customWidth="1"/>
    <col min="14349" max="14349" width="35.44140625" bestFit="1" customWidth="1"/>
    <col min="14350" max="14350" width="20.109375" customWidth="1"/>
    <col min="14593" max="14593" width="4.88671875" customWidth="1"/>
    <col min="14594" max="14594" width="1.6640625" customWidth="1"/>
    <col min="14595" max="14595" width="46" customWidth="1"/>
    <col min="14596" max="14596" width="1.6640625" customWidth="1"/>
    <col min="14597" max="14597" width="34" customWidth="1"/>
    <col min="14598" max="14598" width="1.6640625" customWidth="1"/>
    <col min="14599" max="14599" width="16" customWidth="1"/>
    <col min="14600" max="14600" width="1.6640625" customWidth="1"/>
    <col min="14601" max="14601" width="14" customWidth="1"/>
    <col min="14602" max="14602" width="1.6640625" customWidth="1"/>
    <col min="14603" max="14603" width="11.5546875" customWidth="1"/>
    <col min="14604" max="14604" width="2.88671875" customWidth="1"/>
    <col min="14605" max="14605" width="35.44140625" bestFit="1" customWidth="1"/>
    <col min="14606" max="14606" width="20.109375" customWidth="1"/>
    <col min="14849" max="14849" width="4.88671875" customWidth="1"/>
    <col min="14850" max="14850" width="1.6640625" customWidth="1"/>
    <col min="14851" max="14851" width="46" customWidth="1"/>
    <col min="14852" max="14852" width="1.6640625" customWidth="1"/>
    <col min="14853" max="14853" width="34" customWidth="1"/>
    <col min="14854" max="14854" width="1.6640625" customWidth="1"/>
    <col min="14855" max="14855" width="16" customWidth="1"/>
    <col min="14856" max="14856" width="1.6640625" customWidth="1"/>
    <col min="14857" max="14857" width="14" customWidth="1"/>
    <col min="14858" max="14858" width="1.6640625" customWidth="1"/>
    <col min="14859" max="14859" width="11.5546875" customWidth="1"/>
    <col min="14860" max="14860" width="2.88671875" customWidth="1"/>
    <col min="14861" max="14861" width="35.44140625" bestFit="1" customWidth="1"/>
    <col min="14862" max="14862" width="20.109375" customWidth="1"/>
    <col min="15105" max="15105" width="4.88671875" customWidth="1"/>
    <col min="15106" max="15106" width="1.6640625" customWidth="1"/>
    <col min="15107" max="15107" width="46" customWidth="1"/>
    <col min="15108" max="15108" width="1.6640625" customWidth="1"/>
    <col min="15109" max="15109" width="34" customWidth="1"/>
    <col min="15110" max="15110" width="1.6640625" customWidth="1"/>
    <col min="15111" max="15111" width="16" customWidth="1"/>
    <col min="15112" max="15112" width="1.6640625" customWidth="1"/>
    <col min="15113" max="15113" width="14" customWidth="1"/>
    <col min="15114" max="15114" width="1.6640625" customWidth="1"/>
    <col min="15115" max="15115" width="11.5546875" customWidth="1"/>
    <col min="15116" max="15116" width="2.88671875" customWidth="1"/>
    <col min="15117" max="15117" width="35.44140625" bestFit="1" customWidth="1"/>
    <col min="15118" max="15118" width="20.109375" customWidth="1"/>
    <col min="15361" max="15361" width="4.88671875" customWidth="1"/>
    <col min="15362" max="15362" width="1.6640625" customWidth="1"/>
    <col min="15363" max="15363" width="46" customWidth="1"/>
    <col min="15364" max="15364" width="1.6640625" customWidth="1"/>
    <col min="15365" max="15365" width="34" customWidth="1"/>
    <col min="15366" max="15366" width="1.6640625" customWidth="1"/>
    <col min="15367" max="15367" width="16" customWidth="1"/>
    <col min="15368" max="15368" width="1.6640625" customWidth="1"/>
    <col min="15369" max="15369" width="14" customWidth="1"/>
    <col min="15370" max="15370" width="1.6640625" customWidth="1"/>
    <col min="15371" max="15371" width="11.5546875" customWidth="1"/>
    <col min="15372" max="15372" width="2.88671875" customWidth="1"/>
    <col min="15373" max="15373" width="35.44140625" bestFit="1" customWidth="1"/>
    <col min="15374" max="15374" width="20.109375" customWidth="1"/>
    <col min="15617" max="15617" width="4.88671875" customWidth="1"/>
    <col min="15618" max="15618" width="1.6640625" customWidth="1"/>
    <col min="15619" max="15619" width="46" customWidth="1"/>
    <col min="15620" max="15620" width="1.6640625" customWidth="1"/>
    <col min="15621" max="15621" width="34" customWidth="1"/>
    <col min="15622" max="15622" width="1.6640625" customWidth="1"/>
    <col min="15623" max="15623" width="16" customWidth="1"/>
    <col min="15624" max="15624" width="1.6640625" customWidth="1"/>
    <col min="15625" max="15625" width="14" customWidth="1"/>
    <col min="15626" max="15626" width="1.6640625" customWidth="1"/>
    <col min="15627" max="15627" width="11.5546875" customWidth="1"/>
    <col min="15628" max="15628" width="2.88671875" customWidth="1"/>
    <col min="15629" max="15629" width="35.44140625" bestFit="1" customWidth="1"/>
    <col min="15630" max="15630" width="20.109375" customWidth="1"/>
    <col min="15873" max="15873" width="4.88671875" customWidth="1"/>
    <col min="15874" max="15874" width="1.6640625" customWidth="1"/>
    <col min="15875" max="15875" width="46" customWidth="1"/>
    <col min="15876" max="15876" width="1.6640625" customWidth="1"/>
    <col min="15877" max="15877" width="34" customWidth="1"/>
    <col min="15878" max="15878" width="1.6640625" customWidth="1"/>
    <col min="15879" max="15879" width="16" customWidth="1"/>
    <col min="15880" max="15880" width="1.6640625" customWidth="1"/>
    <col min="15881" max="15881" width="14" customWidth="1"/>
    <col min="15882" max="15882" width="1.6640625" customWidth="1"/>
    <col min="15883" max="15883" width="11.5546875" customWidth="1"/>
    <col min="15884" max="15884" width="2.88671875" customWidth="1"/>
    <col min="15885" max="15885" width="35.44140625" bestFit="1" customWidth="1"/>
    <col min="15886" max="15886" width="20.109375" customWidth="1"/>
    <col min="16129" max="16129" width="4.88671875" customWidth="1"/>
    <col min="16130" max="16130" width="1.6640625" customWidth="1"/>
    <col min="16131" max="16131" width="46" customWidth="1"/>
    <col min="16132" max="16132" width="1.6640625" customWidth="1"/>
    <col min="16133" max="16133" width="34" customWidth="1"/>
    <col min="16134" max="16134" width="1.6640625" customWidth="1"/>
    <col min="16135" max="16135" width="16" customWidth="1"/>
    <col min="16136" max="16136" width="1.6640625" customWidth="1"/>
    <col min="16137" max="16137" width="14" customWidth="1"/>
    <col min="16138" max="16138" width="1.6640625" customWidth="1"/>
    <col min="16139" max="16139" width="11.5546875" customWidth="1"/>
    <col min="16140" max="16140" width="2.88671875" customWidth="1"/>
    <col min="16141" max="16141" width="35.44140625" bestFit="1" customWidth="1"/>
    <col min="16142" max="16142" width="20.109375" customWidth="1"/>
  </cols>
  <sheetData>
    <row r="1" spans="1:20">
      <c r="A1" s="692" t="s">
        <v>1982</v>
      </c>
      <c r="B1" s="692"/>
      <c r="C1" s="693"/>
      <c r="D1" s="693"/>
      <c r="G1" s="693"/>
      <c r="H1" s="693"/>
      <c r="I1" s="693"/>
      <c r="J1" s="693"/>
      <c r="K1" s="693"/>
      <c r="L1" s="693"/>
      <c r="M1" s="693"/>
      <c r="N1" s="14"/>
      <c r="O1" s="14"/>
      <c r="P1" s="14"/>
      <c r="Q1" s="14"/>
      <c r="R1" s="14"/>
      <c r="S1" s="14"/>
      <c r="T1" s="14"/>
    </row>
    <row r="2" spans="1:20">
      <c r="A2" s="14"/>
      <c r="B2" s="14"/>
      <c r="C2" s="479"/>
      <c r="D2" s="14"/>
      <c r="E2" s="14"/>
      <c r="F2" s="14"/>
      <c r="G2" s="14"/>
      <c r="H2" s="14"/>
      <c r="I2" s="14"/>
      <c r="J2" s="14"/>
      <c r="K2" s="14"/>
      <c r="L2" s="14"/>
      <c r="M2" s="14"/>
      <c r="N2" s="14"/>
      <c r="O2" s="14"/>
      <c r="P2" s="14"/>
      <c r="Q2" s="14"/>
      <c r="R2" s="14"/>
      <c r="S2" s="14"/>
      <c r="T2" s="14"/>
    </row>
    <row r="3" spans="1:20">
      <c r="A3" s="694" t="s">
        <v>331</v>
      </c>
      <c r="B3" s="694"/>
      <c r="C3" s="693"/>
      <c r="D3" s="693"/>
      <c r="E3" s="693"/>
      <c r="F3" s="693"/>
      <c r="G3" s="693"/>
      <c r="H3" s="693"/>
      <c r="I3" s="693"/>
      <c r="J3" s="693"/>
      <c r="K3" s="693"/>
      <c r="L3" s="693"/>
      <c r="M3" s="693"/>
      <c r="N3" s="14"/>
      <c r="O3" s="14"/>
      <c r="P3" s="14"/>
      <c r="Q3" s="14"/>
      <c r="R3" s="14"/>
      <c r="S3" s="14"/>
      <c r="T3" s="14"/>
    </row>
    <row r="4" spans="1:20">
      <c r="A4" s="695">
        <v>1</v>
      </c>
      <c r="B4" s="695"/>
      <c r="C4" s="587"/>
      <c r="D4" s="587"/>
      <c r="E4" s="587"/>
      <c r="F4" s="587"/>
      <c r="G4" s="693"/>
      <c r="H4" s="693"/>
      <c r="I4" s="693"/>
      <c r="J4" s="693"/>
      <c r="K4" s="693"/>
      <c r="L4" s="693"/>
      <c r="M4" s="693"/>
      <c r="N4" s="14"/>
      <c r="O4" s="14"/>
      <c r="P4" s="14"/>
      <c r="Q4" s="14"/>
      <c r="R4" s="14"/>
      <c r="S4" s="14"/>
      <c r="T4" s="14"/>
    </row>
    <row r="5" spans="1:20">
      <c r="A5" s="578">
        <v>2</v>
      </c>
      <c r="B5" s="578"/>
      <c r="C5" s="587"/>
      <c r="D5" s="587"/>
      <c r="E5" s="587"/>
      <c r="F5" s="587"/>
      <c r="G5" s="693"/>
      <c r="H5" s="693"/>
      <c r="I5" s="693"/>
      <c r="J5" s="693"/>
      <c r="K5" s="693"/>
      <c r="L5" s="693"/>
      <c r="M5" s="693"/>
      <c r="N5" s="14"/>
      <c r="O5" s="14"/>
    </row>
    <row r="6" spans="1:20">
      <c r="A6" s="578">
        <v>3</v>
      </c>
      <c r="B6" s="578"/>
      <c r="C6" s="579"/>
      <c r="D6" s="579"/>
      <c r="E6" s="579"/>
      <c r="F6" s="579"/>
      <c r="G6" s="576"/>
      <c r="H6" s="576"/>
      <c r="I6" s="576"/>
      <c r="J6" s="576"/>
      <c r="K6" s="578" t="s">
        <v>63</v>
      </c>
      <c r="L6" s="576"/>
      <c r="M6" s="576"/>
    </row>
    <row r="7" spans="1:20">
      <c r="A7" s="578">
        <v>4</v>
      </c>
      <c r="B7" s="578"/>
      <c r="C7" s="576"/>
      <c r="D7" s="576"/>
      <c r="E7" s="696" t="s">
        <v>205</v>
      </c>
      <c r="F7" s="697"/>
      <c r="G7" s="576"/>
      <c r="H7" s="576"/>
      <c r="I7" s="576"/>
      <c r="J7" s="576"/>
      <c r="K7" s="698" t="s">
        <v>175</v>
      </c>
      <c r="L7" s="576"/>
      <c r="M7" s="581"/>
    </row>
    <row r="8" spans="1:20">
      <c r="A8" s="578">
        <v>5</v>
      </c>
      <c r="B8" s="578"/>
      <c r="C8" s="579"/>
      <c r="D8" s="579"/>
      <c r="E8" s="579"/>
      <c r="F8" s="579"/>
      <c r="G8" s="576"/>
      <c r="H8" s="576"/>
      <c r="I8" s="576"/>
      <c r="J8" s="576"/>
      <c r="K8" s="582"/>
      <c r="L8" s="576"/>
      <c r="M8" s="579"/>
    </row>
    <row r="9" spans="1:20">
      <c r="A9" s="578">
        <v>6</v>
      </c>
      <c r="B9" s="578"/>
      <c r="C9" s="692" t="s">
        <v>2002</v>
      </c>
      <c r="D9" s="587"/>
      <c r="E9" s="587" t="s">
        <v>2003</v>
      </c>
      <c r="F9" s="587"/>
      <c r="G9" s="693"/>
      <c r="H9" s="693"/>
      <c r="I9" s="693"/>
      <c r="J9" s="693"/>
      <c r="K9" s="582">
        <f>I20</f>
        <v>-10717922.245167419</v>
      </c>
      <c r="L9" s="576"/>
      <c r="M9" s="579"/>
      <c r="N9" s="699"/>
    </row>
    <row r="10" spans="1:20" ht="13.8" thickBot="1">
      <c r="A10" s="578">
        <v>7</v>
      </c>
      <c r="B10" s="578"/>
      <c r="C10" s="692" t="s">
        <v>2001</v>
      </c>
      <c r="D10" s="694"/>
      <c r="E10" s="587" t="s">
        <v>1983</v>
      </c>
      <c r="F10" s="587"/>
      <c r="G10" s="693"/>
      <c r="H10" s="693"/>
      <c r="I10" s="693"/>
      <c r="J10" s="693"/>
      <c r="K10" s="700">
        <f>+K20</f>
        <v>-10860906.583258362</v>
      </c>
      <c r="L10" s="576"/>
      <c r="M10" s="579"/>
    </row>
    <row r="11" spans="1:20" ht="13.8" thickTop="1">
      <c r="A11" s="578">
        <v>8</v>
      </c>
      <c r="B11" s="578"/>
      <c r="C11" s="587"/>
      <c r="D11" s="587"/>
      <c r="E11" s="587"/>
      <c r="F11" s="587"/>
      <c r="G11" s="693"/>
      <c r="H11" s="693"/>
      <c r="I11" s="693"/>
      <c r="J11" s="693"/>
      <c r="K11" s="582"/>
      <c r="L11" s="576"/>
      <c r="M11" s="576"/>
    </row>
    <row r="12" spans="1:20">
      <c r="A12" s="578">
        <v>9</v>
      </c>
      <c r="B12" s="578"/>
      <c r="C12" s="693"/>
      <c r="D12" s="693"/>
      <c r="E12" s="693"/>
      <c r="F12" s="693"/>
      <c r="G12" s="701" t="s">
        <v>360</v>
      </c>
      <c r="H12" s="701"/>
      <c r="I12" s="701" t="s">
        <v>344</v>
      </c>
      <c r="J12" s="701"/>
      <c r="K12" s="701" t="s">
        <v>345</v>
      </c>
      <c r="L12" s="576"/>
      <c r="M12" s="576"/>
    </row>
    <row r="13" spans="1:20">
      <c r="A13" s="578">
        <v>10</v>
      </c>
      <c r="B13" s="578"/>
      <c r="C13" s="693"/>
      <c r="D13" s="693"/>
      <c r="E13" s="693"/>
      <c r="F13" s="693"/>
      <c r="G13" s="695" t="s">
        <v>63</v>
      </c>
      <c r="H13" s="695"/>
      <c r="I13" s="695" t="s">
        <v>63</v>
      </c>
      <c r="J13" s="697"/>
      <c r="K13" s="695" t="s">
        <v>63</v>
      </c>
      <c r="L13" s="576"/>
      <c r="M13" s="576"/>
    </row>
    <row r="14" spans="1:20" ht="14.4">
      <c r="A14" s="578">
        <v>11</v>
      </c>
      <c r="B14" s="578"/>
      <c r="C14" s="695"/>
      <c r="D14" s="695"/>
      <c r="E14" s="695"/>
      <c r="F14" s="695"/>
      <c r="G14" s="695" t="s">
        <v>382</v>
      </c>
      <c r="H14" s="695"/>
      <c r="I14" s="695" t="s">
        <v>301</v>
      </c>
      <c r="J14" s="697"/>
      <c r="K14" s="702" t="s">
        <v>231</v>
      </c>
      <c r="L14" s="576"/>
      <c r="M14" s="576"/>
    </row>
    <row r="15" spans="1:20">
      <c r="A15" s="578">
        <v>12</v>
      </c>
      <c r="B15" s="578"/>
      <c r="C15" s="578" t="s">
        <v>412</v>
      </c>
      <c r="D15" s="578"/>
      <c r="E15" s="695"/>
      <c r="F15" s="578"/>
      <c r="G15" s="578" t="s">
        <v>1984</v>
      </c>
      <c r="H15" s="697"/>
      <c r="I15" s="578" t="s">
        <v>1984</v>
      </c>
      <c r="J15" s="697"/>
      <c r="K15" s="578" t="s">
        <v>1984</v>
      </c>
      <c r="L15" s="576"/>
      <c r="M15" s="576"/>
    </row>
    <row r="16" spans="1:20">
      <c r="A16" s="578">
        <v>13</v>
      </c>
      <c r="B16" s="578"/>
      <c r="C16" s="580" t="s">
        <v>1981</v>
      </c>
      <c r="D16" s="580"/>
      <c r="E16" s="931"/>
      <c r="F16" s="580"/>
      <c r="G16" s="698" t="s">
        <v>1985</v>
      </c>
      <c r="H16" s="697"/>
      <c r="I16" s="698" t="s">
        <v>1985</v>
      </c>
      <c r="J16" s="697"/>
      <c r="K16" s="698" t="s">
        <v>1985</v>
      </c>
      <c r="L16" s="576"/>
      <c r="M16" s="576"/>
    </row>
    <row r="17" spans="1:14">
      <c r="A17" s="578">
        <v>14</v>
      </c>
      <c r="B17" s="578"/>
      <c r="C17" s="587" t="s">
        <v>1986</v>
      </c>
      <c r="D17" s="587"/>
      <c r="E17" s="479" t="s">
        <v>2231</v>
      </c>
      <c r="F17" s="477"/>
      <c r="G17" s="582">
        <f>+G27</f>
        <v>-6902252.9420805341</v>
      </c>
      <c r="H17" s="703"/>
      <c r="I17" s="582">
        <f>+I27</f>
        <v>-6450199.3824053016</v>
      </c>
      <c r="J17" s="703"/>
      <c r="K17" s="582">
        <f>(+G17+I17)/2</f>
        <v>-6676226.1622429173</v>
      </c>
      <c r="L17" s="576"/>
      <c r="M17" s="576"/>
      <c r="N17" s="576"/>
    </row>
    <row r="18" spans="1:14">
      <c r="A18" s="578">
        <v>15</v>
      </c>
      <c r="B18" s="578"/>
      <c r="C18" s="587" t="s">
        <v>1987</v>
      </c>
      <c r="D18" s="587"/>
      <c r="E18" s="587" t="s">
        <v>2232</v>
      </c>
      <c r="F18" s="587"/>
      <c r="G18" s="582">
        <f>+G32</f>
        <v>-3535740.5514770709</v>
      </c>
      <c r="H18" s="703"/>
      <c r="I18" s="582">
        <f>+I32</f>
        <v>-3702212.2265593712</v>
      </c>
      <c r="J18" s="703"/>
      <c r="K18" s="582">
        <f>(+G18+I18)/2</f>
        <v>-3618976.3890182208</v>
      </c>
      <c r="L18" s="576"/>
      <c r="M18" s="576"/>
      <c r="N18" s="576"/>
    </row>
    <row r="19" spans="1:14">
      <c r="A19" s="578">
        <v>16</v>
      </c>
      <c r="B19" s="578"/>
      <c r="C19" s="587" t="s">
        <v>1988</v>
      </c>
      <c r="D19" s="587"/>
      <c r="E19" s="587" t="s">
        <v>2233</v>
      </c>
      <c r="F19" s="587"/>
      <c r="G19" s="704">
        <f>+G39</f>
        <v>-565897.42779170151</v>
      </c>
      <c r="H19" s="705"/>
      <c r="I19" s="704">
        <f>+I39</f>
        <v>-565510.63620274712</v>
      </c>
      <c r="J19" s="705"/>
      <c r="K19" s="582">
        <f>(+G19+I19)/2</f>
        <v>-565704.03199722432</v>
      </c>
      <c r="L19" s="576"/>
      <c r="M19" s="576"/>
    </row>
    <row r="20" spans="1:14" ht="13.8" thickBot="1">
      <c r="A20" s="578">
        <v>17</v>
      </c>
      <c r="B20" s="578"/>
      <c r="C20" s="579" t="s">
        <v>197</v>
      </c>
      <c r="D20" s="579"/>
      <c r="E20" s="587" t="s">
        <v>1989</v>
      </c>
      <c r="F20" s="579"/>
      <c r="G20" s="706">
        <f>+G17+G18+G19</f>
        <v>-11003890.921349308</v>
      </c>
      <c r="H20" s="703"/>
      <c r="I20" s="706">
        <f>+I17+I18+I19</f>
        <v>-10717922.245167419</v>
      </c>
      <c r="J20" s="703"/>
      <c r="K20" s="706">
        <f>+K17+K18+K19</f>
        <v>-10860906.583258362</v>
      </c>
      <c r="L20" s="576"/>
      <c r="M20" s="579"/>
      <c r="N20" s="477" t="s">
        <v>330</v>
      </c>
    </row>
    <row r="21" spans="1:14" ht="13.8" thickTop="1">
      <c r="A21" s="578">
        <v>18</v>
      </c>
      <c r="B21" s="578"/>
      <c r="C21" s="576"/>
      <c r="D21" s="576"/>
      <c r="E21" s="693"/>
      <c r="F21" s="576"/>
      <c r="G21" s="576"/>
      <c r="H21" s="707"/>
      <c r="I21" s="576"/>
      <c r="J21" s="707"/>
      <c r="K21" s="576"/>
      <c r="L21" s="576"/>
      <c r="M21" s="576"/>
    </row>
    <row r="22" spans="1:14">
      <c r="A22" s="578">
        <v>19</v>
      </c>
      <c r="B22" s="578"/>
      <c r="C22" s="577" t="s">
        <v>1990</v>
      </c>
      <c r="D22" s="577"/>
      <c r="E22" s="694"/>
      <c r="F22" s="577"/>
      <c r="G22" s="576"/>
      <c r="H22" s="707"/>
      <c r="I22" s="576"/>
      <c r="J22" s="707"/>
      <c r="K22" s="576"/>
      <c r="L22" s="576"/>
      <c r="M22" s="576"/>
    </row>
    <row r="23" spans="1:14">
      <c r="A23" s="578">
        <v>20</v>
      </c>
      <c r="B23" s="578"/>
      <c r="E23" s="14"/>
      <c r="H23" s="534"/>
      <c r="J23" s="534"/>
      <c r="K23" s="478" t="s">
        <v>231</v>
      </c>
    </row>
    <row r="24" spans="1:14">
      <c r="A24" s="578">
        <v>21</v>
      </c>
      <c r="B24" s="578"/>
      <c r="C24" s="577" t="s">
        <v>107</v>
      </c>
      <c r="D24" s="577"/>
      <c r="E24" s="694"/>
      <c r="F24" s="577"/>
      <c r="G24" s="394" t="s">
        <v>382</v>
      </c>
      <c r="H24" s="708"/>
      <c r="I24" s="394" t="s">
        <v>301</v>
      </c>
      <c r="J24" s="708"/>
      <c r="K24" s="709" t="s">
        <v>1991</v>
      </c>
      <c r="M24" s="497" t="s">
        <v>330</v>
      </c>
    </row>
    <row r="25" spans="1:14">
      <c r="A25" s="578">
        <v>22</v>
      </c>
      <c r="B25" s="578"/>
      <c r="C25" s="477" t="s">
        <v>2854</v>
      </c>
      <c r="E25" s="587" t="s">
        <v>1992</v>
      </c>
      <c r="F25" s="587"/>
      <c r="G25" s="710">
        <v>-114763335.86</v>
      </c>
      <c r="H25" s="711"/>
      <c r="I25" s="710">
        <v>-107247069.08</v>
      </c>
      <c r="J25" s="712"/>
      <c r="M25" s="699"/>
      <c r="N25" s="614"/>
    </row>
    <row r="26" spans="1:14">
      <c r="A26" s="695">
        <v>23</v>
      </c>
      <c r="B26" s="578"/>
      <c r="C26" t="s">
        <v>200</v>
      </c>
      <c r="E26" s="713" t="s">
        <v>1993</v>
      </c>
      <c r="F26" s="713"/>
      <c r="G26" s="714">
        <f>'27-Allocators'!G14</f>
        <v>6.0143362776597958E-2</v>
      </c>
      <c r="H26" s="715"/>
      <c r="I26" s="714">
        <f>'27-Allocators'!G14</f>
        <v>6.0143362776597958E-2</v>
      </c>
      <c r="J26" s="715"/>
      <c r="M26" s="699"/>
    </row>
    <row r="27" spans="1:14" ht="13.8" thickBot="1">
      <c r="A27" s="695">
        <v>24</v>
      </c>
      <c r="B27" s="578"/>
      <c r="C27" t="s">
        <v>1994</v>
      </c>
      <c r="E27" s="592" t="s">
        <v>2234</v>
      </c>
      <c r="F27" s="52"/>
      <c r="G27" s="716">
        <f>+G25*G26</f>
        <v>-6902252.9420805341</v>
      </c>
      <c r="H27" s="717"/>
      <c r="I27" s="716">
        <f>+I25*I26</f>
        <v>-6450199.3824053016</v>
      </c>
      <c r="J27" s="717"/>
      <c r="K27" s="718">
        <f>(G27+I27)/2</f>
        <v>-6676226.1622429173</v>
      </c>
      <c r="M27" s="699"/>
    </row>
    <row r="28" spans="1:14" ht="13.8" thickTop="1">
      <c r="A28" s="695">
        <v>25</v>
      </c>
      <c r="B28" s="578"/>
      <c r="E28" s="14"/>
      <c r="H28" s="534"/>
      <c r="J28" s="534"/>
      <c r="M28" s="699"/>
    </row>
    <row r="29" spans="1:14">
      <c r="A29" s="695">
        <v>26</v>
      </c>
      <c r="B29" s="578"/>
      <c r="C29" s="51" t="s">
        <v>1995</v>
      </c>
      <c r="D29" s="51"/>
      <c r="E29" s="865"/>
      <c r="F29" s="51"/>
      <c r="H29" s="534"/>
      <c r="J29" s="534"/>
      <c r="M29" s="719" t="s">
        <v>330</v>
      </c>
    </row>
    <row r="30" spans="1:14">
      <c r="A30" s="695">
        <v>27</v>
      </c>
      <c r="B30" s="578"/>
      <c r="C30" s="477" t="s">
        <v>1996</v>
      </c>
      <c r="D30" s="477"/>
      <c r="E30" s="587" t="s">
        <v>1992</v>
      </c>
      <c r="F30" s="587"/>
      <c r="G30" s="710">
        <v>-58788541.049999997</v>
      </c>
      <c r="H30" s="711"/>
      <c r="I30" s="710">
        <v>-61556455.369999997</v>
      </c>
      <c r="J30" s="712"/>
      <c r="M30" s="699"/>
    </row>
    <row r="31" spans="1:14">
      <c r="A31" s="695">
        <v>28</v>
      </c>
      <c r="B31" s="578"/>
      <c r="C31" t="s">
        <v>200</v>
      </c>
      <c r="E31" s="713" t="s">
        <v>1993</v>
      </c>
      <c r="F31" s="713"/>
      <c r="G31" s="714">
        <f>'27-Allocators'!G14</f>
        <v>6.0143362776597958E-2</v>
      </c>
      <c r="H31" s="715"/>
      <c r="I31" s="714">
        <f>'27-Allocators'!G14</f>
        <v>6.0143362776597958E-2</v>
      </c>
      <c r="J31" s="715"/>
      <c r="M31" s="699"/>
    </row>
    <row r="32" spans="1:14" ht="13.8" thickBot="1">
      <c r="A32" s="695">
        <v>29</v>
      </c>
      <c r="B32" s="578"/>
      <c r="C32" t="s">
        <v>1994</v>
      </c>
      <c r="E32" s="592" t="s">
        <v>2235</v>
      </c>
      <c r="F32" s="52"/>
      <c r="G32" s="716">
        <f>+G30*G31</f>
        <v>-3535740.5514770709</v>
      </c>
      <c r="H32" s="717"/>
      <c r="I32" s="716">
        <f>+I30*I31</f>
        <v>-3702212.2265593712</v>
      </c>
      <c r="J32" s="717"/>
      <c r="K32" s="718">
        <f>(G32+I32)/2</f>
        <v>-3618976.3890182208</v>
      </c>
      <c r="M32" s="699"/>
    </row>
    <row r="33" spans="1:11" ht="13.8" thickTop="1">
      <c r="A33" s="695">
        <f t="shared" ref="A33:A39" si="0">1+A32</f>
        <v>30</v>
      </c>
      <c r="E33" s="14"/>
      <c r="H33" s="534"/>
      <c r="J33" s="534"/>
    </row>
    <row r="34" spans="1:11">
      <c r="A34" s="695">
        <f t="shared" si="0"/>
        <v>31</v>
      </c>
      <c r="C34" s="51" t="s">
        <v>1997</v>
      </c>
      <c r="E34" s="14"/>
      <c r="H34" s="534"/>
      <c r="J34" s="534"/>
    </row>
    <row r="35" spans="1:11">
      <c r="A35" s="695">
        <f t="shared" si="0"/>
        <v>32</v>
      </c>
      <c r="C35" s="477" t="s">
        <v>1997</v>
      </c>
      <c r="E35" s="587" t="s">
        <v>1992</v>
      </c>
      <c r="F35" s="587"/>
      <c r="G35" s="1023">
        <v>-18818283.57</v>
      </c>
      <c r="H35" s="711"/>
      <c r="I35" s="1023">
        <v>-18805421.25</v>
      </c>
      <c r="J35" s="712"/>
    </row>
    <row r="36" spans="1:11">
      <c r="A36" s="695">
        <f t="shared" si="0"/>
        <v>33</v>
      </c>
      <c r="C36" s="477" t="s">
        <v>1998</v>
      </c>
      <c r="E36" s="1348" t="s">
        <v>1999</v>
      </c>
      <c r="G36" s="721">
        <v>0.5</v>
      </c>
      <c r="H36" s="534"/>
      <c r="I36" s="721">
        <v>0.5</v>
      </c>
      <c r="J36" s="534"/>
    </row>
    <row r="37" spans="1:11">
      <c r="A37" s="695">
        <f t="shared" si="0"/>
        <v>34</v>
      </c>
      <c r="C37" s="477" t="s">
        <v>2000</v>
      </c>
      <c r="E37" s="479" t="s">
        <v>2236</v>
      </c>
      <c r="G37" s="7">
        <f>+G35*G36</f>
        <v>-9409141.7850000001</v>
      </c>
      <c r="H37" s="722"/>
      <c r="I37" s="7">
        <f>+I35*I36</f>
        <v>-9402710.625</v>
      </c>
      <c r="J37" s="534"/>
    </row>
    <row r="38" spans="1:11">
      <c r="A38" s="695">
        <f t="shared" si="0"/>
        <v>35</v>
      </c>
      <c r="C38" t="s">
        <v>200</v>
      </c>
      <c r="E38" s="713" t="s">
        <v>1993</v>
      </c>
      <c r="F38" s="713"/>
      <c r="G38" s="714">
        <f>'27-Allocators'!G14</f>
        <v>6.0143362776597958E-2</v>
      </c>
      <c r="H38" s="715"/>
      <c r="I38" s="714">
        <f>'27-Allocators'!G14</f>
        <v>6.0143362776597958E-2</v>
      </c>
      <c r="J38" s="715"/>
    </row>
    <row r="39" spans="1:11" ht="13.8" thickBot="1">
      <c r="A39" s="695">
        <f t="shared" si="0"/>
        <v>36</v>
      </c>
      <c r="C39" t="s">
        <v>1994</v>
      </c>
      <c r="E39" s="592" t="s">
        <v>2237</v>
      </c>
      <c r="F39" s="52"/>
      <c r="G39" s="716">
        <f>+G37*G38</f>
        <v>-565897.42779170151</v>
      </c>
      <c r="H39" s="717"/>
      <c r="I39" s="716">
        <f>+I37*I38</f>
        <v>-565510.63620274712</v>
      </c>
      <c r="J39" s="717"/>
      <c r="K39" s="718">
        <f>(G39+I39)/2</f>
        <v>-565704.03199722432</v>
      </c>
    </row>
    <row r="40" spans="1:11" ht="13.8" thickTop="1">
      <c r="H40" s="534"/>
      <c r="J40" s="534"/>
    </row>
    <row r="41" spans="1:11">
      <c r="C41" s="51" t="s">
        <v>232</v>
      </c>
      <c r="H41" s="60"/>
      <c r="J41" s="60"/>
    </row>
    <row r="42" spans="1:11">
      <c r="C42" s="477" t="s">
        <v>2855</v>
      </c>
      <c r="D42" s="1271"/>
      <c r="H42" s="60"/>
      <c r="J42" s="60"/>
    </row>
    <row r="43" spans="1:11">
      <c r="C43" s="481" t="s">
        <v>2856</v>
      </c>
      <c r="H43" s="60"/>
      <c r="J43" s="60"/>
    </row>
    <row r="44" spans="1:11">
      <c r="H44" s="60"/>
      <c r="J44" s="60"/>
    </row>
    <row r="45" spans="1:11">
      <c r="H45" s="60"/>
      <c r="J45" s="60"/>
    </row>
    <row r="46" spans="1:11">
      <c r="H46" s="60"/>
      <c r="J46" s="60"/>
    </row>
    <row r="47" spans="1:11">
      <c r="H47" s="60"/>
      <c r="J47" s="60"/>
    </row>
    <row r="48" spans="1:11">
      <c r="H48" s="60"/>
      <c r="J48" s="60"/>
    </row>
    <row r="49" spans="8:10">
      <c r="H49" s="60"/>
      <c r="J49" s="60"/>
    </row>
    <row r="50" spans="8:10">
      <c r="H50" s="60"/>
      <c r="J50" s="60"/>
    </row>
    <row r="51" spans="8:10">
      <c r="H51" s="60"/>
      <c r="J51" s="60"/>
    </row>
    <row r="52" spans="8:10">
      <c r="H52" s="60"/>
      <c r="J52" s="60"/>
    </row>
    <row r="53" spans="8:10">
      <c r="H53" s="60"/>
      <c r="J53" s="60"/>
    </row>
    <row r="54" spans="8:10">
      <c r="H54" s="60"/>
      <c r="J54" s="60"/>
    </row>
    <row r="55" spans="8:10">
      <c r="H55" s="60"/>
    </row>
    <row r="56" spans="8:10">
      <c r="H56" s="60"/>
    </row>
  </sheetData>
  <pageMargins left="0.7" right="0.7" top="0.75" bottom="0.75" header="0.3" footer="0.3"/>
  <pageSetup scale="85" orientation="landscape" cellComments="asDisplayed" r:id="rId1"/>
  <headerFooter>
    <oddHeader>&amp;CSchedule 34
Unfunded Reserves
&amp;RExhibit SCE-4
TO2019A Formula Rate Spreadsheet</oddHeader>
    <oddFooter>&amp;R34-UnfundedReserves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42</vt:i4>
      </vt:variant>
    </vt:vector>
  </HeadingPairs>
  <TitlesOfParts>
    <vt:vector size="82" baseType="lpstr">
      <vt:lpstr>Heading</vt:lpstr>
      <vt:lpstr>Contents</vt:lpstr>
      <vt:lpstr>Overview</vt:lpstr>
      <vt:lpstr>1-BaseTRR</vt:lpstr>
      <vt:lpstr>2-IFPTRR</vt:lpstr>
      <vt:lpstr>3-TrueUpAdjust</vt:lpstr>
      <vt:lpstr>4-TUTRR</vt:lpstr>
      <vt:lpstr>5-ROR-1</vt:lpstr>
      <vt:lpstr>5-ROR-2</vt:lpstr>
      <vt:lpstr>5-ROR-3</vt:lpstr>
      <vt:lpstr>5-ROR-4</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'33-RetailRates'!Print_Area</vt:lpstr>
      <vt:lpstr>'34-UnfundedReserves'!Print_Area</vt:lpstr>
      <vt:lpstr>'3-TrueUpAdjust'!Print_Area</vt:lpstr>
      <vt:lpstr>'4-TUTRR'!Print_Area</vt:lpstr>
      <vt:lpstr>'5-ROR-1'!Print_Area</vt:lpstr>
      <vt:lpstr>'5-ROR-2'!Print_Area</vt:lpstr>
      <vt:lpstr>'5-ROR-3'!Print_Area</vt:lpstr>
      <vt:lpstr>'5-ROR-4'!Print_Area</vt:lpstr>
      <vt:lpstr>'6-PlantInService'!Print_Area</vt:lpstr>
      <vt:lpstr>'7-PlantStudy'!Print_Area</vt:lpstr>
      <vt:lpstr>'8-AccDep'!Print_Area</vt:lpstr>
      <vt:lpstr>'9-ADIT'!Print_Area</vt:lpstr>
      <vt:lpstr>Contents!Print_Area</vt:lpstr>
      <vt:lpstr>Heading!Print_Area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Hansen, Berton J</cp:lastModifiedBy>
  <cp:lastPrinted>2019-04-05T19:43:05Z</cp:lastPrinted>
  <dcterms:created xsi:type="dcterms:W3CDTF">2009-02-27T16:01:11Z</dcterms:created>
  <dcterms:modified xsi:type="dcterms:W3CDTF">2019-04-05T19:45:55Z</dcterms:modified>
</cp:coreProperties>
</file>