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9 FERC Rate Case TO2019\"/>
    </mc:Choice>
  </mc:AlternateContent>
  <bookViews>
    <workbookView xWindow="-30" yWindow="120" windowWidth="13470" windowHeight="11865" tabRatio="597"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'21-RevenueCredits'!$A$1:$O$245</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'19-OandM'!$A$1:$L$153</definedName>
    <definedName name="_xlnm.Print_Area" localSheetId="3">'1-BaseTRR'!$A$1:$K$169</definedName>
    <definedName name="_xlnm.Print_Area" localSheetId="25">'20-AandG'!$A$1:$J$103</definedName>
    <definedName name="_xlnm.Print_Area" localSheetId="26">'21-RevenueCredits'!$A$1:$O$245</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'27-Allocators'!$A$1:$K$53</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'32-GrossLoad'!$A$1:$I$19</definedName>
    <definedName name="_xlnm.Print_Area" localSheetId="38">'33-RetailRates'!$A$1:$P$128</definedName>
    <definedName name="_xlnm.Print_Area" localSheetId="39">'34-UnfundedReserves'!$A$1:$K$39</definedName>
    <definedName name="_xlnm.Print_Area" localSheetId="5">'3-TrueUpAdjust'!$A$1:$L$142</definedName>
    <definedName name="_xlnm.Print_Area" localSheetId="6">'4-TUTRR'!$A$1:$J$108</definedName>
    <definedName name="_xlnm.Print_Area" localSheetId="7">'5-ROR-1'!$A$1:$L$57</definedName>
    <definedName name="_xlnm.Print_Area" localSheetId="8">'5-ROR-2'!$A$1:$P$60</definedName>
    <definedName name="_xlnm.Print_Area" localSheetId="9">'5-ROR-3'!$A$1:$M$201</definedName>
    <definedName name="_xlnm.Print_Area" localSheetId="10">'5-ROR-4'!$A$1:$M$71</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'9-ADIT'!$A$1:$J$186</definedName>
    <definedName name="_xlnm.Print_Area" localSheetId="1">Contents!$A$1:$D$38</definedName>
    <definedName name="_xlnm.Print_Area" localSheetId="0">Heading!$A$1:$K$13</definedName>
    <definedName name="_xlnm.Print_Area" localSheetId="2">Overview!$A$1:$I$24</definedName>
    <definedName name="_xlnm.Print_Titles" localSheetId="3">'1-BaseTRR'!$1:$6</definedName>
    <definedName name="_xlnm.Print_Titles" localSheetId="26">'21-RevenueCredits'!$1:$3</definedName>
  </definedNames>
  <calcPr calcId="152511" calcMode="manual"/>
</workbook>
</file>

<file path=xl/calcChain.xml><?xml version="1.0" encoding="utf-8"?>
<calcChain xmlns="http://schemas.openxmlformats.org/spreadsheetml/2006/main">
  <c r="A132" i="1" l="1"/>
  <c r="A133" i="1"/>
  <c r="A134" i="1"/>
  <c r="A135" i="1"/>
  <c r="A136" i="1" s="1"/>
  <c r="K108" i="1"/>
  <c r="A106" i="1"/>
  <c r="E187" i="61" l="1"/>
  <c r="E58" i="61" l="1"/>
  <c r="E117" i="61" l="1"/>
  <c r="E164" i="61" l="1"/>
  <c r="N159" i="61"/>
  <c r="M159" i="61"/>
  <c r="L159" i="61"/>
  <c r="J159" i="61"/>
  <c r="I159" i="61"/>
  <c r="H159" i="61"/>
  <c r="G159" i="61"/>
  <c r="E159" i="61"/>
  <c r="E154" i="61"/>
  <c r="L199" i="61" l="1"/>
  <c r="N196" i="61"/>
  <c r="N195" i="61"/>
  <c r="N194" i="61"/>
  <c r="N193" i="61"/>
  <c r="N192" i="61"/>
  <c r="J196" i="61"/>
  <c r="M196" i="61" s="1"/>
  <c r="J195" i="61"/>
  <c r="M195" i="61" s="1"/>
  <c r="J194" i="61"/>
  <c r="M194" i="61" s="1"/>
  <c r="J193" i="61"/>
  <c r="M193" i="61" s="1"/>
  <c r="J192" i="61"/>
  <c r="M192" i="61" s="1"/>
  <c r="L187" i="61"/>
  <c r="H187" i="61"/>
  <c r="E188" i="61"/>
  <c r="L129" i="61"/>
  <c r="N85" i="61"/>
  <c r="N84" i="61"/>
  <c r="N83" i="61"/>
  <c r="N82" i="61"/>
  <c r="N81" i="61"/>
  <c r="N80" i="61"/>
  <c r="N78" i="61"/>
  <c r="N77" i="61"/>
  <c r="N76" i="61"/>
  <c r="N75" i="61"/>
  <c r="N74" i="61"/>
  <c r="N73" i="61"/>
  <c r="N72" i="61"/>
  <c r="N71" i="61"/>
  <c r="N70" i="6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M73" i="61" s="1"/>
  <c r="J72" i="61"/>
  <c r="M72" i="61" s="1"/>
  <c r="J71" i="61"/>
  <c r="M71" i="61" s="1"/>
  <c r="J70" i="61"/>
  <c r="N151" i="61"/>
  <c r="N150" i="61"/>
  <c r="N149" i="61"/>
  <c r="N148" i="61"/>
  <c r="N147" i="61"/>
  <c r="N146" i="61"/>
  <c r="N145" i="61"/>
  <c r="N144" i="61"/>
  <c r="N143" i="61"/>
  <c r="N142" i="61"/>
  <c r="N141" i="61"/>
  <c r="N140" i="61"/>
  <c r="N139" i="61"/>
  <c r="N138" i="61"/>
  <c r="N137" i="61"/>
  <c r="N136" i="61"/>
  <c r="N135" i="61"/>
  <c r="N134" i="61"/>
  <c r="N133" i="61"/>
  <c r="N132" i="61"/>
  <c r="J151" i="61"/>
  <c r="M151" i="61" s="1"/>
  <c r="J150" i="61"/>
  <c r="M150" i="61" s="1"/>
  <c r="J149" i="61"/>
  <c r="M149" i="61" s="1"/>
  <c r="J148" i="61"/>
  <c r="M148" i="61" s="1"/>
  <c r="J147" i="61"/>
  <c r="M147" i="61" s="1"/>
  <c r="J145" i="61"/>
  <c r="M145" i="61" s="1"/>
  <c r="J144" i="61"/>
  <c r="M144" i="61" s="1"/>
  <c r="J143" i="61"/>
  <c r="M143" i="61" s="1"/>
  <c r="J142" i="61"/>
  <c r="M142" i="61" s="1"/>
  <c r="J141" i="61"/>
  <c r="M141" i="61" s="1"/>
  <c r="J140" i="61"/>
  <c r="M140" i="61" s="1"/>
  <c r="J139" i="61"/>
  <c r="M139" i="61" s="1"/>
  <c r="J138" i="61"/>
  <c r="M138" i="61" s="1"/>
  <c r="J137" i="61"/>
  <c r="J136" i="61"/>
  <c r="M136" i="61" s="1"/>
  <c r="J135" i="61"/>
  <c r="M135" i="61" s="1"/>
  <c r="J134" i="61"/>
  <c r="M134" i="61" s="1"/>
  <c r="J133" i="61"/>
  <c r="M133" i="61" s="1"/>
  <c r="J132" i="61"/>
  <c r="M132" i="61" s="1"/>
  <c r="G151" i="61"/>
  <c r="I151" i="61" s="1"/>
  <c r="G150" i="61"/>
  <c r="I150" i="61" s="1"/>
  <c r="G149" i="61"/>
  <c r="I149" i="61" s="1"/>
  <c r="G148" i="61"/>
  <c r="I148" i="61" s="1"/>
  <c r="G147" i="61"/>
  <c r="I147" i="61" s="1"/>
  <c r="G146" i="61"/>
  <c r="I146" i="61" s="1"/>
  <c r="G144" i="61"/>
  <c r="I144" i="61" s="1"/>
  <c r="G143" i="61"/>
  <c r="I143" i="61" s="1"/>
  <c r="G142" i="61"/>
  <c r="I142" i="61" s="1"/>
  <c r="G141" i="61"/>
  <c r="I141" i="61" s="1"/>
  <c r="G140" i="61"/>
  <c r="I140" i="61" s="1"/>
  <c r="G139" i="61"/>
  <c r="I139" i="61" s="1"/>
  <c r="G138" i="61"/>
  <c r="G137" i="61"/>
  <c r="I137" i="61" s="1"/>
  <c r="G136" i="61"/>
  <c r="I136" i="61" s="1"/>
  <c r="G135" i="61"/>
  <c r="G134" i="61"/>
  <c r="I134" i="61" s="1"/>
  <c r="G133" i="61"/>
  <c r="I133" i="61" s="1"/>
  <c r="G132" i="61"/>
  <c r="H132" i="61" s="1"/>
  <c r="N119" i="61"/>
  <c r="N118" i="61"/>
  <c r="N117" i="61"/>
  <c r="N116" i="61"/>
  <c r="N115" i="61"/>
  <c r="N114" i="61"/>
  <c r="N113" i="61"/>
  <c r="N112" i="61"/>
  <c r="N111" i="61"/>
  <c r="N110" i="61"/>
  <c r="N109" i="61"/>
  <c r="N108" i="61"/>
  <c r="N107" i="61"/>
  <c r="N104" i="61"/>
  <c r="N103" i="61"/>
  <c r="N102" i="61"/>
  <c r="N101" i="61"/>
  <c r="N100" i="61"/>
  <c r="N99" i="61"/>
  <c r="N98" i="61"/>
  <c r="N97" i="6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M109" i="61" s="1"/>
  <c r="J108" i="61"/>
  <c r="M108" i="61" s="1"/>
  <c r="J107" i="61"/>
  <c r="M107" i="61" s="1"/>
  <c r="J106" i="61"/>
  <c r="J105" i="61"/>
  <c r="J104" i="61"/>
  <c r="M104" i="61" s="1"/>
  <c r="J103" i="61"/>
  <c r="M103" i="61" s="1"/>
  <c r="J102" i="61"/>
  <c r="M102" i="61" s="1"/>
  <c r="J101" i="61"/>
  <c r="M101" i="61" s="1"/>
  <c r="J100" i="61"/>
  <c r="M100" i="61" s="1"/>
  <c r="J99" i="61"/>
  <c r="M99" i="61" s="1"/>
  <c r="J98" i="61"/>
  <c r="M98" i="61" s="1"/>
  <c r="J97" i="61"/>
  <c r="M97" i="61" s="1"/>
  <c r="G119" i="61"/>
  <c r="I119" i="61" s="1"/>
  <c r="G118" i="61"/>
  <c r="I118"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4" i="61"/>
  <c r="I104" i="61" s="1"/>
  <c r="G103" i="61"/>
  <c r="I103" i="61" s="1"/>
  <c r="G102" i="61"/>
  <c r="I102" i="61" s="1"/>
  <c r="G101" i="61"/>
  <c r="I101" i="61" s="1"/>
  <c r="G100" i="61"/>
  <c r="I100" i="61" s="1"/>
  <c r="G99" i="61"/>
  <c r="I99" i="61" s="1"/>
  <c r="G98" i="61"/>
  <c r="I98" i="61" s="1"/>
  <c r="G97" i="61"/>
  <c r="I97" i="61" s="1"/>
  <c r="G96" i="61"/>
  <c r="G95" i="61"/>
  <c r="G94" i="61"/>
  <c r="G93" i="61"/>
  <c r="G92" i="61"/>
  <c r="G91" i="61"/>
  <c r="G90" i="61"/>
  <c r="G89" i="61"/>
  <c r="G88" i="61"/>
  <c r="G87" i="61"/>
  <c r="G86" i="61"/>
  <c r="G85" i="61"/>
  <c r="I85" i="61" s="1"/>
  <c r="G84" i="61"/>
  <c r="I84" i="61" s="1"/>
  <c r="G83" i="61"/>
  <c r="I83" i="61" s="1"/>
  <c r="G82" i="61"/>
  <c r="I82" i="61" s="1"/>
  <c r="G81" i="61"/>
  <c r="I81" i="61" s="1"/>
  <c r="G80" i="61"/>
  <c r="I80" i="61" s="1"/>
  <c r="G78" i="61"/>
  <c r="G77" i="61"/>
  <c r="I77" i="61" s="1"/>
  <c r="G76" i="61"/>
  <c r="I76" i="61" s="1"/>
  <c r="G75" i="61"/>
  <c r="I75" i="61" s="1"/>
  <c r="G74" i="61"/>
  <c r="I74" i="61" s="1"/>
  <c r="G73" i="61"/>
  <c r="I73" i="61" s="1"/>
  <c r="G72" i="61"/>
  <c r="I72" i="61" s="1"/>
  <c r="G71" i="61"/>
  <c r="I71" i="61" s="1"/>
  <c r="G70" i="61"/>
  <c r="I70" i="61" s="1"/>
  <c r="N61" i="61"/>
  <c r="N60" i="61"/>
  <c r="N59" i="61"/>
  <c r="N58" i="61"/>
  <c r="N57" i="61"/>
  <c r="J61" i="61"/>
  <c r="M61" i="61" s="1"/>
  <c r="J58" i="61"/>
  <c r="M58" i="61" s="1"/>
  <c r="J57" i="61"/>
  <c r="M57" i="61" s="1"/>
  <c r="J60" i="61"/>
  <c r="M60" i="61" s="1"/>
  <c r="N55" i="61"/>
  <c r="N54" i="61"/>
  <c r="N53" i="61"/>
  <c r="N52" i="61"/>
  <c r="N51" i="61"/>
  <c r="J55" i="61"/>
  <c r="J54" i="61"/>
  <c r="J53" i="61"/>
  <c r="J52" i="61"/>
  <c r="J51" i="61"/>
  <c r="G117" i="61"/>
  <c r="I117" i="61" s="1"/>
  <c r="N199" i="61" l="1"/>
  <c r="M199" i="61"/>
  <c r="J199" i="61"/>
  <c r="E129" i="61"/>
  <c r="I132" i="61"/>
  <c r="I135" i="61"/>
  <c r="M70" i="61"/>
  <c r="G51" i="61" l="1"/>
  <c r="N50" i="61" l="1"/>
  <c r="H50" i="61"/>
  <c r="H49" i="61"/>
  <c r="N49" i="61" s="1"/>
  <c r="G64" i="61" l="1"/>
  <c r="G61" i="61"/>
  <c r="I61" i="61" s="1"/>
  <c r="G60" i="61"/>
  <c r="I60" i="61" s="1"/>
  <c r="G59" i="61"/>
  <c r="I59" i="61" s="1"/>
  <c r="G57" i="61"/>
  <c r="I57" i="61" s="1"/>
  <c r="G56" i="61"/>
  <c r="G55" i="61"/>
  <c r="I55" i="61" s="1"/>
  <c r="G54" i="61"/>
  <c r="I54" i="61" s="1"/>
  <c r="G53" i="61"/>
  <c r="I53" i="61" s="1"/>
  <c r="G52" i="61"/>
  <c r="I52" i="61" s="1"/>
  <c r="J49" i="61" l="1"/>
  <c r="M49" i="61" s="1"/>
  <c r="N41" i="61"/>
  <c r="N40" i="61"/>
  <c r="N39" i="61"/>
  <c r="N38" i="61"/>
  <c r="J38" i="61"/>
  <c r="M38" i="61" s="1"/>
  <c r="G49" i="61"/>
  <c r="N35" i="61"/>
  <c r="M35" i="61"/>
  <c r="L35" i="61"/>
  <c r="J35" i="61"/>
  <c r="I35" i="61"/>
  <c r="H35" i="61"/>
  <c r="G35" i="61"/>
  <c r="E35" i="61"/>
  <c r="G41" i="61"/>
  <c r="I41" i="61" s="1"/>
  <c r="G40" i="61"/>
  <c r="I40" i="61" s="1"/>
  <c r="G39" i="61"/>
  <c r="I39" i="61" s="1"/>
  <c r="G38" i="61"/>
  <c r="I38" i="61" s="1"/>
  <c r="N126" i="61"/>
  <c r="G126" i="61"/>
  <c r="I126" i="61" s="1"/>
  <c r="J126" i="61"/>
  <c r="M126" i="61" s="1"/>
  <c r="L67" i="61" l="1"/>
  <c r="L30" i="61"/>
  <c r="H30" i="61"/>
  <c r="E30" i="61"/>
  <c r="H8" i="61"/>
  <c r="E8" i="61"/>
  <c r="N64" i="61"/>
  <c r="J64" i="61"/>
  <c r="M64" i="61" s="1"/>
  <c r="I64" i="61"/>
  <c r="N125" i="61" l="1"/>
  <c r="N124" i="61"/>
  <c r="N122" i="61"/>
  <c r="N121" i="61"/>
  <c r="N120" i="61"/>
  <c r="H123" i="61"/>
  <c r="N123" i="61" s="1"/>
  <c r="J120" i="61"/>
  <c r="M120" i="61" s="1"/>
  <c r="J121" i="61"/>
  <c r="M121" i="61" s="1"/>
  <c r="J122" i="61"/>
  <c r="M122" i="61" s="1"/>
  <c r="J123" i="61"/>
  <c r="M123" i="61" s="1"/>
  <c r="J124" i="61"/>
  <c r="M124" i="61" s="1"/>
  <c r="J125" i="61"/>
  <c r="M125" i="61" s="1"/>
  <c r="G120" i="61"/>
  <c r="I120" i="61" s="1"/>
  <c r="G121" i="61"/>
  <c r="I121" i="61" s="1"/>
  <c r="G122" i="61"/>
  <c r="I122" i="61" s="1"/>
  <c r="G124" i="61"/>
  <c r="I124" i="61" s="1"/>
  <c r="G125" i="61"/>
  <c r="E195" i="61"/>
  <c r="E199" i="61" s="1"/>
  <c r="E200" i="61" s="1"/>
  <c r="H125" i="61" l="1"/>
  <c r="I125" i="61" s="1"/>
  <c r="L154" i="61"/>
  <c r="L8" i="61"/>
  <c r="H47" i="61" l="1"/>
  <c r="G47" i="61" s="1"/>
  <c r="J46" i="61"/>
  <c r="G46" i="61"/>
  <c r="I46"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7" i="61" l="1"/>
  <c r="N19" i="61"/>
  <c r="J19" i="61"/>
  <c r="M19" i="61" s="1"/>
  <c r="G19" i="61"/>
  <c r="H196" i="61" l="1"/>
  <c r="H199" i="61" s="1"/>
  <c r="G196" i="61"/>
  <c r="G195" i="61"/>
  <c r="G194" i="61"/>
  <c r="G193" i="61"/>
  <c r="G192" i="61"/>
  <c r="J184" i="61"/>
  <c r="M184" i="61" s="1"/>
  <c r="J183" i="61"/>
  <c r="M183" i="61" s="1"/>
  <c r="J182" i="61"/>
  <c r="M182" i="61" s="1"/>
  <c r="J181" i="61"/>
  <c r="M181" i="61" s="1"/>
  <c r="J180" i="61"/>
  <c r="M180" i="61" s="1"/>
  <c r="J179" i="61"/>
  <c r="M179" i="61" s="1"/>
  <c r="J178" i="61"/>
  <c r="M178" i="61" s="1"/>
  <c r="J177" i="61"/>
  <c r="M177" i="61" s="1"/>
  <c r="J176" i="61"/>
  <c r="M176" i="61" s="1"/>
  <c r="J175" i="61"/>
  <c r="M175" i="61" s="1"/>
  <c r="J174" i="61"/>
  <c r="M174" i="61" s="1"/>
  <c r="J173" i="61"/>
  <c r="M173" i="61" s="1"/>
  <c r="J172" i="61"/>
  <c r="M172" i="61" s="1"/>
  <c r="J171" i="61"/>
  <c r="M171" i="61" s="1"/>
  <c r="J170" i="61"/>
  <c r="M170" i="61" s="1"/>
  <c r="J169" i="61"/>
  <c r="M169" i="61" s="1"/>
  <c r="J168" i="61"/>
  <c r="G184" i="61"/>
  <c r="I184" i="61" s="1"/>
  <c r="G183" i="61"/>
  <c r="I183" i="61" s="1"/>
  <c r="G182" i="61"/>
  <c r="I182" i="61" s="1"/>
  <c r="G181" i="61"/>
  <c r="I181" i="61" s="1"/>
  <c r="G180" i="61"/>
  <c r="I180" i="61" s="1"/>
  <c r="G179" i="61"/>
  <c r="I179" i="61" s="1"/>
  <c r="G178" i="61"/>
  <c r="I178" i="61" s="1"/>
  <c r="G177" i="61"/>
  <c r="I177" i="61" s="1"/>
  <c r="G176" i="61"/>
  <c r="I176" i="61" s="1"/>
  <c r="G175" i="61"/>
  <c r="I175" i="61" s="1"/>
  <c r="G174" i="61"/>
  <c r="I174" i="61" s="1"/>
  <c r="G173" i="61"/>
  <c r="I173" i="61" s="1"/>
  <c r="G172" i="61"/>
  <c r="I172" i="61" s="1"/>
  <c r="G171" i="61"/>
  <c r="I171" i="61" s="1"/>
  <c r="G170" i="61"/>
  <c r="I170" i="61" s="1"/>
  <c r="G169" i="61"/>
  <c r="I169" i="61" s="1"/>
  <c r="G168" i="61"/>
  <c r="G106" i="61"/>
  <c r="I106" i="61" s="1"/>
  <c r="G105" i="61"/>
  <c r="I105" i="61" s="1"/>
  <c r="N96" i="61"/>
  <c r="N95" i="61"/>
  <c r="N94" i="61"/>
  <c r="N93" i="61"/>
  <c r="N92" i="61"/>
  <c r="N91" i="61"/>
  <c r="N90" i="61"/>
  <c r="N89" i="61"/>
  <c r="N88" i="61"/>
  <c r="N87" i="61"/>
  <c r="J96" i="61"/>
  <c r="M96" i="61" s="1"/>
  <c r="J95" i="61"/>
  <c r="M95" i="61" s="1"/>
  <c r="J94" i="61"/>
  <c r="M94" i="61" s="1"/>
  <c r="J93" i="61"/>
  <c r="M93" i="61" s="1"/>
  <c r="J92" i="61"/>
  <c r="M92" i="61" s="1"/>
  <c r="J91" i="61"/>
  <c r="M91" i="61" s="1"/>
  <c r="J90" i="61"/>
  <c r="M90" i="61" s="1"/>
  <c r="J89" i="61"/>
  <c r="M89" i="61" s="1"/>
  <c r="J88" i="61"/>
  <c r="M88" i="61" s="1"/>
  <c r="J87" i="61"/>
  <c r="M87" i="61" s="1"/>
  <c r="I96" i="61"/>
  <c r="I95" i="61"/>
  <c r="I94" i="61"/>
  <c r="I93" i="61"/>
  <c r="I92" i="61"/>
  <c r="I91" i="61"/>
  <c r="I90" i="61"/>
  <c r="I89" i="61"/>
  <c r="I88" i="61"/>
  <c r="I87" i="61"/>
  <c r="I86" i="61"/>
  <c r="N86" i="61"/>
  <c r="J86" i="61"/>
  <c r="N56" i="61"/>
  <c r="N42" i="61"/>
  <c r="N20" i="61"/>
  <c r="I196" i="61" l="1"/>
  <c r="M168" i="61"/>
  <c r="M187" i="61" s="1"/>
  <c r="J187" i="61"/>
  <c r="G199" i="61"/>
  <c r="G187" i="61"/>
  <c r="M86" i="61"/>
  <c r="J129" i="61"/>
  <c r="I168" i="61"/>
  <c r="I187" i="61" s="1"/>
  <c r="N168" i="61" l="1"/>
  <c r="E129" i="15"/>
  <c r="D129" i="15"/>
  <c r="A126" i="15"/>
  <c r="E125" i="15"/>
  <c r="A125" i="15"/>
  <c r="E124" i="15"/>
  <c r="J18" i="61" l="1"/>
  <c r="M18" i="61" s="1"/>
  <c r="N181" i="61" l="1"/>
  <c r="N182" i="61"/>
  <c r="N183" i="61"/>
  <c r="N184" i="61"/>
  <c r="G12" i="61" l="1"/>
  <c r="J62" i="61" l="1"/>
  <c r="M62" i="61" s="1"/>
  <c r="H63" i="61"/>
  <c r="H62" i="61"/>
  <c r="J63" i="61"/>
  <c r="M63" i="61" s="1"/>
  <c r="G62" i="61" l="1"/>
  <c r="N62" i="61"/>
  <c r="G63" i="61"/>
  <c r="N63" i="61"/>
  <c r="A107" i="1"/>
  <c r="A108" i="1" s="1"/>
  <c r="F73" i="81" l="1"/>
  <c r="H48" i="81"/>
  <c r="H49" i="81"/>
  <c r="H50" i="81"/>
  <c r="H51" i="81"/>
  <c r="H52" i="81"/>
  <c r="H53" i="81"/>
  <c r="I53" i="81" s="1"/>
  <c r="H55" i="81"/>
  <c r="H56" i="81"/>
  <c r="G55" i="81"/>
  <c r="I55" i="81"/>
  <c r="G56" i="81"/>
  <c r="I56" i="81"/>
  <c r="A133" i="81"/>
  <c r="G53" i="81"/>
  <c r="G47" i="81"/>
  <c r="H47" i="81"/>
  <c r="I47" i="81"/>
  <c r="J55" i="81" l="1"/>
  <c r="K55" i="81" s="1"/>
  <c r="J56" i="81"/>
  <c r="K56" i="81" s="1"/>
  <c r="J47" i="81"/>
  <c r="K47" i="81" s="1"/>
  <c r="J53" i="81"/>
  <c r="K53" i="81" s="1"/>
  <c r="F56" i="15" l="1"/>
  <c r="D56" i="15"/>
  <c r="E111" i="15"/>
  <c r="E110" i="15"/>
  <c r="E109" i="15"/>
  <c r="E108" i="15"/>
  <c r="E107" i="15"/>
  <c r="E106" i="15"/>
  <c r="G103" i="15"/>
  <c r="E86" i="15"/>
  <c r="E85" i="15"/>
  <c r="E84" i="15"/>
  <c r="E83" i="15"/>
  <c r="E82" i="15"/>
  <c r="F81" i="15"/>
  <c r="E64" i="15"/>
  <c r="E63" i="15"/>
  <c r="E62" i="15"/>
  <c r="E61" i="15"/>
  <c r="E60" i="15"/>
  <c r="A61" i="15"/>
  <c r="A62" i="15" s="1"/>
  <c r="A63" i="15" s="1"/>
  <c r="A64" i="15" s="1"/>
  <c r="A65" i="15" s="1"/>
  <c r="G58" i="61" l="1"/>
  <c r="I58" i="61" s="1"/>
  <c r="E59" i="61"/>
  <c r="J59" i="61" s="1"/>
  <c r="M59" i="61" s="1"/>
  <c r="E56" i="61"/>
  <c r="E67" i="61" l="1"/>
  <c r="E203" i="61" s="1"/>
  <c r="J56" i="61"/>
  <c r="M56" i="61" s="1"/>
  <c r="F39" i="56"/>
  <c r="C89" i="65" l="1"/>
  <c r="D89" i="65"/>
  <c r="E89" i="65"/>
  <c r="F89" i="65"/>
  <c r="G89" i="65"/>
  <c r="H89" i="65"/>
  <c r="C40" i="56" l="1"/>
  <c r="A410" i="49" l="1"/>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F418" i="49"/>
  <c r="E418" i="49"/>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A411" i="49"/>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F6" i="80" l="1"/>
  <c r="F6" i="81" l="1"/>
  <c r="E153" i="49" l="1"/>
  <c r="A82" i="15" l="1"/>
  <c r="I63" i="1" l="1"/>
  <c r="A28" i="28" l="1"/>
  <c r="A10" i="28"/>
  <c r="A11" i="28" s="1"/>
  <c r="A12" i="28" s="1"/>
  <c r="A13" i="28" s="1"/>
  <c r="A14" i="28" s="1"/>
  <c r="A15" i="28" s="1"/>
  <c r="A16" i="28" s="1"/>
  <c r="A17" i="28" s="1"/>
  <c r="A18" i="28" s="1"/>
  <c r="A19" i="28" s="1"/>
  <c r="C38" i="72"/>
  <c r="C36" i="72"/>
  <c r="C34" i="72"/>
  <c r="C32" i="72"/>
  <c r="C30" i="72"/>
  <c r="C28" i="72"/>
  <c r="C26" i="72"/>
  <c r="C24" i="72"/>
  <c r="C22" i="72"/>
  <c r="C20" i="72"/>
  <c r="C18" i="72"/>
  <c r="C16" i="72"/>
  <c r="C14" i="72"/>
  <c r="C12" i="72"/>
  <c r="A12" i="72"/>
  <c r="A14" i="72" s="1"/>
  <c r="A16" i="72" s="1"/>
  <c r="A18" i="72" s="1"/>
  <c r="A20" i="72" s="1"/>
  <c r="A22" i="72" s="1"/>
  <c r="A24" i="72" s="1"/>
  <c r="A26" i="72" s="1"/>
  <c r="A28" i="72" s="1"/>
  <c r="A30" i="72" s="1"/>
  <c r="A32" i="72" s="1"/>
  <c r="C10" i="72"/>
  <c r="A10" i="72"/>
  <c r="C8" i="72"/>
  <c r="A34" i="72" l="1"/>
  <c r="A36" i="72" s="1"/>
  <c r="A38" i="72" s="1"/>
  <c r="J30" i="28"/>
  <c r="M45" i="48"/>
  <c r="I70" i="1" l="1"/>
  <c r="J32" i="28" l="1"/>
  <c r="J31" i="28"/>
  <c r="J29" i="28"/>
  <c r="J28" i="28"/>
  <c r="J24" i="28"/>
  <c r="J23" i="28"/>
  <c r="J22" i="28"/>
  <c r="J18" i="28"/>
  <c r="J17" i="28"/>
  <c r="J14" i="28"/>
  <c r="J13" i="28"/>
  <c r="J12" i="28"/>
  <c r="J11" i="28"/>
  <c r="J10" i="28"/>
  <c r="J9" i="28"/>
  <c r="J8" i="28"/>
  <c r="L32" i="28"/>
  <c r="L31" i="28"/>
  <c r="L29" i="28"/>
  <c r="L28" i="28"/>
  <c r="L24" i="28"/>
  <c r="L23" i="28"/>
  <c r="L22" i="28"/>
  <c r="L18" i="28"/>
  <c r="L17" i="28"/>
  <c r="L14" i="28"/>
  <c r="L13" i="28"/>
  <c r="L12" i="28"/>
  <c r="L11" i="28"/>
  <c r="L10" i="28"/>
  <c r="L9" i="28"/>
  <c r="L8" i="28"/>
  <c r="A29" i="28"/>
  <c r="A30" i="28" s="1"/>
  <c r="A31" i="28" s="1"/>
  <c r="A32" i="28" s="1"/>
  <c r="A9" i="28"/>
  <c r="L25" i="28" l="1"/>
  <c r="K68" i="1" s="1"/>
  <c r="L30" i="28"/>
  <c r="L33" i="28"/>
  <c r="K73" i="1" s="1"/>
  <c r="J33" i="28"/>
  <c r="A33" i="28"/>
  <c r="I73" i="1" s="1"/>
  <c r="A22" i="28" l="1"/>
  <c r="J19" i="28"/>
  <c r="J16" i="28"/>
  <c r="J25" i="28" l="1"/>
  <c r="I29" i="28"/>
  <c r="A23" i="28"/>
  <c r="A24" i="28" s="1"/>
  <c r="A25" i="28" l="1"/>
  <c r="I68" i="1" s="1"/>
  <c r="I30" i="28"/>
  <c r="G71" i="80" l="1"/>
  <c r="E7" i="80" s="1"/>
  <c r="E71" i="80"/>
  <c r="A62" i="80"/>
  <c r="A63" i="80" s="1"/>
  <c r="A64" i="80" s="1"/>
  <c r="A65" i="80" s="1"/>
  <c r="A66" i="80" s="1"/>
  <c r="A67" i="80" s="1"/>
  <c r="A68" i="80" s="1"/>
  <c r="A69" i="80" s="1"/>
  <c r="A70" i="80" s="1"/>
  <c r="A71" i="80" s="1"/>
  <c r="A61" i="80"/>
  <c r="A43" i="80"/>
  <c r="A44" i="80" s="1"/>
  <c r="A45" i="80" s="1"/>
  <c r="A46" i="80" s="1"/>
  <c r="A47" i="80" s="1"/>
  <c r="A48" i="80" s="1"/>
  <c r="A49" i="80" s="1"/>
  <c r="A50" i="80" s="1"/>
  <c r="A51" i="80" s="1"/>
  <c r="A42" i="80"/>
  <c r="E33" i="80"/>
  <c r="E10" i="80" s="1"/>
  <c r="F31" i="80"/>
  <c r="G31" i="80" s="1"/>
  <c r="F30" i="80"/>
  <c r="G30" i="80" s="1"/>
  <c r="F29" i="80"/>
  <c r="G29" i="80" s="1"/>
  <c r="F28" i="80"/>
  <c r="G28" i="80" s="1"/>
  <c r="F27" i="80"/>
  <c r="G27" i="80" s="1"/>
  <c r="F26" i="80"/>
  <c r="G26" i="80" s="1"/>
  <c r="F25" i="80"/>
  <c r="G25" i="80" s="1"/>
  <c r="F24" i="80"/>
  <c r="G24" i="80" s="1"/>
  <c r="F23" i="80"/>
  <c r="G23" i="80" s="1"/>
  <c r="A23" i="80"/>
  <c r="A24" i="80" s="1"/>
  <c r="A25" i="80" s="1"/>
  <c r="A26" i="80" s="1"/>
  <c r="A27" i="80" s="1"/>
  <c r="A28" i="80" s="1"/>
  <c r="A29" i="80" s="1"/>
  <c r="A30" i="80" s="1"/>
  <c r="A31" i="80" s="1"/>
  <c r="A32" i="80" s="1"/>
  <c r="A33" i="80" s="1"/>
  <c r="F22" i="80"/>
  <c r="G22" i="80" s="1"/>
  <c r="E11" i="80"/>
  <c r="A9" i="80"/>
  <c r="A10" i="80" s="1"/>
  <c r="A11" i="80" s="1"/>
  <c r="A12" i="80" s="1"/>
  <c r="A13" i="80" s="1"/>
  <c r="A14" i="80" s="1"/>
  <c r="A8" i="80"/>
  <c r="A7" i="80"/>
  <c r="D197" i="81"/>
  <c r="E7" i="81" s="1"/>
  <c r="C197" i="81"/>
  <c r="E12" i="81" s="1"/>
  <c r="A140" i="81"/>
  <c r="A141" i="81" s="1"/>
  <c r="A142" i="81" s="1"/>
  <c r="A143" i="81" s="1"/>
  <c r="A144" i="81" s="1"/>
  <c r="A145" i="81" s="1"/>
  <c r="A146" i="81" s="1"/>
  <c r="A147" i="81" s="1"/>
  <c r="A148" i="81" s="1"/>
  <c r="A149" i="81" s="1"/>
  <c r="A150" i="81" s="1"/>
  <c r="A151" i="81" s="1"/>
  <c r="A152" i="81" s="1"/>
  <c r="A153" i="81" s="1"/>
  <c r="A154" i="81" s="1"/>
  <c r="A155" i="81" s="1"/>
  <c r="A156" i="81" s="1"/>
  <c r="A157" i="81" s="1"/>
  <c r="A158" i="81" s="1"/>
  <c r="A159" i="81" s="1"/>
  <c r="A160" i="81" s="1"/>
  <c r="A161" i="81" s="1"/>
  <c r="A162" i="81" s="1"/>
  <c r="A163" i="81" s="1"/>
  <c r="A164" i="81" s="1"/>
  <c r="A165" i="81" s="1"/>
  <c r="A166" i="81" s="1"/>
  <c r="A167" i="81" s="1"/>
  <c r="A168" i="81" s="1"/>
  <c r="A169" i="81" s="1"/>
  <c r="A170" i="81" s="1"/>
  <c r="A171" i="81" s="1"/>
  <c r="A172" i="81" s="1"/>
  <c r="A173" i="81" s="1"/>
  <c r="A174" i="81" s="1"/>
  <c r="A175" i="81" s="1"/>
  <c r="A176" i="81" s="1"/>
  <c r="A177" i="81" s="1"/>
  <c r="A183" i="81" s="1"/>
  <c r="A184" i="81" s="1"/>
  <c r="A185" i="81" s="1"/>
  <c r="A186" i="81" s="1"/>
  <c r="A187" i="81" s="1"/>
  <c r="A188" i="81" s="1"/>
  <c r="A189" i="81" s="1"/>
  <c r="A190" i="81" s="1"/>
  <c r="A191" i="81" s="1"/>
  <c r="A192" i="81" s="1"/>
  <c r="A193" i="81" s="1"/>
  <c r="A194" i="81" s="1"/>
  <c r="A195" i="81" s="1"/>
  <c r="A98" i="81"/>
  <c r="A99" i="81" s="1"/>
  <c r="A100" i="81" s="1"/>
  <c r="A101" i="81" s="1"/>
  <c r="A102" i="81" s="1"/>
  <c r="A103" i="81" s="1"/>
  <c r="A104" i="81" s="1"/>
  <c r="A105" i="81" s="1"/>
  <c r="A106" i="81" s="1"/>
  <c r="A107" i="81" s="1"/>
  <c r="A108" i="81" s="1"/>
  <c r="A109" i="81" s="1"/>
  <c r="A110" i="81" s="1"/>
  <c r="A111" i="81" s="1"/>
  <c r="A112" i="81" s="1"/>
  <c r="A113" i="81" s="1"/>
  <c r="A114" i="81" s="1"/>
  <c r="A115" i="81" s="1"/>
  <c r="A116" i="81" s="1"/>
  <c r="A117" i="81" s="1"/>
  <c r="A118" i="81" s="1"/>
  <c r="A119" i="81" s="1"/>
  <c r="A120" i="81" s="1"/>
  <c r="A121" i="81" s="1"/>
  <c r="A122" i="81" s="1"/>
  <c r="A123" i="81" s="1"/>
  <c r="A124" i="81" s="1"/>
  <c r="A125" i="81" s="1"/>
  <c r="A126" i="81" s="1"/>
  <c r="A127" i="81" s="1"/>
  <c r="A128" i="81" s="1"/>
  <c r="A129" i="81" s="1"/>
  <c r="A130" i="81" s="1"/>
  <c r="A131" i="81" s="1"/>
  <c r="A132" i="81" s="1"/>
  <c r="F84" i="81"/>
  <c r="E11" i="81" s="1"/>
  <c r="A81" i="81"/>
  <c r="A82" i="81" s="1"/>
  <c r="A83" i="81" s="1"/>
  <c r="A84" i="81" s="1"/>
  <c r="F11" i="81" s="1"/>
  <c r="I52" i="81"/>
  <c r="G52" i="81"/>
  <c r="I51" i="81"/>
  <c r="G51" i="81"/>
  <c r="I50" i="81"/>
  <c r="G50" i="81"/>
  <c r="I49" i="81"/>
  <c r="G49" i="81"/>
  <c r="I48" i="81"/>
  <c r="G48" i="81"/>
  <c r="H46" i="81"/>
  <c r="I46" i="81" s="1"/>
  <c r="G46" i="81"/>
  <c r="H45" i="81"/>
  <c r="I45" i="81" s="1"/>
  <c r="G45" i="81"/>
  <c r="H44" i="81"/>
  <c r="I44" i="81" s="1"/>
  <c r="G44" i="81"/>
  <c r="H43" i="81"/>
  <c r="I43" i="81" s="1"/>
  <c r="G43" i="81"/>
  <c r="H42" i="81"/>
  <c r="I42" i="81" s="1"/>
  <c r="G42" i="81"/>
  <c r="H41" i="81"/>
  <c r="I41" i="81" s="1"/>
  <c r="G41" i="81"/>
  <c r="H38" i="81"/>
  <c r="I38" i="81" s="1"/>
  <c r="G38" i="81"/>
  <c r="H37" i="81"/>
  <c r="I37" i="81" s="1"/>
  <c r="G37" i="81"/>
  <c r="H36" i="81"/>
  <c r="I36" i="81" s="1"/>
  <c r="G36" i="81"/>
  <c r="H35" i="81"/>
  <c r="I35" i="81" s="1"/>
  <c r="G35" i="81"/>
  <c r="H34" i="81"/>
  <c r="I34" i="81" s="1"/>
  <c r="G34" i="81"/>
  <c r="H33" i="81"/>
  <c r="I33" i="81" s="1"/>
  <c r="G33" i="81"/>
  <c r="H32" i="81"/>
  <c r="I32" i="81" s="1"/>
  <c r="G32" i="81"/>
  <c r="H31" i="81"/>
  <c r="I31" i="81" s="1"/>
  <c r="G31" i="81"/>
  <c r="H30" i="81"/>
  <c r="I30" i="81" s="1"/>
  <c r="G30" i="81"/>
  <c r="H29" i="81"/>
  <c r="I29" i="81" s="1"/>
  <c r="G29" i="81"/>
  <c r="H28" i="81"/>
  <c r="I28" i="81" s="1"/>
  <c r="G28" i="81"/>
  <c r="H27" i="81"/>
  <c r="I27" i="81" s="1"/>
  <c r="G27" i="81"/>
  <c r="H26" i="81"/>
  <c r="I26" i="81" s="1"/>
  <c r="G26" i="81"/>
  <c r="H25" i="81"/>
  <c r="I25" i="81" s="1"/>
  <c r="G25" i="81"/>
  <c r="H24" i="81"/>
  <c r="I24" i="81" s="1"/>
  <c r="G24" i="81"/>
  <c r="H23" i="81"/>
  <c r="I23" i="81" s="1"/>
  <c r="G23" i="81"/>
  <c r="A23" i="8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H22" i="81"/>
  <c r="I22" i="81" s="1"/>
  <c r="G22" i="81"/>
  <c r="F12" i="81"/>
  <c r="F10" i="81"/>
  <c r="E10" i="81"/>
  <c r="F7" i="81"/>
  <c r="A7" i="81"/>
  <c r="A8" i="81" s="1"/>
  <c r="A9" i="81" s="1"/>
  <c r="A10" i="81" s="1"/>
  <c r="A11" i="81" s="1"/>
  <c r="A12" i="81" s="1"/>
  <c r="A13" i="81" s="1"/>
  <c r="A14" i="81" s="1"/>
  <c r="A15" i="81" s="1"/>
  <c r="I65" i="1" s="1"/>
  <c r="A54" i="81" l="1"/>
  <c r="A55" i="81" s="1"/>
  <c r="A56" i="81" s="1"/>
  <c r="A57" i="81" s="1"/>
  <c r="A58" i="81" s="1"/>
  <c r="J22" i="81"/>
  <c r="K22" i="81" s="1"/>
  <c r="E12" i="80"/>
  <c r="J25" i="81"/>
  <c r="K25" i="81" s="1"/>
  <c r="J27" i="81"/>
  <c r="K27" i="81" s="1"/>
  <c r="J41" i="81"/>
  <c r="K41" i="81" s="1"/>
  <c r="J43" i="81"/>
  <c r="K43" i="81" s="1"/>
  <c r="J49" i="81"/>
  <c r="K49" i="81" s="1"/>
  <c r="J24" i="81"/>
  <c r="K24" i="81" s="1"/>
  <c r="J33" i="81"/>
  <c r="K33" i="81" s="1"/>
  <c r="J35" i="81"/>
  <c r="K35" i="81" s="1"/>
  <c r="E13" i="81"/>
  <c r="J26" i="81"/>
  <c r="K26" i="81" s="1"/>
  <c r="J42" i="81"/>
  <c r="K42" i="81" s="1"/>
  <c r="J50" i="81"/>
  <c r="K50" i="81" s="1"/>
  <c r="J51" i="81"/>
  <c r="K51" i="81" s="1"/>
  <c r="J28" i="81"/>
  <c r="K28" i="81" s="1"/>
  <c r="J29" i="81"/>
  <c r="K29" i="81" s="1"/>
  <c r="J37" i="81"/>
  <c r="K37" i="81" s="1"/>
  <c r="J45" i="81"/>
  <c r="K45" i="81" s="1"/>
  <c r="J23" i="81"/>
  <c r="K23" i="81" s="1"/>
  <c r="J30" i="81"/>
  <c r="K30" i="81" s="1"/>
  <c r="J31" i="81"/>
  <c r="K31" i="81" s="1"/>
  <c r="J46" i="81"/>
  <c r="K46" i="81" s="1"/>
  <c r="F10" i="80"/>
  <c r="I26" i="80"/>
  <c r="J26" i="80" s="1"/>
  <c r="H26" i="80"/>
  <c r="I30" i="80"/>
  <c r="J30" i="80" s="1"/>
  <c r="H30" i="80"/>
  <c r="F11" i="80"/>
  <c r="F7" i="80"/>
  <c r="I23" i="80"/>
  <c r="J23" i="80" s="1"/>
  <c r="H23" i="80"/>
  <c r="I27" i="80"/>
  <c r="J27" i="80" s="1"/>
  <c r="H27" i="80"/>
  <c r="I31" i="80"/>
  <c r="J31" i="80" s="1"/>
  <c r="H31" i="80"/>
  <c r="I24" i="80"/>
  <c r="J24" i="80" s="1"/>
  <c r="H24" i="80"/>
  <c r="I28" i="80"/>
  <c r="J28" i="80" s="1"/>
  <c r="H28" i="80"/>
  <c r="I22" i="80"/>
  <c r="J22" i="80" s="1"/>
  <c r="H22" i="80"/>
  <c r="I25" i="80"/>
  <c r="J25" i="80" s="1"/>
  <c r="H25" i="80"/>
  <c r="I29" i="80"/>
  <c r="J29" i="80" s="1"/>
  <c r="H29" i="80"/>
  <c r="J32" i="81"/>
  <c r="K32" i="81" s="1"/>
  <c r="J34" i="81"/>
  <c r="K34" i="81" s="1"/>
  <c r="J36" i="81"/>
  <c r="K36" i="81" s="1"/>
  <c r="J38" i="81"/>
  <c r="K38" i="81" s="1"/>
  <c r="J44" i="81"/>
  <c r="K44" i="81" s="1"/>
  <c r="J48" i="81"/>
  <c r="K48" i="81" s="1"/>
  <c r="J52" i="81"/>
  <c r="K52" i="81" s="1"/>
  <c r="K73" i="81" l="1"/>
  <c r="E6" i="81" s="1"/>
  <c r="E8" i="81" s="1"/>
  <c r="E15" i="81" s="1"/>
  <c r="K65" i="1" s="1"/>
  <c r="J33" i="80"/>
  <c r="E6" i="80" s="1"/>
  <c r="E8" i="80" s="1"/>
  <c r="E14" i="80" s="1"/>
  <c r="K70" i="1" s="1"/>
  <c r="K69" i="1" s="1"/>
  <c r="E145" i="15" l="1"/>
  <c r="J145" i="15" s="1"/>
  <c r="H145" i="15"/>
  <c r="G145" i="15"/>
  <c r="G146" i="15" s="1"/>
  <c r="H146" i="15" s="1"/>
  <c r="G147" i="15" l="1"/>
  <c r="H147" i="15" s="1"/>
  <c r="G25" i="46"/>
  <c r="G148" i="15" l="1"/>
  <c r="H148" i="15" s="1"/>
  <c r="G149" i="15" l="1"/>
  <c r="H149" i="15" s="1"/>
  <c r="G150" i="15" l="1"/>
  <c r="H150" i="15" s="1"/>
  <c r="F70" i="26"/>
  <c r="E70" i="26"/>
  <c r="F102" i="8"/>
  <c r="F97" i="8"/>
  <c r="G151" i="15" l="1"/>
  <c r="H151" i="15" s="1"/>
  <c r="G152" i="15" l="1"/>
  <c r="H152" i="15" s="1"/>
  <c r="G153" i="15" l="1"/>
  <c r="H153" i="15" s="1"/>
  <c r="E6" i="66"/>
  <c r="E12" i="66"/>
  <c r="E18" i="66"/>
  <c r="G154" i="15" l="1"/>
  <c r="H154" i="15" s="1"/>
  <c r="G155" i="15" l="1"/>
  <c r="H155" i="15" s="1"/>
  <c r="G156" i="15" l="1"/>
  <c r="H156" i="15" s="1"/>
  <c r="B145" i="21"/>
  <c r="M106" i="21"/>
  <c r="L106" i="21"/>
  <c r="K106" i="21"/>
  <c r="J106" i="21"/>
  <c r="I106" i="21"/>
  <c r="H106" i="21"/>
  <c r="G106" i="21"/>
  <c r="F106" i="21"/>
  <c r="E106" i="21"/>
  <c r="D106" i="21"/>
  <c r="E45" i="21"/>
  <c r="F58" i="21" s="1"/>
  <c r="E44" i="21"/>
  <c r="A44" i="21"/>
  <c r="F35" i="21"/>
  <c r="E35" i="21"/>
  <c r="D35" i="21"/>
  <c r="A35" i="21"/>
  <c r="G34" i="21"/>
  <c r="G33" i="21"/>
  <c r="N24" i="21"/>
  <c r="A13" i="21"/>
  <c r="A14" i="21" s="1"/>
  <c r="A15" i="21" s="1"/>
  <c r="A16" i="21" s="1"/>
  <c r="A17" i="21" s="1"/>
  <c r="A18" i="21" s="1"/>
  <c r="A19" i="21" s="1"/>
  <c r="A20" i="21" s="1"/>
  <c r="A21" i="21" s="1"/>
  <c r="A22" i="21" s="1"/>
  <c r="A23" i="21" s="1"/>
  <c r="A24" i="21" s="1"/>
  <c r="N12" i="21"/>
  <c r="G157" i="15" l="1"/>
  <c r="H157" i="15" s="1"/>
  <c r="E46" i="21"/>
  <c r="F51" i="21" s="1"/>
  <c r="G35" i="21"/>
  <c r="B148" i="21"/>
  <c r="A25" i="21"/>
  <c r="A33" i="21" s="1"/>
  <c r="N106" i="21"/>
  <c r="H46" i="21"/>
  <c r="A45" i="2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C160" i="4" s="1"/>
  <c r="L102" i="4"/>
  <c r="K102" i="4"/>
  <c r="J102" i="4"/>
  <c r="I102" i="4"/>
  <c r="I159" i="4" s="1"/>
  <c r="H102" i="4"/>
  <c r="G102" i="4"/>
  <c r="F102" i="4"/>
  <c r="E102" i="4"/>
  <c r="E159" i="4" s="1"/>
  <c r="D102" i="4"/>
  <c r="C102" i="4"/>
  <c r="L101" i="4"/>
  <c r="K101" i="4"/>
  <c r="J101" i="4"/>
  <c r="I101" i="4"/>
  <c r="H101" i="4"/>
  <c r="G101" i="4"/>
  <c r="G158" i="4" s="1"/>
  <c r="F101" i="4"/>
  <c r="E101" i="4"/>
  <c r="D101" i="4"/>
  <c r="C101" i="4"/>
  <c r="L100" i="4"/>
  <c r="K100" i="4"/>
  <c r="J100" i="4"/>
  <c r="I100" i="4"/>
  <c r="I157" i="4" s="1"/>
  <c r="H100" i="4"/>
  <c r="G100" i="4"/>
  <c r="F100" i="4"/>
  <c r="E100" i="4"/>
  <c r="E157" i="4" s="1"/>
  <c r="D100" i="4"/>
  <c r="C100" i="4"/>
  <c r="L99" i="4"/>
  <c r="K99" i="4"/>
  <c r="K156" i="4" s="1"/>
  <c r="J99" i="4"/>
  <c r="I99" i="4"/>
  <c r="H99" i="4"/>
  <c r="G99" i="4"/>
  <c r="G156" i="4" s="1"/>
  <c r="F99" i="4"/>
  <c r="E99" i="4"/>
  <c r="D99" i="4"/>
  <c r="C99" i="4"/>
  <c r="L98" i="4"/>
  <c r="K98" i="4"/>
  <c r="J98" i="4"/>
  <c r="I98" i="4"/>
  <c r="I155" i="4" s="1"/>
  <c r="H98" i="4"/>
  <c r="G98" i="4"/>
  <c r="F98" i="4"/>
  <c r="E98" i="4"/>
  <c r="E155" i="4" s="1"/>
  <c r="D98" i="4"/>
  <c r="C98" i="4"/>
  <c r="L97" i="4"/>
  <c r="K97" i="4"/>
  <c r="J97" i="4"/>
  <c r="I97" i="4"/>
  <c r="H97" i="4"/>
  <c r="G97" i="4"/>
  <c r="G154" i="4" s="1"/>
  <c r="F97" i="4"/>
  <c r="E97" i="4"/>
  <c r="D97" i="4"/>
  <c r="C97" i="4"/>
  <c r="C154" i="4" s="1"/>
  <c r="L96" i="4"/>
  <c r="K96" i="4"/>
  <c r="J96" i="4"/>
  <c r="I96" i="4"/>
  <c r="I153" i="4" s="1"/>
  <c r="H96" i="4"/>
  <c r="G96" i="4"/>
  <c r="F96" i="4"/>
  <c r="E96" i="4"/>
  <c r="E153" i="4" s="1"/>
  <c r="D96" i="4"/>
  <c r="C96" i="4"/>
  <c r="L95" i="4"/>
  <c r="K95" i="4"/>
  <c r="K152" i="4" s="1"/>
  <c r="J95" i="4"/>
  <c r="I95" i="4"/>
  <c r="H95" i="4"/>
  <c r="G95" i="4"/>
  <c r="G152" i="4" s="1"/>
  <c r="F95" i="4"/>
  <c r="E95" i="4"/>
  <c r="D95" i="4"/>
  <c r="C95" i="4"/>
  <c r="C152" i="4" s="1"/>
  <c r="L94" i="4"/>
  <c r="K94" i="4"/>
  <c r="J94" i="4"/>
  <c r="I94" i="4"/>
  <c r="I151" i="4" s="1"/>
  <c r="H94" i="4"/>
  <c r="G94" i="4"/>
  <c r="F94" i="4"/>
  <c r="E94" i="4"/>
  <c r="E151" i="4" s="1"/>
  <c r="D94" i="4"/>
  <c r="C94" i="4"/>
  <c r="L93" i="4"/>
  <c r="K93" i="4"/>
  <c r="K150" i="4" s="1"/>
  <c r="J93" i="4"/>
  <c r="I93" i="4"/>
  <c r="H93" i="4"/>
  <c r="G93" i="4"/>
  <c r="G150" i="4" s="1"/>
  <c r="F93" i="4"/>
  <c r="E93" i="4"/>
  <c r="D93" i="4"/>
  <c r="C93" i="4"/>
  <c r="C150" i="4" s="1"/>
  <c r="L92" i="4"/>
  <c r="K92" i="4"/>
  <c r="J92" i="4"/>
  <c r="I92" i="4"/>
  <c r="I149" i="4" s="1"/>
  <c r="H92" i="4"/>
  <c r="G92" i="4"/>
  <c r="F92" i="4"/>
  <c r="E92" i="4"/>
  <c r="E149" i="4" s="1"/>
  <c r="C92" i="4"/>
  <c r="L103" i="4"/>
  <c r="K103" i="4"/>
  <c r="K160" i="4" s="1"/>
  <c r="I103" i="4"/>
  <c r="H103" i="4"/>
  <c r="G103" i="4"/>
  <c r="G160" i="4" s="1"/>
  <c r="E103" i="4"/>
  <c r="E160" i="4" s="1"/>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D152" i="4" l="1"/>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D190"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G53" i="21"/>
  <c r="J161" i="4"/>
  <c r="J167" i="4" s="1"/>
  <c r="K90" i="21" s="1"/>
  <c r="M156" i="4"/>
  <c r="D161" i="4"/>
  <c r="D173" i="4" s="1"/>
  <c r="E96" i="21" s="1"/>
  <c r="F161" i="4"/>
  <c r="K161" i="4"/>
  <c r="K166" i="4" s="1"/>
  <c r="L89" i="21" s="1"/>
  <c r="L174" i="4"/>
  <c r="M97" i="21" s="1"/>
  <c r="M142" i="4"/>
  <c r="M186" i="4" s="1"/>
  <c r="E172" i="4"/>
  <c r="F95" i="21" s="1"/>
  <c r="L167" i="4"/>
  <c r="M90" i="21" s="1"/>
  <c r="L168" i="4"/>
  <c r="M91" i="21" s="1"/>
  <c r="G161" i="4"/>
  <c r="G166" i="4" s="1"/>
  <c r="H89" i="21" s="1"/>
  <c r="A34" i="4"/>
  <c r="H161" i="4"/>
  <c r="H166" i="4" s="1"/>
  <c r="I89" i="21" s="1"/>
  <c r="M149" i="4"/>
  <c r="C161" i="4"/>
  <c r="C166" i="4" s="1"/>
  <c r="D89" i="21" s="1"/>
  <c r="J177" i="4"/>
  <c r="K100" i="21" s="1"/>
  <c r="I170" i="4" l="1"/>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D205"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199" i="4" l="1"/>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G63" i="4" l="1"/>
  <c r="A62" i="4"/>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B231" i="4" l="1"/>
  <c r="A149" i="4"/>
  <c r="B234" i="4" l="1"/>
  <c r="A150" i="4"/>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A186" i="4" l="1"/>
  <c r="A190" i="4" s="1"/>
  <c r="B233" i="4" s="1"/>
  <c r="A197" i="4" l="1"/>
  <c r="B232" i="4"/>
  <c r="A198" i="4" l="1"/>
  <c r="A199" i="4" s="1"/>
  <c r="A200" i="4" s="1"/>
  <c r="A201" i="4" s="1"/>
  <c r="A202" i="4" s="1"/>
  <c r="A203" i="4" s="1"/>
  <c r="A204" i="4" s="1"/>
  <c r="A205" i="4" s="1"/>
  <c r="A206" i="4" s="1"/>
  <c r="A207" i="4" s="1"/>
  <c r="A208" i="4" s="1"/>
  <c r="A209" i="4" s="1"/>
  <c r="B235" i="4" l="1"/>
  <c r="E42" i="30"/>
  <c r="E41" i="30"/>
  <c r="C57" i="22" l="1"/>
  <c r="F19" i="71" l="1"/>
  <c r="D19" i="71"/>
  <c r="D18" i="71"/>
  <c r="B190" i="71"/>
  <c r="F69" i="22" l="1"/>
  <c r="F46" i="22" s="1"/>
  <c r="F63" i="22"/>
  <c r="F34" i="22" s="1"/>
  <c r="G69" i="22"/>
  <c r="G63" i="22"/>
  <c r="G22" i="45" l="1"/>
  <c r="C32" i="57" l="1"/>
  <c r="G20" i="45"/>
  <c r="E32" i="57" s="1"/>
  <c r="G19" i="45"/>
  <c r="G18" i="45"/>
  <c r="D32" i="57" l="1"/>
  <c r="B107" i="65"/>
  <c r="B106" i="65"/>
  <c r="B103" i="65"/>
  <c r="B98" i="65"/>
  <c r="B95" i="65"/>
  <c r="B94" i="65"/>
  <c r="B9" i="65"/>
  <c r="B8" i="65"/>
  <c r="B7" i="65"/>
  <c r="F44" i="65"/>
  <c r="F43" i="65"/>
  <c r="F42" i="65"/>
  <c r="F41" i="65"/>
  <c r="F40" i="65"/>
  <c r="A82" i="44" l="1"/>
  <c r="A83" i="44" s="1"/>
  <c r="B117" i="65" l="1"/>
  <c r="B114" i="65"/>
  <c r="B113" i="65"/>
  <c r="H24" i="65"/>
  <c r="J24" i="65" s="1"/>
  <c r="L24" i="65" s="1"/>
  <c r="H128" i="53" l="1"/>
  <c r="E128" i="53"/>
  <c r="D128" i="53"/>
  <c r="C128" i="53"/>
  <c r="J126" i="53"/>
  <c r="I126" i="53"/>
  <c r="K126" i="53" s="1"/>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K115" i="53" s="1"/>
  <c r="F115" i="53"/>
  <c r="B115" i="53"/>
  <c r="J114" i="53"/>
  <c r="I114" i="53"/>
  <c r="F114" i="53"/>
  <c r="B114" i="53"/>
  <c r="J113" i="53"/>
  <c r="I113" i="53"/>
  <c r="F113" i="53"/>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3" i="53" l="1"/>
  <c r="K120" i="53"/>
  <c r="K124" i="53"/>
  <c r="L126" i="53"/>
  <c r="L118" i="53"/>
  <c r="F128" i="53"/>
  <c r="J128" i="53"/>
  <c r="K122" i="53"/>
  <c r="L122" i="53" s="1"/>
  <c r="K114" i="53"/>
  <c r="L114" i="53" s="1"/>
  <c r="L119" i="53"/>
  <c r="L121" i="53"/>
  <c r="J28" i="53"/>
  <c r="I128" i="53"/>
  <c r="L125" i="53"/>
  <c r="L117" i="53"/>
  <c r="K116" i="53"/>
  <c r="K128" i="53" s="1"/>
  <c r="L113" i="53"/>
  <c r="L115" i="53"/>
  <c r="L123" i="53"/>
  <c r="L116" i="53"/>
  <c r="L124" i="53"/>
  <c r="L120"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28" i="53" l="1"/>
  <c r="M116" i="53" s="1"/>
  <c r="C16" i="53" s="1"/>
  <c r="A38" i="79"/>
  <c r="A39" i="79"/>
  <c r="M120" i="53" l="1"/>
  <c r="C20" i="53" s="1"/>
  <c r="M113" i="53"/>
  <c r="C12" i="53" s="1"/>
  <c r="M115" i="53"/>
  <c r="C15" i="53" s="1"/>
  <c r="M119" i="53"/>
  <c r="C19" i="53" s="1"/>
  <c r="M121" i="53"/>
  <c r="C21" i="53" s="1"/>
  <c r="M117" i="53"/>
  <c r="C17" i="53" s="1"/>
  <c r="M122" i="53"/>
  <c r="C22" i="53" s="1"/>
  <c r="M114" i="53"/>
  <c r="C13" i="53" s="1"/>
  <c r="M126" i="53"/>
  <c r="C26" i="53" s="1"/>
  <c r="M118" i="53"/>
  <c r="C18" i="53" s="1"/>
  <c r="M125" i="53"/>
  <c r="C25" i="53" s="1"/>
  <c r="M123" i="53"/>
  <c r="C23" i="53" s="1"/>
  <c r="M124" i="53"/>
  <c r="C24" i="53" s="1"/>
  <c r="H129" i="15"/>
  <c r="F120" i="15"/>
  <c r="D120" i="15"/>
  <c r="M128" i="53" l="1"/>
  <c r="C28" i="53"/>
  <c r="D68" i="15" l="1"/>
  <c r="H68" i="15"/>
  <c r="G68" i="15"/>
  <c r="F68" i="15"/>
  <c r="E68" i="15"/>
  <c r="E29" i="55" l="1"/>
  <c r="D29" i="55"/>
  <c r="C29" i="55"/>
  <c r="H42" i="8" l="1"/>
  <c r="H33" i="8"/>
  <c r="G21" i="45" l="1"/>
  <c r="F26" i="65" l="1"/>
  <c r="F27" i="65"/>
  <c r="F28" i="65"/>
  <c r="F29" i="65"/>
  <c r="F30" i="65"/>
  <c r="F31" i="65"/>
  <c r="F32" i="65"/>
  <c r="F33" i="65"/>
  <c r="F34" i="65"/>
  <c r="F35" i="65"/>
  <c r="F36" i="65"/>
  <c r="F25" i="65"/>
  <c r="E218" i="49" l="1"/>
  <c r="D78" i="49" l="1"/>
  <c r="H76" i="49"/>
  <c r="H77" i="49"/>
  <c r="H78" i="49"/>
  <c r="G76" i="49"/>
  <c r="G77" i="49"/>
  <c r="G78" i="49"/>
  <c r="D77" i="49"/>
  <c r="D75" i="49"/>
  <c r="D76" i="49"/>
  <c r="O34" i="48" l="1"/>
  <c r="O35" i="48"/>
  <c r="O36" i="48"/>
  <c r="J20" i="61" l="1"/>
  <c r="M20" i="61" s="1"/>
  <c r="G20" i="61"/>
  <c r="I20" i="61" s="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15" i="61" l="1"/>
  <c r="F72" i="64"/>
  <c r="E72" i="64"/>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N70" i="21" l="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c r="B146" i="21" l="1"/>
  <c r="G77" i="64"/>
  <c r="F92" i="64" s="1"/>
  <c r="B98" i="64"/>
  <c r="A69" i="64"/>
  <c r="A70" i="64" s="1"/>
  <c r="A71" i="64" s="1"/>
  <c r="A72" i="64" s="1"/>
  <c r="B99" i="64" l="1"/>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5"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M76"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G19" i="71" l="1"/>
  <c r="J283" i="49"/>
  <c r="K283" i="49" s="1"/>
  <c r="J381" i="49"/>
  <c r="K381" i="49" s="1"/>
  <c r="J252" i="49"/>
  <c r="K252" i="49" s="1"/>
  <c r="J316" i="49"/>
  <c r="K316" i="49" s="1"/>
  <c r="J124" i="49"/>
  <c r="K124" i="49" s="1"/>
  <c r="K123" i="49"/>
  <c r="P37" i="48"/>
  <c r="D41" i="57" s="1"/>
  <c r="J219" i="49"/>
  <c r="A107" i="48"/>
  <c r="A111" i="48" s="1"/>
  <c r="G72" i="48"/>
  <c r="I87" i="48"/>
  <c r="I24" i="48" s="1"/>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92" i="49"/>
  <c r="K92" i="49" s="1"/>
  <c r="J155" i="49"/>
  <c r="K155" i="49" s="1"/>
  <c r="J284" i="49" l="1"/>
  <c r="K284" i="49" s="1"/>
  <c r="J382" i="49"/>
  <c r="K382" i="49" s="1"/>
  <c r="J253" i="49"/>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285" i="49"/>
  <c r="K285" i="49" s="1"/>
  <c r="J93" i="49"/>
  <c r="K93" i="49" s="1"/>
  <c r="J383" i="49" l="1"/>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94" i="49"/>
  <c r="K94" i="49" s="1"/>
  <c r="J384" i="49" l="1"/>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K59" i="49"/>
  <c r="J158" i="49"/>
  <c r="K158" i="49" s="1"/>
  <c r="J256" i="49"/>
  <c r="K256" i="49" s="1"/>
  <c r="J385" i="49" l="1"/>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J386" i="49" l="1"/>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225" i="49"/>
  <c r="K225" i="49" s="1"/>
  <c r="J387" i="49" l="1"/>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62" i="49"/>
  <c r="J98" i="49"/>
  <c r="K98" i="49" s="1"/>
  <c r="J388" i="49" l="1"/>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99" i="49"/>
  <c r="K99" i="49" s="1"/>
  <c r="J389" i="49"/>
  <c r="K389" i="49" s="1"/>
  <c r="J162" i="49"/>
  <c r="J291" i="49"/>
  <c r="K291" i="49" s="1"/>
  <c r="J260" i="49"/>
  <c r="K260" i="49" s="1"/>
  <c r="J227" i="49"/>
  <c r="K227" i="49" s="1"/>
  <c r="J196" i="49"/>
  <c r="K196" i="49" s="1"/>
  <c r="J132" i="49" l="1"/>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197" i="49"/>
  <c r="K197" i="49" s="1"/>
  <c r="J390" i="49"/>
  <c r="K390" i="49" s="1"/>
  <c r="J228" i="49"/>
  <c r="K228" i="49" s="1"/>
  <c r="J292" i="49"/>
  <c r="K292" i="49" s="1"/>
  <c r="J261" i="49"/>
  <c r="K261" i="49" s="1"/>
  <c r="J100" i="49"/>
  <c r="K100" i="49" s="1"/>
  <c r="J163" i="49"/>
  <c r="K163" i="49" s="1"/>
  <c r="J325" i="49" l="1"/>
  <c r="K325" i="49" s="1"/>
  <c r="J133" i="49"/>
  <c r="K133" i="49" s="1"/>
  <c r="J356" i="49"/>
  <c r="K356" i="49" s="1"/>
  <c r="A366" i="49"/>
  <c r="A367" i="49" s="1"/>
  <c r="A368" i="49" s="1"/>
  <c r="A369" i="49" s="1"/>
  <c r="G17" i="71" s="1"/>
  <c r="G16" i="71"/>
  <c r="K86" i="48"/>
  <c r="K22" i="48"/>
  <c r="K57" i="48"/>
  <c r="J101" i="49"/>
  <c r="K101" i="49" s="1"/>
  <c r="J198" i="49"/>
  <c r="K198" i="49" s="1"/>
  <c r="J262" i="49"/>
  <c r="K262" i="49" s="1"/>
  <c r="J391" i="49"/>
  <c r="K391" i="49" s="1"/>
  <c r="K65" i="49"/>
  <c r="J164" i="49"/>
  <c r="J293" i="49"/>
  <c r="K293" i="49" s="1"/>
  <c r="J65" i="49"/>
  <c r="J229" i="49"/>
  <c r="K229" i="49" s="1"/>
  <c r="J326" i="49" l="1"/>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294" i="49"/>
  <c r="K294" i="49" s="1"/>
  <c r="J263" i="49"/>
  <c r="K263" i="49" s="1"/>
  <c r="J102" i="49"/>
  <c r="K102" i="49" s="1"/>
  <c r="J230" i="49"/>
  <c r="K230" i="49" s="1"/>
  <c r="J165" i="49"/>
  <c r="K165" i="49" s="1"/>
  <c r="J199" i="49"/>
  <c r="K199" i="49" s="1"/>
  <c r="J392" i="49"/>
  <c r="K392" i="49" s="1"/>
  <c r="J135" i="49" l="1"/>
  <c r="K135" i="49" s="1"/>
  <c r="J327" i="49"/>
  <c r="K327" i="49" s="1"/>
  <c r="J358" i="49"/>
  <c r="K358" i="49" s="1"/>
  <c r="K66" i="49"/>
  <c r="A399" i="49"/>
  <c r="A400" i="49" s="1"/>
  <c r="A401" i="49" s="1"/>
  <c r="A402" i="49" s="1"/>
  <c r="K88" i="48"/>
  <c r="K24" i="48"/>
  <c r="K59" i="48"/>
  <c r="J393" i="49"/>
  <c r="K393" i="49" s="1"/>
  <c r="J103" i="49"/>
  <c r="K103" i="49" s="1"/>
  <c r="J166" i="49"/>
  <c r="K166" i="49" s="1"/>
  <c r="K67" i="49"/>
  <c r="J295" i="49"/>
  <c r="K295" i="49" s="1"/>
  <c r="J200" i="49"/>
  <c r="K200" i="49" s="1"/>
  <c r="J67" i="49"/>
  <c r="J136" i="49"/>
  <c r="K136" i="49" s="1"/>
  <c r="J231" i="49"/>
  <c r="K231" i="49" s="1"/>
  <c r="J264" i="49"/>
  <c r="K264" i="49" s="1"/>
  <c r="J328" i="49" l="1"/>
  <c r="K328" i="49" s="1"/>
  <c r="G18" i="71"/>
  <c r="H35" i="11"/>
  <c r="J359" i="49"/>
  <c r="K359" i="49" s="1"/>
  <c r="K89" i="48"/>
  <c r="K25" i="48"/>
  <c r="K60" i="48"/>
  <c r="J167" i="49"/>
  <c r="J137" i="49"/>
  <c r="K137" i="49" s="1"/>
  <c r="J104" i="49"/>
  <c r="K104" i="49" s="1"/>
  <c r="J265" i="49"/>
  <c r="K265" i="49" s="1"/>
  <c r="J232" i="49"/>
  <c r="K232" i="49" s="1"/>
  <c r="J68" i="49"/>
  <c r="J201" i="49"/>
  <c r="K201" i="49" s="1"/>
  <c r="J296" i="49"/>
  <c r="K296" i="49" s="1"/>
  <c r="J394" i="49"/>
  <c r="K394" i="49" s="1"/>
  <c r="J329" i="49" l="1"/>
  <c r="K329" i="49" s="1"/>
  <c r="J360" i="49"/>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364" i="49"/>
  <c r="K364" i="49" s="1"/>
  <c r="J236" i="49"/>
  <c r="K236" i="49" s="1"/>
  <c r="J300" i="49"/>
  <c r="K300" i="49" s="1"/>
  <c r="J333" i="49"/>
  <c r="K333" i="49" s="1"/>
  <c r="J398" i="49"/>
  <c r="K398" i="49" s="1"/>
  <c r="J399" i="49" l="1"/>
  <c r="K399" i="49" s="1"/>
  <c r="K94" i="48"/>
  <c r="K30" i="48"/>
  <c r="K65" i="48"/>
  <c r="J172" i="49"/>
  <c r="K172" i="49" s="1"/>
  <c r="K73" i="49"/>
  <c r="J270" i="49"/>
  <c r="K270" i="49" s="1"/>
  <c r="J334" i="49"/>
  <c r="K334" i="49" s="1"/>
  <c r="J301" i="49"/>
  <c r="K301" i="49" s="1"/>
  <c r="J142" i="49"/>
  <c r="K142" i="49" s="1"/>
  <c r="J109" i="49"/>
  <c r="J237" i="49"/>
  <c r="K237" i="49" s="1"/>
  <c r="J206" i="49"/>
  <c r="K206" i="49" s="1"/>
  <c r="J365" i="49"/>
  <c r="K365" i="49" s="1"/>
  <c r="J73" i="49"/>
  <c r="J74" i="49" l="1"/>
  <c r="J110" i="49"/>
  <c r="K110" i="49" s="1"/>
  <c r="K109" i="49"/>
  <c r="K66" i="48"/>
  <c r="J400" i="49"/>
  <c r="K400" i="49" s="1"/>
  <c r="J366" i="49"/>
  <c r="K366" i="49" s="1"/>
  <c r="J335" i="49"/>
  <c r="K335" i="49" s="1"/>
  <c r="J302" i="49"/>
  <c r="K302" i="49" s="1"/>
  <c r="J271" i="49"/>
  <c r="K271" i="49" s="1"/>
  <c r="J238" i="49"/>
  <c r="K238" i="49" s="1"/>
  <c r="J207" i="49"/>
  <c r="K207" i="49" s="1"/>
  <c r="J143" i="49"/>
  <c r="K143" i="49" s="1"/>
  <c r="K95" i="48"/>
  <c r="K31" i="48"/>
  <c r="K74" i="49"/>
  <c r="J173" i="49"/>
  <c r="K173" i="49" s="1"/>
  <c r="J111" i="49" l="1"/>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1" i="49" l="1"/>
  <c r="K402" i="49" s="1"/>
  <c r="J76" i="49"/>
  <c r="K174" i="49"/>
  <c r="K76" i="49" s="1"/>
  <c r="K35" i="48"/>
  <c r="K34" i="48"/>
  <c r="K113" i="49"/>
  <c r="G26" i="11" s="1"/>
  <c r="K68" i="48"/>
  <c r="K36" i="48" s="1"/>
  <c r="J368" i="49"/>
  <c r="K368" i="49" s="1"/>
  <c r="J337" i="49"/>
  <c r="K337" i="49" s="1"/>
  <c r="J304" i="49"/>
  <c r="K304" i="49" s="1"/>
  <c r="J273" i="49"/>
  <c r="K273" i="49" s="1"/>
  <c r="J240" i="49"/>
  <c r="K240" i="49" s="1"/>
  <c r="J209" i="49"/>
  <c r="K209" i="49" s="1"/>
  <c r="J175" i="49"/>
  <c r="J145" i="49"/>
  <c r="K145" i="49" s="1"/>
  <c r="K33" i="48"/>
  <c r="F18" i="71" l="1"/>
  <c r="G35" i="11"/>
  <c r="J77" i="49"/>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79" i="15"/>
  <c r="G180" i="15" s="1"/>
  <c r="G171" i="15"/>
  <c r="I131" i="15"/>
  <c r="A131" i="15"/>
  <c r="I129" i="15"/>
  <c r="G129" i="15"/>
  <c r="F129" i="15"/>
  <c r="I120" i="15"/>
  <c r="A104" i="15"/>
  <c r="A105" i="15" s="1"/>
  <c r="A106" i="15" s="1"/>
  <c r="A107" i="15" s="1"/>
  <c r="A108" i="15" s="1"/>
  <c r="A109" i="15" s="1"/>
  <c r="E95" i="15"/>
  <c r="A91" i="15"/>
  <c r="A92" i="15" s="1"/>
  <c r="I90" i="15"/>
  <c r="H90" i="15"/>
  <c r="D90" i="15"/>
  <c r="A83" i="15"/>
  <c r="A84" i="15" s="1"/>
  <c r="A85" i="15" s="1"/>
  <c r="A86" i="15" s="1"/>
  <c r="A87" i="15" s="1"/>
  <c r="I70" i="15"/>
  <c r="A70" i="15"/>
  <c r="E75" i="15" s="1"/>
  <c r="I68" i="15"/>
  <c r="A31" i="15"/>
  <c r="A11" i="15"/>
  <c r="A12" i="15" s="1"/>
  <c r="A13" i="15" s="1"/>
  <c r="E14" i="15" s="1"/>
  <c r="E38" i="15" l="1"/>
  <c r="G38" i="15" s="1"/>
  <c r="E104" i="15"/>
  <c r="G104" i="15" s="1"/>
  <c r="E33" i="15"/>
  <c r="G33" i="15" s="1"/>
  <c r="E31" i="15"/>
  <c r="E39" i="15"/>
  <c r="G39" i="15" s="1"/>
  <c r="A14" i="15"/>
  <c r="G37" i="11"/>
  <c r="A110" i="15"/>
  <c r="A111" i="15" s="1"/>
  <c r="A118" i="15" s="1"/>
  <c r="G172" i="15"/>
  <c r="K79" i="49"/>
  <c r="C42" i="57" s="1"/>
  <c r="F11" i="71"/>
  <c r="F90" i="15"/>
  <c r="F92" i="15" s="1"/>
  <c r="I92" i="15"/>
  <c r="E90" i="15"/>
  <c r="A132" i="15"/>
  <c r="A133" i="15" s="1"/>
  <c r="E12" i="15" s="1"/>
  <c r="D70" i="15"/>
  <c r="G90" i="15"/>
  <c r="F70" i="15"/>
  <c r="F72" i="15" s="1"/>
  <c r="A32" i="15"/>
  <c r="A33" i="15" s="1"/>
  <c r="A34" i="15" s="1"/>
  <c r="A35" i="15" s="1"/>
  <c r="A36" i="15" s="1"/>
  <c r="A37" i="15" s="1"/>
  <c r="A38" i="15" s="1"/>
  <c r="A39" i="15" s="1"/>
  <c r="A40" i="15" s="1"/>
  <c r="A41" i="15" s="1"/>
  <c r="A42" i="15" s="1"/>
  <c r="A43" i="15" s="1"/>
  <c r="A44" i="15" s="1"/>
  <c r="A45" i="15" s="1"/>
  <c r="A46" i="15" s="1"/>
  <c r="A47" i="15" s="1"/>
  <c r="A54" i="15" s="1"/>
  <c r="I56" i="15"/>
  <c r="A95" i="15"/>
  <c r="E11" i="15"/>
  <c r="A71" i="15"/>
  <c r="A72" i="15" s="1"/>
  <c r="E136" i="15"/>
  <c r="G31" i="15" l="1"/>
  <c r="G56" i="15" s="1"/>
  <c r="E34" i="15"/>
  <c r="H34" i="15" s="1"/>
  <c r="E105" i="15"/>
  <c r="H105" i="15" s="1"/>
  <c r="E36" i="15"/>
  <c r="H36" i="15" s="1"/>
  <c r="E32" i="15"/>
  <c r="H32" i="15" s="1"/>
  <c r="E43" i="15"/>
  <c r="H43" i="15" s="1"/>
  <c r="E37" i="15"/>
  <c r="H37" i="15" s="1"/>
  <c r="E35" i="15"/>
  <c r="H35" i="15" s="1"/>
  <c r="A15" i="15"/>
  <c r="A16" i="15" s="1"/>
  <c r="A17" i="15" s="1"/>
  <c r="A18" i="15" s="1"/>
  <c r="A19" i="15" s="1"/>
  <c r="A20" i="15" s="1"/>
  <c r="A21" i="15" s="1"/>
  <c r="A22" i="15" s="1"/>
  <c r="A23" i="15" s="1"/>
  <c r="A24" i="15" s="1"/>
  <c r="E19" i="15"/>
  <c r="H120" i="15"/>
  <c r="H131" i="15" s="1"/>
  <c r="G120" i="15"/>
  <c r="G131" i="15" s="1"/>
  <c r="D82" i="7"/>
  <c r="A136" i="15"/>
  <c r="A145" i="15" s="1"/>
  <c r="A146" i="15" s="1"/>
  <c r="A147" i="15" s="1"/>
  <c r="A148" i="15" s="1"/>
  <c r="A149" i="15" s="1"/>
  <c r="A150" i="15" s="1"/>
  <c r="A151" i="15" s="1"/>
  <c r="A152" i="15" s="1"/>
  <c r="A153" i="15" s="1"/>
  <c r="A154" i="15" s="1"/>
  <c r="A155" i="15" s="1"/>
  <c r="A156" i="15" s="1"/>
  <c r="A157" i="15" s="1"/>
  <c r="A158" i="15" s="1"/>
  <c r="A159" i="15" s="1"/>
  <c r="E24" i="15" s="1"/>
  <c r="I133" i="15"/>
  <c r="A75" i="15"/>
  <c r="E10" i="15"/>
  <c r="D131" i="15"/>
  <c r="I72" i="15"/>
  <c r="F131" i="15"/>
  <c r="F133" i="15" s="1"/>
  <c r="H56" i="15" l="1"/>
  <c r="H70" i="15" s="1"/>
  <c r="E56" i="15"/>
  <c r="E120" i="15"/>
  <c r="E131" i="15" s="1"/>
  <c r="E22" i="30"/>
  <c r="D22" i="30"/>
  <c r="E86" i="8" l="1"/>
  <c r="G56" i="46"/>
  <c r="F23" i="22" l="1"/>
  <c r="A10" i="22"/>
  <c r="A11" i="22" s="1"/>
  <c r="A12" i="22" s="1"/>
  <c r="A13" i="22" s="1"/>
  <c r="A14" i="22" s="1"/>
  <c r="A15" i="22" s="1"/>
  <c r="A16" i="22" s="1"/>
  <c r="A17" i="22" s="1"/>
  <c r="A18" i="22" s="1"/>
  <c r="A19" i="22" s="1"/>
  <c r="A20" i="22" s="1"/>
  <c r="A21" i="22" l="1"/>
  <c r="G23" i="22" s="1"/>
  <c r="D52" i="2" l="1"/>
  <c r="D53" i="2" s="1"/>
  <c r="D46" i="2"/>
  <c r="D47" i="2" s="1"/>
  <c r="D40" i="2"/>
  <c r="D41" i="2" s="1"/>
  <c r="D34" i="2"/>
  <c r="D35" i="2" s="1"/>
  <c r="F117" i="46" l="1"/>
  <c r="F116" i="46"/>
  <c r="F115" i="46"/>
  <c r="F118" i="46"/>
  <c r="F103" i="46"/>
  <c r="F87" i="46"/>
  <c r="F95" i="46"/>
  <c r="F97" i="46"/>
  <c r="F79" i="46"/>
  <c r="F93" i="46"/>
  <c r="F76" i="46"/>
  <c r="F74" i="46"/>
  <c r="F101" i="46"/>
  <c r="F83" i="46"/>
  <c r="F99" i="46"/>
  <c r="F90" i="46"/>
  <c r="F82" i="46"/>
  <c r="C29" i="46"/>
  <c r="L29" i="46"/>
  <c r="E92" i="46" s="1"/>
  <c r="K29" i="46"/>
  <c r="G29" i="46"/>
  <c r="J29" i="46" l="1"/>
  <c r="C92" i="46" s="1"/>
  <c r="D92" i="46"/>
  <c r="E11" i="2" l="1"/>
  <c r="E10" i="2"/>
  <c r="E41" i="71"/>
  <c r="H27" i="8"/>
  <c r="H25" i="8"/>
  <c r="H23" i="8"/>
  <c r="H9" i="8"/>
  <c r="H8" i="8"/>
  <c r="G27" i="32"/>
  <c r="G21" i="32"/>
  <c r="G13" i="32"/>
  <c r="B100" i="44"/>
  <c r="B194" i="71"/>
  <c r="F141" i="71"/>
  <c r="F140" i="71"/>
  <c r="D64" i="46"/>
  <c r="G68" i="8"/>
  <c r="G70" i="8"/>
  <c r="E51" i="7"/>
  <c r="E39" i="7"/>
  <c r="I134" i="1"/>
  <c r="I133" i="1"/>
  <c r="I130" i="1"/>
  <c r="I128" i="1"/>
  <c r="I126" i="1"/>
  <c r="I100" i="1"/>
  <c r="I32" i="1"/>
  <c r="I30" i="1"/>
  <c r="I26" i="1"/>
  <c r="I22" i="1"/>
  <c r="I12" i="1"/>
  <c r="I11" i="1"/>
  <c r="F212" i="61" l="1"/>
  <c r="F213" i="61"/>
  <c r="F210" i="61"/>
  <c r="F216" i="61"/>
  <c r="J45" i="8" l="1"/>
  <c r="E70" i="8" l="1"/>
  <c r="C99" i="26" l="1"/>
  <c r="E19" i="55"/>
  <c r="E17" i="55"/>
  <c r="E18" i="55"/>
  <c r="I21" i="45"/>
  <c r="H56" i="26" l="1"/>
  <c r="F63" i="26"/>
  <c r="F49" i="22" l="1"/>
  <c r="I194"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E95" i="11"/>
  <c r="G95" i="11" s="1"/>
  <c r="E97" i="11"/>
  <c r="G97" i="11" s="1"/>
  <c r="E105" i="11"/>
  <c r="G105" i="11" s="1"/>
  <c r="E101" i="11"/>
  <c r="G101" i="11" s="1"/>
  <c r="E99" i="11"/>
  <c r="G99" i="11" s="1"/>
  <c r="E103" i="11"/>
  <c r="G103" i="11" s="1"/>
  <c r="G94" i="11"/>
  <c r="E96" i="11"/>
  <c r="G96" i="11" s="1"/>
  <c r="E98" i="11"/>
  <c r="G98" i="11" s="1"/>
  <c r="E100" i="11"/>
  <c r="G100" i="11" s="1"/>
  <c r="E102" i="11"/>
  <c r="G102" i="11" s="1"/>
  <c r="E104" i="11"/>
  <c r="G104" i="11" s="1"/>
  <c r="E106" i="11"/>
  <c r="G106" i="11" s="1"/>
  <c r="G107" i="11" l="1"/>
  <c r="E107" i="11"/>
  <c r="H19" i="8" l="1"/>
  <c r="E36" i="7"/>
  <c r="D37" i="7"/>
  <c r="G23" i="2"/>
  <c r="G21" i="2"/>
  <c r="M12" i="64" l="1"/>
  <c r="E38" i="7"/>
  <c r="I21" i="1"/>
  <c r="J19" i="8"/>
  <c r="K22" i="1"/>
  <c r="D39" i="7"/>
  <c r="H18" i="8" l="1"/>
  <c r="F100" i="12"/>
  <c r="B108" i="12"/>
  <c r="E37" i="7" l="1"/>
  <c r="H20" i="8"/>
  <c r="I23" i="1" l="1"/>
  <c r="H6" i="8" l="1"/>
  <c r="I9" i="1" l="1"/>
  <c r="E23" i="2" l="1"/>
  <c r="E21"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1" i="61"/>
  <c r="G11" i="2"/>
  <c r="C64" i="46"/>
  <c r="G56" i="26"/>
  <c r="G57" i="26" s="1"/>
  <c r="G37" i="26" s="1"/>
  <c r="D37" i="26" s="1"/>
  <c r="G6" i="26" s="1"/>
  <c r="H6" i="26" s="1"/>
  <c r="E63" i="26"/>
  <c r="G10" i="2" s="1"/>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E40" i="56"/>
  <c r="E42" i="56" s="1"/>
  <c r="G20" i="2" s="1"/>
  <c r="E26" i="56"/>
  <c r="E12" i="56"/>
  <c r="E17" i="56" s="1"/>
  <c r="J9" i="8"/>
  <c r="G9" i="2"/>
  <c r="A7" i="2"/>
  <c r="A8" i="2" s="1"/>
  <c r="A9" i="2" s="1"/>
  <c r="A10" i="2" s="1"/>
  <c r="K126" i="1"/>
  <c r="J50" i="8" s="1"/>
  <c r="A11" i="7"/>
  <c r="A12" i="7" s="1"/>
  <c r="A13" i="7" s="1"/>
  <c r="A14" i="7" s="1"/>
  <c r="A15" i="7" s="1"/>
  <c r="A16" i="7" s="1"/>
  <c r="K32" i="1"/>
  <c r="I87" i="65"/>
  <c r="I86" i="65"/>
  <c r="I85" i="65"/>
  <c r="I83" i="65"/>
  <c r="I82" i="65"/>
  <c r="I81" i="65"/>
  <c r="I79" i="65"/>
  <c r="I78" i="65"/>
  <c r="A14" i="65"/>
  <c r="A15" i="65" s="1"/>
  <c r="A16" i="65" s="1"/>
  <c r="A17" i="65" s="1"/>
  <c r="A18" i="65" s="1"/>
  <c r="A19" i="65" s="1"/>
  <c r="A20" i="65" s="1"/>
  <c r="A21" i="65" s="1"/>
  <c r="A22" i="65" s="1"/>
  <c r="A23" i="65" s="1"/>
  <c r="I77" i="65"/>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14" i="61"/>
  <c r="I195" i="61"/>
  <c r="N178" i="61"/>
  <c r="N175" i="61"/>
  <c r="N173" i="61"/>
  <c r="N170" i="61"/>
  <c r="N169" i="61"/>
  <c r="N164" i="61"/>
  <c r="M164" i="61"/>
  <c r="L164" i="61"/>
  <c r="L203" i="61" s="1"/>
  <c r="J164" i="61"/>
  <c r="I164" i="61"/>
  <c r="H164" i="61"/>
  <c r="G164" i="61"/>
  <c r="J146" i="61"/>
  <c r="H138" i="61"/>
  <c r="M106" i="61"/>
  <c r="N105" i="61"/>
  <c r="H79" i="61"/>
  <c r="N79" i="61" s="1"/>
  <c r="H78" i="61"/>
  <c r="H48" i="61"/>
  <c r="H67" i="61" s="1"/>
  <c r="G48" i="61"/>
  <c r="J47" i="61"/>
  <c r="M47" i="61" s="1"/>
  <c r="N46" i="61"/>
  <c r="N45" i="61"/>
  <c r="J44" i="61"/>
  <c r="M44" i="61" s="1"/>
  <c r="J43" i="61"/>
  <c r="M43" i="61" s="1"/>
  <c r="J42" i="61"/>
  <c r="M42" i="61" s="1"/>
  <c r="G18" i="61"/>
  <c r="I18" i="61" s="1"/>
  <c r="J17" i="61"/>
  <c r="M17" i="61" s="1"/>
  <c r="N16" i="61"/>
  <c r="J15" i="61"/>
  <c r="M15" i="61" s="1"/>
  <c r="G14" i="61"/>
  <c r="I14" i="61" s="1"/>
  <c r="J13" i="61"/>
  <c r="J12" i="61"/>
  <c r="M12" i="61" s="1"/>
  <c r="J11" i="61"/>
  <c r="J5" i="61"/>
  <c r="M5" i="61" s="1"/>
  <c r="G4" i="61"/>
  <c r="D16" i="57"/>
  <c r="E11" i="57"/>
  <c r="E12" i="57" s="1"/>
  <c r="D11" i="57"/>
  <c r="D10" i="57"/>
  <c r="C10" i="57" s="1"/>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2" i="56"/>
  <c r="F38" i="56"/>
  <c r="F36" i="56"/>
  <c r="C26" i="56"/>
  <c r="F25" i="56"/>
  <c r="F24" i="56"/>
  <c r="F23" i="56"/>
  <c r="F22" i="56"/>
  <c r="F21" i="56"/>
  <c r="F20" i="56"/>
  <c r="C12" i="56"/>
  <c r="C17" i="56" s="1"/>
  <c r="K30" i="1"/>
  <c r="K134" i="1"/>
  <c r="J58" i="8" s="1"/>
  <c r="A13" i="32"/>
  <c r="G14" i="32" s="1"/>
  <c r="A7" i="26"/>
  <c r="A8" i="26" s="1"/>
  <c r="A9" i="26" s="1"/>
  <c r="A10" i="26" s="1"/>
  <c r="A27" i="11"/>
  <c r="K100" i="1"/>
  <c r="A7" i="8"/>
  <c r="A8" i="8" s="1"/>
  <c r="A9" i="8" s="1"/>
  <c r="E27" i="32"/>
  <c r="K12" i="1"/>
  <c r="K128" i="1"/>
  <c r="F24" i="26"/>
  <c r="F7" i="42"/>
  <c r="F27" i="12"/>
  <c r="F56" i="12" s="1"/>
  <c r="F26" i="12"/>
  <c r="F55" i="12" s="1"/>
  <c r="F25" i="12"/>
  <c r="F54" i="12" s="1"/>
  <c r="J44" i="8"/>
  <c r="F22" i="31"/>
  <c r="E22" i="31"/>
  <c r="D22" i="31"/>
  <c r="E20" i="26"/>
  <c r="F15" i="56"/>
  <c r="I56" i="61"/>
  <c r="F47" i="11"/>
  <c r="F61" i="11"/>
  <c r="A28" i="11"/>
  <c r="A29" i="11" s="1"/>
  <c r="A30" i="11" s="1"/>
  <c r="A31" i="11" s="1"/>
  <c r="A32" i="11" s="1"/>
  <c r="A33" i="11" s="1"/>
  <c r="A34" i="11" s="1"/>
  <c r="A35" i="11" s="1"/>
  <c r="A36" i="11" s="1"/>
  <c r="A37" i="11" s="1"/>
  <c r="I80" i="65"/>
  <c r="I84" i="65"/>
  <c r="I88" i="65"/>
  <c r="C43" i="46"/>
  <c r="L11" i="46"/>
  <c r="E74" i="46" s="1"/>
  <c r="K11" i="46"/>
  <c r="K34" i="46"/>
  <c r="D97" i="46" s="1"/>
  <c r="K36" i="46"/>
  <c r="D99" i="46" s="1"/>
  <c r="K38" i="46"/>
  <c r="K40" i="46"/>
  <c r="L52" i="46"/>
  <c r="H64" i="44"/>
  <c r="A10" i="1"/>
  <c r="H129" i="61" l="1"/>
  <c r="I78" i="61"/>
  <c r="I129" i="61" s="1"/>
  <c r="I138" i="61"/>
  <c r="H154" i="61"/>
  <c r="G79" i="61"/>
  <c r="M146" i="61"/>
  <c r="J154" i="61"/>
  <c r="I19" i="61"/>
  <c r="J14" i="61"/>
  <c r="M14" i="61" s="1"/>
  <c r="G16" i="61"/>
  <c r="I16" i="61" s="1"/>
  <c r="I12" i="61"/>
  <c r="J16" i="61"/>
  <c r="M16" i="61" s="1"/>
  <c r="J39" i="61"/>
  <c r="M39" i="61" s="1"/>
  <c r="G15" i="61"/>
  <c r="I15" i="61" s="1"/>
  <c r="N12" i="61"/>
  <c r="I192" i="61"/>
  <c r="J52" i="8"/>
  <c r="N176" i="61"/>
  <c r="A41" i="46"/>
  <c r="A42" i="46" s="1"/>
  <c r="A43" i="46" s="1"/>
  <c r="E9" i="2"/>
  <c r="A24" i="65"/>
  <c r="A25" i="65" s="1"/>
  <c r="A26" i="65" s="1"/>
  <c r="A27" i="65" s="1"/>
  <c r="A28" i="65" s="1"/>
  <c r="A29" i="65" s="1"/>
  <c r="A30" i="65" s="1"/>
  <c r="A31" i="65" s="1"/>
  <c r="A32" i="65" s="1"/>
  <c r="A33" i="65" s="1"/>
  <c r="A34" i="65" s="1"/>
  <c r="A35" i="65" s="1"/>
  <c r="A36" i="65" s="1"/>
  <c r="A38" i="65" s="1"/>
  <c r="F47" i="71"/>
  <c r="E54" i="7"/>
  <c r="A29" i="57"/>
  <c r="M105" i="61"/>
  <c r="M129" i="61" s="1"/>
  <c r="J45" i="61"/>
  <c r="M45" i="61" s="1"/>
  <c r="M52" i="61"/>
  <c r="C28" i="56"/>
  <c r="N44" i="61"/>
  <c r="F40" i="56"/>
  <c r="M11" i="61"/>
  <c r="E28" i="56"/>
  <c r="G19" i="2" s="1"/>
  <c r="A11" i="1"/>
  <c r="A12" i="1" s="1"/>
  <c r="A15" i="1" s="1"/>
  <c r="A16" i="1" s="1"/>
  <c r="A17" i="1" s="1"/>
  <c r="H14" i="8" s="1"/>
  <c r="D18" i="57"/>
  <c r="D12" i="57"/>
  <c r="E61" i="11"/>
  <c r="E55" i="12" s="1"/>
  <c r="C58" i="46"/>
  <c r="C60" i="46" s="1"/>
  <c r="I60" i="46"/>
  <c r="F42" i="56"/>
  <c r="F17" i="56"/>
  <c r="C11" i="57"/>
  <c r="C12" i="57" s="1"/>
  <c r="K20" i="57"/>
  <c r="E31" i="57" s="1"/>
  <c r="G145" i="61"/>
  <c r="N15" i="61"/>
  <c r="G43" i="61"/>
  <c r="I43" i="61" s="1"/>
  <c r="G11" i="61"/>
  <c r="N180" i="61"/>
  <c r="N5" i="61"/>
  <c r="M54" i="61"/>
  <c r="I51" i="61"/>
  <c r="G44" i="61"/>
  <c r="I44" i="61" s="1"/>
  <c r="M46" i="61"/>
  <c r="J23" i="46"/>
  <c r="C86" i="46" s="1"/>
  <c r="D86" i="46"/>
  <c r="H86" i="46" s="1"/>
  <c r="G86" i="46" s="1"/>
  <c r="J33" i="46"/>
  <c r="C96" i="46" s="1"/>
  <c r="F41" i="12"/>
  <c r="F39" i="12"/>
  <c r="F26" i="56"/>
  <c r="H24" i="8"/>
  <c r="I28" i="1"/>
  <c r="E62" i="11"/>
  <c r="E56" i="12" s="1"/>
  <c r="F40" i="12"/>
  <c r="E47" i="11"/>
  <c r="E40" i="12" s="1"/>
  <c r="E21" i="32"/>
  <c r="C16" i="57"/>
  <c r="G20" i="57"/>
  <c r="C26" i="57" s="1"/>
  <c r="C15" i="57"/>
  <c r="J39" i="46"/>
  <c r="C102" i="46" s="1"/>
  <c r="D96" i="46"/>
  <c r="J37" i="46"/>
  <c r="C100" i="46" s="1"/>
  <c r="N17" i="61"/>
  <c r="N14" i="61"/>
  <c r="I193" i="61"/>
  <c r="N18" i="61"/>
  <c r="G5" i="61"/>
  <c r="I5" i="61" s="1"/>
  <c r="N4" i="61"/>
  <c r="N174" i="61"/>
  <c r="N177" i="61"/>
  <c r="J40" i="61"/>
  <c r="M40" i="61" s="1"/>
  <c r="J48" i="61"/>
  <c r="M48" i="61" s="1"/>
  <c r="N13" i="61"/>
  <c r="N106" i="61"/>
  <c r="G17" i="61"/>
  <c r="I17" i="61" s="1"/>
  <c r="G13" i="61"/>
  <c r="I13" i="61" s="1"/>
  <c r="N171" i="61"/>
  <c r="M137" i="61"/>
  <c r="N11" i="61"/>
  <c r="N172" i="61"/>
  <c r="N43" i="61"/>
  <c r="M55" i="61"/>
  <c r="M53" i="61"/>
  <c r="M51" i="61"/>
  <c r="G42" i="61"/>
  <c r="I42" i="61" s="1"/>
  <c r="N48" i="61"/>
  <c r="N179" i="61"/>
  <c r="G45" i="61"/>
  <c r="I45" i="61" s="1"/>
  <c r="J4" i="61"/>
  <c r="J8" i="61" s="1"/>
  <c r="J50" i="61"/>
  <c r="M50" i="61" s="1"/>
  <c r="I89" i="65"/>
  <c r="F12" i="56"/>
  <c r="E13" i="32"/>
  <c r="H20" i="57"/>
  <c r="D26" i="57" s="1"/>
  <c r="E26" i="57" s="1"/>
  <c r="C17" i="57"/>
  <c r="E206" i="61"/>
  <c r="E207" i="61" s="1"/>
  <c r="L58" i="46"/>
  <c r="J55" i="46"/>
  <c r="C118" i="46" s="1"/>
  <c r="J53" i="46"/>
  <c r="C116" i="46" s="1"/>
  <c r="J54" i="46"/>
  <c r="C117" i="46" s="1"/>
  <c r="G90" i="46"/>
  <c r="J36" i="46"/>
  <c r="C99" i="46" s="1"/>
  <c r="J38" i="46"/>
  <c r="C101" i="46" s="1"/>
  <c r="J35" i="46"/>
  <c r="C98" i="46" s="1"/>
  <c r="J40" i="46"/>
  <c r="C103" i="46" s="1"/>
  <c r="L43" i="46"/>
  <c r="E48" i="11"/>
  <c r="E20" i="71"/>
  <c r="E24" i="71" s="1"/>
  <c r="A11" i="2"/>
  <c r="A12" i="2" s="1"/>
  <c r="J20" i="57"/>
  <c r="D27" i="57" s="1"/>
  <c r="I20" i="57"/>
  <c r="C27" i="57" s="1"/>
  <c r="D103" i="46"/>
  <c r="H103" i="46" s="1"/>
  <c r="G103" i="46" s="1"/>
  <c r="G24" i="26"/>
  <c r="A11" i="26"/>
  <c r="A12" i="26" s="1"/>
  <c r="A13" i="26" s="1"/>
  <c r="A14" i="26" s="1"/>
  <c r="A15" i="26" s="1"/>
  <c r="A16" i="26" s="1"/>
  <c r="A17" i="26" s="1"/>
  <c r="A18" i="26" s="1"/>
  <c r="A19" i="26" s="1"/>
  <c r="A20" i="26" s="1"/>
  <c r="J27" i="8"/>
  <c r="G12" i="2"/>
  <c r="G13" i="2" s="1"/>
  <c r="D101" i="46"/>
  <c r="H101" i="46" s="1"/>
  <c r="G101" i="46" s="1"/>
  <c r="E18" i="57"/>
  <c r="E20" i="57" s="1"/>
  <c r="M13" i="61"/>
  <c r="I48" i="61"/>
  <c r="M41" i="61"/>
  <c r="I4" i="61"/>
  <c r="K28" i="1"/>
  <c r="F20" i="17"/>
  <c r="F22" i="17" s="1"/>
  <c r="K101" i="1"/>
  <c r="K102" i="1" s="1"/>
  <c r="L15" i="28" s="1"/>
  <c r="L16" i="28" s="1"/>
  <c r="L19" i="28" s="1"/>
  <c r="K63" i="1" s="1"/>
  <c r="K64"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I18" i="1"/>
  <c r="G77" i="44"/>
  <c r="A31" i="44"/>
  <c r="A46" i="11"/>
  <c r="H39" i="12" s="1"/>
  <c r="A12" i="8"/>
  <c r="A11" i="56"/>
  <c r="A12" i="56" s="1"/>
  <c r="E115" i="46"/>
  <c r="E141" i="71"/>
  <c r="A22" i="7"/>
  <c r="A23" i="7" s="1"/>
  <c r="A24" i="7" s="1"/>
  <c r="A25" i="7" s="1"/>
  <c r="E140" i="71"/>
  <c r="E68" i="8"/>
  <c r="A23" i="22"/>
  <c r="A14" i="32"/>
  <c r="A20" i="32" s="1"/>
  <c r="A27" i="12"/>
  <c r="D47" i="71"/>
  <c r="E47" i="71"/>
  <c r="E54" i="71"/>
  <c r="D54" i="71"/>
  <c r="A6" i="31"/>
  <c r="A7" i="31" s="1"/>
  <c r="A8" i="31" s="1"/>
  <c r="B39" i="31" s="1"/>
  <c r="H203" i="61" l="1"/>
  <c r="I199" i="61"/>
  <c r="I145" i="61"/>
  <c r="G154" i="61"/>
  <c r="N129" i="61"/>
  <c r="I8" i="61"/>
  <c r="I154" i="61"/>
  <c r="N8" i="61"/>
  <c r="N67" i="61"/>
  <c r="N187" i="61"/>
  <c r="G30" i="61"/>
  <c r="M154" i="61"/>
  <c r="G8" i="61"/>
  <c r="N154" i="61"/>
  <c r="J30" i="61"/>
  <c r="J67" i="61"/>
  <c r="M30" i="61"/>
  <c r="N30" i="61"/>
  <c r="M67" i="61"/>
  <c r="I11" i="61"/>
  <c r="I30" i="61" s="1"/>
  <c r="E51" i="11"/>
  <c r="A44" i="46"/>
  <c r="A52" i="46" s="1"/>
  <c r="A53" i="46" s="1"/>
  <c r="A54" i="46" s="1"/>
  <c r="A55" i="46" s="1"/>
  <c r="E62" i="46"/>
  <c r="D20" i="57"/>
  <c r="A30" i="57"/>
  <c r="A31" i="57" s="1"/>
  <c r="G31" i="57"/>
  <c r="C76" i="26"/>
  <c r="F54" i="71"/>
  <c r="E58" i="7"/>
  <c r="A18" i="1"/>
  <c r="A21" i="1" s="1"/>
  <c r="C18" i="57"/>
  <c r="C20" i="57" s="1"/>
  <c r="C28" i="57"/>
  <c r="E211" i="61"/>
  <c r="E212" i="61" s="1"/>
  <c r="L60" i="46"/>
  <c r="E209" i="61"/>
  <c r="E210" i="61" s="1"/>
  <c r="M4" i="61"/>
  <c r="M8" i="61" s="1"/>
  <c r="E41" i="12"/>
  <c r="E31" i="71"/>
  <c r="F28" i="56"/>
  <c r="E27" i="57"/>
  <c r="D28" i="57"/>
  <c r="E65" i="11"/>
  <c r="A23" i="26"/>
  <c r="A24" i="26" s="1"/>
  <c r="A25" i="26" s="1"/>
  <c r="G23" i="26"/>
  <c r="D31" i="71"/>
  <c r="G76" i="46"/>
  <c r="F112" i="71"/>
  <c r="G41" i="44"/>
  <c r="E25" i="7"/>
  <c r="E12" i="2"/>
  <c r="E13" i="2"/>
  <c r="A13" i="2"/>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M203" i="61" l="1"/>
  <c r="J203" i="61"/>
  <c r="N203" i="61"/>
  <c r="F91" i="12"/>
  <c r="A56" i="46"/>
  <c r="A57" i="46" s="1"/>
  <c r="A58" i="46" s="1"/>
  <c r="A39" i="65"/>
  <c r="A40" i="65" s="1"/>
  <c r="A32" i="57"/>
  <c r="A33" i="57" s="1"/>
  <c r="D17" i="56"/>
  <c r="E124" i="46"/>
  <c r="E28" i="57"/>
  <c r="E33" i="57" s="1"/>
  <c r="E40" i="57" s="1"/>
  <c r="E43" i="57" s="1"/>
  <c r="E213" i="61"/>
  <c r="I93" i="46"/>
  <c r="H96" i="46"/>
  <c r="I95" i="46"/>
  <c r="I94" i="46"/>
  <c r="H94" i="46"/>
  <c r="K83" i="1"/>
  <c r="E14" i="2"/>
  <c r="A14" i="2"/>
  <c r="H15" i="8"/>
  <c r="H43" i="46"/>
  <c r="H60" i="46" s="1"/>
  <c r="A26" i="26"/>
  <c r="A27" i="26" s="1"/>
  <c r="A28" i="26" s="1"/>
  <c r="G25" i="26"/>
  <c r="H59" i="44"/>
  <c r="H78" i="44" s="1"/>
  <c r="H65" i="44"/>
  <c r="H66" i="44" s="1"/>
  <c r="H79" i="44" s="1"/>
  <c r="J42" i="46"/>
  <c r="C105" i="46" s="1"/>
  <c r="C106" i="46" s="1"/>
  <c r="D105" i="46"/>
  <c r="D106" i="46" s="1"/>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E215" i="61" l="1"/>
  <c r="E216" i="61" s="1"/>
  <c r="E219" i="61" s="1"/>
  <c r="K130" i="1" s="1"/>
  <c r="G52" i="21"/>
  <c r="G59" i="21"/>
  <c r="G62" i="4"/>
  <c r="G57" i="4"/>
  <c r="A59" i="46"/>
  <c r="A60" i="46" s="1"/>
  <c r="E63" i="46"/>
  <c r="A41" i="65"/>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C29" i="57"/>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26" i="26"/>
  <c r="G50" i="22"/>
  <c r="F28" i="54"/>
  <c r="G54" i="22"/>
  <c r="G24" i="22"/>
  <c r="I55" i="1"/>
  <c r="A15" i="2"/>
  <c r="A16" i="2" s="1"/>
  <c r="A17" i="2" s="1"/>
  <c r="A18" i="2" s="1"/>
  <c r="A19" i="2" s="1"/>
  <c r="A20" i="2" s="1"/>
  <c r="A21" i="2" s="1"/>
  <c r="K60" i="46"/>
  <c r="G22" i="32"/>
  <c r="G45" i="57"/>
  <c r="G43" i="57"/>
  <c r="G27" i="26"/>
  <c r="A55" i="12"/>
  <c r="A56" i="12" s="1"/>
  <c r="A57" i="12" s="1"/>
  <c r="A58" i="12" s="1"/>
  <c r="A59" i="12" s="1"/>
  <c r="H61" i="8" s="1"/>
  <c r="B185" i="71"/>
  <c r="B188" i="71"/>
  <c r="J43" i="46"/>
  <c r="J60" i="46" s="1"/>
  <c r="F26" i="71"/>
  <c r="D121" i="46"/>
  <c r="D124" i="46" s="1"/>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J54" i="8" l="1"/>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I148" i="1"/>
  <c r="A33" i="71"/>
  <c r="A34" i="71" s="1"/>
  <c r="F65" i="71" s="1"/>
  <c r="C36" i="71"/>
  <c r="A46" i="57"/>
  <c r="A47" i="57" s="1"/>
  <c r="G9" i="31"/>
  <c r="G10" i="31"/>
  <c r="A28" i="1"/>
  <c r="A30" i="1" s="1"/>
  <c r="H54" i="12"/>
  <c r="F68" i="12"/>
  <c r="E48" i="7"/>
  <c r="E22" i="2"/>
  <c r="A22" i="2"/>
  <c r="B109" i="12"/>
  <c r="A68" i="12"/>
  <c r="K80" i="1"/>
  <c r="K79" i="1"/>
  <c r="K89" i="1" s="1"/>
  <c r="K78" i="1"/>
  <c r="K88" i="1" s="1"/>
  <c r="A19" i="31"/>
  <c r="A20" i="31" s="1"/>
  <c r="A22" i="31" s="1"/>
  <c r="A56" i="7"/>
  <c r="A57" i="7" s="1"/>
  <c r="A58" i="7" s="1"/>
  <c r="A59" i="7" s="1"/>
  <c r="A60" i="7" s="1"/>
  <c r="A61" i="7" s="1"/>
  <c r="E55" i="7" s="1"/>
  <c r="B189" i="71"/>
  <c r="B186" i="71"/>
  <c r="A35" i="71"/>
  <c r="A36" i="71" s="1"/>
  <c r="A23" i="8"/>
  <c r="H29" i="8"/>
  <c r="A30" i="26"/>
  <c r="I125" i="1" s="1"/>
  <c r="G30" i="26"/>
  <c r="H21" i="8"/>
  <c r="D26" i="56"/>
  <c r="G28" i="32"/>
  <c r="A34" i="22"/>
  <c r="A41" i="44"/>
  <c r="A42" i="44" s="1"/>
  <c r="A24" i="31"/>
  <c r="A27" i="31" s="1"/>
  <c r="A61" i="11"/>
  <c r="A27" i="56"/>
  <c r="A28" i="56" s="1"/>
  <c r="D28" i="56"/>
  <c r="E95" i="8" l="1"/>
  <c r="E94" i="8"/>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9" i="2"/>
  <c r="A37" i="71"/>
  <c r="F34" i="71"/>
  <c r="H55" i="12"/>
  <c r="F69" i="12"/>
  <c r="F93" i="12"/>
  <c r="E96" i="8"/>
  <c r="A35" i="22"/>
  <c r="A36" i="22" s="1"/>
  <c r="A37" i="22" s="1"/>
  <c r="A38" i="22" s="1"/>
  <c r="A39" i="22" s="1"/>
  <c r="A40" i="22" s="1"/>
  <c r="A41" i="22" s="1"/>
  <c r="A42" i="22" s="1"/>
  <c r="A43" i="22" s="1"/>
  <c r="A44" i="22" s="1"/>
  <c r="A45" i="22" s="1"/>
  <c r="A46" i="22" s="1"/>
  <c r="G49" i="22" s="1"/>
  <c r="A23" i="2"/>
  <c r="K90" i="1"/>
  <c r="K91" i="1" s="1"/>
  <c r="I102" i="46"/>
  <c r="H102" i="46"/>
  <c r="A34" i="56"/>
  <c r="A35" i="56" s="1"/>
  <c r="A36" i="56" s="1"/>
  <c r="A37" i="56" s="1"/>
  <c r="A38" i="56" s="1"/>
  <c r="E63" i="7"/>
  <c r="A69" i="12"/>
  <c r="A70" i="12" s="1"/>
  <c r="A71" i="12" s="1"/>
  <c r="A81" i="12" s="1"/>
  <c r="A82" i="12" s="1"/>
  <c r="A83" i="12" s="1"/>
  <c r="A84" i="12" s="1"/>
  <c r="A85" i="12" s="1"/>
  <c r="A86" i="12" s="1"/>
  <c r="B38" i="31"/>
  <c r="H27" i="31"/>
  <c r="D21" i="7"/>
  <c r="G15" i="12"/>
  <c r="G17" i="12" s="1"/>
  <c r="K81" i="1"/>
  <c r="A62" i="7"/>
  <c r="A63" i="7" s="1"/>
  <c r="E59" i="7"/>
  <c r="A38" i="71"/>
  <c r="A41" i="71" s="1"/>
  <c r="A46" i="71" s="1"/>
  <c r="A47" i="71" s="1"/>
  <c r="A48" i="71" s="1"/>
  <c r="B98" i="44"/>
  <c r="A43" i="44"/>
  <c r="A37" i="26"/>
  <c r="G77" i="26" s="1"/>
  <c r="A62" i="11"/>
  <c r="B99" i="44"/>
  <c r="A24" i="8"/>
  <c r="G91" i="12" s="1"/>
  <c r="A39" i="1" l="1"/>
  <c r="A40" i="1" s="1"/>
  <c r="A41" i="1" s="1"/>
  <c r="E102" i="8"/>
  <c r="J42" i="8" s="1"/>
  <c r="K93" i="1"/>
  <c r="D32" i="71" s="1"/>
  <c r="D34" i="71" s="1"/>
  <c r="E86" i="71" s="1"/>
  <c r="I35" i="1"/>
  <c r="B125" i="46"/>
  <c r="H56" i="12"/>
  <c r="F70" i="12"/>
  <c r="E97" i="8"/>
  <c r="J33" i="8" s="1"/>
  <c r="E64" i="7"/>
  <c r="E69" i="7"/>
  <c r="E24" i="2"/>
  <c r="A24" i="2"/>
  <c r="G102" i="46"/>
  <c r="A25" i="8"/>
  <c r="G53" i="22"/>
  <c r="A64" i="7"/>
  <c r="A65" i="7" s="1"/>
  <c r="B110" i="12"/>
  <c r="A90" i="12"/>
  <c r="E83" i="12"/>
  <c r="F83" i="12" s="1"/>
  <c r="E82" i="12"/>
  <c r="F82" i="12" s="1"/>
  <c r="E81" i="12"/>
  <c r="F81" i="12" s="1"/>
  <c r="D25" i="71"/>
  <c r="D26" i="71" s="1"/>
  <c r="D86" i="71" s="1"/>
  <c r="E25" i="71"/>
  <c r="E26" i="71" s="1"/>
  <c r="D103" i="71" s="1"/>
  <c r="D51" i="7"/>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I41" i="1" l="1"/>
  <c r="D160" i="71"/>
  <c r="D178" i="71"/>
  <c r="G86" i="71"/>
  <c r="H86" i="71" s="1"/>
  <c r="A26" i="8"/>
  <c r="A27" i="8" s="1"/>
  <c r="A29" i="8" s="1"/>
  <c r="I124" i="1"/>
  <c r="E6" i="2"/>
  <c r="A25" i="2"/>
  <c r="A26" i="2" s="1"/>
  <c r="A27" i="2" s="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1" i="8" s="1"/>
  <c r="G44" i="12"/>
  <c r="K135" i="1" s="1"/>
  <c r="D81" i="71"/>
  <c r="D82" i="71"/>
  <c r="D83" i="71"/>
  <c r="D80" i="71"/>
  <c r="D64" i="71"/>
  <c r="D85" i="71"/>
  <c r="D77" i="71"/>
  <c r="D78" i="71"/>
  <c r="D79" i="71"/>
  <c r="D84" i="71"/>
  <c r="A56" i="71"/>
  <c r="A57" i="71" s="1"/>
  <c r="F67" i="71"/>
  <c r="A41" i="56"/>
  <c r="A42" i="56" s="1"/>
  <c r="E20" i="2" s="1"/>
  <c r="D42" i="56"/>
  <c r="A85" i="11"/>
  <c r="G87" i="44"/>
  <c r="A55" i="44"/>
  <c r="A44" i="26"/>
  <c r="A53" i="22"/>
  <c r="A45" i="1"/>
  <c r="E95" i="71" l="1"/>
  <c r="E103" i="71"/>
  <c r="G103" i="71" s="1"/>
  <c r="H103" i="71" s="1"/>
  <c r="E178" i="71"/>
  <c r="F178" i="71" s="1"/>
  <c r="G178" i="71" s="1"/>
  <c r="E160" i="71"/>
  <c r="F160" i="71" s="1"/>
  <c r="G160" i="71" s="1"/>
  <c r="G90" i="12"/>
  <c r="H41" i="8"/>
  <c r="A33" i="8"/>
  <c r="H30" i="8"/>
  <c r="I132" i="15"/>
  <c r="I91" i="15"/>
  <c r="I71" i="15"/>
  <c r="A64" i="71"/>
  <c r="F48" i="71"/>
  <c r="F55" i="71"/>
  <c r="E101" i="71"/>
  <c r="E97" i="71"/>
  <c r="E99" i="71"/>
  <c r="E94" i="71"/>
  <c r="E96" i="71"/>
  <c r="E100" i="71"/>
  <c r="E102" i="71"/>
  <c r="E65" i="71"/>
  <c r="E98" i="71"/>
  <c r="E27" i="2"/>
  <c r="A28" i="2"/>
  <c r="A29" i="2" s="1"/>
  <c r="A30" i="2" s="1"/>
  <c r="A31" i="2" s="1"/>
  <c r="I40" i="1"/>
  <c r="G28" i="26"/>
  <c r="D47" i="7"/>
  <c r="D48" i="7" s="1"/>
  <c r="D83" i="7"/>
  <c r="D84" i="7" s="1"/>
  <c r="G92" i="12"/>
  <c r="A71" i="7"/>
  <c r="E71" i="7"/>
  <c r="H41" i="44"/>
  <c r="H44" i="44" s="1"/>
  <c r="H87"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E129" i="71" s="1"/>
  <c r="A65" i="71"/>
  <c r="D105" i="71"/>
  <c r="E88" i="71"/>
  <c r="F78" i="71"/>
  <c r="D170" i="71" s="1"/>
  <c r="D67" i="71"/>
  <c r="F95" i="71"/>
  <c r="G95" i="71" s="1"/>
  <c r="E67" i="71"/>
  <c r="D88" i="71"/>
  <c r="F94" i="71"/>
  <c r="E66" i="71"/>
  <c r="F77" i="71"/>
  <c r="G77" i="71" s="1"/>
  <c r="D66" i="71"/>
  <c r="D127" i="71"/>
  <c r="D124" i="71"/>
  <c r="D123" i="71"/>
  <c r="D126" i="71"/>
  <c r="D128" i="71"/>
  <c r="D121" i="71"/>
  <c r="D125" i="71"/>
  <c r="D122" i="71"/>
  <c r="A56" i="44"/>
  <c r="A57" i="44" s="1"/>
  <c r="G59" i="44" s="1"/>
  <c r="A46" i="1"/>
  <c r="A47" i="1" s="1"/>
  <c r="A48" i="1" s="1"/>
  <c r="H34" i="8" l="1"/>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E73" i="7"/>
  <c r="A118" i="11"/>
  <c r="A119" i="11" s="1"/>
  <c r="A120" i="11" s="1"/>
  <c r="A121" i="11" s="1"/>
  <c r="A122" i="11" s="1"/>
  <c r="A123" i="11" s="1"/>
  <c r="A124" i="11" s="1"/>
  <c r="A125" i="11" s="1"/>
  <c r="A126" i="11" s="1"/>
  <c r="A127" i="11" s="1"/>
  <c r="A128" i="11" s="1"/>
  <c r="A129" i="11" s="1"/>
  <c r="F69" i="11" s="1"/>
  <c r="D63" i="7"/>
  <c r="D64" i="7" s="1"/>
  <c r="E105" i="71"/>
  <c r="A87" i="7"/>
  <c r="A88" i="7" s="1"/>
  <c r="A89" i="7" s="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A38" i="8" l="1"/>
  <c r="H55" i="8"/>
  <c r="E89" i="7"/>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H56" i="8" l="1"/>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3" i="8" s="1"/>
  <c r="G72" i="44"/>
  <c r="A73" i="44"/>
  <c r="A74" i="44" s="1"/>
  <c r="E19" i="31"/>
  <c r="A78" i="71"/>
  <c r="A79" i="71" s="1"/>
  <c r="A80" i="71" s="1"/>
  <c r="A81" i="71" s="1"/>
  <c r="A82" i="71" s="1"/>
  <c r="A83" i="71" s="1"/>
  <c r="A84" i="71" s="1"/>
  <c r="A85" i="71" s="1"/>
  <c r="A86" i="71" s="1"/>
  <c r="A87" i="71" s="1"/>
  <c r="I88" i="71" s="1"/>
  <c r="A64" i="1"/>
  <c r="A333" i="11" l="1"/>
  <c r="A336" i="11" s="1"/>
  <c r="A337" i="11" s="1"/>
  <c r="A67" i="8"/>
  <c r="G67" i="8"/>
  <c r="H63" i="8"/>
  <c r="G74" i="44"/>
  <c r="G81" i="44"/>
  <c r="A77" i="44"/>
  <c r="A78" i="44" s="1"/>
  <c r="A79" i="44" s="1"/>
  <c r="A80" i="44" s="1"/>
  <c r="A81"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32" i="2"/>
  <c r="A88" i="71"/>
  <c r="A94" i="71" s="1"/>
  <c r="B192" i="71"/>
  <c r="A65" i="1"/>
  <c r="I64" i="1" s="1"/>
  <c r="A68" i="8" l="1"/>
  <c r="A69" i="8" s="1"/>
  <c r="G69" i="8"/>
  <c r="G88" i="44"/>
  <c r="A87" i="44"/>
  <c r="A88" i="44" s="1"/>
  <c r="A89" i="44" s="1"/>
  <c r="A90" i="44" s="1"/>
  <c r="A91" i="44" s="1"/>
  <c r="A92" i="44" s="1"/>
  <c r="A93" i="44" s="1"/>
  <c r="I155" i="1" s="1"/>
  <c r="A33" i="2"/>
  <c r="A34" i="2" s="1"/>
  <c r="A35" i="2" s="1"/>
  <c r="A95" i="71"/>
  <c r="A96" i="71" s="1"/>
  <c r="A97" i="71" s="1"/>
  <c r="A98" i="71" s="1"/>
  <c r="A99" i="71" s="1"/>
  <c r="A100" i="71" s="1"/>
  <c r="A101" i="71" s="1"/>
  <c r="A102" i="71" s="1"/>
  <c r="A103" i="71" s="1"/>
  <c r="A104" i="71" s="1"/>
  <c r="A105" i="71" s="1"/>
  <c r="A111" i="71" s="1"/>
  <c r="A68" i="1"/>
  <c r="I83" i="1"/>
  <c r="A70" i="8" l="1"/>
  <c r="A71" i="8" s="1"/>
  <c r="G71" i="8"/>
  <c r="B101" i="44"/>
  <c r="G93" i="44"/>
  <c r="G91" i="44"/>
  <c r="E35" i="2"/>
  <c r="E34" i="2"/>
  <c r="A36" i="2"/>
  <c r="A37" i="2" s="1"/>
  <c r="A38" i="2" s="1"/>
  <c r="I105" i="71"/>
  <c r="A112" i="71"/>
  <c r="A113" i="71" s="1"/>
  <c r="F114" i="71" s="1"/>
  <c r="A69" i="1"/>
  <c r="A70" i="1" s="1"/>
  <c r="A72" i="8" l="1"/>
  <c r="H14" i="65" s="1"/>
  <c r="G72" i="8"/>
  <c r="A39" i="2"/>
  <c r="A40" i="2" s="1"/>
  <c r="A41" i="2" s="1"/>
  <c r="F113" i="71"/>
  <c r="A114" i="71"/>
  <c r="A115" i="71" s="1"/>
  <c r="A120" i="71" s="1"/>
  <c r="F138" i="71"/>
  <c r="A73" i="1"/>
  <c r="I75" i="1" s="1"/>
  <c r="I84" i="1"/>
  <c r="E40" i="2" l="1"/>
  <c r="E41" i="2"/>
  <c r="A42" i="2"/>
  <c r="F115" i="71"/>
  <c r="A121" i="71"/>
  <c r="A122" i="71" s="1"/>
  <c r="A123" i="71" s="1"/>
  <c r="A124" i="71" s="1"/>
  <c r="A125" i="71" s="1"/>
  <c r="A126" i="71" s="1"/>
  <c r="A127" i="71" s="1"/>
  <c r="A128" i="71" s="1"/>
  <c r="A129" i="71" s="1"/>
  <c r="A130" i="71" s="1"/>
  <c r="A131" i="71" s="1"/>
  <c r="A137" i="71" s="1"/>
  <c r="A75" i="1"/>
  <c r="I80" i="1" s="1"/>
  <c r="A44" i="2" l="1"/>
  <c r="A45" i="2" s="1"/>
  <c r="A46" i="2" s="1"/>
  <c r="A47" i="2" s="1"/>
  <c r="A48" i="2" s="1"/>
  <c r="A43" i="2"/>
  <c r="A138" i="71"/>
  <c r="A139" i="71" s="1"/>
  <c r="F131" i="71"/>
  <c r="B193" i="71"/>
  <c r="A78" i="1"/>
  <c r="I78" i="1"/>
  <c r="I79" i="1"/>
  <c r="A49" i="2" l="1"/>
  <c r="A50" i="2" s="1"/>
  <c r="A51" i="2" s="1"/>
  <c r="A52" i="2" s="1"/>
  <c r="A53" i="2" s="1"/>
  <c r="F139" i="7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6" i="8" s="1"/>
  <c r="I89" i="1"/>
  <c r="G93" i="12" l="1"/>
  <c r="I15" i="12"/>
  <c r="A83" i="1"/>
  <c r="A84" i="1" s="1"/>
  <c r="A85" i="1" s="1"/>
  <c r="I81" i="1"/>
  <c r="G100" i="12" l="1"/>
  <c r="I90" i="1"/>
  <c r="A88" i="1"/>
  <c r="A89" i="1" s="1"/>
  <c r="F95" i="8" s="1"/>
  <c r="E21" i="7" l="1"/>
  <c r="F94" i="8"/>
  <c r="A90" i="1"/>
  <c r="I93" i="1" s="1"/>
  <c r="I91" i="1" l="1"/>
  <c r="A91" i="1"/>
  <c r="F25" i="71" l="1"/>
  <c r="A93" i="1"/>
  <c r="I95" i="1"/>
  <c r="F32" i="71" l="1"/>
  <c r="E22" i="7"/>
  <c r="I116" i="1"/>
  <c r="A95" i="1"/>
  <c r="A100" i="1" l="1"/>
  <c r="I131" i="1"/>
  <c r="A101" i="1" l="1"/>
  <c r="A102" i="1" s="1"/>
  <c r="J15" i="28" s="1"/>
  <c r="F33" i="71" l="1"/>
  <c r="I16" i="12"/>
  <c r="H43" i="8"/>
  <c r="E23" i="7"/>
  <c r="G56" i="44"/>
  <c r="I117" i="1"/>
  <c r="E47" i="2"/>
  <c r="E46" i="2"/>
  <c r="I102" i="1"/>
  <c r="A105" i="1"/>
  <c r="I108" i="1" s="1"/>
  <c r="H44" i="8" l="1"/>
  <c r="I118" i="1"/>
  <c r="A110" i="1"/>
  <c r="A112" i="1" s="1"/>
  <c r="H45" i="8" s="1"/>
  <c r="I132" i="1" l="1"/>
  <c r="A124" i="1"/>
  <c r="I110" i="1"/>
  <c r="A125" i="1" l="1"/>
  <c r="H49" i="8" s="1"/>
  <c r="H48" i="8"/>
  <c r="A126" i="1" l="1"/>
  <c r="H50" i="8" s="1"/>
  <c r="E72" i="7"/>
  <c r="I17" i="1"/>
  <c r="A127" i="1"/>
  <c r="H51" i="8" s="1"/>
  <c r="A128" i="1" l="1"/>
  <c r="H52" i="8" s="1"/>
  <c r="A129" i="1" l="1"/>
  <c r="H53" i="8" s="1"/>
  <c r="A130" i="1" l="1"/>
  <c r="H54" i="8" s="1"/>
  <c r="A131" i="1" l="1"/>
  <c r="H57" i="8" s="1"/>
  <c r="I136" i="1" l="1"/>
  <c r="H58" i="8"/>
  <c r="A138" i="1" l="1"/>
  <c r="A139" i="1" s="1"/>
  <c r="G89" i="44" s="1"/>
  <c r="E53" i="2"/>
  <c r="E52" i="2"/>
  <c r="I141" i="1" l="1"/>
  <c r="A141" i="1"/>
  <c r="I146" i="1" s="1"/>
  <c r="I139" i="1"/>
  <c r="I138" i="1"/>
  <c r="E70" i="7"/>
  <c r="A146" i="1"/>
  <c r="A147" i="1" s="1"/>
  <c r="A148" i="1" s="1"/>
  <c r="A149" i="1" l="1"/>
  <c r="A151" i="1" s="1"/>
  <c r="A154" i="1" l="1"/>
  <c r="A155" i="1" s="1"/>
  <c r="A156" i="1" s="1"/>
  <c r="G4" i="31" s="1"/>
  <c r="I154" i="1"/>
  <c r="I151" i="1"/>
  <c r="I156" i="1" l="1"/>
  <c r="K53" i="1" l="1"/>
  <c r="F23" i="17"/>
  <c r="I92" i="46"/>
  <c r="I91" i="46"/>
  <c r="I74" i="46"/>
  <c r="K54" i="1" l="1"/>
  <c r="H74" i="46"/>
  <c r="G74" i="46" s="1"/>
  <c r="H91" i="46"/>
  <c r="G91" i="46" s="1"/>
  <c r="I106" i="46"/>
  <c r="H92" i="46"/>
  <c r="G92" i="46" s="1"/>
  <c r="C150" i="46" l="1"/>
  <c r="H105" i="46" l="1"/>
  <c r="G105" i="46" s="1"/>
  <c r="G106" i="46" s="1"/>
  <c r="H106" i="46" l="1"/>
  <c r="I118" i="46"/>
  <c r="I117" i="46"/>
  <c r="I116" i="46"/>
  <c r="I115" i="46"/>
  <c r="I121" i="46" l="1"/>
  <c r="I124" i="46" s="1"/>
  <c r="H118" i="46"/>
  <c r="G118" i="46" s="1"/>
  <c r="H115" i="46"/>
  <c r="H116" i="46"/>
  <c r="G116" i="46" s="1"/>
  <c r="H117" i="46"/>
  <c r="G117" i="46" s="1"/>
  <c r="G115" i="46" l="1"/>
  <c r="G121" i="46" s="1"/>
  <c r="H121" i="46"/>
  <c r="H124" i="46" s="1"/>
  <c r="G124" i="46" l="1"/>
  <c r="K124" i="1" s="1"/>
  <c r="G6" i="2"/>
  <c r="G14" i="2" s="1"/>
  <c r="F52" i="21" l="1"/>
  <c r="F53" i="21" s="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32" i="15"/>
  <c r="H133" i="15" s="1"/>
  <c r="H71" i="15"/>
  <c r="H72" i="15" s="1"/>
  <c r="H91" i="15"/>
  <c r="H92" i="15" s="1"/>
  <c r="G24" i="2"/>
  <c r="F50" i="22"/>
  <c r="F51" i="22" s="1"/>
  <c r="J13" i="8" s="1"/>
  <c r="D28" i="54"/>
  <c r="D29" i="54" s="1"/>
  <c r="D38" i="54" s="1"/>
  <c r="F26" i="26"/>
  <c r="F27" i="26" s="1"/>
  <c r="F54" i="22"/>
  <c r="F55" i="22" s="1"/>
  <c r="K16" i="1" s="1"/>
  <c r="K55" i="1"/>
  <c r="F24" i="22"/>
  <c r="E28" i="54"/>
  <c r="E29" i="54" s="1"/>
  <c r="E38" i="54" s="1"/>
  <c r="K11" i="1" s="1"/>
  <c r="G22" i="2"/>
  <c r="J48" i="8"/>
  <c r="K24" i="1" l="1"/>
  <c r="K56" i="1"/>
  <c r="I39" i="79"/>
  <c r="K39" i="79" s="1"/>
  <c r="I32" i="79"/>
  <c r="I18" i="79" s="1"/>
  <c r="I27" i="79"/>
  <c r="K27" i="79" s="1"/>
  <c r="G19" i="79"/>
  <c r="G17" i="79"/>
  <c r="G18" i="79"/>
  <c r="H74" i="44"/>
  <c r="H81" i="44" s="1"/>
  <c r="G27" i="2"/>
  <c r="F27" i="22"/>
  <c r="J12" i="8" s="1"/>
  <c r="F26" i="22"/>
  <c r="K15" i="1" s="1"/>
  <c r="D41" i="54"/>
  <c r="J8" i="8" s="1"/>
  <c r="K32" i="79" l="1"/>
  <c r="H83" i="44"/>
  <c r="H88" i="44" s="1"/>
  <c r="H92" i="44" s="1"/>
  <c r="I19" i="79"/>
  <c r="K19" i="79" s="1"/>
  <c r="K18" i="79"/>
  <c r="I17" i="79"/>
  <c r="G20" i="79"/>
  <c r="G91" i="15"/>
  <c r="G92" i="15" s="1"/>
  <c r="D92" i="15" s="1"/>
  <c r="D11" i="15" s="1"/>
  <c r="G132" i="15"/>
  <c r="G133" i="15" s="1"/>
  <c r="G71" i="15"/>
  <c r="K40" i="1"/>
  <c r="F28" i="26"/>
  <c r="F29" i="26" s="1"/>
  <c r="F30" i="26" s="1"/>
  <c r="K125" i="1" s="1"/>
  <c r="K41" i="1" l="1"/>
  <c r="K17" i="1"/>
  <c r="I20" i="79"/>
  <c r="K9" i="79" s="1"/>
  <c r="K31" i="1" s="1"/>
  <c r="K17" i="79"/>
  <c r="K20" i="79" s="1"/>
  <c r="K10" i="79" s="1"/>
  <c r="J26" i="8" s="1"/>
  <c r="D133" i="15"/>
  <c r="D12" i="15" s="1"/>
  <c r="D72" i="7"/>
  <c r="J49" i="8"/>
  <c r="J14" i="8" l="1"/>
  <c r="J15" i="8" s="1"/>
  <c r="K58" i="1"/>
  <c r="G70" i="15"/>
  <c r="G72" i="15" s="1"/>
  <c r="D72" i="15" s="1"/>
  <c r="E70" i="15"/>
  <c r="K18" i="1"/>
  <c r="K129" i="1" l="1"/>
  <c r="D10" i="15"/>
  <c r="D14" i="15" s="1"/>
  <c r="E158" i="15" l="1"/>
  <c r="J53" i="8"/>
  <c r="C13" i="64"/>
  <c r="C49" i="64" s="1"/>
  <c r="D71" i="21" s="1"/>
  <c r="C209" i="4"/>
  <c r="D157" i="15" l="1"/>
  <c r="I157" i="15" s="1"/>
  <c r="D149" i="15"/>
  <c r="I149" i="15" s="1"/>
  <c r="K26" i="1"/>
  <c r="D148" i="15"/>
  <c r="I148" i="15" s="1"/>
  <c r="D146" i="15"/>
  <c r="I146" i="15" s="1"/>
  <c r="J146" i="15" s="1"/>
  <c r="D147" i="15"/>
  <c r="I147" i="15" s="1"/>
  <c r="D152" i="15"/>
  <c r="I152" i="15" s="1"/>
  <c r="D154" i="15"/>
  <c r="I154" i="15" s="1"/>
  <c r="D151" i="15"/>
  <c r="I151" i="15" s="1"/>
  <c r="D153" i="15"/>
  <c r="I153" i="15" s="1"/>
  <c r="D155" i="15"/>
  <c r="I155" i="15" s="1"/>
  <c r="D156" i="15"/>
  <c r="I156" i="15" s="1"/>
  <c r="D150" i="15"/>
  <c r="I150" i="15" s="1"/>
  <c r="C14" i="64"/>
  <c r="C50" i="64" s="1"/>
  <c r="D72" i="21" s="1"/>
  <c r="E146" i="15" l="1"/>
  <c r="E147" i="15" s="1"/>
  <c r="E148" i="15" s="1"/>
  <c r="E149" i="15" s="1"/>
  <c r="E150" i="15" s="1"/>
  <c r="E151" i="15" s="1"/>
  <c r="E152" i="15" s="1"/>
  <c r="E153" i="15" s="1"/>
  <c r="E154" i="15" s="1"/>
  <c r="E155" i="15" s="1"/>
  <c r="E156" i="15" s="1"/>
  <c r="E157" i="15" s="1"/>
  <c r="J147" i="15"/>
  <c r="J148" i="15" s="1"/>
  <c r="J149" i="15" s="1"/>
  <c r="J150" i="15" s="1"/>
  <c r="J151" i="15" s="1"/>
  <c r="J152" i="15" s="1"/>
  <c r="J153" i="15" s="1"/>
  <c r="J154" i="15" s="1"/>
  <c r="J155" i="15" s="1"/>
  <c r="J156" i="15" s="1"/>
  <c r="J157" i="15" s="1"/>
  <c r="C15" i="64"/>
  <c r="C51" i="64" s="1"/>
  <c r="D73" i="21" s="1"/>
  <c r="J159" i="15" l="1"/>
  <c r="D24" i="15" s="1"/>
  <c r="J23" i="8" s="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8" i="64"/>
  <c r="D54" i="64" s="1"/>
  <c r="E76" i="21" s="1"/>
  <c r="D16" i="21" l="1"/>
  <c r="D19" i="64"/>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L80" i="48" s="1"/>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L98" i="48"/>
  <c r="L96" i="48"/>
  <c r="M202" i="4"/>
  <c r="M205" i="4"/>
  <c r="M208" i="4"/>
  <c r="G13" i="64"/>
  <c r="G49" i="64" s="1"/>
  <c r="H71" i="21" s="1"/>
  <c r="K209" i="4"/>
  <c r="H209" i="4"/>
  <c r="G209" i="4"/>
  <c r="K110" i="1"/>
  <c r="K95" i="1"/>
  <c r="E209" i="4"/>
  <c r="M197" i="4"/>
  <c r="M204" i="4"/>
  <c r="M206" i="4"/>
  <c r="M207" i="4"/>
  <c r="M203" i="4"/>
  <c r="F209" i="4"/>
  <c r="I209" i="4"/>
  <c r="M199" i="4"/>
  <c r="L209" i="4"/>
  <c r="J209" i="4"/>
  <c r="L61" i="48" l="1"/>
  <c r="L99" i="48"/>
  <c r="L81" i="48"/>
  <c r="L87" i="48"/>
  <c r="L50" i="48"/>
  <c r="L68" i="48"/>
  <c r="L36" i="48" s="1"/>
  <c r="L91" i="48"/>
  <c r="L85" i="48"/>
  <c r="L93" i="48"/>
  <c r="L88" i="48"/>
  <c r="L47" i="48"/>
  <c r="L64" i="48"/>
  <c r="L52" i="48"/>
  <c r="L53" i="48"/>
  <c r="L65" i="48"/>
  <c r="L33" i="48" s="1"/>
  <c r="L95" i="48"/>
  <c r="L63" i="48"/>
  <c r="L58" i="48"/>
  <c r="L51" i="48"/>
  <c r="L90" i="48"/>
  <c r="L60" i="48"/>
  <c r="L94" i="48"/>
  <c r="L49" i="48"/>
  <c r="L17" i="48" s="1"/>
  <c r="L57" i="48"/>
  <c r="L55" i="48"/>
  <c r="L82" i="48"/>
  <c r="L59" i="48"/>
  <c r="L97" i="48"/>
  <c r="L46" i="48"/>
  <c r="M46" i="48" s="1"/>
  <c r="L62" i="48"/>
  <c r="L86" i="48"/>
  <c r="L84" i="48"/>
  <c r="L79" i="48"/>
  <c r="L77" i="48"/>
  <c r="M77" i="48" s="1"/>
  <c r="N77" i="48" s="1"/>
  <c r="L67" i="48"/>
  <c r="L35" i="48" s="1"/>
  <c r="L48" i="48"/>
  <c r="L89" i="48"/>
  <c r="L66" i="48"/>
  <c r="L78" i="48"/>
  <c r="L56" i="48"/>
  <c r="L24" i="48" s="1"/>
  <c r="L54" i="48"/>
  <c r="L92" i="48"/>
  <c r="L29" i="48" s="1"/>
  <c r="L83" i="48"/>
  <c r="G16" i="64"/>
  <c r="G52" i="64" s="1"/>
  <c r="H74" i="21" s="1"/>
  <c r="G17" i="64"/>
  <c r="G53" i="64" s="1"/>
  <c r="H75" i="21" s="1"/>
  <c r="H14" i="64"/>
  <c r="H50" i="64" s="1"/>
  <c r="I72" i="21" s="1"/>
  <c r="G15" i="64"/>
  <c r="G51" i="64" s="1"/>
  <c r="H73" i="21" s="1"/>
  <c r="L25" i="48"/>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L31" i="48" l="1"/>
  <c r="L22" i="48"/>
  <c r="L28" i="48"/>
  <c r="L20" i="48"/>
  <c r="L18" i="48"/>
  <c r="L27" i="48"/>
  <c r="L26" i="48"/>
  <c r="L21" i="48"/>
  <c r="L30" i="48"/>
  <c r="L19" i="48"/>
  <c r="L15" i="48"/>
  <c r="L32" i="48"/>
  <c r="L34" i="48"/>
  <c r="L16" i="48"/>
  <c r="M14" i="48"/>
  <c r="L23" i="48"/>
  <c r="M78" i="48"/>
  <c r="M79" i="48" s="1"/>
  <c r="M80" i="48" s="1"/>
  <c r="M81" i="48" s="1"/>
  <c r="M82" i="48" s="1"/>
  <c r="M83" i="48" s="1"/>
  <c r="M84" i="48" s="1"/>
  <c r="M85" i="48" s="1"/>
  <c r="M86" i="48" s="1"/>
  <c r="M87" i="48" s="1"/>
  <c r="M88" i="48" s="1"/>
  <c r="M89" i="48" s="1"/>
  <c r="M90" i="48" s="1"/>
  <c r="M91" i="48" s="1"/>
  <c r="M92" i="48" s="1"/>
  <c r="M93" i="48" s="1"/>
  <c r="M94" i="48" s="1"/>
  <c r="M95" i="48" s="1"/>
  <c r="M96" i="48" s="1"/>
  <c r="M97" i="48" s="1"/>
  <c r="M98" i="48" s="1"/>
  <c r="M99" i="48" s="1"/>
  <c r="M47" i="48"/>
  <c r="M48" i="48" s="1"/>
  <c r="M49" i="48" s="1"/>
  <c r="M50" i="48" s="1"/>
  <c r="M51" i="48" s="1"/>
  <c r="M52" i="48" s="1"/>
  <c r="M53" i="48" s="1"/>
  <c r="M54" i="48" s="1"/>
  <c r="M55" i="48" s="1"/>
  <c r="M56" i="48" s="1"/>
  <c r="M57" i="48" s="1"/>
  <c r="M58" i="48" s="1"/>
  <c r="M59" i="48" s="1"/>
  <c r="M60" i="48" s="1"/>
  <c r="M61" i="48" s="1"/>
  <c r="M62" i="48" s="1"/>
  <c r="M63" i="48" s="1"/>
  <c r="M64" i="48" s="1"/>
  <c r="M65" i="48" s="1"/>
  <c r="M66" i="48" s="1"/>
  <c r="M67" i="48" s="1"/>
  <c r="M68" i="48" s="1"/>
  <c r="L14"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N46" i="48"/>
  <c r="N14" i="48" s="1"/>
  <c r="M13" i="64"/>
  <c r="E15" i="64"/>
  <c r="E51" i="64" s="1"/>
  <c r="F73" i="21" s="1"/>
  <c r="M14" i="4"/>
  <c r="M15" i="64" s="1"/>
  <c r="N78" i="48" l="1"/>
  <c r="N72" i="21"/>
  <c r="E15" i="21"/>
  <c r="H16" i="64"/>
  <c r="H52" i="64" s="1"/>
  <c r="I74" i="21" s="1"/>
  <c r="N79" i="48"/>
  <c r="M50" i="64"/>
  <c r="K15" i="64"/>
  <c r="K51" i="64" s="1"/>
  <c r="L73" i="21" s="1"/>
  <c r="G19" i="64"/>
  <c r="G55" i="64" s="1"/>
  <c r="H77" i="21" s="1"/>
  <c r="L16" i="64"/>
  <c r="L52" i="64" s="1"/>
  <c r="M74" i="21" s="1"/>
  <c r="E16" i="64"/>
  <c r="E52" i="64" s="1"/>
  <c r="F74" i="21" s="1"/>
  <c r="M15" i="4"/>
  <c r="M16" i="64" s="1"/>
  <c r="M15" i="48"/>
  <c r="N47" i="48"/>
  <c r="N15" i="48" s="1"/>
  <c r="F15" i="64"/>
  <c r="F51" i="64" s="1"/>
  <c r="G73" i="21" s="1"/>
  <c r="J16" i="64"/>
  <c r="J52" i="64" s="1"/>
  <c r="K74" i="21" s="1"/>
  <c r="I16" i="64"/>
  <c r="I52" i="64" s="1"/>
  <c r="J74" i="21" s="1"/>
  <c r="N73" i="21" l="1"/>
  <c r="E16" i="21"/>
  <c r="F16" i="64"/>
  <c r="F52" i="64" s="1"/>
  <c r="G74" i="21" s="1"/>
  <c r="M51" i="64"/>
  <c r="G20" i="64"/>
  <c r="G56" i="64" s="1"/>
  <c r="H78" i="21" s="1"/>
  <c r="L17" i="64"/>
  <c r="L53" i="64" s="1"/>
  <c r="M75" i="21" s="1"/>
  <c r="K16" i="64"/>
  <c r="K52" i="64" s="1"/>
  <c r="L74" i="21" s="1"/>
  <c r="N74" i="21" s="1"/>
  <c r="I17" i="64"/>
  <c r="I53" i="64" s="1"/>
  <c r="J75" i="21" s="1"/>
  <c r="J17" i="64"/>
  <c r="J53" i="64" s="1"/>
  <c r="K75" i="21" s="1"/>
  <c r="M16" i="48"/>
  <c r="N48" i="48"/>
  <c r="N16" i="48" s="1"/>
  <c r="M16" i="4"/>
  <c r="M17" i="64" s="1"/>
  <c r="E17" i="64"/>
  <c r="E53" i="64" s="1"/>
  <c r="F75" i="21" s="1"/>
  <c r="N80" i="48"/>
  <c r="H17" i="64"/>
  <c r="H53" i="64" s="1"/>
  <c r="I75" i="21" s="1"/>
  <c r="E17" i="21" l="1"/>
  <c r="E18" i="64"/>
  <c r="E54" i="64" s="1"/>
  <c r="F76" i="21" s="1"/>
  <c r="N49" i="48"/>
  <c r="N17" i="48" s="1"/>
  <c r="M17" i="48"/>
  <c r="G21" i="64"/>
  <c r="G57" i="64" s="1"/>
  <c r="H79" i="21" s="1"/>
  <c r="N81" i="48"/>
  <c r="I18" i="64"/>
  <c r="I54" i="64" s="1"/>
  <c r="J76" i="21" s="1"/>
  <c r="L18" i="64"/>
  <c r="L54" i="64" s="1"/>
  <c r="M76" i="21" s="1"/>
  <c r="F17" i="64"/>
  <c r="F53" i="64" s="1"/>
  <c r="G75" i="21" s="1"/>
  <c r="M17" i="4"/>
  <c r="J18" i="64"/>
  <c r="J54" i="64" s="1"/>
  <c r="K76" i="21" s="1"/>
  <c r="K17" i="64"/>
  <c r="K53" i="64" s="1"/>
  <c r="L75" i="21" s="1"/>
  <c r="H18" i="64"/>
  <c r="H54" i="64" s="1"/>
  <c r="I76" i="21" s="1"/>
  <c r="M52" i="64"/>
  <c r="N75" i="21" l="1"/>
  <c r="E18" i="21"/>
  <c r="M53" i="64"/>
  <c r="M18" i="64"/>
  <c r="H19" i="64"/>
  <c r="H55" i="64" s="1"/>
  <c r="I77" i="21" s="1"/>
  <c r="N50" i="48"/>
  <c r="N18" i="48" s="1"/>
  <c r="M18" i="48"/>
  <c r="I19" i="64"/>
  <c r="I55" i="64" s="1"/>
  <c r="J77" i="21" s="1"/>
  <c r="K18" i="64"/>
  <c r="K54" i="64" s="1"/>
  <c r="L76" i="21" s="1"/>
  <c r="J19" i="64"/>
  <c r="J55" i="64" s="1"/>
  <c r="K77" i="21" s="1"/>
  <c r="L19" i="64"/>
  <c r="L55" i="64" s="1"/>
  <c r="M77" i="21" s="1"/>
  <c r="F18" i="64"/>
  <c r="F54" i="64" s="1"/>
  <c r="N82" i="48"/>
  <c r="G22" i="64"/>
  <c r="G58" i="64" s="1"/>
  <c r="H80" i="21" s="1"/>
  <c r="M18" i="4"/>
  <c r="M19" i="64" s="1"/>
  <c r="E19" i="64"/>
  <c r="E55" i="64" s="1"/>
  <c r="F77" i="21" s="1"/>
  <c r="M54" i="64" l="1"/>
  <c r="G76" i="21"/>
  <c r="N76" i="21" s="1"/>
  <c r="E19" i="21"/>
  <c r="L20" i="64"/>
  <c r="L56" i="64" s="1"/>
  <c r="M78" i="21" s="1"/>
  <c r="G23" i="64"/>
  <c r="G59" i="64" s="1"/>
  <c r="H81" i="21" s="1"/>
  <c r="H82" i="21" s="1"/>
  <c r="H109" i="21" s="1"/>
  <c r="H112" i="21" s="1"/>
  <c r="G24" i="4"/>
  <c r="F19" i="64"/>
  <c r="F55" i="64" s="1"/>
  <c r="G77" i="21" s="1"/>
  <c r="M19" i="4"/>
  <c r="M20" i="64" s="1"/>
  <c r="M19" i="48"/>
  <c r="N51" i="48"/>
  <c r="N19" i="48" s="1"/>
  <c r="E20" i="64"/>
  <c r="E56" i="64" s="1"/>
  <c r="F78" i="21" s="1"/>
  <c r="J20" i="64"/>
  <c r="J56" i="64" s="1"/>
  <c r="K78" i="21" s="1"/>
  <c r="H20" i="64"/>
  <c r="H56" i="64" s="1"/>
  <c r="I78" i="21" s="1"/>
  <c r="K19" i="64"/>
  <c r="K55" i="64" s="1"/>
  <c r="L77" i="21" s="1"/>
  <c r="I20" i="64"/>
  <c r="I56" i="64" s="1"/>
  <c r="J78" i="21" s="1"/>
  <c r="N83" i="48"/>
  <c r="G60" i="64" l="1"/>
  <c r="N77" i="21"/>
  <c r="H129" i="21"/>
  <c r="H125" i="21"/>
  <c r="H121" i="21"/>
  <c r="H119" i="21"/>
  <c r="H130" i="21"/>
  <c r="H128" i="21"/>
  <c r="H124" i="21"/>
  <c r="H120" i="21"/>
  <c r="H127" i="21"/>
  <c r="H123" i="21"/>
  <c r="H126" i="21"/>
  <c r="H122" i="21"/>
  <c r="M55" i="64"/>
  <c r="E20" i="21"/>
  <c r="N84" i="48"/>
  <c r="I21" i="64"/>
  <c r="I57" i="64" s="1"/>
  <c r="J79" i="21" s="1"/>
  <c r="K20" i="64"/>
  <c r="K56" i="64" s="1"/>
  <c r="L78" i="21" s="1"/>
  <c r="H21" i="64"/>
  <c r="H57" i="64" s="1"/>
  <c r="I79" i="21" s="1"/>
  <c r="M20" i="48"/>
  <c r="N52" i="48"/>
  <c r="N20" i="48" s="1"/>
  <c r="F20" i="64"/>
  <c r="F56" i="64" s="1"/>
  <c r="G78" i="21" s="1"/>
  <c r="J21" i="64"/>
  <c r="J57" i="64" s="1"/>
  <c r="K79" i="21" s="1"/>
  <c r="M20" i="4"/>
  <c r="M21" i="64" s="1"/>
  <c r="E21" i="64"/>
  <c r="E57" i="64" s="1"/>
  <c r="F79" i="21" s="1"/>
  <c r="L21" i="64"/>
  <c r="L57" i="64" s="1"/>
  <c r="M79" i="21" s="1"/>
  <c r="N78" i="21" l="1"/>
  <c r="H131" i="21"/>
  <c r="H13" i="21"/>
  <c r="E21" i="21"/>
  <c r="E22" i="64"/>
  <c r="E58" i="64" s="1"/>
  <c r="F80" i="21" s="1"/>
  <c r="E24" i="4"/>
  <c r="N53" i="48"/>
  <c r="N21" i="48" s="1"/>
  <c r="M21" i="48"/>
  <c r="K21" i="64"/>
  <c r="K57" i="64" s="1"/>
  <c r="L79" i="21" s="1"/>
  <c r="M56" i="64"/>
  <c r="N85" i="48"/>
  <c r="H22" i="64"/>
  <c r="H58" i="64" s="1"/>
  <c r="I80" i="21" s="1"/>
  <c r="L22" i="64"/>
  <c r="L58" i="64" s="1"/>
  <c r="M80" i="21" s="1"/>
  <c r="J22" i="64"/>
  <c r="J58" i="64" s="1"/>
  <c r="K80" i="21" s="1"/>
  <c r="F21" i="64"/>
  <c r="F57" i="64" s="1"/>
  <c r="G79" i="21" s="1"/>
  <c r="I22" i="64"/>
  <c r="I58" i="64" s="1"/>
  <c r="J80" i="21" s="1"/>
  <c r="N79" i="21" l="1"/>
  <c r="E22" i="21"/>
  <c r="H14" i="21"/>
  <c r="H15" i="21" s="1"/>
  <c r="H16" i="21" s="1"/>
  <c r="H17" i="21" s="1"/>
  <c r="H18" i="21" s="1"/>
  <c r="H19" i="21" s="1"/>
  <c r="H20" i="21" s="1"/>
  <c r="H21" i="21" s="1"/>
  <c r="H22" i="21" s="1"/>
  <c r="H23" i="21" s="1"/>
  <c r="N86" i="48"/>
  <c r="M22" i="48"/>
  <c r="N54" i="48"/>
  <c r="N22" i="48" s="1"/>
  <c r="F22" i="64"/>
  <c r="F58" i="64" s="1"/>
  <c r="G80" i="21" s="1"/>
  <c r="H23" i="64"/>
  <c r="H59" i="64" s="1"/>
  <c r="I81" i="21" s="1"/>
  <c r="I82" i="21" s="1"/>
  <c r="I109" i="21" s="1"/>
  <c r="I112" i="21" s="1"/>
  <c r="H24" i="4"/>
  <c r="E23" i="64"/>
  <c r="E59" i="64" s="1"/>
  <c r="F81" i="21" s="1"/>
  <c r="K22" i="64"/>
  <c r="K58" i="64" s="1"/>
  <c r="L80" i="21" s="1"/>
  <c r="N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K126" i="21" l="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N87" i="48"/>
  <c r="J60" i="64"/>
  <c r="E60" i="64"/>
  <c r="H60" i="64"/>
  <c r="K23" i="64"/>
  <c r="K59" i="64" s="1"/>
  <c r="L81" i="21" s="1"/>
  <c r="L82" i="21" s="1"/>
  <c r="L109" i="21" s="1"/>
  <c r="L112" i="21" s="1"/>
  <c r="K24" i="4"/>
  <c r="L60" i="64"/>
  <c r="I60" i="64"/>
  <c r="M58" i="64"/>
  <c r="M23" i="48"/>
  <c r="N55" i="48"/>
  <c r="N23" i="48" s="1"/>
  <c r="G125" i="21" l="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N88" i="48"/>
  <c r="F60" i="64"/>
  <c r="N56" i="48"/>
  <c r="N24" i="48" s="1"/>
  <c r="M24" i="48"/>
  <c r="J14" i="21" l="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K136" i="1"/>
  <c r="M25" i="48"/>
  <c r="N57" i="48"/>
  <c r="N25" i="48" s="1"/>
  <c r="N89" i="48"/>
  <c r="M25" i="21" l="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8" i="1"/>
  <c r="K139" i="1"/>
  <c r="N90" i="48"/>
  <c r="M26" i="48"/>
  <c r="N58" i="48"/>
  <c r="N26" i="48" s="1"/>
  <c r="H89" i="44" l="1"/>
  <c r="F131" i="21"/>
  <c r="F13" i="21"/>
  <c r="N119" i="21"/>
  <c r="N131" i="21" s="1"/>
  <c r="G25" i="21"/>
  <c r="L25" i="21"/>
  <c r="K141" i="1"/>
  <c r="M27" i="48"/>
  <c r="N59" i="48"/>
  <c r="N27" i="48" s="1"/>
  <c r="N91" i="48"/>
  <c r="C6" i="9" l="1"/>
  <c r="F14" i="21"/>
  <c r="N13" i="21"/>
  <c r="K146" i="1"/>
  <c r="N92" i="48"/>
  <c r="M28" i="48"/>
  <c r="N60" i="48"/>
  <c r="N28" i="48" s="1"/>
  <c r="F15" i="21" l="1"/>
  <c r="N14" i="21"/>
  <c r="N93" i="48"/>
  <c r="M29" i="48"/>
  <c r="N61" i="48"/>
  <c r="N29" i="48" s="1"/>
  <c r="F16" i="21" l="1"/>
  <c r="N15" i="21"/>
  <c r="M30" i="48"/>
  <c r="N62" i="48"/>
  <c r="N30" i="48" s="1"/>
  <c r="N94" i="48"/>
  <c r="F17" i="21" l="1"/>
  <c r="N16" i="21"/>
  <c r="N63" i="48"/>
  <c r="N31" i="48" s="1"/>
  <c r="M31" i="48"/>
  <c r="N95" i="48"/>
  <c r="F18" i="21" l="1"/>
  <c r="N17" i="21"/>
  <c r="N96" i="48"/>
  <c r="N64" i="48"/>
  <c r="N32" i="48" s="1"/>
  <c r="M32" i="48"/>
  <c r="F19" i="21" l="1"/>
  <c r="N18" i="21"/>
  <c r="N65" i="48"/>
  <c r="N33" i="48" s="1"/>
  <c r="M33" i="48"/>
  <c r="N97" i="48"/>
  <c r="F20" i="21" l="1"/>
  <c r="N19" i="21"/>
  <c r="M34" i="48"/>
  <c r="N66" i="48"/>
  <c r="N34" i="48" s="1"/>
  <c r="N98" i="48"/>
  <c r="N99" i="48"/>
  <c r="F21" i="21" l="1"/>
  <c r="N20" i="21"/>
  <c r="M35" i="48"/>
  <c r="N67" i="48"/>
  <c r="N35" i="48" s="1"/>
  <c r="F22" i="21" l="1"/>
  <c r="N21" i="21"/>
  <c r="M36" i="48"/>
  <c r="N68" i="48"/>
  <c r="N36" i="48" s="1"/>
  <c r="N37" i="48" s="1"/>
  <c r="D78" i="7" s="1"/>
  <c r="D80" i="7" s="1"/>
  <c r="D86" i="7" s="1"/>
  <c r="F23" i="21" l="1"/>
  <c r="N22" i="21"/>
  <c r="D88" i="7"/>
  <c r="D89" i="7"/>
  <c r="H90" i="44" s="1"/>
  <c r="H91" i="44" s="1"/>
  <c r="H93" i="44" s="1"/>
  <c r="K155" i="1" s="1"/>
  <c r="N23" i="21" l="1"/>
  <c r="F25" i="21"/>
  <c r="N25" i="21" s="1"/>
  <c r="D91" i="7"/>
  <c r="K147" i="1" s="1"/>
  <c r="C7" i="9" l="1"/>
  <c r="J18" i="8"/>
  <c r="J21" i="8" l="1"/>
  <c r="J29" i="8" l="1"/>
  <c r="J34" i="8" l="1"/>
  <c r="J41" i="8"/>
  <c r="J38" i="8"/>
  <c r="F90" i="12"/>
  <c r="F92" i="12" s="1"/>
  <c r="F94" i="12" s="1"/>
  <c r="F98" i="12" s="1"/>
  <c r="F101" i="12" s="1"/>
  <c r="J56" i="8" l="1"/>
  <c r="J55" i="8"/>
  <c r="J59" i="8" l="1"/>
  <c r="J63" i="8" l="1"/>
  <c r="E67" i="8" l="1"/>
  <c r="E69" i="8" l="1"/>
  <c r="E71" i="8"/>
  <c r="E72"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s="1"/>
  <c r="E43" i="65" s="1"/>
  <c r="E44" i="65" s="1"/>
  <c r="K148" i="1" s="1"/>
  <c r="C8" i="9" l="1"/>
  <c r="C10" i="9" s="1"/>
  <c r="K151" i="1"/>
  <c r="K154" i="1" l="1"/>
  <c r="D4" i="53"/>
  <c r="D17" i="53" l="1"/>
  <c r="L17" i="53" s="1"/>
  <c r="D13" i="53"/>
  <c r="D25" i="53"/>
  <c r="L25" i="53" s="1"/>
  <c r="D26" i="53"/>
  <c r="D12" i="53"/>
  <c r="D24" i="53"/>
  <c r="L24" i="53" s="1"/>
  <c r="D21" i="53"/>
  <c r="D18" i="53"/>
  <c r="D19" i="53"/>
  <c r="D22" i="53"/>
  <c r="D16" i="53"/>
  <c r="L16" i="53" s="1"/>
  <c r="D15" i="53"/>
  <c r="D20" i="53"/>
  <c r="D23" i="53"/>
  <c r="K156" i="1"/>
  <c r="L23" i="53" l="1"/>
  <c r="C38" i="53"/>
  <c r="E38" i="53" s="1"/>
  <c r="I56" i="53" s="1"/>
  <c r="E56" i="53" s="1"/>
  <c r="C37" i="53"/>
  <c r="E37" i="53" s="1"/>
  <c r="I55" i="53" s="1"/>
  <c r="E55" i="53" s="1"/>
  <c r="L22" i="53"/>
  <c r="K13" i="53"/>
  <c r="M14" i="53" s="1"/>
  <c r="L19" i="53"/>
  <c r="H37" i="53"/>
  <c r="J37" i="53" s="1"/>
  <c r="D28" i="53"/>
  <c r="K12" i="53"/>
  <c r="D46" i="53"/>
  <c r="B4" i="31"/>
  <c r="D18" i="31" s="1"/>
  <c r="K15" i="53"/>
  <c r="D48" i="53"/>
  <c r="H36" i="53"/>
  <c r="J36" i="53" s="1"/>
  <c r="L18" i="53"/>
  <c r="D59" i="53"/>
  <c r="K26" i="53"/>
  <c r="L21" i="53"/>
  <c r="C36" i="53"/>
  <c r="E36" i="53" s="1"/>
  <c r="I54" i="53" s="1"/>
  <c r="H38" i="53"/>
  <c r="J38" i="53" s="1"/>
  <c r="L20" i="53"/>
  <c r="H54" i="53" l="1"/>
  <c r="D51" i="53"/>
  <c r="D54" i="53"/>
  <c r="D55" i="53"/>
  <c r="C55" i="53" s="1"/>
  <c r="D52" i="53"/>
  <c r="H55" i="53"/>
  <c r="D53" i="53"/>
  <c r="H56" i="53"/>
  <c r="D56" i="53"/>
  <c r="C56" i="53" s="1"/>
  <c r="G48" i="53"/>
  <c r="C48" i="53"/>
  <c r="G46" i="53"/>
  <c r="C46" i="53"/>
  <c r="G59" i="53"/>
  <c r="C59" i="53"/>
  <c r="I50" i="53"/>
  <c r="E50" i="53" s="1"/>
  <c r="D50" i="53" s="1"/>
  <c r="I57" i="53"/>
  <c r="I49" i="53"/>
  <c r="E49" i="53" s="1"/>
  <c r="D49" i="53" s="1"/>
  <c r="I58" i="53"/>
  <c r="E58" i="53" s="1"/>
  <c r="D58" i="53" s="1"/>
  <c r="E54" i="53"/>
  <c r="E18" i="31"/>
  <c r="E20" i="31" s="1"/>
  <c r="F18" i="31"/>
  <c r="F20" i="31" s="1"/>
  <c r="D20" i="31"/>
  <c r="N14" i="53"/>
  <c r="L14" i="53" s="1"/>
  <c r="I47" i="53" s="1"/>
  <c r="E47" i="53" s="1"/>
  <c r="H47" i="53" s="1"/>
  <c r="H51" i="53" l="1"/>
  <c r="C51" i="53"/>
  <c r="H58" i="53"/>
  <c r="C58" i="53"/>
  <c r="C49" i="53"/>
  <c r="H49" i="53"/>
  <c r="H53" i="53"/>
  <c r="C53" i="53"/>
  <c r="C54" i="53"/>
  <c r="K57" i="53"/>
  <c r="E57" i="53"/>
  <c r="D57" i="53" s="1"/>
  <c r="D47" i="53"/>
  <c r="H50" i="53"/>
  <c r="C50" i="53"/>
  <c r="H52" i="53"/>
  <c r="C52" i="53"/>
  <c r="E61" i="53" l="1"/>
  <c r="B8" i="31" s="1"/>
  <c r="F24" i="31" s="1"/>
  <c r="F27" i="31" s="1"/>
  <c r="E12" i="32" s="1"/>
  <c r="E14" i="32" s="1"/>
  <c r="H57" i="53"/>
  <c r="J57" i="53" s="1"/>
  <c r="C57" i="53"/>
  <c r="G47" i="53"/>
  <c r="C47" i="53"/>
  <c r="D61" i="53"/>
  <c r="E24" i="31" l="1"/>
  <c r="E27" i="31" s="1"/>
  <c r="E26" i="32" s="1"/>
  <c r="E28" i="32" s="1"/>
  <c r="D24" i="31"/>
  <c r="D27" i="31" s="1"/>
  <c r="C61" i="53"/>
  <c r="E20" i="32" l="1"/>
  <c r="E22" i="32" s="1"/>
  <c r="G123" i="61" l="1"/>
  <c r="G129" i="61" s="1"/>
  <c r="G50" i="61" l="1"/>
  <c r="G67" i="61" s="1"/>
  <c r="G203" i="61" s="1"/>
  <c r="I67" i="61"/>
  <c r="I203" i="61" s="1"/>
</calcChain>
</file>

<file path=xl/sharedStrings.xml><?xml version="1.0" encoding="utf-8"?>
<sst xmlns="http://schemas.openxmlformats.org/spreadsheetml/2006/main" count="6572" uniqueCount="2910">
  <si>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</si>
  <si>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</si>
  <si>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</si>
  <si>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</si>
  <si>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</si>
  <si>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</si>
  <si>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</si>
  <si>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</si>
  <si>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</si>
  <si>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</si>
  <si>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</si>
  <si>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</si>
  <si>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</si>
  <si>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</si>
  <si>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</si>
  <si>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</si>
  <si>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</si>
  <si>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</si>
  <si>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</si>
  <si>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</si>
  <si>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</si>
  <si>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</si>
  <si>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</si>
  <si>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</si>
  <si>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</si>
  <si>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</si>
  <si>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</si>
  <si>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</si>
  <si>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</si>
  <si>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</si>
  <si>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</si>
  <si>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</si>
  <si>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</si>
  <si>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</si>
  <si>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</si>
  <si>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</si>
  <si>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</si>
  <si>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</si>
  <si>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</si>
  <si>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</si>
  <si>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</si>
  <si>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</si>
  <si>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</si>
  <si>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</si>
  <si>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</si>
  <si>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</si>
  <si>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</si>
  <si>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</si>
  <si>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</si>
  <si>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</si>
  <si>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</si>
  <si>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</si>
  <si>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</si>
  <si>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</si>
  <si>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</si>
  <si>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</si>
  <si>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</si>
  <si>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</si>
  <si>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</si>
  <si>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</si>
  <si>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</si>
  <si>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</si>
  <si>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</si>
  <si>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</si>
  <si>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</si>
  <si>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</si>
  <si>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</si>
  <si>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</si>
  <si>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</si>
  <si>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</si>
  <si>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</si>
  <si>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</si>
  <si>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</si>
  <si>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</si>
  <si>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</si>
  <si>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</si>
  <si>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</si>
  <si>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</si>
  <si>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</si>
  <si>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</si>
  <si>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</si>
  <si>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</si>
  <si>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</si>
  <si>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</si>
  <si>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</si>
  <si>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</si>
  <si>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</si>
  <si>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</si>
  <si>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</si>
  <si>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</si>
  <si>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</si>
  <si>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</si>
  <si>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</si>
  <si>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</si>
  <si>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</si>
  <si>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</si>
  <si>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</si>
  <si>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</si>
  <si>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</si>
  <si>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</si>
  <si>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</si>
  <si>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</si>
  <si>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</si>
  <si>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</si>
  <si>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</si>
  <si>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</si>
  <si>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</si>
  <si>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</si>
  <si>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</si>
  <si>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</si>
  <si>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</si>
  <si>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</si>
  <si>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</si>
  <si>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</si>
  <si>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</si>
  <si>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</si>
  <si>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</si>
  <si>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</si>
  <si>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</si>
  <si>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</si>
  <si>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</si>
  <si>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</si>
  <si>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</si>
  <si>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</si>
  <si>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</si>
  <si>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</si>
  <si>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</si>
  <si>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</si>
  <si>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</si>
  <si>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</si>
  <si>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</si>
  <si>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</si>
  <si>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</si>
  <si>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</si>
  <si>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</si>
  <si>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</si>
  <si>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</si>
  <si>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</si>
  <si>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</si>
  <si>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</si>
  <si>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</si>
  <si>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</si>
  <si>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</si>
  <si>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</si>
  <si>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</si>
  <si>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</si>
  <si>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</si>
  <si>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</si>
  <si>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</si>
  <si>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</si>
  <si>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</si>
  <si>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</si>
  <si>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</si>
  <si>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</si>
  <si>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</si>
  <si>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</si>
  <si>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</si>
  <si>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</si>
  <si>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</si>
  <si>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</si>
  <si>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</si>
  <si>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</si>
  <si>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</si>
  <si>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</si>
  <si>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</si>
  <si>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</si>
  <si>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</si>
  <si>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</si>
  <si>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</si>
  <si>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</si>
  <si>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</si>
  <si>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</si>
  <si>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</si>
  <si>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</si>
  <si>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</si>
  <si>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</si>
  <si>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</si>
  <si>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</si>
  <si>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</si>
  <si>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</si>
  <si>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</si>
  <si>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</si>
  <si>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</si>
  <si>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</si>
  <si>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</si>
  <si>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</si>
  <si>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</si>
  <si>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</si>
  <si>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</si>
  <si>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</si>
  <si>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</si>
  <si>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</si>
  <si>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</si>
  <si>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</si>
  <si>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</si>
  <si>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</si>
  <si>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</si>
  <si>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</si>
  <si>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</si>
  <si>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</si>
  <si>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</si>
  <si>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</si>
  <si>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</si>
  <si>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</si>
  <si>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</si>
  <si>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</si>
  <si>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</si>
  <si>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</si>
  <si>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</si>
  <si>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</si>
  <si>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</si>
  <si>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</si>
  <si>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</si>
  <si>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</si>
  <si>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</si>
  <si>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</si>
  <si>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</si>
  <si>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</si>
  <si>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</si>
  <si>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</si>
  <si>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</si>
  <si>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</si>
  <si>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</si>
  <si>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</si>
  <si>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</si>
  <si>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</si>
  <si>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</si>
  <si>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</si>
  <si>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</si>
  <si>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</si>
  <si>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</si>
  <si>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</si>
  <si>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</si>
  <si>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</si>
  <si>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</si>
  <si>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</si>
  <si>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</si>
  <si>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</si>
  <si>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</si>
  <si>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</si>
  <si>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</si>
  <si>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</si>
  <si>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</si>
  <si>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</si>
  <si>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</si>
  <si>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</si>
  <si>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</si>
  <si>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</si>
  <si>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</si>
  <si>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</si>
  <si>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</si>
  <si>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</si>
  <si>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</si>
  <si>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</si>
  <si>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</si>
  <si>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</si>
  <si>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</si>
  <si>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</si>
  <si>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</si>
  <si>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</si>
  <si>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</si>
  <si>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</si>
  <si>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</si>
  <si>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</si>
  <si>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</si>
  <si>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</si>
  <si>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</si>
  <si>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</si>
  <si>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</si>
  <si>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</si>
  <si>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</si>
  <si>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</si>
  <si>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</si>
  <si>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</si>
  <si>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</si>
  <si>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</si>
  <si>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</si>
  <si>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</si>
  <si>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</si>
  <si>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</si>
  <si>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</si>
  <si>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</si>
  <si>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</si>
  <si>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</si>
  <si>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</si>
  <si>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</si>
  <si>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</si>
  <si>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</si>
  <si>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</si>
  <si>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</si>
  <si>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</si>
  <si>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</si>
  <si>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</si>
  <si>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</si>
  <si>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</si>
  <si>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</si>
  <si>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</si>
  <si>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</si>
  <si>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</si>
  <si>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</si>
  <si>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</si>
  <si>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</si>
  <si>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</si>
  <si>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</si>
  <si>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</si>
  <si>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</si>
  <si>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</si>
  <si>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</si>
  <si>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</si>
  <si>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</si>
  <si>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</si>
  <si>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</si>
  <si>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</si>
  <si>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</si>
  <si>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</si>
  <si>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</si>
  <si>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</si>
  <si>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</si>
  <si>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</si>
  <si>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</si>
  <si>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</si>
  <si>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</si>
  <si>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</si>
  <si>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</si>
  <si>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</si>
  <si>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</si>
  <si>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</si>
  <si>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</si>
  <si>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</si>
  <si>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</si>
  <si>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</si>
  <si>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</si>
  <si>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</si>
  <si>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</si>
  <si>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</si>
  <si>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</si>
  <si>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</si>
  <si>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</si>
  <si>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</si>
  <si>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</si>
  <si>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</si>
  <si>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</si>
  <si>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</si>
  <si>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</si>
  <si>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</si>
  <si>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</si>
  <si>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</si>
  <si>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</si>
  <si>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</si>
  <si>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</si>
  <si>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</si>
  <si>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</si>
  <si>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</si>
  <si>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</si>
  <si>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</si>
  <si>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</si>
  <si>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</si>
  <si>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</si>
  <si>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</si>
  <si>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</si>
  <si>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</si>
  <si>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</si>
  <si>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</si>
  <si>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</si>
  <si>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</si>
  <si>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</si>
  <si>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</si>
  <si>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</si>
  <si>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</si>
  <si>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</si>
  <si>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</si>
  <si>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</si>
  <si>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</si>
  <si>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</si>
  <si>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</si>
  <si>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</si>
  <si>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</si>
  <si>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</si>
  <si>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</si>
  <si>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</si>
  <si>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</si>
  <si>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</si>
  <si>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</si>
  <si>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</si>
  <si>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</si>
  <si>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</si>
  <si>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</si>
  <si>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</si>
  <si>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</si>
  <si>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</si>
  <si>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</si>
  <si>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</si>
  <si>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</si>
  <si>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</si>
  <si>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</si>
  <si>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</si>
  <si>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</si>
  <si>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</si>
  <si>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</si>
  <si>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</si>
  <si>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</si>
  <si>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</si>
  <si>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</si>
  <si>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</si>
  <si>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</si>
  <si>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</si>
  <si>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</si>
  <si>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</si>
  <si>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</si>
  <si>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</si>
  <si>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</si>
  <si>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</si>
  <si>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</si>
  <si>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</si>
  <si>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</si>
  <si>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</si>
  <si>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</si>
  <si>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</si>
  <si>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</si>
  <si>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</si>
  <si>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</si>
  <si>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</si>
  <si>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</si>
  <si>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</si>
  <si>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</si>
  <si>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</si>
  <si>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</si>
  <si>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</si>
  <si>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</si>
  <si>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</si>
  <si>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</si>
  <si>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</si>
  <si>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</si>
  <si>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</si>
  <si>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</si>
  <si>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</si>
  <si>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</si>
  <si>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</si>
  <si>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</si>
  <si>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</si>
  <si>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</si>
  <si>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</si>
  <si>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</si>
  <si>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</si>
  <si>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</si>
  <si>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</si>
  <si>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</si>
  <si>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</si>
  <si>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</si>
  <si>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</si>
  <si>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</si>
  <si>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</si>
  <si>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</si>
  <si>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</si>
  <si>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</si>
  <si>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</si>
  <si>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</si>
  <si>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</si>
  <si>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</si>
  <si>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</si>
  <si>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</si>
  <si>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</si>
  <si>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</si>
  <si>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</si>
  <si>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</si>
  <si>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</si>
  <si>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</si>
  <si>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</si>
  <si>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</si>
  <si>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</si>
  <si>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</si>
  <si>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</si>
  <si>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</si>
  <si>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</si>
  <si>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</si>
  <si>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</si>
  <si>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</si>
  <si>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</si>
  <si>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</si>
  <si>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</si>
  <si>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</si>
  <si>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</si>
  <si>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</si>
  <si>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</si>
  <si>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</si>
  <si>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</si>
  <si>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</si>
  <si>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</si>
  <si>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</si>
  <si>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</si>
  <si>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</si>
  <si>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</si>
  <si>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</si>
  <si>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</si>
  <si>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</si>
  <si>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</si>
  <si>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</si>
  <si>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</si>
  <si>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</si>
  <si>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</si>
  <si>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</si>
  <si>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</si>
  <si>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</si>
  <si>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</si>
  <si>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</si>
  <si>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</si>
  <si>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</si>
  <si>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</si>
  <si>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</si>
  <si>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</si>
  <si>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</si>
  <si>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</si>
  <si>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</si>
  <si>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</si>
  <si>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</si>
  <si>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</si>
  <si>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</si>
  <si>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</si>
  <si>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</si>
  <si>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</si>
  <si>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</si>
  <si>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</si>
  <si>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</si>
  <si>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</si>
  <si>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</si>
  <si>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</si>
  <si>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</si>
  <si>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</si>
  <si>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</si>
  <si>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</si>
  <si>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</si>
  <si>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</si>
  <si>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</si>
  <si>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</si>
  <si>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</si>
  <si>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</si>
  <si>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</si>
  <si>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</si>
  <si>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</si>
  <si>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</si>
  <si>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</si>
  <si>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</si>
  <si>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</si>
  <si>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</si>
  <si>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</si>
  <si>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</si>
  <si>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</si>
  <si>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</si>
  <si>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</si>
  <si>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</si>
  <si>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</si>
  <si>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</si>
  <si>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</si>
  <si>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</si>
  <si>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</si>
  <si>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</si>
  <si>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</si>
  <si>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</si>
  <si>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</si>
  <si>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</si>
  <si>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</si>
  <si>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</si>
  <si>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</si>
  <si>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</si>
  <si>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</si>
  <si>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</si>
  <si>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</si>
  <si>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</si>
  <si>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</si>
  <si>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</si>
  <si>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</si>
  <si>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</si>
  <si>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</si>
  <si>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</si>
  <si>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</si>
  <si>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</si>
  <si>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</si>
  <si>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</si>
  <si>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</si>
  <si>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</si>
  <si>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</si>
  <si>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</si>
  <si>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</si>
  <si>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</si>
  <si>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</si>
  <si>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</si>
  <si>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</si>
  <si>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</si>
  <si>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</si>
  <si>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</si>
  <si>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</si>
  <si>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</si>
  <si>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</si>
  <si>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</si>
  <si>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</si>
  <si>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</si>
  <si>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</si>
  <si>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</si>
  <si>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</si>
  <si>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</si>
  <si>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</si>
  <si>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</si>
  <si>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</si>
  <si>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</si>
  <si>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</si>
  <si>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</si>
  <si>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</si>
  <si>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</si>
  <si>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</si>
  <si>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</si>
  <si>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</si>
  <si>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</si>
  <si>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</si>
  <si>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</si>
  <si>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</si>
  <si>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</si>
  <si>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</si>
  <si>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</si>
  <si>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</si>
  <si>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</si>
  <si>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</si>
  <si>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</si>
  <si>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</si>
  <si>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</si>
  <si>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</si>
  <si>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</si>
  <si>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</si>
  <si>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</si>
  <si>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</si>
  <si>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</si>
  <si>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</si>
  <si>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</si>
  <si>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</si>
  <si>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</si>
  <si>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</si>
  <si>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</si>
  <si>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</si>
  <si>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</si>
  <si>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</si>
  <si>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</si>
  <si>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</si>
  <si>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</si>
  <si>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</si>
  <si>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</si>
  <si>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</si>
  <si>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</si>
  <si>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</si>
  <si>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</si>
  <si>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</si>
  <si>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</si>
  <si>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</si>
  <si>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</si>
  <si>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</si>
  <si>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</si>
  <si>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</si>
  <si>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</si>
  <si>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</si>
  <si>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</si>
  <si>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</si>
  <si>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</si>
  <si>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</si>
  <si>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</si>
  <si>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</si>
  <si>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</si>
  <si>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</si>
  <si>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</si>
  <si>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</si>
  <si>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</si>
  <si>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</si>
  <si>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</si>
  <si>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</si>
  <si>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</si>
  <si>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</si>
  <si>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</si>
  <si>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</si>
  <si>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</si>
  <si>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</si>
  <si>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</si>
  <si>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</si>
  <si>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</si>
  <si>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</si>
  <si>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</si>
  <si>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</si>
  <si>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</si>
  <si>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</si>
  <si>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</si>
  <si>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</si>
  <si>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</si>
  <si>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</si>
  <si>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</si>
  <si>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</si>
  <si>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</si>
  <si>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</si>
  <si>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</si>
  <si>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</si>
  <si>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</si>
  <si>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</si>
  <si>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</si>
  <si>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</si>
  <si>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</si>
  <si>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</si>
  <si>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</si>
  <si>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</si>
  <si>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</si>
  <si>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</si>
  <si>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</si>
  <si>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</si>
  <si>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</si>
  <si>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</si>
  <si>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</si>
  <si>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</si>
  <si>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</si>
  <si>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</si>
  <si>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</si>
  <si>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</si>
  <si>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</si>
  <si>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</si>
  <si>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</si>
  <si>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</si>
  <si>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</si>
  <si>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</si>
  <si>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</si>
  <si>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</si>
  <si>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</si>
  <si>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</si>
  <si>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</si>
  <si>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</si>
  <si>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</si>
  <si>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</si>
  <si>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</si>
  <si>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</si>
  <si>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</si>
  <si>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</si>
  <si>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</si>
  <si>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</si>
  <si>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</si>
  <si>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</si>
  <si>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</si>
  <si>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</si>
  <si>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</si>
  <si>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</si>
  <si>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</si>
  <si>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</si>
  <si>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</si>
  <si>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</si>
  <si>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</si>
  <si>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</si>
  <si>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</si>
  <si>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</si>
  <si>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</si>
  <si>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</si>
  <si>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</si>
  <si>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</si>
  <si>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</si>
  <si>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</si>
  <si>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</si>
  <si>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</si>
  <si>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</si>
  <si>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</si>
  <si>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</si>
  <si>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</si>
  <si>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</si>
  <si>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</si>
  <si>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</si>
  <si>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</si>
  <si>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</si>
  <si>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</si>
  <si>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</si>
  <si>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</si>
  <si>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</si>
  <si>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</si>
  <si>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</si>
  <si>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</si>
  <si>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</si>
  <si>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</si>
  <si>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</si>
  <si>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</si>
  <si>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</si>
  <si>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</si>
  <si>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</si>
  <si>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</si>
  <si>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</si>
  <si>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</si>
  <si>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</si>
  <si>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</si>
  <si>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</si>
  <si>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</si>
  <si>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</si>
  <si>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</si>
  <si>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</si>
  <si>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</si>
  <si>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</si>
  <si>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</si>
  <si>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</si>
  <si>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</si>
  <si>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</si>
  <si>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</si>
  <si>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</si>
  <si>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</si>
  <si>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</si>
  <si>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</si>
  <si>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</si>
  <si>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</si>
  <si>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</si>
  <si>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</si>
  <si>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</si>
  <si>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</si>
  <si>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</si>
  <si>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</si>
  <si>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</si>
  <si>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</si>
  <si>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</si>
  <si>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</si>
  <si>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</si>
  <si>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</si>
  <si>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</si>
  <si>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</si>
  <si>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</si>
  <si>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</si>
  <si>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</si>
  <si>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</si>
  <si>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</si>
  <si>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</si>
  <si>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</si>
  <si>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</si>
  <si>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</si>
  <si>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</si>
  <si>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</si>
  <si>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</si>
  <si>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</si>
  <si>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</si>
  <si>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</si>
  <si>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</si>
  <si>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</si>
  <si>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</si>
  <si>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</si>
  <si>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</si>
  <si>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</si>
  <si>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</si>
  <si>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</si>
  <si>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</si>
  <si>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</si>
  <si>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</si>
  <si>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</si>
  <si>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</si>
  <si>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</si>
  <si>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</si>
  <si>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</si>
  <si>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</si>
  <si>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</si>
  <si>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</si>
  <si>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</si>
  <si>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</si>
  <si>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</si>
  <si>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</si>
  <si>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</si>
  <si>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</si>
  <si>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</si>
  <si>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</si>
  <si>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</si>
  <si>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</si>
  <si>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</si>
  <si>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</si>
  <si>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</si>
  <si>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</si>
  <si>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</si>
  <si>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</si>
  <si>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</si>
  <si>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</si>
  <si>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</si>
  <si>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</si>
  <si>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</si>
  <si>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</si>
  <si>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</si>
  <si>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</si>
  <si>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</si>
  <si>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</si>
  <si>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</si>
  <si>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</si>
  <si>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</si>
  <si>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</si>
  <si>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</si>
  <si>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</si>
  <si>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</si>
  <si>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</si>
  <si>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</si>
  <si>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</si>
  <si>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</si>
  <si>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</si>
  <si>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</si>
  <si>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</si>
  <si>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</si>
  <si>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</si>
  <si>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</si>
  <si>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</si>
  <si>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</si>
  <si>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</si>
  <si>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</si>
  <si>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</si>
  <si>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</si>
  <si>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</si>
  <si>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</si>
  <si>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</si>
  <si>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</si>
  <si>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</si>
  <si>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</si>
  <si>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</si>
  <si>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</si>
  <si>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</si>
  <si>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</si>
  <si>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</si>
  <si>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</si>
  <si>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</si>
  <si>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</si>
  <si>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</si>
  <si>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</si>
  <si>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</si>
  <si>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</si>
  <si>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</si>
  <si>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</si>
  <si>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</si>
  <si>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</si>
  <si>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</si>
  <si>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</si>
  <si>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</si>
  <si>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</si>
  <si>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</si>
  <si>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</si>
  <si>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</si>
  <si>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</si>
  <si>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</si>
  <si>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</si>
  <si>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</si>
  <si>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</si>
  <si>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</si>
  <si>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</si>
  <si>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</si>
  <si>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</si>
  <si>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</si>
  <si>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</si>
  <si>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</si>
  <si>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</si>
  <si>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</si>
  <si>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</si>
  <si>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</si>
  <si>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</si>
  <si>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</si>
  <si>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</si>
  <si>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</si>
  <si>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</si>
  <si>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</si>
  <si>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</si>
  <si>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</si>
  <si>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</si>
  <si>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</si>
  <si>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</si>
  <si>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</si>
  <si>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</si>
  <si>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</si>
  <si>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</si>
  <si>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</si>
  <si>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</si>
  <si>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</si>
  <si>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</si>
  <si>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</si>
  <si>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</si>
  <si>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</si>
  <si>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</si>
  <si>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</si>
  <si>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</si>
  <si>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</si>
  <si>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</si>
  <si>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</si>
  <si>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</si>
  <si>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</si>
  <si>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</si>
  <si>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</si>
  <si>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</si>
  <si>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</si>
  <si>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</si>
  <si>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</si>
  <si>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</si>
  <si>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</si>
  <si>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</si>
  <si>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</si>
  <si>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</si>
  <si>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</si>
  <si>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</si>
  <si>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</si>
  <si>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</si>
  <si>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</si>
  <si>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</si>
  <si>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</si>
  <si>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</si>
  <si>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</si>
  <si>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</si>
  <si>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</si>
  <si>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</si>
  <si>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</si>
  <si>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</si>
  <si>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</si>
  <si>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</si>
  <si>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</si>
  <si>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</si>
  <si>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</si>
  <si>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</si>
  <si>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</si>
  <si>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</si>
  <si>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</si>
  <si>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</si>
  <si>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</si>
  <si>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</si>
  <si>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</si>
  <si>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</si>
  <si>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</si>
  <si>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</si>
  <si>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</si>
  <si>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</si>
  <si>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</si>
  <si>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</si>
  <si>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</si>
  <si>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</si>
  <si>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</si>
  <si>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</si>
  <si>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</si>
  <si>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</si>
  <si>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</si>
  <si>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</si>
  <si>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</si>
  <si>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</si>
  <si>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</si>
  <si>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</si>
  <si>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</si>
  <si>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</si>
  <si>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</si>
  <si>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</si>
  <si>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</si>
  <si>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</si>
  <si>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</si>
  <si>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</si>
  <si>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</si>
  <si>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</si>
  <si>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</si>
  <si>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</si>
  <si>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</si>
  <si>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</si>
  <si>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</si>
  <si>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</si>
  <si>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</si>
  <si>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</si>
  <si>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</si>
  <si>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</si>
  <si>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</si>
  <si>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</si>
  <si>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</si>
  <si>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</si>
  <si>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</si>
  <si>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</si>
  <si>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</si>
  <si>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</si>
  <si>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</si>
  <si>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</si>
  <si>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</si>
  <si>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</si>
  <si>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</si>
  <si>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</si>
  <si>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</si>
  <si>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</si>
  <si>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</si>
  <si>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</si>
  <si>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</si>
  <si>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</si>
  <si>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</si>
  <si>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</si>
  <si>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</si>
  <si>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</si>
  <si>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</si>
  <si>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</si>
  <si>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</si>
  <si>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</si>
  <si>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</si>
  <si>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</si>
  <si>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</si>
  <si>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</si>
  <si>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</si>
  <si>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</si>
  <si>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</si>
  <si>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</si>
  <si>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</si>
  <si>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</si>
  <si>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</si>
  <si>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</si>
  <si>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</si>
  <si>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</si>
  <si>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</si>
  <si>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</si>
  <si>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</si>
  <si>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</si>
  <si>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</si>
  <si>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</si>
  <si>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</si>
  <si>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</si>
  <si>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</si>
  <si>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</si>
  <si>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</si>
  <si>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</si>
  <si>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</si>
  <si>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</si>
  <si>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</si>
  <si>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</si>
  <si>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</si>
  <si>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</si>
  <si>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</si>
  <si>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</si>
  <si>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</si>
  <si>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</si>
  <si>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</si>
  <si>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</si>
  <si>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</si>
  <si>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</si>
  <si>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G) Red Bluff Incentives Received:</t>
  </si>
  <si>
    <t>H) Whirlwind Substation Expansion Incentives Received:</t>
  </si>
  <si>
    <t>I) Colorado River Substation Expansion Incentives Received:</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</si>
  <si>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</si>
  <si>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</si>
  <si>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</si>
  <si>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</si>
  <si>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</si>
  <si>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</si>
  <si>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</si>
  <si>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</si>
  <si>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</si>
  <si>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</si>
  <si>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</si>
  <si>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</si>
  <si>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</si>
  <si>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</si>
  <si>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</si>
  <si>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</si>
  <si>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</si>
  <si>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</si>
  <si>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</si>
  <si>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</si>
  <si>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</si>
  <si>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</si>
  <si>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</si>
  <si>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</si>
  <si>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</si>
  <si>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</si>
  <si>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</si>
  <si>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</si>
  <si>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</si>
  <si>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</si>
  <si>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</si>
  <si>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</si>
  <si>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</si>
  <si>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</si>
  <si>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</si>
  <si>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</si>
  <si>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</si>
  <si>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</si>
  <si>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</si>
  <si>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</si>
  <si>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</si>
  <si>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</si>
  <si>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</si>
  <si>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</si>
  <si>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</si>
  <si>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</si>
  <si>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</si>
  <si>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</si>
  <si>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</si>
  <si>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</si>
  <si>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</si>
  <si>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</si>
  <si>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</si>
  <si>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</si>
  <si>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</si>
  <si>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</si>
  <si>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</si>
  <si>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</si>
  <si>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</si>
  <si>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</si>
  <si>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</si>
  <si>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</si>
  <si>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</si>
  <si>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</si>
  <si>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</si>
  <si>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</si>
  <si>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</si>
  <si>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</si>
  <si>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</si>
  <si>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</si>
  <si>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</si>
  <si>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</si>
  <si>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</si>
  <si>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</si>
  <si>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</si>
  <si>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</si>
  <si>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</si>
  <si>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</si>
  <si>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</si>
  <si>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</si>
  <si>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</si>
  <si>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</si>
  <si>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</si>
  <si>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</si>
  <si>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</si>
  <si>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</si>
  <si>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</si>
  <si>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</si>
  <si>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</si>
  <si>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</si>
  <si>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</si>
  <si>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</si>
  <si>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</si>
  <si>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</si>
  <si>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</si>
  <si>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</si>
  <si>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</si>
  <si>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</si>
  <si>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</si>
  <si>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</si>
  <si>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</si>
  <si>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</si>
  <si>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</si>
  <si>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</si>
  <si>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</si>
  <si>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</si>
  <si>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</si>
  <si>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</si>
  <si>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</si>
  <si>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</si>
  <si>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</si>
  <si>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</si>
  <si>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</si>
  <si>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</si>
  <si>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</si>
  <si>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</si>
  <si>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</si>
  <si>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</si>
  <si>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</si>
  <si>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</si>
  <si>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</si>
  <si>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</si>
  <si>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</si>
  <si>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</si>
  <si>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</si>
  <si>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</si>
  <si>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</si>
  <si>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</si>
  <si>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</si>
  <si>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</si>
  <si>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</si>
  <si>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</si>
  <si>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</si>
  <si>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</si>
  <si>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</si>
  <si>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</si>
  <si>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</si>
  <si>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</si>
  <si>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</si>
  <si>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</si>
  <si>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</si>
  <si>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</si>
  <si>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</si>
  <si>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</si>
  <si>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</si>
  <si>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</si>
  <si>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</si>
  <si>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</si>
  <si>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</si>
  <si>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</si>
  <si>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</si>
  <si>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</si>
  <si>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</si>
  <si>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</si>
  <si>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</si>
  <si>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</si>
  <si>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</si>
  <si>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</si>
  <si>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</si>
  <si>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</si>
  <si>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</si>
  <si>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</si>
  <si>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</si>
  <si>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</si>
  <si>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</si>
  <si>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</si>
  <si>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</si>
  <si>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</si>
  <si>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</si>
  <si>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</si>
  <si>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</si>
  <si>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</si>
  <si>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</si>
  <si>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</si>
  <si>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</si>
  <si>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</si>
  <si>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</si>
  <si>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</si>
  <si>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</si>
  <si>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</si>
  <si>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</si>
  <si>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</si>
  <si>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</si>
  <si>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</si>
  <si>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</si>
  <si>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</si>
  <si>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</si>
  <si>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</si>
  <si>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</si>
  <si>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</si>
  <si>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</si>
  <si>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</si>
  <si>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</si>
  <si>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</si>
  <si>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</si>
  <si>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</si>
  <si>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</si>
  <si>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</si>
  <si>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</si>
  <si>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</si>
  <si>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</si>
  <si>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</si>
  <si>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</si>
  <si>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</si>
  <si>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</si>
  <si>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</si>
  <si>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</si>
  <si>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</si>
  <si>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</si>
  <si>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</si>
  <si>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</si>
  <si>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</si>
  <si>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</si>
  <si>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</si>
  <si>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</si>
  <si>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</si>
  <si>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</si>
  <si>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</si>
  <si>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</si>
  <si>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</si>
  <si>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</si>
  <si>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</si>
  <si>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</si>
  <si>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</si>
  <si>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</si>
  <si>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</si>
  <si>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</si>
  <si>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</si>
  <si>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</si>
  <si>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</si>
  <si>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</si>
  <si>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</si>
  <si>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</si>
  <si>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</si>
  <si>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</si>
  <si>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</si>
  <si>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</si>
  <si>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</si>
  <si>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</si>
  <si>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</si>
  <si>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</si>
  <si>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</si>
  <si>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</si>
  <si>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</si>
  <si>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</si>
  <si>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</si>
  <si>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</si>
  <si>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</si>
  <si>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</si>
  <si>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</si>
  <si>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</si>
  <si>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</si>
  <si>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</si>
  <si>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</si>
  <si>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</si>
  <si>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</si>
  <si>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</si>
  <si>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</si>
  <si>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</si>
  <si>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</si>
  <si>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</si>
  <si>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</si>
  <si>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</si>
  <si>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</si>
  <si>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</si>
  <si>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</si>
  <si>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</si>
  <si>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</si>
  <si>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</si>
  <si>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</si>
  <si>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</si>
  <si>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</si>
  <si>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</si>
  <si>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</si>
  <si>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</si>
  <si>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</si>
  <si>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</si>
  <si>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</si>
  <si>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</si>
  <si>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</si>
  <si>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</si>
  <si>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</si>
  <si>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</si>
  <si>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</si>
  <si>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</si>
  <si>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</si>
  <si>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</si>
  <si>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</si>
  <si>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</si>
  <si>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</si>
  <si>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</si>
  <si>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</si>
  <si>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</si>
  <si>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</si>
  <si>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</si>
  <si>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</si>
  <si>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</si>
  <si>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</si>
  <si>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</si>
  <si>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</si>
  <si>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</si>
  <si>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</si>
  <si>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</si>
  <si>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</si>
  <si>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</si>
  <si>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</si>
  <si>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</si>
  <si>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</si>
  <si>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</si>
  <si>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</si>
  <si>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</si>
  <si>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</si>
  <si>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</si>
  <si>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</si>
  <si>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</si>
  <si>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</si>
  <si>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</si>
  <si>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</si>
  <si>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</si>
  <si>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</si>
  <si>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</si>
  <si>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</si>
  <si>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</si>
  <si>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</si>
  <si>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</si>
  <si>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</si>
  <si>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</si>
  <si>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</si>
  <si>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</si>
  <si>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</si>
  <si>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</si>
  <si>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</si>
  <si>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</si>
  <si>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</si>
  <si>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</si>
  <si>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</si>
  <si>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</si>
  <si>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</si>
  <si>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</si>
  <si>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</si>
  <si>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</si>
  <si>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</si>
  <si>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</si>
  <si>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</si>
  <si>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</si>
  <si>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</si>
  <si>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</si>
  <si>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</si>
  <si>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</si>
  <si>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</si>
  <si>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</si>
  <si>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</si>
  <si>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</si>
  <si>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</si>
  <si>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</si>
  <si>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</si>
  <si>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</si>
  <si>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</si>
  <si>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</si>
  <si>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</si>
  <si>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</si>
  <si>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</si>
  <si>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</si>
  <si>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</si>
  <si>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</si>
  <si>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</si>
  <si>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</si>
  <si>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</si>
  <si>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</si>
  <si>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</si>
  <si>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</si>
  <si>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</si>
  <si>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</si>
  <si>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</si>
  <si>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</si>
  <si>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</si>
  <si>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</si>
  <si>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</si>
  <si>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</si>
  <si>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</si>
  <si>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</si>
  <si>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</si>
  <si>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</si>
  <si>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</si>
  <si>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</si>
  <si>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</si>
  <si>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</si>
  <si>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</si>
  <si>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</si>
  <si>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</si>
  <si>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</si>
  <si>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</si>
  <si>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</si>
  <si>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</si>
  <si>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</si>
  <si>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</si>
  <si>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</si>
  <si>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</si>
  <si>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</si>
  <si>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</si>
  <si>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</si>
  <si>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</si>
  <si>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</si>
  <si>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</si>
  <si>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</si>
  <si>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</si>
  <si>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</si>
  <si>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</si>
  <si>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</si>
  <si>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</si>
  <si>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</si>
  <si>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</si>
  <si>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</si>
  <si>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</si>
  <si>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</si>
  <si>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</si>
  <si>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</si>
  <si>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</si>
  <si>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</si>
  <si>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</si>
  <si>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</si>
  <si>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</si>
  <si>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</si>
  <si>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</si>
  <si>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</si>
  <si>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</si>
  <si>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</si>
  <si>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</si>
  <si>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</si>
  <si>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</si>
  <si>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</si>
  <si>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</si>
  <si>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</si>
  <si>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</si>
  <si>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</si>
  <si>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</si>
  <si>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</si>
  <si>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</si>
  <si>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</si>
  <si>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</si>
  <si>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</si>
  <si>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</si>
  <si>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</si>
  <si>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</si>
  <si>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</si>
  <si>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</si>
  <si>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</si>
  <si>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</si>
  <si>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</si>
  <si>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</si>
  <si>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</si>
  <si>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</si>
  <si>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</si>
  <si>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</si>
  <si>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</si>
  <si>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</si>
  <si>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</si>
  <si>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</si>
  <si>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</si>
  <si>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</si>
  <si>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</si>
  <si>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</si>
  <si>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</si>
  <si>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</si>
  <si>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</si>
  <si>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</si>
  <si>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</si>
  <si>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</si>
  <si>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</si>
  <si>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</si>
  <si>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</si>
  <si>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</si>
  <si>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</si>
  <si>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</si>
  <si>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</si>
  <si>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</si>
  <si>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</si>
  <si>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</si>
  <si>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</si>
  <si>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</si>
  <si>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</si>
  <si>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</si>
  <si>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</si>
  <si>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</si>
  <si>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</si>
  <si>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</si>
  <si>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</si>
  <si>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</si>
  <si>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</si>
  <si>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</si>
  <si>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</si>
  <si>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</si>
  <si>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</si>
  <si>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</si>
  <si>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</si>
  <si>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</si>
  <si>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</si>
  <si>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</si>
  <si>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</si>
  <si>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</si>
  <si>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</si>
  <si>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</si>
  <si>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</si>
  <si>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</si>
  <si>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</si>
  <si>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</si>
  <si>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</si>
  <si>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</si>
  <si>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</si>
  <si>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</si>
  <si>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</si>
  <si>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</si>
  <si>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</si>
  <si>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</si>
  <si>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</si>
  <si>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</si>
  <si>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</si>
  <si>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</si>
  <si>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</si>
  <si>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</si>
  <si>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</si>
  <si>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</si>
  <si>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</si>
  <si>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</si>
  <si>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</si>
  <si>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</si>
  <si>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</si>
  <si>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</si>
  <si>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</si>
  <si>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</si>
  <si>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</si>
  <si>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</si>
  <si>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</si>
  <si>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</si>
  <si>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</si>
  <si>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</si>
  <si>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</si>
  <si>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</si>
  <si>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</si>
  <si>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</si>
  <si>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</si>
  <si>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</si>
  <si>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</si>
  <si>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</si>
  <si>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</si>
  <si>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</si>
  <si>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</si>
  <si>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</si>
  <si>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</si>
  <si>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</si>
  <si>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</si>
  <si>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</si>
  <si>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</si>
  <si>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</si>
  <si>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</si>
  <si>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</si>
  <si>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</si>
  <si>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</si>
  <si>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</si>
  <si>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</si>
  <si>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</si>
  <si>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</si>
  <si>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</si>
  <si>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</si>
  <si>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</si>
  <si>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</si>
  <si>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</si>
  <si>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</si>
  <si>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</si>
  <si>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</si>
  <si>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</si>
  <si>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</si>
  <si>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</si>
  <si>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</si>
  <si>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</si>
  <si>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</si>
  <si>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</si>
  <si>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</si>
  <si>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</si>
  <si>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</si>
  <si>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</si>
  <si>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</si>
  <si>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</si>
  <si>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</si>
  <si>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</si>
  <si>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</si>
  <si>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</si>
  <si>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</si>
  <si>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</si>
  <si>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</si>
  <si>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</si>
  <si>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</si>
  <si>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</si>
  <si>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</si>
  <si>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</si>
  <si>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</si>
  <si>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</si>
  <si>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</si>
  <si>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</si>
  <si>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</si>
  <si>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</si>
  <si>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</si>
  <si>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</si>
  <si>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</si>
  <si>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</si>
  <si>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</si>
  <si>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</si>
  <si>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</si>
  <si>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</si>
  <si>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</si>
  <si>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</si>
  <si>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</si>
  <si>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</si>
  <si>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</si>
  <si>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</si>
  <si>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</si>
  <si>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</si>
  <si>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</si>
  <si>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</si>
  <si>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</si>
  <si>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</si>
  <si>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</si>
  <si>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</si>
  <si>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</si>
  <si>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</si>
  <si>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</si>
  <si>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</si>
  <si>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</si>
  <si>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</si>
  <si>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</si>
  <si>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</si>
  <si>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</si>
  <si>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</si>
  <si>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</si>
  <si>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</si>
  <si>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</si>
  <si>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</si>
  <si>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</si>
  <si>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</si>
  <si>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</si>
  <si>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</si>
  <si>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</si>
  <si>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</si>
  <si>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</si>
  <si>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</si>
  <si>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</si>
  <si>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</si>
  <si>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</si>
  <si>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</si>
  <si>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</si>
  <si>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</si>
  <si>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</si>
  <si>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</si>
  <si>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</si>
  <si>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</si>
  <si>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</si>
  <si>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</si>
  <si>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</si>
  <si>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</si>
  <si>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</si>
  <si>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</si>
  <si>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</si>
  <si>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</si>
  <si>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</si>
  <si>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</si>
  <si>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</si>
  <si>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</si>
  <si>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</si>
  <si>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</si>
  <si>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</si>
  <si>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</si>
  <si>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</si>
  <si>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</si>
  <si>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</si>
  <si>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</si>
  <si>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</si>
  <si>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</si>
  <si>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</si>
  <si>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</si>
  <si>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</si>
  <si>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</si>
  <si>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</si>
  <si>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</si>
  <si>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</si>
  <si>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</si>
  <si>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</si>
  <si>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</si>
  <si>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</si>
  <si>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</si>
  <si>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</si>
  <si>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</si>
  <si>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</si>
  <si>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</si>
  <si>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</si>
  <si>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</si>
  <si>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</si>
  <si>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</si>
  <si>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</si>
  <si>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</si>
  <si>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</si>
  <si>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</si>
  <si>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</si>
  <si>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</si>
  <si>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</si>
  <si>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</si>
  <si>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</si>
  <si>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</si>
  <si>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</si>
  <si>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</si>
  <si>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</si>
  <si>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</si>
  <si>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</si>
  <si>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</si>
  <si>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</si>
  <si>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</si>
  <si>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</si>
  <si>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</si>
  <si>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</si>
  <si>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</si>
  <si>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</si>
  <si>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</si>
  <si>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</si>
  <si>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</si>
  <si>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</si>
  <si>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</si>
  <si>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</si>
  <si>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</si>
  <si>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</si>
  <si>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</si>
  <si>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</si>
  <si>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</si>
  <si>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</si>
  <si>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</si>
  <si>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</si>
  <si>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</si>
  <si>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</si>
  <si>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</si>
  <si>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</si>
  <si>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</si>
  <si>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</si>
  <si>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</si>
  <si>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</si>
  <si>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</si>
  <si>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</si>
  <si>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</si>
  <si>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</si>
  <si>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</si>
  <si>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</si>
  <si>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</si>
  <si>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</si>
  <si>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</si>
  <si>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</si>
  <si>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</si>
  <si>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</si>
  <si>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</si>
  <si>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</si>
  <si>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</si>
  <si>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</si>
  <si>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</si>
  <si>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</si>
  <si>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</si>
  <si>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</si>
  <si>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</si>
  <si>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</si>
  <si>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</si>
  <si>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</si>
  <si>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</si>
  <si>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</si>
  <si>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</si>
  <si>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</si>
  <si>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</si>
  <si>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</si>
  <si>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</si>
  <si>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</si>
  <si>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</si>
  <si>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</si>
  <si>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</si>
  <si>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</si>
  <si>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</si>
  <si>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</si>
  <si>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</si>
  <si>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</si>
  <si>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</si>
  <si>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</si>
  <si>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</si>
  <si>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</si>
  <si>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</si>
  <si>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</si>
  <si>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</si>
  <si>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</si>
  <si>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</si>
  <si>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</si>
  <si>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</si>
  <si>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</si>
  <si>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</si>
  <si>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</si>
  <si>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</si>
  <si>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</si>
  <si>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</si>
  <si>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</si>
  <si>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</si>
  <si>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</si>
  <si>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</si>
  <si>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</si>
  <si>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</si>
  <si>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</si>
  <si>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</si>
  <si>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</si>
  <si>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</si>
  <si>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</si>
  <si>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</si>
  <si>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</si>
  <si>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</si>
  <si>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</si>
  <si>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</si>
  <si>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</si>
  <si>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</si>
  <si>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</si>
  <si>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</si>
  <si>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</si>
  <si>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</si>
  <si>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</si>
  <si>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</si>
  <si>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</si>
  <si>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</si>
  <si>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</si>
  <si>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</si>
  <si>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</si>
  <si>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</si>
  <si>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</si>
  <si>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</si>
  <si>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</si>
  <si>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</si>
  <si>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</si>
  <si>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</si>
  <si>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</si>
  <si>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</si>
  <si>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</si>
  <si>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</si>
  <si>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</si>
  <si>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</si>
  <si>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</si>
  <si>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</si>
  <si>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</si>
  <si>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3d) Project:</t>
  </si>
  <si>
    <t>3e) Project:</t>
  </si>
  <si>
    <t>3f) Project:</t>
  </si>
  <si>
    <t>Whirlwind Substation Expansion</t>
  </si>
  <si>
    <t>Unload</t>
  </si>
  <si>
    <t>3g) Project:</t>
  </si>
  <si>
    <t>Colorado River Substation Expansion</t>
  </si>
  <si>
    <t>3h) Project:</t>
  </si>
  <si>
    <t>South of Kramer</t>
  </si>
  <si>
    <t>3i) Project:</t>
  </si>
  <si>
    <t>West of Devers</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</si>
  <si>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</si>
  <si>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</si>
  <si>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</si>
  <si>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</si>
  <si>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</si>
  <si>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</si>
  <si>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</si>
  <si>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</si>
  <si>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</si>
  <si>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</si>
  <si>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</si>
  <si>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</si>
  <si>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</si>
  <si>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</si>
  <si>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</si>
  <si>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</si>
  <si>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</si>
  <si>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</si>
  <si>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</si>
  <si>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</si>
  <si>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</si>
  <si>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</si>
  <si>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</si>
  <si>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</si>
  <si>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</si>
  <si>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</si>
  <si>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</si>
  <si>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</si>
  <si>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</si>
  <si>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</si>
  <si>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</si>
  <si>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</si>
  <si>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</si>
  <si>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</si>
  <si>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</si>
  <si>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</si>
  <si>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</si>
  <si>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</si>
  <si>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</si>
  <si>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</si>
  <si>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</si>
  <si>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</si>
  <si>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</si>
  <si>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</si>
  <si>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</si>
  <si>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</si>
  <si>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</si>
  <si>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</si>
  <si>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</si>
  <si>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</si>
  <si>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</si>
  <si>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</si>
  <si>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</si>
  <si>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</si>
  <si>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</si>
  <si>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</si>
  <si>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</si>
  <si>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</si>
  <si>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</si>
  <si>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</si>
  <si>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</si>
  <si>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</si>
  <si>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</si>
  <si>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</si>
  <si>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</si>
  <si>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</si>
  <si>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</si>
  <si>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</si>
  <si>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</si>
  <si>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</si>
  <si>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</si>
  <si>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</si>
  <si>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</si>
  <si>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</si>
  <si>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</si>
  <si>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</si>
  <si>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</si>
  <si>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</si>
  <si>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</si>
  <si>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</si>
  <si>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</si>
  <si>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</si>
  <si>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</si>
  <si>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</si>
  <si>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</si>
  <si>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</si>
  <si>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</si>
  <si>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</si>
  <si>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</si>
  <si>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</si>
  <si>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</si>
  <si>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</si>
  <si>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</si>
  <si>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</si>
  <si>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</si>
  <si>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</si>
  <si>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</si>
  <si>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</si>
  <si>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</si>
  <si>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</si>
  <si>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</si>
  <si>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</si>
  <si>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</si>
  <si>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</si>
  <si>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</si>
  <si>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</si>
  <si>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</si>
  <si>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</si>
  <si>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</si>
  <si>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</si>
  <si>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</si>
  <si>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</si>
  <si>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</si>
  <si>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</si>
  <si>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</si>
  <si>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</si>
  <si>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</si>
  <si>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</si>
  <si>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</si>
  <si>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</si>
  <si>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</si>
  <si>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</si>
  <si>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</si>
  <si>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</si>
  <si>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</si>
  <si>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</si>
  <si>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</si>
  <si>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</si>
  <si>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</si>
  <si>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</si>
  <si>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</si>
  <si>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</si>
  <si>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</si>
  <si>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</si>
  <si>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</si>
  <si>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</si>
  <si>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</si>
  <si>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</si>
  <si>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</si>
  <si>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</si>
  <si>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</si>
  <si>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</si>
  <si>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</si>
  <si>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</si>
  <si>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</si>
  <si>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</si>
  <si>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</si>
  <si>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</si>
  <si>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</si>
  <si>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</si>
  <si>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</si>
  <si>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</si>
  <si>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</si>
  <si>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</si>
  <si>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</si>
  <si>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</si>
  <si>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</si>
  <si>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</si>
  <si>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</si>
  <si>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</si>
  <si>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</si>
  <si>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</si>
  <si>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</si>
  <si>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</si>
  <si>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</si>
  <si>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</si>
  <si>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</si>
  <si>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</si>
  <si>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</si>
  <si>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</si>
  <si>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</si>
  <si>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</si>
  <si>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</si>
  <si>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</si>
  <si>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</si>
  <si>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</si>
  <si>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</si>
  <si>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</si>
  <si>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</si>
  <si>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</si>
  <si>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</si>
  <si>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</si>
  <si>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</si>
  <si>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</si>
  <si>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</si>
  <si>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</si>
  <si>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</si>
  <si>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</si>
  <si>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</si>
  <si>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</si>
  <si>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</si>
  <si>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</si>
  <si>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</si>
  <si>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</si>
  <si>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</si>
  <si>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</si>
  <si>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</si>
  <si>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</si>
  <si>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</si>
  <si>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</si>
  <si>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</si>
  <si>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</si>
  <si>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</si>
  <si>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</si>
  <si>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</si>
  <si>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</si>
  <si>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</si>
  <si>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</si>
  <si>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</si>
  <si>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</si>
  <si>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</si>
  <si>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</si>
  <si>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</si>
  <si>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</si>
  <si>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</si>
  <si>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</si>
  <si>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</si>
  <si>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</si>
  <si>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</si>
  <si>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</si>
  <si>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</si>
  <si>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</si>
  <si>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</si>
  <si>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</si>
  <si>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</si>
  <si>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</si>
  <si>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</si>
  <si>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</si>
  <si>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</si>
  <si>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</si>
  <si>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</si>
  <si>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</si>
  <si>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</si>
  <si>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</si>
  <si>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</si>
  <si>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</si>
  <si>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</si>
  <si>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</si>
  <si>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</si>
  <si>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</si>
  <si>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</si>
  <si>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</si>
  <si>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</si>
  <si>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</si>
  <si>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</si>
  <si>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</si>
  <si>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</si>
  <si>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</si>
  <si>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</si>
  <si>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</si>
  <si>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</si>
  <si>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</si>
  <si>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</si>
  <si>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</si>
  <si>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133 FERC ¶ 61,107 at P 76</t>
  </si>
  <si>
    <t>133 FERC ¶ 61,107 at P 102</t>
  </si>
  <si>
    <t>133 FERC ¶ 61,107 at P 88</t>
  </si>
  <si>
    <t>134 FERC ¶ 61,181 at P 79</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</si>
  <si>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</si>
  <si>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</si>
  <si>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</si>
  <si>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</si>
  <si>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</si>
  <si>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</si>
  <si>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</si>
  <si>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</si>
  <si>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</si>
  <si>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</si>
  <si>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</si>
  <si>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</si>
  <si>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</si>
  <si>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</si>
  <si>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</si>
  <si>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</si>
  <si>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</si>
  <si>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</si>
  <si>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</si>
  <si>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</si>
  <si>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</si>
  <si>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</si>
  <si>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</si>
  <si>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</si>
  <si>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</si>
  <si>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</si>
  <si>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</si>
  <si>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</si>
  <si>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</si>
  <si>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</si>
  <si>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</si>
  <si>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</si>
  <si>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</si>
  <si>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</si>
  <si>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</si>
  <si>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</si>
  <si>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</si>
  <si>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</si>
  <si>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</si>
  <si>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</si>
  <si>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</si>
  <si>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</si>
  <si>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</si>
  <si>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</si>
  <si>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</si>
  <si>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</si>
  <si>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</si>
  <si>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</si>
  <si>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</si>
  <si>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</si>
  <si>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</si>
  <si>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</si>
  <si>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</si>
  <si>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</si>
  <si>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</si>
  <si>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</si>
  <si>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</si>
  <si>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</si>
  <si>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</si>
  <si>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</si>
  <si>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</si>
  <si>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</si>
  <si>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</si>
  <si>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</si>
  <si>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</si>
  <si>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</si>
  <si>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</si>
  <si>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</si>
  <si>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</si>
  <si>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</si>
  <si>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</si>
  <si>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</si>
  <si>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</si>
  <si>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</si>
  <si>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</si>
  <si>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</si>
  <si>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</si>
  <si>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</si>
  <si>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</si>
  <si>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</si>
  <si>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</si>
  <si>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</si>
  <si>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</si>
  <si>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</si>
  <si>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</si>
  <si>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</si>
  <si>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</si>
  <si>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</si>
  <si>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</si>
  <si>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</si>
  <si>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</si>
  <si>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</si>
  <si>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</si>
  <si>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</si>
  <si>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</si>
  <si>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</si>
  <si>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</si>
  <si>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</si>
  <si>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</si>
  <si>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</si>
  <si>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</si>
  <si>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</si>
  <si>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</si>
  <si>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</si>
  <si>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</si>
  <si>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</si>
  <si>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</si>
  <si>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</si>
  <si>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</si>
  <si>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</si>
  <si>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</si>
  <si>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</si>
  <si>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</si>
  <si>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</si>
  <si>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</si>
  <si>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</si>
  <si>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</si>
  <si>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</si>
  <si>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</si>
  <si>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</si>
  <si>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</si>
  <si>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</si>
  <si>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</si>
  <si>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</si>
  <si>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</si>
  <si>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</si>
  <si>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</si>
  <si>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</si>
  <si>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</si>
  <si>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</si>
  <si>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</si>
  <si>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</si>
  <si>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</si>
  <si>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</si>
  <si>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</si>
  <si>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</si>
  <si>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</si>
  <si>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</si>
  <si>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</si>
  <si>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</si>
  <si>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</si>
  <si>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</si>
  <si>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</si>
  <si>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</si>
  <si>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</si>
  <si>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</si>
  <si>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</si>
  <si>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</si>
  <si>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</si>
  <si>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</si>
  <si>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</si>
  <si>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</si>
  <si>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</si>
  <si>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</si>
  <si>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</si>
  <si>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</si>
  <si>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</si>
  <si>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</si>
  <si>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</si>
  <si>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</si>
  <si>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</si>
  <si>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</si>
  <si>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</si>
  <si>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</si>
  <si>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</si>
  <si>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</si>
  <si>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</si>
  <si>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</si>
  <si>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</si>
  <si>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</si>
  <si>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</si>
  <si>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</si>
  <si>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</si>
  <si>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</si>
  <si>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</si>
  <si>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</si>
  <si>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</si>
  <si>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</si>
  <si>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E) South of Kramer Incentives Received:</t>
  </si>
  <si>
    <t>F) West of Devers Incentives Received:</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</si>
  <si>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</si>
  <si>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</si>
  <si>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</si>
  <si>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</si>
  <si>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</si>
  <si>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</si>
  <si>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</si>
  <si>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</si>
  <si>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</si>
  <si>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</si>
  <si>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</si>
  <si>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</si>
  <si>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Dec 2016</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</si>
  <si>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</si>
  <si>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</si>
  <si>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</si>
  <si>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</si>
  <si>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</si>
  <si>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</si>
  <si>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</si>
  <si>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</si>
  <si>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</si>
  <si>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</si>
  <si>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</si>
  <si>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</si>
  <si>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</si>
  <si>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</si>
  <si>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</si>
  <si>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</si>
  <si>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</si>
  <si>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</si>
  <si>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</si>
  <si>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</si>
  <si>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</si>
  <si>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</si>
  <si>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</si>
  <si>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</si>
  <si>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</si>
  <si>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</si>
  <si>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</si>
  <si>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</si>
  <si>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</si>
  <si>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</si>
  <si>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</si>
  <si>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</si>
  <si>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</si>
  <si>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</si>
  <si>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</si>
  <si>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</si>
  <si>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</si>
  <si>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</si>
  <si>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</si>
  <si>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</si>
  <si>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</si>
  <si>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</si>
  <si>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</si>
  <si>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</si>
  <si>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</si>
  <si>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</si>
  <si>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</si>
  <si>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</si>
  <si>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</si>
  <si>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</si>
  <si>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</si>
  <si>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</si>
  <si>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</si>
  <si>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</si>
  <si>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</si>
  <si>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</si>
  <si>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Line 17, column 3</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</si>
  <si>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</si>
  <si>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</si>
  <si>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</si>
  <si>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</si>
  <si>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</si>
  <si>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</si>
  <si>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</si>
  <si>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1) Depreciation rates on Lines 17a-17m input from Schedule 18.  However, in the event of a change in depreciation rates approved by the Commission,</t>
  </si>
  <si>
    <t>use Commission-approved depreciation rates that were in effect during the Prior Year.</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</si>
  <si>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</si>
  <si>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</si>
  <si>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</si>
  <si>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</si>
  <si>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</si>
  <si>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</si>
  <si>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1) The monthly deferred tax amounts are equal to the ending ADIT balance minus the beginning ADIT balance, divided by 12 months.</t>
  </si>
  <si>
    <t>2) For January through December = previous month balance plus amount in Column 2.</t>
  </si>
  <si>
    <t>3) The weighted average ADIT Balance is equal to the summation of Col. 8, Lines 805 through 817, divided by 13 months.</t>
  </si>
  <si>
    <t>5) Tax Normalization Calculation Pursuant to Treas. Reg §1.167(l)-1(h)(6); PLR 9313008; 9202029; 922404; 201717008</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</si>
  <si>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</si>
  <si>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</si>
  <si>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</si>
  <si>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</si>
  <si>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</si>
  <si>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</si>
  <si>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</si>
  <si>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</si>
  <si>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</si>
  <si>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</si>
  <si>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</si>
  <si>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</si>
  <si>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</si>
  <si>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</si>
  <si>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</si>
  <si>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</si>
  <si>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Weighted Average ADIT Balance:</t>
  </si>
  <si>
    <t>Weighted Average ADIT:</t>
  </si>
  <si>
    <t>At End of Year ("EOY") for Prior Year:</t>
  </si>
  <si>
    <t xml:space="preserve">1) Calculation of "Long Term Debt Cost Percentage" </t>
  </si>
  <si>
    <t>Total Annual Cost of Outstanding Series Debt:</t>
  </si>
  <si>
    <t>Total Annual Amortized Loss on Reacquired Debt:</t>
  </si>
  <si>
    <t>Total Annual Cost of Debt:</t>
  </si>
  <si>
    <t>= L1 + L2</t>
  </si>
  <si>
    <t>Total "Principal Amount Outstanding" Debt:</t>
  </si>
  <si>
    <t xml:space="preserve">Total Reacquired Debt: </t>
  </si>
  <si>
    <t>Total Unamortized Loss on Reacquired Debt:</t>
  </si>
  <si>
    <t>Total Debt Balance:</t>
  </si>
  <si>
    <t>Long Term Debt Cost Percentage:</t>
  </si>
  <si>
    <t>= L3 / L7</t>
  </si>
  <si>
    <t>2) Long Term Debt Information for each Outstanding Series</t>
  </si>
  <si>
    <t>FF1 256, Col a</t>
  </si>
  <si>
    <t>FF1 256, Col d</t>
  </si>
  <si>
    <t>FF1 256, Col e</t>
  </si>
  <si>
    <t>FF1 256, Col b</t>
  </si>
  <si>
    <t>Section 4</t>
  </si>
  <si>
    <t>= Col 5 - Col 7</t>
  </si>
  <si>
    <t>= Col 5 * Col 9</t>
  </si>
  <si>
    <t>Series</t>
  </si>
  <si>
    <t>Date of Offering</t>
  </si>
  <si>
    <t>Maturity Date</t>
  </si>
  <si>
    <t>Coupon Rate</t>
  </si>
  <si>
    <t>Principal Amount Oustanding ($000s)</t>
  </si>
  <si>
    <t>Amort-ization Period (Years)</t>
  </si>
  <si>
    <t>Net Discount &amp; Issuance Cost ($000s)</t>
  </si>
  <si>
    <t>Net Proceeds ($000s)</t>
  </si>
  <si>
    <t>Cost of 
Money</t>
  </si>
  <si>
    <t>Annual Cost  ($000s)</t>
  </si>
  <si>
    <t>Comments:  See below</t>
  </si>
  <si>
    <t>Comments for Section 2 "Long Term Debt Information for each Outstanding Series":</t>
  </si>
  <si>
    <t>Comment #:</t>
  </si>
  <si>
    <t>Comment</t>
  </si>
  <si>
    <t>Total Principal Amount Outstanding (sum of above * 1,000):</t>
  </si>
  <si>
    <t>Total Annual Cost (sum of above * 1,000):</t>
  </si>
  <si>
    <t>3) Long Term Debt Information for each Reacquired Series</t>
  </si>
  <si>
    <t>Principal Amount ($000s)</t>
  </si>
  <si>
    <t>Total Principal Amount (sum of above * 1,000):</t>
  </si>
  <si>
    <t>Comments for Section 3 "Long Term Debt Information for each Reacquired Series":</t>
  </si>
  <si>
    <t>4)  Debt Issuance Cost and Discount Details for each Outstanding Series</t>
  </si>
  <si>
    <t>5) Loss on Reacquired Debt Cost Details</t>
  </si>
  <si>
    <t>Amortized Loss ('000s)</t>
  </si>
  <si>
    <t>5) Loss on Reacquired Debt Cost Details (Continued)</t>
  </si>
  <si>
    <t>Totals (sum of above * 1000):</t>
  </si>
  <si>
    <t>1) Calculation of "Preferred Stock Cost Percentage"</t>
  </si>
  <si>
    <t>Total Annual Cost of Preferred Stock:</t>
  </si>
  <si>
    <t>Total Reacquired Preferred Stock Cost:</t>
  </si>
  <si>
    <t>Total Annual Cost of Preferred:</t>
  </si>
  <si>
    <t>Total Preferred Stock Amount Outstanding:</t>
  </si>
  <si>
    <t>Total Unamortized Issuance Costs:</t>
  </si>
  <si>
    <t>Total Preferred Balance:</t>
  </si>
  <si>
    <t>= L5 - L6</t>
  </si>
  <si>
    <t>Preferred Stock Cost Percentage:</t>
  </si>
  <si>
    <t>2) Preferred Stock Information for each Outstanding Series</t>
  </si>
  <si>
    <t>FF1 250, Col a</t>
  </si>
  <si>
    <t>FF1 251, Col f</t>
  </si>
  <si>
    <t>Sec 3, Col 2</t>
  </si>
  <si>
    <t>= Col 4 - Col 5</t>
  </si>
  <si>
    <t>= Col 6 / Col 4</t>
  </si>
  <si>
    <t>= Col 3 / Col 7</t>
  </si>
  <si>
    <t>= Col 4 * Col 8</t>
  </si>
  <si>
    <t>Issue Date</t>
  </si>
  <si>
    <t>Dividend Rate</t>
  </si>
  <si>
    <t>Face Value / Amount Oustanding ('000s)</t>
  </si>
  <si>
    <t>Total Issuance Cost ('000s)</t>
  </si>
  <si>
    <t>Net Proceeds at Issuance ('000s)</t>
  </si>
  <si>
    <t>% of Face Value</t>
  </si>
  <si>
    <t>Cost of Money / Effective Rate</t>
  </si>
  <si>
    <t>Annualized Cost ('000s)</t>
  </si>
  <si>
    <t>Total Amount Outstanding (sum of above * 1,000):</t>
  </si>
  <si>
    <t>3)  Preferred Stock Issuance Cost Details for each Outstanding Series</t>
  </si>
  <si>
    <t>Same list as in Section 2</t>
  </si>
  <si>
    <t>Unamortized Issuance Cost ('000s)</t>
  </si>
  <si>
    <t>Full Amortization Period</t>
  </si>
  <si>
    <t>4)  Reacquired Preferred Stock Information</t>
  </si>
  <si>
    <t>Call Date</t>
  </si>
  <si>
    <t>Total Issuance Cost</t>
  </si>
  <si>
    <t>Amortization Period</t>
  </si>
  <si>
    <t>Issuance Amortization Cost ('000s)</t>
  </si>
  <si>
    <t>= Prior Month C9
 - C4 + C8</t>
  </si>
  <si>
    <t>Less Unamortized Discount on Long Term Debt -- Account 226</t>
  </si>
  <si>
    <t>Unamortized Debt Expenses -- Account 181</t>
  </si>
  <si>
    <t>Unamortized Loss on Reacquired Debt -- Account 189</t>
  </si>
  <si>
    <t>Removal of Long Term Debt Related to Fuel Inventories</t>
  </si>
  <si>
    <t>Adjustments related to "LT Debt Related to Fuel Inventories"</t>
  </si>
  <si>
    <t>13-month avg.; enter negative</t>
  </si>
  <si>
    <t xml:space="preserve">After tax amount of Unamortized Loss on Reacquired Debt </t>
  </si>
  <si>
    <t>Line 40 * Line 42</t>
  </si>
  <si>
    <t xml:space="preserve"> Long Term Debt Advances from Associated Companies (Note 3):</t>
  </si>
  <si>
    <t>Other Long Term Debt -- Account 224 (Note 4):</t>
  </si>
  <si>
    <t>Unamortized Premium on Long Term Debt -- Account 225 (Note 5)</t>
  </si>
  <si>
    <t>Removal of Long Term Debt Related to Fuel Inventories (Note 9)</t>
  </si>
  <si>
    <t>Adjustments related to "LT Debt Related to Fuel Inventories" (Note 10)</t>
  </si>
  <si>
    <t>Preferred Stock Amount -- Account 204 (Note 11):</t>
  </si>
  <si>
    <t>Net Gain (Loss) From Purchase and Tender Offers Note 13):</t>
  </si>
  <si>
    <t>Total Proprietary Capital (Note 14):</t>
  </si>
  <si>
    <t>Unappropriated Undist. Sub. Earnings -- Acct. 216.1 (Note 15): enter - of FF1</t>
  </si>
  <si>
    <t>Accumulated Other Comprehensive Loss -- Account 219 (Note 16): enter - of FF1</t>
  </si>
  <si>
    <t xml:space="preserve">3) Amount in Column 2 from FF1 112.20d, amount in Column 14 from FF1 112.20c, amounts in columns 3-13 from SCE internal records. </t>
  </si>
  <si>
    <t xml:space="preserve">4) Amount in Column 2 from FF1 112.21d, amount in Column 14 from FF1 112.21c, amounts in columns 3-13 from SCE internal records. </t>
  </si>
  <si>
    <t xml:space="preserve">5) Amount in Column 2 from FF1 112.22c, amount in Column 14 from FF1 112.22d, amounts in columns 3-13 from SCE internal records. </t>
  </si>
  <si>
    <t xml:space="preserve">6) Amount in Column 2 from FF1 112.23c, amount in Column 14 from FF1 112.23d, amounts in columns 3-13 from SCE internal records. </t>
  </si>
  <si>
    <t xml:space="preserve">7) Amount in Column 2 from FF1 111.69c, amount in Column 14 from FF1 111.69d, amounts in columns 3-13 from SCE internal records. </t>
  </si>
  <si>
    <t xml:space="preserve">8) Amount in Column 2 from FF1 111.81c, amount in Column 14 from FF1 111.81d, amounts in columns 3-13 from SCE internal records. </t>
  </si>
  <si>
    <t xml:space="preserve">11) Amount in Column 2 from FF1 112.3d, amount in Column 14 from FF1 112.3c, amounts in columns 3-13 from SCE internal records. </t>
  </si>
  <si>
    <t xml:space="preserve">14) Amount in Column 2 from FF1 112.16c, amount in Column 14 from FF1 112.16d, amounts in columns 3-13 from SCE internal records. </t>
  </si>
  <si>
    <t xml:space="preserve">15) Amount in Column 2 from FF1 112.12c, amount in Column 14 from FF1 112.12d, amounts in columns 3-13 from SCE internal records. </t>
  </si>
  <si>
    <t>16) Amount in Column 2 from FF1 112.15c, amount in Column 14 from FF1 112.15d, amounts in columns 3-13 from SCE internal records.</t>
  </si>
  <si>
    <t>2) 18 CFR 35.13 (22) Statement AV - Rate of Return (ii)(B)(6) Cost of money</t>
  </si>
  <si>
    <t>1) Equal to maturity date less end of the year for prior year</t>
  </si>
  <si>
    <t>= L5 + L6 + L7</t>
  </si>
  <si>
    <t>= L3 / L8</t>
  </si>
  <si>
    <t>Unamortized Debt Issuance Cost (Dec of Prior Year)</t>
  </si>
  <si>
    <t>Total Unamortized Debt Discounts (Dec of PY)</t>
  </si>
  <si>
    <t>Unamortized Loss (Dec of PY) ('000s)</t>
  </si>
  <si>
    <t>Comment #</t>
  </si>
  <si>
    <t>10) Amounts in Columns 2-14 are from SCE internal records.</t>
  </si>
  <si>
    <t>12) Amounts in Columns 2-14 are from SCE internal records.</t>
  </si>
  <si>
    <t>13) Amounts in Columns 2-14 are from SCE internal records.</t>
  </si>
  <si>
    <t>9) Amounts in Columns 2-14 are from SCE internal records.</t>
  </si>
  <si>
    <t>ER16-2433</t>
  </si>
  <si>
    <t>Less Unamortized Discount on Long Term Debt -- Account 226 (Note 6): enter - of FF1</t>
  </si>
  <si>
    <t>Unamortized Debt Expenses -- Account 181 (Note 7): enter - of FF1</t>
  </si>
  <si>
    <t>Unamortized Loss on Reacquired Debt -- Account 189 (Note 8): enter - of FF1</t>
  </si>
  <si>
    <t>Unamortized Issuance Costs (Note 12): enter - of FF1</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</si>
  <si>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</si>
  <si>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</si>
  <si>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</si>
  <si>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</si>
  <si>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2018 TRBAA</t>
  </si>
  <si>
    <t>ER18-154</t>
  </si>
  <si>
    <t>1/8 (O&amp;M + A&amp;G)</t>
  </si>
  <si>
    <t>ELM</t>
  </si>
  <si>
    <t>Mesa</t>
  </si>
  <si>
    <t>Alberhill</t>
  </si>
  <si>
    <t>Series Caps</t>
  </si>
  <si>
    <t>ELM Series Capacitors</t>
  </si>
  <si>
    <t>161 FERC ¶ 61,107 at P35</t>
  </si>
  <si>
    <t>161 FERC ¶ 61,107 at P 21</t>
  </si>
  <si>
    <t>J) Mesa</t>
  </si>
  <si>
    <t>K) Alberhill</t>
  </si>
  <si>
    <t>L) ELM Series Caps</t>
  </si>
  <si>
    <t>8) Mesa</t>
  </si>
  <si>
    <t>9) Alberhill</t>
  </si>
  <si>
    <t>10) ELM Series Caps</t>
  </si>
  <si>
    <t>ELM Series Caps</t>
  </si>
  <si>
    <t>3k) Project:</t>
  </si>
  <si>
    <t>add additional projects below this line (See Instruction 3)</t>
  </si>
  <si>
    <t xml:space="preserve">i) Mesa </t>
  </si>
  <si>
    <t>j) Alberhill</t>
  </si>
  <si>
    <t>FF1 263, Row 6, Column i</t>
  </si>
  <si>
    <t>FF1 263, Row 7, Column i</t>
  </si>
  <si>
    <t>FF1 263, Row 8, Column i</t>
  </si>
  <si>
    <t>FF1 263, Row 21, Column i</t>
  </si>
  <si>
    <t>FF1 263, Row 9, Column i</t>
  </si>
  <si>
    <t>FF1 263.1, Row 30, Column i</t>
  </si>
  <si>
    <t>FF1 263.1, Row 1, Column i</t>
  </si>
  <si>
    <t>FF1 263, Row 39, Column i</t>
  </si>
  <si>
    <t>Jan 2017</t>
  </si>
  <si>
    <t>Feb 2017</t>
  </si>
  <si>
    <t>Mar 2017</t>
  </si>
  <si>
    <t>Apr 2017</t>
  </si>
  <si>
    <t>May 2017</t>
  </si>
  <si>
    <t>Jun 2017</t>
  </si>
  <si>
    <t>Jul 2017</t>
  </si>
  <si>
    <t>Aug 2017</t>
  </si>
  <si>
    <t>Sep 2017</t>
  </si>
  <si>
    <t>Oct 2017</t>
  </si>
  <si>
    <t>Nov 2017</t>
  </si>
  <si>
    <t>Dec 2017</t>
  </si>
  <si>
    <t>FF1 322.156b</t>
  </si>
  <si>
    <t>Series 2004B</t>
  </si>
  <si>
    <t>Series 2004G</t>
  </si>
  <si>
    <t>Series 2005B</t>
  </si>
  <si>
    <t>Series 2005E</t>
  </si>
  <si>
    <t>Series 4CRNRS 05AB</t>
  </si>
  <si>
    <t>Series 2006A</t>
  </si>
  <si>
    <t>SONGS_2006A</t>
  </si>
  <si>
    <t>SONGS_2006B</t>
  </si>
  <si>
    <t>Series 2006C&amp;D</t>
  </si>
  <si>
    <t>Series 2006E</t>
  </si>
  <si>
    <t>Series 2008A</t>
  </si>
  <si>
    <t>Series 2008B</t>
  </si>
  <si>
    <t>Series 2009A</t>
  </si>
  <si>
    <t>Series 2010A</t>
  </si>
  <si>
    <t>Series 2010B</t>
  </si>
  <si>
    <t>SONGS 2010A</t>
  </si>
  <si>
    <t>2015C</t>
  </si>
  <si>
    <t>4CRNRS 2011</t>
  </si>
  <si>
    <t>CPCFA SONGS 2011</t>
  </si>
  <si>
    <t>6.65% Notes</t>
  </si>
  <si>
    <t>Ft. Irwin Loan</t>
  </si>
  <si>
    <t>$25 Par Value 4.32% Series</t>
  </si>
  <si>
    <t>$25 Par Value 4.08% Series</t>
  </si>
  <si>
    <t>$25 Par Value 4.24% Series</t>
  </si>
  <si>
    <t>$25 Par Value 4.78% Series</t>
  </si>
  <si>
    <t>Series E</t>
  </si>
  <si>
    <t>Series G</t>
  </si>
  <si>
    <t>Series H</t>
  </si>
  <si>
    <t>Series J</t>
  </si>
  <si>
    <t>Series K</t>
  </si>
  <si>
    <t>Principal amount reduces over time. FF1 amount reflects principal balance on the date of offering.</t>
  </si>
  <si>
    <t>Term Loan</t>
  </si>
  <si>
    <t>Series L</t>
  </si>
  <si>
    <t>Docket No. ER18-169</t>
  </si>
  <si>
    <t>k) ELM Series Caps</t>
  </si>
  <si>
    <t>Mesa:</t>
  </si>
  <si>
    <t>Alberhill:</t>
  </si>
  <si>
    <t>ELM Series Caps:</t>
  </si>
  <si>
    <t xml:space="preserve">Alberhill </t>
  </si>
  <si>
    <t>Sub</t>
  </si>
  <si>
    <t xml:space="preserve"> SCE records</t>
  </si>
  <si>
    <t>10aa</t>
  </si>
  <si>
    <t>NEM 2.0</t>
  </si>
  <si>
    <t>Present</t>
  </si>
  <si>
    <t>Schedule 28 - Workpaper Line 3</t>
  </si>
  <si>
    <t>Schedule 28 - Workpaper Line 4</t>
  </si>
  <si>
    <t>Fully amortized</t>
  </si>
  <si>
    <t>Redeemed Series B and C</t>
  </si>
  <si>
    <t>Redeemed Series D</t>
  </si>
  <si>
    <t>8.540% Preferred, premium</t>
  </si>
  <si>
    <t>Net gain from open-market purchase of 67,400 shares in November 1985</t>
  </si>
  <si>
    <t>12.000% Preferred, redemption</t>
  </si>
  <si>
    <t>Redemption premium paid to holders (so loss to company)</t>
  </si>
  <si>
    <t>Initial issue discount</t>
  </si>
  <si>
    <t>Series A</t>
  </si>
  <si>
    <t>Series B</t>
  </si>
  <si>
    <t>Redeemed by Series G</t>
  </si>
  <si>
    <t>Series C</t>
  </si>
  <si>
    <t>Series D</t>
  </si>
  <si>
    <t>Series D was redeemed by Series K</t>
  </si>
  <si>
    <t>Series F</t>
  </si>
  <si>
    <t>Redeemed by Series L</t>
  </si>
  <si>
    <r>
      <rPr>
        <b/>
        <u/>
        <sz val="10"/>
        <color rgb="FFFF0000"/>
        <rFont val="Arial"/>
        <family val="2"/>
      </rPr>
      <t>Rate</t>
    </r>
    <r>
      <rPr>
        <b/>
        <sz val="10"/>
        <color rgb="FFFF0000"/>
        <rFont val="Arial"/>
        <family val="2"/>
      </rPr>
      <t xml:space="preserve"> </t>
    </r>
    <r>
      <rPr>
        <b/>
        <strike/>
        <sz val="10"/>
        <color rgb="FFFF0000"/>
        <rFont val="Arial"/>
        <family val="2"/>
      </rPr>
      <t>Prior</t>
    </r>
  </si>
  <si>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</si>
  <si>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</si>
  <si>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</si>
  <si>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</si>
  <si>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effectively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</si>
  <si>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</si>
  <si>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</si>
  <si>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</si>
  <si>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</si>
  <si>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</si>
  <si>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Excess Deferred Tax Liability - 2017 TCAJA</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</si>
  <si>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</si>
  <si>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</si>
  <si>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</si>
  <si>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</si>
  <si>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</si>
  <si>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</si>
  <si>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</si>
  <si>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</si>
  <si>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</si>
  <si>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</si>
  <si>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</si>
  <si>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</si>
  <si>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</si>
  <si>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</si>
  <si>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</si>
  <si>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</si>
  <si>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</si>
  <si>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</si>
  <si>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</si>
  <si>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</si>
  <si>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</si>
  <si>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</si>
  <si>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</si>
  <si>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</si>
  <si>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</si>
  <si>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</si>
  <si>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Temp - Other/Non-ISO - Gas</t>
  </si>
  <si>
    <t>Net Operating Losses DTA - Gas</t>
  </si>
  <si>
    <t>Temp - Other/Non-ISO - Other</t>
  </si>
  <si>
    <t>Net Operating Losses DTA - Other</t>
  </si>
  <si>
    <t>Gas Related Costs</t>
  </si>
  <si>
    <t>Other Non-ISO Related Costs</t>
  </si>
  <si>
    <t xml:space="preserve">Fully Normalized Deferred Tax </t>
  </si>
  <si>
    <t>Property-Related FERC Costs</t>
  </si>
  <si>
    <t>Property-Related CPUC Costs</t>
  </si>
  <si>
    <t>Capitalized software</t>
  </si>
  <si>
    <t>Property-Related CPUC Costs - Cap Software</t>
  </si>
  <si>
    <t>Audit Rollforward</t>
  </si>
  <si>
    <t xml:space="preserve">Property-Related CPUC Costs - Audit </t>
  </si>
  <si>
    <t>Property/Non-ISO - Gas</t>
  </si>
  <si>
    <t>Property/Non-ISO - Other</t>
  </si>
  <si>
    <t>Ad Valorem Lien Date Adj-Electric</t>
  </si>
  <si>
    <t>Relates to all Regulated Electric Property</t>
  </si>
  <si>
    <t>Refunding &amp; Retirement of Debt</t>
  </si>
  <si>
    <t>Health Care - IBNR</t>
  </si>
  <si>
    <t>Capitalized Software</t>
  </si>
  <si>
    <t>Non-Rate Base FAS 109 Tax Flow-Thru</t>
  </si>
  <si>
    <t>Tax Cuts and Jobs Act (the Act)</t>
  </si>
  <si>
    <t>California Rev. &amp; Tax. Cd. § 23151</t>
  </si>
  <si>
    <t>Series 2011A</t>
  </si>
  <si>
    <t>Series 2011E</t>
  </si>
  <si>
    <t>Series 2012A</t>
  </si>
  <si>
    <t>Series 2013A</t>
  </si>
  <si>
    <t>Series 2013C</t>
  </si>
  <si>
    <t>Series 2013D</t>
  </si>
  <si>
    <t>Series 2014B</t>
  </si>
  <si>
    <t>Series 2014C</t>
  </si>
  <si>
    <t>Series 2015A</t>
  </si>
  <si>
    <t>Series 2015B</t>
  </si>
  <si>
    <t>Series 2015C</t>
  </si>
  <si>
    <t>Series 2017A</t>
  </si>
  <si>
    <t>CLARK COUNTY 2010</t>
  </si>
  <si>
    <t>Series PV2000AB</t>
  </si>
  <si>
    <t>Bond matured in 2017.</t>
  </si>
  <si>
    <t>Fuel Bond matured in 2017.</t>
  </si>
  <si>
    <t xml:space="preserve">Does not tie to FF1 amount because it only includes Excess Regulatory Asset Amount. </t>
  </si>
  <si>
    <t xml:space="preserve">Does not tie to FF1 amount because it only includes Excess Regulatory Asset Amount </t>
  </si>
  <si>
    <t>FF1 has the variable rate. 0.796% is based on 2017 average.</t>
  </si>
  <si>
    <t>Reacquired series are shown below in Section 3 see line 201</t>
  </si>
  <si>
    <t xml:space="preserve">SONGS 2011 Series </t>
  </si>
  <si>
    <t>86-B</t>
  </si>
  <si>
    <t>86-A</t>
  </si>
  <si>
    <t>88-C</t>
  </si>
  <si>
    <t>VVP,WWP,XXP,YYP</t>
  </si>
  <si>
    <t>89-A</t>
  </si>
  <si>
    <t>MM</t>
  </si>
  <si>
    <t>ZZ</t>
  </si>
  <si>
    <t>VVP-WWP-YYP</t>
  </si>
  <si>
    <t>85-A</t>
  </si>
  <si>
    <t>85-C</t>
  </si>
  <si>
    <t>86-K</t>
  </si>
  <si>
    <t>91-B</t>
  </si>
  <si>
    <t>91-C</t>
  </si>
  <si>
    <t>91-A</t>
  </si>
  <si>
    <t>86J, 88D &amp; 87E-H</t>
  </si>
  <si>
    <t>190-PV-85B-G</t>
  </si>
  <si>
    <t>100-MOH-87-A</t>
  </si>
  <si>
    <t>MOHAVE-90A-15M</t>
  </si>
  <si>
    <t>93C, 93G, 93I &amp; QUIP</t>
  </si>
  <si>
    <t>93C, 93G &amp; 93I Premium</t>
  </si>
  <si>
    <t>2004B (Hedge)</t>
  </si>
  <si>
    <t>2004G (Hedge)</t>
  </si>
  <si>
    <t>2003B</t>
  </si>
  <si>
    <t>2005E (Hedge)</t>
  </si>
  <si>
    <t>91-D(PC)-28.585M</t>
  </si>
  <si>
    <t>92-C(PC)-30M</t>
  </si>
  <si>
    <t>92-E(PC)-190M</t>
  </si>
  <si>
    <t>CA'86-D-G-196M</t>
  </si>
  <si>
    <t>CA-84-A/(86-D-G)</t>
  </si>
  <si>
    <t>CA'87-A-D-135M</t>
  </si>
  <si>
    <t>CA-84-A/(86-D-G) SWAP</t>
  </si>
  <si>
    <t>2006E (Hedge)</t>
  </si>
  <si>
    <t>#2008A (Hedge)$21,372,964.</t>
  </si>
  <si>
    <t>#2008B (Hedge)$11,410,320.</t>
  </si>
  <si>
    <t>Reamarketed - 5/27/10</t>
  </si>
  <si>
    <t>Refunded - 9/24/10</t>
  </si>
  <si>
    <t>Refunded-5/19/11 (4Crnrs 1999A)</t>
  </si>
  <si>
    <t>Retired 12/01/2011</t>
  </si>
  <si>
    <t>Reamarketed - 4/5/2013</t>
  </si>
  <si>
    <t>2004A Retired Bond Premium</t>
  </si>
  <si>
    <t>2008C Retired Bond Premium</t>
  </si>
  <si>
    <t>$300M TERM LOAN</t>
  </si>
  <si>
    <t xml:space="preserve">                                                                                                                                                                                                                                                                                                                </t>
  </si>
  <si>
    <t>CPUC D. 15-11-021</t>
  </si>
  <si>
    <r>
      <t xml:space="preserve">Beginning Deferred Tax Balance (Line </t>
    </r>
    <r>
      <rPr>
        <u/>
        <sz val="10"/>
        <color rgb="FFFF0000"/>
        <rFont val="Arial"/>
        <family val="2"/>
      </rPr>
      <t>10</t>
    </r>
    <r>
      <rPr>
        <sz val="10"/>
        <rFont val="Arial"/>
        <family val="2"/>
      </rPr>
      <t>, Col. 2)</t>
    </r>
  </si>
  <si>
    <r>
      <t xml:space="preserve">Ending Balance (Line </t>
    </r>
    <r>
      <rPr>
        <u/>
        <sz val="10"/>
        <color rgb="FFFF0000"/>
        <rFont val="Arial"/>
        <family val="2"/>
      </rPr>
      <t>5</t>
    </r>
    <r>
      <rPr>
        <sz val="10"/>
        <rFont val="Arial"/>
        <family val="2"/>
      </rPr>
      <t>, Col. 2)</t>
    </r>
  </si>
  <si>
    <t>FF1 278.9, Row 1, Column e (Act 254)</t>
  </si>
  <si>
    <t>G: Exclude EEI &amp; EPRI Dues Re-Mapped to FERC Account 930.2 Miscellaneous general expenses.</t>
  </si>
  <si>
    <t>2015-2017</t>
  </si>
  <si>
    <t>M) Future Incentive Projects</t>
  </si>
  <si>
    <t>24p</t>
  </si>
  <si>
    <t>24q</t>
  </si>
  <si>
    <t>ECS - Interstate End User Tax Exempt</t>
  </si>
  <si>
    <t>ECS- EU USAC E-Rate</t>
  </si>
  <si>
    <t>12eee</t>
  </si>
  <si>
    <t>Power Quality C&amp;I Customer Program</t>
  </si>
  <si>
    <t>Settlement in ER11-3697</t>
  </si>
  <si>
    <t>Includes Schedules D, D-CARE, D-FERA,TOU-D-T, TOU-EV-1, TOU-D-TEV, DE, D-SDP, D-SDP-O, DM, DMS-1, DMS-2, DMS-3, and DS.</t>
  </si>
  <si>
    <t xml:space="preserve">  D (Option CPP), D-CARE (Option CPP), TOU-D-Option A, TOU-D-Option B, TOU-D-3</t>
  </si>
  <si>
    <t>Includes Schedules GS-1, TOU-EV-3, and TOU-GS-1 (Option A, B, RTP, CPP, Standby, GS-APS, GS-APS-E, and ME).</t>
  </si>
  <si>
    <t>Includes Schedules TC-1, Wi-Fi-1, and WTR.</t>
  </si>
  <si>
    <t xml:space="preserve">Includes Schedules GS-2, TOU-EV-4, and TOU-GS-2 (Option A, B, R, RTP, CPP, Standby, GS-APS, GS-APS-E, and ME). </t>
  </si>
  <si>
    <t>Includes Schedules TOU-GS-3-CPP, and TOU-GS-3 (Option A, B, R, RTP, SOP, Standby, TOU-BIP, GS-APS, GS-APS-E, and ME).</t>
  </si>
  <si>
    <t>Includes Schedules TOU-8-CPP, TOU-8-RBU, and TOU-8 (Option A, B, R, RTP, TOU-BIP, GS-APS, GS-APS-E, Backup-B, and ME).</t>
  </si>
  <si>
    <t>Includes Schedules TOU-8-Standby (Option B, RTP, TOU-BIP, GS-APS, GS-APS-E, and ME).</t>
  </si>
  <si>
    <t>Includes Schedules TOU-8-Standby (Option A, A2, B, RTP, TOU-BIP, GS-APS, GS-APS-E, and ME).</t>
  </si>
  <si>
    <t>Includes Schedules  PA-1, PA-2, TOU-PA-ICE, and TOU-PA-2 (Option A, B, RTP, SOP-1, SOP-2, CPP, Standby, and AP-I).</t>
  </si>
  <si>
    <t>Includes Schedules  TOU-PA-3-CPP, and TOU-PA-3 (Option A, B, RTP, SOP-1, SOP-2, Standby, and AP-I).</t>
  </si>
  <si>
    <t>Includes Schedules AL-2, AL-2-B, DWL, LS-1, LS-2, LS-3, LS-3-B, and OL-1.</t>
  </si>
  <si>
    <t>Amortization of Excess Deferred Tax Liability</t>
  </si>
  <si>
    <r>
      <t xml:space="preserve">3) No change in </t>
    </r>
    <r>
      <rPr>
        <u/>
        <sz val="10"/>
        <color rgb="FFFF0000"/>
        <rFont val="Arial"/>
        <family val="2"/>
      </rPr>
      <t>the</t>
    </r>
    <r>
      <rPr>
        <sz val="10"/>
        <rFont val="Arial"/>
        <family val="2"/>
      </rPr>
      <t xml:space="preserve"> </t>
    </r>
    <r>
      <rPr>
        <strike/>
        <sz val="10"/>
        <color rgb="FFFF0000"/>
        <rFont val="Arial"/>
        <family val="2"/>
      </rPr>
      <t xml:space="preserve">Amortization of Excess Deferred Tax Liability or </t>
    </r>
    <r>
      <rPr>
        <sz val="10"/>
        <rFont val="Arial"/>
        <family val="2"/>
      </rPr>
      <t>South Georgia Income Tax Adjustment "Credits and Other" term</t>
    </r>
    <r>
      <rPr>
        <strike/>
        <sz val="10"/>
        <color rgb="FFFF0000"/>
        <rFont val="Arial"/>
        <family val="2"/>
      </rPr>
      <t>s</t>
    </r>
    <r>
      <rPr>
        <sz val="10"/>
        <rFont val="Arial"/>
        <family val="2"/>
      </rPr>
      <t xml:space="preserve"> will be made absent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</si>
</sst>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yy"/>
    <numFmt numFmtId="208" formatCode="0.0000000000000000%"/>
    <numFmt numFmtId="209" formatCode="mmm\ d\,\ yyyy"/>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0"/>
      <color theme="0" tint="-0.34998626667073579"/>
      <name val="Arial"/>
      <family val="2"/>
    </font>
    <font>
      <sz val="10"/>
      <name val="Helv"/>
    </font>
    <font>
      <sz val="10"/>
      <color rgb="FF0070C0"/>
      <name val="Arial"/>
      <family val="2"/>
    </font>
    <font>
      <b/>
      <sz val="9"/>
      <name val="Arial"/>
      <family val="2"/>
    </font>
    <font>
      <sz val="11"/>
      <name val="Calibri"/>
      <family val="2"/>
    </font>
    <font>
      <b/>
      <sz val="18"/>
      <name val="Arial"/>
      <family val="2"/>
    </font>
    <font>
      <b/>
      <sz val="22"/>
      <name val="Arial"/>
      <family val="2"/>
    </font>
    <font>
      <b/>
      <u/>
      <sz val="10"/>
      <color rgb="FFFF0000"/>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theme="0"/>
        <bgColor indexed="64"/>
      </patternFill>
    </fill>
  </fills>
  <borders count="62">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s>
  <cellStyleXfs count="53894">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6" fontId="23" fillId="0" borderId="0" applyFont="0" applyFill="0" applyBorder="0" applyAlignment="0" applyProtection="0"/>
    <xf numFmtId="44" fontId="20"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8" fontId="30" fillId="0" borderId="0"/>
    <xf numFmtId="9" fontId="20" fillId="0" borderId="0" applyFont="0" applyFill="0" applyBorder="0" applyAlignment="0" applyProtection="0"/>
    <xf numFmtId="9" fontId="43" fillId="0" borderId="0" applyFont="0" applyFill="0" applyBorder="0" applyAlignment="0" applyProtection="0"/>
    <xf numFmtId="9" fontId="23"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3" fillId="31" borderId="1" applyNumberFormat="0" applyProtection="0">
      <alignment horizontal="left" vertical="center" indent="1"/>
    </xf>
    <xf numFmtId="0" fontId="23" fillId="31" borderId="1" applyNumberFormat="0" applyProtection="0">
      <alignment horizontal="left" vertical="top" indent="1"/>
    </xf>
    <xf numFmtId="0" fontId="23" fillId="27" borderId="1" applyNumberFormat="0" applyProtection="0">
      <alignment horizontal="left" vertical="center" indent="1"/>
    </xf>
    <xf numFmtId="0" fontId="23" fillId="27" borderId="1" applyNumberFormat="0" applyProtection="0">
      <alignment horizontal="left" vertical="top" indent="1"/>
    </xf>
    <xf numFmtId="0" fontId="23" fillId="3" borderId="1" applyNumberFormat="0" applyProtection="0">
      <alignment horizontal="left" vertical="center" indent="1"/>
    </xf>
    <xf numFmtId="0" fontId="23" fillId="3" borderId="1" applyNumberFormat="0" applyProtection="0">
      <alignment horizontal="left" vertical="top" indent="1"/>
    </xf>
    <xf numFmtId="0" fontId="23" fillId="30" borderId="1" applyNumberFormat="0" applyProtection="0">
      <alignment horizontal="left" vertical="center" indent="1"/>
    </xf>
    <xf numFmtId="0" fontId="23" fillId="30" borderId="1" applyNumberFormat="0" applyProtection="0">
      <alignment horizontal="left" vertical="top" indent="1"/>
    </xf>
    <xf numFmtId="0" fontId="23"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0" fillId="0" borderId="0"/>
    <xf numFmtId="0" fontId="19" fillId="0" borderId="0"/>
    <xf numFmtId="0" fontId="19" fillId="0" borderId="0"/>
    <xf numFmtId="176" fontId="20" fillId="0" borderId="0" applyFont="0" applyFill="0" applyBorder="0" applyAlignment="0" applyProtection="0"/>
    <xf numFmtId="0" fontId="20" fillId="31" borderId="1" applyNumberFormat="0" applyProtection="0">
      <alignment horizontal="left" vertical="center" indent="1"/>
    </xf>
    <xf numFmtId="0" fontId="20" fillId="31" borderId="1" applyNumberFormat="0" applyProtection="0">
      <alignment horizontal="left" vertical="top" indent="1"/>
    </xf>
    <xf numFmtId="0" fontId="20" fillId="27" borderId="1" applyNumberFormat="0" applyProtection="0">
      <alignment horizontal="left" vertical="center" indent="1"/>
    </xf>
    <xf numFmtId="0" fontId="20" fillId="27" borderId="1" applyNumberFormat="0" applyProtection="0">
      <alignment horizontal="left" vertical="top" indent="1"/>
    </xf>
    <xf numFmtId="0" fontId="20" fillId="3" borderId="1" applyNumberFormat="0" applyProtection="0">
      <alignment horizontal="left" vertical="center" indent="1"/>
    </xf>
    <xf numFmtId="0" fontId="20" fillId="3" borderId="1" applyNumberFormat="0" applyProtection="0">
      <alignment horizontal="left" vertical="top" indent="1"/>
    </xf>
    <xf numFmtId="0" fontId="20" fillId="30" borderId="1" applyNumberFormat="0" applyProtection="0">
      <alignment horizontal="left" vertical="center" indent="1"/>
    </xf>
    <xf numFmtId="0" fontId="20" fillId="30" borderId="1" applyNumberFormat="0" applyProtection="0">
      <alignment horizontal="left" vertical="top" indent="1"/>
    </xf>
    <xf numFmtId="0" fontId="20" fillId="32" borderId="3" applyNumberFormat="0">
      <protection locked="0"/>
    </xf>
    <xf numFmtId="0" fontId="64"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0" fillId="0" borderId="0" applyFont="0" applyFill="0" applyBorder="0" applyAlignment="0" applyProtection="0"/>
    <xf numFmtId="0" fontId="20" fillId="0" borderId="0"/>
    <xf numFmtId="0" fontId="13" fillId="0" borderId="0"/>
    <xf numFmtId="0" fontId="13" fillId="0" borderId="0"/>
    <xf numFmtId="0" fontId="13"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3" fillId="0" borderId="0"/>
    <xf numFmtId="0" fontId="74" fillId="0" borderId="0"/>
    <xf numFmtId="0" fontId="20" fillId="0" borderId="0"/>
    <xf numFmtId="0" fontId="20" fillId="0" borderId="0"/>
    <xf numFmtId="0" fontId="8" fillId="0" borderId="0"/>
    <xf numFmtId="0" fontId="2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2" fontId="4" fillId="0" borderId="0"/>
    <xf numFmtId="43" fontId="37"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0" fillId="0" borderId="0" applyNumberFormat="0" applyFill="0" applyBorder="0" applyAlignment="0" applyProtection="0"/>
    <xf numFmtId="183" fontId="20" fillId="0" borderId="0" applyNumberFormat="0" applyFill="0" applyBorder="0" applyAlignment="0" applyProtection="0"/>
    <xf numFmtId="184" fontId="20" fillId="0" borderId="0" applyNumberFormat="0" applyFill="0" applyBorder="0" applyAlignment="0" applyProtection="0"/>
    <xf numFmtId="184" fontId="20"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186" fontId="20"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5" fontId="4" fillId="46" borderId="0" applyNumberFormat="0" applyBorder="0" applyAlignment="0" applyProtection="0"/>
    <xf numFmtId="183"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184" fontId="4"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4" fillId="46" borderId="0" applyNumberFormat="0" applyBorder="0" applyAlignment="0" applyProtection="0"/>
    <xf numFmtId="182" fontId="4"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5" fontId="4" fillId="50" borderId="0" applyNumberFormat="0" applyBorder="0" applyAlignment="0" applyProtection="0"/>
    <xf numFmtId="183"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184" fontId="4"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0" borderId="0" applyNumberFormat="0" applyBorder="0" applyAlignment="0" applyProtection="0"/>
    <xf numFmtId="182" fontId="4"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5" fontId="4" fillId="54" borderId="0" applyNumberFormat="0" applyBorder="0" applyAlignment="0" applyProtection="0"/>
    <xf numFmtId="183"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184" fontId="4"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4" fillId="54" borderId="0" applyNumberFormat="0" applyBorder="0" applyAlignment="0" applyProtection="0"/>
    <xf numFmtId="182" fontId="4"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5" fontId="4" fillId="58" borderId="0" applyNumberFormat="0" applyBorder="0" applyAlignment="0" applyProtection="0"/>
    <xf numFmtId="183"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184" fontId="4"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4" fillId="58" borderId="0" applyNumberFormat="0" applyBorder="0" applyAlignment="0" applyProtection="0"/>
    <xf numFmtId="182" fontId="4"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5" fontId="4" fillId="62" borderId="0" applyNumberFormat="0" applyBorder="0" applyAlignment="0" applyProtection="0"/>
    <xf numFmtId="183"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184" fontId="4"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4" fillId="62" borderId="0" applyNumberFormat="0" applyBorder="0" applyAlignment="0" applyProtection="0"/>
    <xf numFmtId="182" fontId="4"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5" fontId="4" fillId="66" borderId="0" applyNumberFormat="0" applyBorder="0" applyAlignment="0" applyProtection="0"/>
    <xf numFmtId="183"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184" fontId="4"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4" fillId="66" borderId="0" applyNumberFormat="0" applyBorder="0" applyAlignment="0" applyProtection="0"/>
    <xf numFmtId="182" fontId="4"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5" fontId="4" fillId="47" borderId="0" applyNumberFormat="0" applyBorder="0" applyAlignment="0" applyProtection="0"/>
    <xf numFmtId="183"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184" fontId="4"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47" borderId="0" applyNumberFormat="0" applyBorder="0" applyAlignment="0" applyProtection="0"/>
    <xf numFmtId="182" fontId="4"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5" fontId="4" fillId="51" borderId="0" applyNumberFormat="0" applyBorder="0" applyAlignment="0" applyProtection="0"/>
    <xf numFmtId="183"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184" fontId="4"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4" fillId="51" borderId="0" applyNumberFormat="0" applyBorder="0" applyAlignment="0" applyProtection="0"/>
    <xf numFmtId="182" fontId="4"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5" fontId="4" fillId="55" borderId="0" applyNumberFormat="0" applyBorder="0" applyAlignment="0" applyProtection="0"/>
    <xf numFmtId="183"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184" fontId="4"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4" fillId="55" borderId="0" applyNumberFormat="0" applyBorder="0" applyAlignment="0" applyProtection="0"/>
    <xf numFmtId="182" fontId="4"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5" fontId="4" fillId="59" borderId="0" applyNumberFormat="0" applyBorder="0" applyAlignment="0" applyProtection="0"/>
    <xf numFmtId="183"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184" fontId="4"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4" fillId="59" borderId="0" applyNumberFormat="0" applyBorder="0" applyAlignment="0" applyProtection="0"/>
    <xf numFmtId="182" fontId="4"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5" fontId="4" fillId="63" borderId="0" applyNumberFormat="0" applyBorder="0" applyAlignment="0" applyProtection="0"/>
    <xf numFmtId="183"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184" fontId="4"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4" fillId="63" borderId="0" applyNumberFormat="0" applyBorder="0" applyAlignment="0" applyProtection="0"/>
    <xf numFmtId="182" fontId="4"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5" fontId="4" fillId="67" borderId="0" applyNumberFormat="0" applyBorder="0" applyAlignment="0" applyProtection="0"/>
    <xf numFmtId="183"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184" fontId="4"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4" fillId="67" borderId="0" applyNumberFormat="0" applyBorder="0" applyAlignment="0" applyProtection="0"/>
    <xf numFmtId="182" fontId="4"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5"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5" fillId="31" borderId="0" applyNumberFormat="0" applyBorder="0" applyAlignment="0" applyProtection="0"/>
    <xf numFmtId="0" fontId="38"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5"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5" fillId="4" borderId="0" applyNumberFormat="0" applyBorder="0" applyAlignment="0" applyProtection="0"/>
    <xf numFmtId="0" fontId="38"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5"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5" fillId="15" borderId="0" applyNumberFormat="0" applyBorder="0" applyAlignment="0" applyProtection="0"/>
    <xf numFmtId="0" fontId="38"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5"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5" fillId="75" borderId="0" applyNumberFormat="0" applyBorder="0" applyAlignment="0" applyProtection="0"/>
    <xf numFmtId="0" fontId="38"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5"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5" fillId="31" borderId="0" applyNumberFormat="0" applyBorder="0" applyAlignment="0" applyProtection="0"/>
    <xf numFmtId="0" fontId="38"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5"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5" fillId="74" borderId="0" applyNumberFormat="0" applyBorder="0" applyAlignment="0" applyProtection="0"/>
    <xf numFmtId="0" fontId="38"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2" fillId="0" borderId="0" applyNumberFormat="0" applyAlignment="0"/>
    <xf numFmtId="0" fontId="22" fillId="0" borderId="0" applyNumberFormat="0" applyAlignment="0"/>
    <xf numFmtId="183"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4" fontId="22" fillId="0" borderId="0" applyNumberFormat="0" applyAlignment="0"/>
    <xf numFmtId="185" fontId="22" fillId="0" borderId="0" applyNumberFormat="0" applyAlignment="0"/>
    <xf numFmtId="183" fontId="22" fillId="0" borderId="0" applyNumberFormat="0" applyAlignment="0"/>
    <xf numFmtId="184" fontId="22" fillId="0" borderId="0" applyNumberFormat="0" applyAlignment="0"/>
    <xf numFmtId="184" fontId="22" fillId="0" borderId="0" applyNumberFormat="0" applyAlignment="0"/>
    <xf numFmtId="183" fontId="22" fillId="0" borderId="0" applyNumberFormat="0" applyAlignment="0"/>
    <xf numFmtId="184" fontId="22" fillId="0" borderId="0" applyNumberFormat="0" applyAlignment="0"/>
    <xf numFmtId="187" fontId="22" fillId="0" borderId="0" applyNumberFormat="0" applyAlignment="0"/>
    <xf numFmtId="184" fontId="22" fillId="0" borderId="0" applyNumberFormat="0" applyAlignment="0"/>
    <xf numFmtId="184" fontId="22" fillId="0" borderId="0" applyNumberFormat="0" applyAlignment="0"/>
    <xf numFmtId="188" fontId="21" fillId="95" borderId="30">
      <alignment horizontal="center" vertical="center"/>
    </xf>
    <xf numFmtId="189" fontId="90" fillId="95" borderId="30">
      <alignment horizontal="center" vertical="center"/>
    </xf>
    <xf numFmtId="188" fontId="21" fillId="95" borderId="30">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0" fillId="0" borderId="0" applyFill="0" applyBorder="0" applyAlignment="0"/>
    <xf numFmtId="165" fontId="20" fillId="0" borderId="0" applyFill="0" applyBorder="0" applyAlignment="0"/>
    <xf numFmtId="165" fontId="20" fillId="0" borderId="0" applyFill="0" applyBorder="0" applyAlignment="0"/>
    <xf numFmtId="165" fontId="20"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0"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0" fillId="0" borderId="0" applyFont="0" applyFill="0" applyBorder="0" applyAlignment="0" applyProtection="0"/>
    <xf numFmtId="41"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0" fillId="0" borderId="0" applyFont="0" applyFill="0" applyBorder="0" applyAlignment="0" applyProtection="0"/>
    <xf numFmtId="176" fontId="20" fillId="0" borderId="0" applyFont="0" applyFill="0" applyBorder="0" applyAlignment="0" applyProtection="0"/>
    <xf numFmtId="43" fontId="20"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93" fontId="20" fillId="0" borderId="0" applyFont="0" applyFill="0" applyBorder="0" applyAlignment="0" applyProtection="0"/>
    <xf numFmtId="193" fontId="20" fillId="0" borderId="0" applyFont="0" applyFill="0" applyBorder="0" applyAlignment="0" applyProtection="0"/>
    <xf numFmtId="44" fontId="3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0"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0" fillId="0" borderId="0" applyFont="0" applyFill="0" applyBorder="0" applyAlignment="0" applyProtection="0"/>
    <xf numFmtId="14" fontId="20"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7"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0" fillId="0" borderId="0">
      <protection locked="0"/>
    </xf>
    <xf numFmtId="195" fontId="20" fillId="0" borderId="0">
      <protection locked="0"/>
    </xf>
    <xf numFmtId="195" fontId="20" fillId="0" borderId="0">
      <protection locked="0"/>
    </xf>
    <xf numFmtId="195" fontId="20" fillId="0" borderId="0">
      <protection locked="0"/>
    </xf>
    <xf numFmtId="0" fontId="111"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5"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0" fontId="20" fillId="0" borderId="0" applyFont="0" applyFill="0" applyBorder="0" applyAlignment="0" applyProtection="0"/>
    <xf numFmtId="183"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96" fontId="33"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7"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7"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2" fillId="69" borderId="0" applyNumberFormat="0" applyBorder="0" applyAlignment="0" applyProtection="0"/>
    <xf numFmtId="38" fontId="22"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197" fontId="20"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0" fillId="0" borderId="0" applyFont="0" applyFill="0" applyBorder="0" applyAlignment="0" applyProtection="0"/>
    <xf numFmtId="198" fontId="20"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2" fillId="102" borderId="3" applyNumberFormat="0" applyBorder="0" applyAlignment="0" applyProtection="0"/>
    <xf numFmtId="10" fontId="22"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0" fillId="0" borderId="0"/>
    <xf numFmtId="201" fontId="20"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183" fontId="20" fillId="0" borderId="0"/>
    <xf numFmtId="184" fontId="20" fillId="0" borderId="0"/>
    <xf numFmtId="184" fontId="20" fillId="0" borderId="0"/>
    <xf numFmtId="187" fontId="4" fillId="0" borderId="0"/>
    <xf numFmtId="0"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4" fillId="0" borderId="0"/>
    <xf numFmtId="0" fontId="4" fillId="0" borderId="0"/>
    <xf numFmtId="183" fontId="4" fillId="0" borderId="0"/>
    <xf numFmtId="184" fontId="4" fillId="0" borderId="0"/>
    <xf numFmtId="185" fontId="4" fillId="0" borderId="0"/>
    <xf numFmtId="183"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183" fontId="4" fillId="0" borderId="0"/>
    <xf numFmtId="184" fontId="4" fillId="0" borderId="0"/>
    <xf numFmtId="185" fontId="4" fillId="0" borderId="0"/>
    <xf numFmtId="183" fontId="4" fillId="0" borderId="0"/>
    <xf numFmtId="184" fontId="4" fillId="0" borderId="0"/>
    <xf numFmtId="184" fontId="4" fillId="0" borderId="0"/>
    <xf numFmtId="0" fontId="22" fillId="104" borderId="0"/>
    <xf numFmtId="183" fontId="22" fillId="104" borderId="0"/>
    <xf numFmtId="184" fontId="22" fillId="104" borderId="0"/>
    <xf numFmtId="184" fontId="22" fillId="104" borderId="0"/>
    <xf numFmtId="187" fontId="22" fillId="104" borderId="0"/>
    <xf numFmtId="184" fontId="22" fillId="104" borderId="0"/>
    <xf numFmtId="184" fontId="4"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184" fontId="20" fillId="0" borderId="0"/>
    <xf numFmtId="185" fontId="20" fillId="0" borderId="0"/>
    <xf numFmtId="183" fontId="20" fillId="0" borderId="0"/>
    <xf numFmtId="184" fontId="20" fillId="0" borderId="0"/>
    <xf numFmtId="185"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0"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184" fontId="20" fillId="0" borderId="0"/>
    <xf numFmtId="182" fontId="22" fillId="104" borderId="0"/>
    <xf numFmtId="202" fontId="4" fillId="0" borderId="0"/>
    <xf numFmtId="0" fontId="4" fillId="0" borderId="0"/>
    <xf numFmtId="202"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184" fontId="20" fillId="0" borderId="0"/>
    <xf numFmtId="187" fontId="4" fillId="0" borderId="0"/>
    <xf numFmtId="0" fontId="20" fillId="0" borderId="0"/>
    <xf numFmtId="184" fontId="20" fillId="0" borderId="0"/>
    <xf numFmtId="184" fontId="4" fillId="0" borderId="0"/>
    <xf numFmtId="0" fontId="20" fillId="0" borderId="0"/>
    <xf numFmtId="184" fontId="20" fillId="0" borderId="0"/>
    <xf numFmtId="0"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4" fontId="20" fillId="0" borderId="0"/>
    <xf numFmtId="182" fontId="20" fillId="0" borderId="0"/>
    <xf numFmtId="202" fontId="4" fillId="0" borderId="0"/>
    <xf numFmtId="0" fontId="136"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3" fontId="136" fillId="0" borderId="0"/>
    <xf numFmtId="184" fontId="136" fillId="0" borderId="0"/>
    <xf numFmtId="0" fontId="4" fillId="0" borderId="0"/>
    <xf numFmtId="183" fontId="4" fillId="0" borderId="0"/>
    <xf numFmtId="184" fontId="4" fillId="0" borderId="0"/>
    <xf numFmtId="184" fontId="4" fillId="0" borderId="0"/>
    <xf numFmtId="184" fontId="136" fillId="0" borderId="0"/>
    <xf numFmtId="185" fontId="136" fillId="0" borderId="0"/>
    <xf numFmtId="183" fontId="136" fillId="0" borderId="0"/>
    <xf numFmtId="184" fontId="136" fillId="0" borderId="0"/>
    <xf numFmtId="184" fontId="136"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4" fontId="20" fillId="0" borderId="0"/>
    <xf numFmtId="184" fontId="20" fillId="0" borderId="0"/>
    <xf numFmtId="187" fontId="20"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20" fillId="0" borderId="0"/>
    <xf numFmtId="202"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0" borderId="0"/>
    <xf numFmtId="184" fontId="20"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6" fontId="20" fillId="0" borderId="0">
      <alignment horizontal="left" wrapText="1"/>
    </xf>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186" fontId="20" fillId="0" borderId="0">
      <alignment horizontal="left" wrapText="1"/>
    </xf>
    <xf numFmtId="0" fontId="22"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7" fontId="4" fillId="0" borderId="0"/>
    <xf numFmtId="184" fontId="4" fillId="0" borderId="0"/>
    <xf numFmtId="184"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3"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0" fontId="53" fillId="0" borderId="0"/>
    <xf numFmtId="183" fontId="53" fillId="0" borderId="0"/>
    <xf numFmtId="184" fontId="53" fillId="0" borderId="0"/>
    <xf numFmtId="184" fontId="53" fillId="0" borderId="0"/>
    <xf numFmtId="0" fontId="4" fillId="0" borderId="0"/>
    <xf numFmtId="183" fontId="4" fillId="0" borderId="0"/>
    <xf numFmtId="184" fontId="4" fillId="0" borderId="0"/>
    <xf numFmtId="184" fontId="4" fillId="0" borderId="0"/>
    <xf numFmtId="184" fontId="53"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22" fillId="104" borderId="0"/>
    <xf numFmtId="183" fontId="22" fillId="104" borderId="0"/>
    <xf numFmtId="184" fontId="22" fillId="104" borderId="0"/>
    <xf numFmtId="0" fontId="4" fillId="0" borderId="0"/>
    <xf numFmtId="183" fontId="4" fillId="0" borderId="0"/>
    <xf numFmtId="184" fontId="4" fillId="0" borderId="0"/>
    <xf numFmtId="184" fontId="4" fillId="0" borderId="0"/>
    <xf numFmtId="184" fontId="22" fillId="104"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2" fillId="104" borderId="0"/>
    <xf numFmtId="0" fontId="22" fillId="104" borderId="0"/>
    <xf numFmtId="183" fontId="22" fillId="104" borderId="0"/>
    <xf numFmtId="184" fontId="22" fillId="104" borderId="0"/>
    <xf numFmtId="184" fontId="22" fillId="104" borderId="0"/>
    <xf numFmtId="0"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4" fontId="22" fillId="104" borderId="0"/>
    <xf numFmtId="0" fontId="4" fillId="0" borderId="0"/>
    <xf numFmtId="183" fontId="4" fillId="0" borderId="0"/>
    <xf numFmtId="184" fontId="4" fillId="0" borderId="0"/>
    <xf numFmtId="184" fontId="4" fillId="0" borderId="0"/>
    <xf numFmtId="183" fontId="22" fillId="104" borderId="0"/>
    <xf numFmtId="184" fontId="22" fillId="104" borderId="0"/>
    <xf numFmtId="184" fontId="22" fillId="104"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37" fillId="0" borderId="0"/>
    <xf numFmtId="187" fontId="4" fillId="0" borderId="0"/>
    <xf numFmtId="184" fontId="4" fillId="0" borderId="0"/>
    <xf numFmtId="184" fontId="20" fillId="0" borderId="0"/>
    <xf numFmtId="202" fontId="20" fillId="0" borderId="0"/>
    <xf numFmtId="182"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0" fontId="20" fillId="0" borderId="0"/>
    <xf numFmtId="0" fontId="20" fillId="0" borderId="0"/>
    <xf numFmtId="183" fontId="20" fillId="0" borderId="0"/>
    <xf numFmtId="184" fontId="20" fillId="0" borderId="0"/>
    <xf numFmtId="184" fontId="20" fillId="0" borderId="0"/>
    <xf numFmtId="0" fontId="20" fillId="0" borderId="0"/>
    <xf numFmtId="183" fontId="20" fillId="0" borderId="0"/>
    <xf numFmtId="184" fontId="20" fillId="0" borderId="0"/>
    <xf numFmtId="184" fontId="20" fillId="0" borderId="0"/>
    <xf numFmtId="183" fontId="20" fillId="0" borderId="0"/>
    <xf numFmtId="184" fontId="20" fillId="0" borderId="0"/>
    <xf numFmtId="0" fontId="20" fillId="0" borderId="0"/>
    <xf numFmtId="184" fontId="20"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4" fillId="0" borderId="0"/>
    <xf numFmtId="184" fontId="4" fillId="0" borderId="0"/>
    <xf numFmtId="183" fontId="4" fillId="0" borderId="0"/>
    <xf numFmtId="184" fontId="4" fillId="0" borderId="0"/>
    <xf numFmtId="183"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0" fontId="22" fillId="104" borderId="0"/>
    <xf numFmtId="183" fontId="22" fillId="104" borderId="0"/>
    <xf numFmtId="184" fontId="22" fillId="104" borderId="0"/>
    <xf numFmtId="184" fontId="22" fillId="104" borderId="0"/>
    <xf numFmtId="183" fontId="22" fillId="104" borderId="0"/>
    <xf numFmtId="184" fontId="22" fillId="104" borderId="0"/>
    <xf numFmtId="183" fontId="4" fillId="0" borderId="0"/>
    <xf numFmtId="184" fontId="4" fillId="0" borderId="0"/>
    <xf numFmtId="0" fontId="4" fillId="0" borderId="0"/>
    <xf numFmtId="184" fontId="4"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53" fillId="0" borderId="0"/>
    <xf numFmtId="0" fontId="22" fillId="104" borderId="0"/>
    <xf numFmtId="184" fontId="22" fillId="104" borderId="0"/>
    <xf numFmtId="184" fontId="53" fillId="0" borderId="0"/>
    <xf numFmtId="0" fontId="22" fillId="104" borderId="0"/>
    <xf numFmtId="184" fontId="22" fillId="104"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187" fontId="20" fillId="0" borderId="0"/>
    <xf numFmtId="187" fontId="20" fillId="0" borderId="0"/>
    <xf numFmtId="184" fontId="20" fillId="0" borderId="0"/>
    <xf numFmtId="184" fontId="20" fillId="0" borderId="0"/>
    <xf numFmtId="0" fontId="20" fillId="0" borderId="0"/>
    <xf numFmtId="184" fontId="20" fillId="0" borderId="0"/>
    <xf numFmtId="0" fontId="22" fillId="104" borderId="0"/>
    <xf numFmtId="184" fontId="22" fillId="104"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184" fontId="22" fillId="104" borderId="0"/>
    <xf numFmtId="0" fontId="22" fillId="104" borderId="0"/>
    <xf numFmtId="184" fontId="22" fillId="104" borderId="0"/>
    <xf numFmtId="0" fontId="4" fillId="0" borderId="0"/>
    <xf numFmtId="184" fontId="4" fillId="0"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0" fontId="22" fillId="104" borderId="0"/>
    <xf numFmtId="184" fontId="22" fillId="104" borderId="0"/>
    <xf numFmtId="184" fontId="4"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2" fillId="104" borderId="0"/>
    <xf numFmtId="202" fontId="4" fillId="0" borderId="0"/>
    <xf numFmtId="202" fontId="4" fillId="0" borderId="0"/>
    <xf numFmtId="0"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202" fontId="4" fillId="0" borderId="0"/>
    <xf numFmtId="202" fontId="4" fillId="0" borderId="0"/>
    <xf numFmtId="202" fontId="4" fillId="0" borderId="0"/>
    <xf numFmtId="202" fontId="4" fillId="0" borderId="0"/>
    <xf numFmtId="202" fontId="4" fillId="0" borderId="0"/>
    <xf numFmtId="183" fontId="4" fillId="0" borderId="0"/>
    <xf numFmtId="183" fontId="4" fillId="0" borderId="0"/>
    <xf numFmtId="183" fontId="4" fillId="0" borderId="0"/>
    <xf numFmtId="0" fontId="22" fillId="104" borderId="0"/>
    <xf numFmtId="0" fontId="22" fillId="104"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0" fontId="22" fillId="104" borderId="0"/>
    <xf numFmtId="0" fontId="4" fillId="0" borderId="0"/>
    <xf numFmtId="0"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187"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4" fillId="0" borderId="0"/>
    <xf numFmtId="0" fontId="22" fillId="104" borderId="0"/>
    <xf numFmtId="0" fontId="22" fillId="104"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4" fillId="0" borderId="0"/>
    <xf numFmtId="0" fontId="4" fillId="0" borderId="0"/>
    <xf numFmtId="0" fontId="4"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2" fillId="104" borderId="0"/>
    <xf numFmtId="0" fontId="22" fillId="104" borderId="0"/>
    <xf numFmtId="0" fontId="4" fillId="0" borderId="0"/>
    <xf numFmtId="0" fontId="22" fillId="104" borderId="0"/>
    <xf numFmtId="0" fontId="22" fillId="104" borderId="0"/>
    <xf numFmtId="202" fontId="4" fillId="0" borderId="0"/>
    <xf numFmtId="202" fontId="4" fillId="0" borderId="0"/>
    <xf numFmtId="202"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2" fillId="104" borderId="0"/>
    <xf numFmtId="0" fontId="22" fillId="104" borderId="0"/>
    <xf numFmtId="0" fontId="20" fillId="0" borderId="0"/>
    <xf numFmtId="0" fontId="20" fillId="0" borderId="0"/>
    <xf numFmtId="0" fontId="20" fillId="0" borderId="0"/>
    <xf numFmtId="0" fontId="20" fillId="0" borderId="0"/>
    <xf numFmtId="0"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184" fontId="20"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22" fillId="104" borderId="0"/>
    <xf numFmtId="183" fontId="22" fillId="104" borderId="0"/>
    <xf numFmtId="184" fontId="22" fillId="104" borderId="0"/>
    <xf numFmtId="184" fontId="22" fillId="104" borderId="0"/>
    <xf numFmtId="187"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37" fillId="0" borderId="0"/>
    <xf numFmtId="0"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4" fontId="4"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3"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185"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7" fontId="4" fillId="0" borderId="0"/>
    <xf numFmtId="184" fontId="4" fillId="0" borderId="0"/>
    <xf numFmtId="184" fontId="4"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96" fontId="20" fillId="0" borderId="0"/>
    <xf numFmtId="196"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33" fillId="105" borderId="0" applyBorder="0" applyAlignment="0">
      <alignment horizontal="left"/>
    </xf>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0" fontId="4" fillId="44" borderId="27"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4" fillId="44" borderId="27"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37"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7"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0" fillId="26"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22" fillId="20" borderId="32"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20" fillId="20" borderId="46" applyNumberFormat="0" applyFont="0" applyAlignment="0" applyProtection="0"/>
    <xf numFmtId="184" fontId="20" fillId="20" borderId="46"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37" fillId="26" borderId="46" applyNumberFormat="0" applyFont="0" applyAlignment="0" applyProtection="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2" fontId="4"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37" fillId="26" borderId="46"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5"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0" fontId="4" fillId="44" borderId="27" applyNumberFormat="0" applyFont="0" applyAlignment="0" applyProtection="0"/>
    <xf numFmtId="183" fontId="4" fillId="44" borderId="27" applyNumberFormat="0" applyFont="0" applyAlignment="0" applyProtection="0"/>
    <xf numFmtId="184" fontId="4" fillId="44" borderId="27" applyNumberFormat="0" applyFont="0" applyAlignment="0" applyProtection="0"/>
    <xf numFmtId="184" fontId="4"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3" fontId="37" fillId="44" borderId="27" applyNumberFormat="0" applyFont="0" applyAlignment="0" applyProtection="0"/>
    <xf numFmtId="183"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37" fillId="44" borderId="27" applyNumberFormat="0" applyFont="0" applyAlignment="0" applyProtection="0"/>
    <xf numFmtId="184" fontId="37" fillId="44" borderId="27" applyNumberFormat="0" applyFont="0" applyAlignment="0" applyProtection="0"/>
    <xf numFmtId="184" fontId="37" fillId="44" borderId="27"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7" fillId="44" borderId="27" applyNumberFormat="0" applyFont="0" applyAlignment="0" applyProtection="0"/>
    <xf numFmtId="184" fontId="37" fillId="44" borderId="27" applyNumberFormat="0" applyFont="0" applyAlignment="0" applyProtection="0"/>
    <xf numFmtId="0" fontId="37"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5"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183"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4" fontId="20" fillId="26" borderId="46" applyNumberFormat="0" applyFont="0" applyAlignment="0" applyProtection="0"/>
    <xf numFmtId="0" fontId="20" fillId="26" borderId="46" applyNumberFormat="0" applyFont="0" applyAlignment="0" applyProtection="0"/>
    <xf numFmtId="184" fontId="20" fillId="26"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5" fontId="20" fillId="20" borderId="46" applyNumberFormat="0" applyFont="0" applyAlignment="0" applyProtection="0"/>
    <xf numFmtId="184" fontId="20" fillId="20" borderId="46" applyNumberFormat="0" applyFont="0" applyAlignment="0" applyProtection="0"/>
    <xf numFmtId="184" fontId="20" fillId="20" borderId="46"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4" fillId="0" borderId="0"/>
    <xf numFmtId="183" fontId="4" fillId="0" borderId="0"/>
    <xf numFmtId="184" fontId="4" fillId="0" borderId="0"/>
    <xf numFmtId="184" fontId="4" fillId="0" borderId="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0"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183" fontId="22" fillId="20" borderId="32" applyNumberFormat="0" applyFont="0" applyAlignment="0" applyProtection="0"/>
    <xf numFmtId="184" fontId="22" fillId="20" borderId="32" applyNumberFormat="0" applyFont="0" applyAlignment="0" applyProtection="0"/>
    <xf numFmtId="184" fontId="22"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2" fontId="83" fillId="42" borderId="24" applyNumberFormat="0" applyAlignment="0" applyProtection="0"/>
    <xf numFmtId="0"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4" fontId="30" fillId="0" borderId="0">
      <alignment horizontal="center" wrapText="1"/>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204" fontId="20" fillId="0" borderId="0" applyFont="0" applyFill="0" applyBorder="0" applyAlignment="0" applyProtection="0"/>
    <xf numFmtId="204"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0"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36"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 fillId="0" borderId="0"/>
    <xf numFmtId="183" fontId="4" fillId="0" borderId="0"/>
    <xf numFmtId="184" fontId="4" fillId="0" borderId="0"/>
    <xf numFmtId="184" fontId="4" fillId="0" borderId="0"/>
    <xf numFmtId="9" fontId="4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applyFont="0" applyFill="0" applyBorder="0" applyAlignment="0" applyProtection="0"/>
    <xf numFmtId="9" fontId="20"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20"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33" fillId="0" borderId="0" applyFont="0" applyAlignment="0">
      <alignment horizontal="center" wrapText="1"/>
    </xf>
    <xf numFmtId="9" fontId="33" fillId="0" borderId="0" applyFont="0" applyAlignment="0">
      <alignment horizontal="center"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5"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 fontId="43" fillId="0" borderId="0" applyFon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4" fontId="22" fillId="25" borderId="32" applyNumberFormat="0" applyProtection="0">
      <alignment vertical="center"/>
    </xf>
    <xf numFmtId="4" fontId="22" fillId="25" borderId="32" applyNumberFormat="0" applyProtection="0">
      <alignment vertical="center"/>
    </xf>
    <xf numFmtId="0" fontId="20" fillId="0" borderId="0"/>
    <xf numFmtId="184" fontId="20" fillId="0" borderId="0"/>
    <xf numFmtId="4" fontId="22" fillId="25" borderId="32" applyNumberFormat="0" applyProtection="0">
      <alignment vertical="center"/>
    </xf>
    <xf numFmtId="184" fontId="20" fillId="0" borderId="0"/>
    <xf numFmtId="4" fontId="42" fillId="25" borderId="1"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0" fontId="4" fillId="0" borderId="0"/>
    <xf numFmtId="183" fontId="4" fillId="0" borderId="0"/>
    <xf numFmtId="184" fontId="4" fillId="0" borderId="0"/>
    <xf numFmtId="184" fontId="4" fillId="0" borderId="0"/>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22" fillId="25" borderId="32"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45" fillId="107" borderId="32" applyNumberFormat="0" applyProtection="0">
      <alignment vertical="center"/>
    </xf>
    <xf numFmtId="184" fontId="20" fillId="0" borderId="0"/>
    <xf numFmtId="4" fontId="44"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4" fillId="0" borderId="0"/>
    <xf numFmtId="183" fontId="4" fillId="0" borderId="0"/>
    <xf numFmtId="184" fontId="4" fillId="0" borderId="0"/>
    <xf numFmtId="184" fontId="4"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4" fillId="25"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20" fillId="0" borderId="0"/>
    <xf numFmtId="184" fontId="20" fillId="0" borderId="0"/>
    <xf numFmtId="4" fontId="22" fillId="107" borderId="32" applyNumberFormat="0" applyProtection="0">
      <alignment horizontal="left" vertical="center" indent="1"/>
    </xf>
    <xf numFmtId="184" fontId="20" fillId="0" borderId="0"/>
    <xf numFmtId="4" fontId="42" fillId="25" borderId="1"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0" fontId="4" fillId="0" borderId="0"/>
    <xf numFmtId="183" fontId="4" fillId="0" borderId="0"/>
    <xf numFmtId="184" fontId="4" fillId="0" borderId="0"/>
    <xf numFmtId="184" fontId="4" fillId="0" borderId="0"/>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22" fillId="107" borderId="32"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2" fillId="25"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2" fillId="25" borderId="1" applyNumberFormat="0" applyProtection="0">
      <alignment horizontal="left" vertical="top" indent="1"/>
    </xf>
    <xf numFmtId="0" fontId="20" fillId="0" borderId="0"/>
    <xf numFmtId="184" fontId="20"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0" fillId="0" borderId="0"/>
    <xf numFmtId="184" fontId="20" fillId="0" borderId="0"/>
    <xf numFmtId="0" fontId="20" fillId="0" borderId="0"/>
    <xf numFmtId="184" fontId="20"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0" fillId="0" borderId="0"/>
    <xf numFmtId="182"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42"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20" fillId="0" borderId="0"/>
    <xf numFmtId="184" fontId="20" fillId="0" borderId="0"/>
    <xf numFmtId="4" fontId="22" fillId="2" borderId="32" applyNumberFormat="0" applyProtection="0">
      <alignment horizontal="right" vertical="center"/>
    </xf>
    <xf numFmtId="4" fontId="22" fillId="2" borderId="32" applyNumberFormat="0" applyProtection="0">
      <alignment horizontal="right" vertical="center"/>
    </xf>
    <xf numFmtId="0" fontId="20" fillId="0" borderId="0"/>
    <xf numFmtId="184" fontId="20" fillId="0" borderId="0"/>
    <xf numFmtId="4" fontId="22" fillId="2" borderId="32" applyNumberFormat="0" applyProtection="0">
      <alignment horizontal="right" vertical="center"/>
    </xf>
    <xf numFmtId="184" fontId="20" fillId="0" borderId="0"/>
    <xf numFmtId="4" fontId="40" fillId="2" borderId="1"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22" fillId="2" borderId="32"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08" borderId="32" applyNumberFormat="0" applyProtection="0">
      <alignment horizontal="right" vertical="center"/>
    </xf>
    <xf numFmtId="4" fontId="22" fillId="108" borderId="32" applyNumberFormat="0" applyProtection="0">
      <alignment horizontal="right" vertical="center"/>
    </xf>
    <xf numFmtId="0" fontId="20" fillId="0" borderId="0"/>
    <xf numFmtId="184" fontId="20" fillId="0" borderId="0"/>
    <xf numFmtId="4" fontId="22" fillId="108" borderId="32" applyNumberFormat="0" applyProtection="0">
      <alignment horizontal="right" vertical="center"/>
    </xf>
    <xf numFmtId="184" fontId="20" fillId="0" borderId="0"/>
    <xf numFmtId="4" fontId="40" fillId="4" borderId="1"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22" fillId="108" borderId="32"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1" borderId="51" applyNumberFormat="0" applyProtection="0">
      <alignment horizontal="right" vertical="center"/>
    </xf>
    <xf numFmtId="4" fontId="22" fillId="11" borderId="51" applyNumberFormat="0" applyProtection="0">
      <alignment horizontal="right" vertical="center"/>
    </xf>
    <xf numFmtId="0" fontId="20" fillId="0" borderId="0"/>
    <xf numFmtId="184" fontId="20" fillId="0" borderId="0"/>
    <xf numFmtId="184" fontId="20" fillId="0" borderId="0"/>
    <xf numFmtId="4" fontId="40" fillId="11" borderId="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0" fontId="4" fillId="0" borderId="0"/>
    <xf numFmtId="183" fontId="4" fillId="0" borderId="0"/>
    <xf numFmtId="184" fontId="4" fillId="0" borderId="0"/>
    <xf numFmtId="184" fontId="4" fillId="0" borderId="0"/>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22" fillId="11" borderId="5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6" borderId="32" applyNumberFormat="0" applyProtection="0">
      <alignment horizontal="right" vertical="center"/>
    </xf>
    <xf numFmtId="4" fontId="22" fillId="6" borderId="32" applyNumberFormat="0" applyProtection="0">
      <alignment horizontal="right" vertical="center"/>
    </xf>
    <xf numFmtId="0" fontId="20" fillId="0" borderId="0"/>
    <xf numFmtId="184" fontId="20" fillId="0" borderId="0"/>
    <xf numFmtId="4" fontId="22" fillId="6" borderId="32" applyNumberFormat="0" applyProtection="0">
      <alignment horizontal="right" vertical="center"/>
    </xf>
    <xf numFmtId="184" fontId="20" fillId="0" borderId="0"/>
    <xf numFmtId="4" fontId="40" fillId="6" borderId="1"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22" fillId="6" borderId="32"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7" borderId="32" applyNumberFormat="0" applyProtection="0">
      <alignment horizontal="right" vertical="center"/>
    </xf>
    <xf numFmtId="4" fontId="22" fillId="7" borderId="32" applyNumberFormat="0" applyProtection="0">
      <alignment horizontal="right" vertical="center"/>
    </xf>
    <xf numFmtId="0" fontId="20" fillId="0" borderId="0"/>
    <xf numFmtId="184" fontId="20" fillId="0" borderId="0"/>
    <xf numFmtId="4" fontId="22" fillId="7" borderId="32" applyNumberFormat="0" applyProtection="0">
      <alignment horizontal="right" vertical="center"/>
    </xf>
    <xf numFmtId="184" fontId="20" fillId="0" borderId="0"/>
    <xf numFmtId="4" fontId="40" fillId="7" borderId="1"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22" fillId="7" borderId="32"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9" borderId="32" applyNumberFormat="0" applyProtection="0">
      <alignment horizontal="right" vertical="center"/>
    </xf>
    <xf numFmtId="4" fontId="22" fillId="19" borderId="32" applyNumberFormat="0" applyProtection="0">
      <alignment horizontal="right" vertical="center"/>
    </xf>
    <xf numFmtId="0" fontId="20" fillId="0" borderId="0"/>
    <xf numFmtId="184" fontId="20" fillId="0" borderId="0"/>
    <xf numFmtId="4" fontId="22" fillId="19" borderId="32" applyNumberFormat="0" applyProtection="0">
      <alignment horizontal="right" vertical="center"/>
    </xf>
    <xf numFmtId="184" fontId="20" fillId="0" borderId="0"/>
    <xf numFmtId="4" fontId="40" fillId="19" borderId="1"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22" fillId="19" borderId="32"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15" borderId="32" applyNumberFormat="0" applyProtection="0">
      <alignment horizontal="right" vertical="center"/>
    </xf>
    <xf numFmtId="4" fontId="22" fillId="15" borderId="32" applyNumberFormat="0" applyProtection="0">
      <alignment horizontal="right" vertical="center"/>
    </xf>
    <xf numFmtId="0" fontId="20" fillId="0" borderId="0"/>
    <xf numFmtId="184" fontId="20" fillId="0" borderId="0"/>
    <xf numFmtId="4" fontId="22" fillId="15" borderId="32" applyNumberFormat="0" applyProtection="0">
      <alignment horizontal="right" vertical="center"/>
    </xf>
    <xf numFmtId="184" fontId="20" fillId="0" borderId="0"/>
    <xf numFmtId="4" fontId="40" fillId="15" borderId="1"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22" fillId="15" borderId="32"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8" borderId="32" applyNumberFormat="0" applyProtection="0">
      <alignment horizontal="right" vertical="center"/>
    </xf>
    <xf numFmtId="4" fontId="22" fillId="28" borderId="32" applyNumberFormat="0" applyProtection="0">
      <alignment horizontal="right" vertical="center"/>
    </xf>
    <xf numFmtId="0" fontId="20" fillId="0" borderId="0"/>
    <xf numFmtId="184" fontId="20" fillId="0" borderId="0"/>
    <xf numFmtId="4" fontId="22" fillId="28" borderId="32" applyNumberFormat="0" applyProtection="0">
      <alignment horizontal="right" vertical="center"/>
    </xf>
    <xf numFmtId="184" fontId="20" fillId="0" borderId="0"/>
    <xf numFmtId="4" fontId="40" fillId="28" borderId="1"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22" fillId="28" borderId="32"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5" borderId="32" applyNumberFormat="0" applyProtection="0">
      <alignment horizontal="right" vertical="center"/>
    </xf>
    <xf numFmtId="4" fontId="22" fillId="5" borderId="32" applyNumberFormat="0" applyProtection="0">
      <alignment horizontal="right" vertical="center"/>
    </xf>
    <xf numFmtId="0" fontId="20" fillId="0" borderId="0"/>
    <xf numFmtId="184" fontId="20" fillId="0" borderId="0"/>
    <xf numFmtId="4" fontId="22" fillId="5" borderId="32" applyNumberFormat="0" applyProtection="0">
      <alignment horizontal="right" vertical="center"/>
    </xf>
    <xf numFmtId="184" fontId="20" fillId="0" borderId="0"/>
    <xf numFmtId="4" fontId="40" fillId="5" borderId="1"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22" fillId="5" borderId="32"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0" fontId="20" fillId="0" borderId="0"/>
    <xf numFmtId="184" fontId="20" fillId="0" borderId="0"/>
    <xf numFmtId="184" fontId="20" fillId="0" borderId="0"/>
    <xf numFmtId="4" fontId="42" fillId="29" borderId="2"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22" fillId="29" borderId="51" applyNumberFormat="0" applyProtection="0">
      <alignment horizontal="left" vertical="center" indent="1"/>
    </xf>
    <xf numFmtId="4" fontId="42" fillId="29" borderId="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0" fillId="30"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5" fillId="31" borderId="0"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20" fillId="31" borderId="51" applyNumberFormat="0" applyProtection="0">
      <alignment horizontal="left" vertical="center" indent="1"/>
    </xf>
    <xf numFmtId="4" fontId="45" fillId="31"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32" applyNumberFormat="0" applyProtection="0">
      <alignment horizontal="right" vertical="center"/>
    </xf>
    <xf numFmtId="4" fontId="22" fillId="27" borderId="32" applyNumberFormat="0" applyProtection="0">
      <alignment horizontal="right" vertical="center"/>
    </xf>
    <xf numFmtId="0" fontId="20" fillId="0" borderId="0"/>
    <xf numFmtId="184" fontId="20" fillId="0" borderId="0"/>
    <xf numFmtId="4" fontId="22" fillId="27" borderId="32" applyNumberFormat="0" applyProtection="0">
      <alignment horizontal="right" vertical="center"/>
    </xf>
    <xf numFmtId="184" fontId="20" fillId="0" borderId="0"/>
    <xf numFmtId="4" fontId="40" fillId="27" borderId="1"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0" fontId="4" fillId="0" borderId="0"/>
    <xf numFmtId="183" fontId="4" fillId="0" borderId="0"/>
    <xf numFmtId="184" fontId="4" fillId="0" borderId="0"/>
    <xf numFmtId="184" fontId="4" fillId="0" borderId="0"/>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22" fillId="27" borderId="32"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0" fontId="20" fillId="0" borderId="0"/>
    <xf numFmtId="184" fontId="20" fillId="0" borderId="0"/>
    <xf numFmtId="184" fontId="20" fillId="0" borderId="0"/>
    <xf numFmtId="4" fontId="40" fillId="30" borderId="0"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22" fillId="30" borderId="51"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0" fontId="20" fillId="0" borderId="0"/>
    <xf numFmtId="184" fontId="20" fillId="0" borderId="0"/>
    <xf numFmtId="184" fontId="20" fillId="0" borderId="0"/>
    <xf numFmtId="4" fontId="40" fillId="27" borderId="0"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22" fillId="27" borderId="51"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0"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20" fillId="31" borderId="1" applyNumberFormat="0" applyProtection="0">
      <alignment horizontal="left" vertical="center" indent="1"/>
    </xf>
    <xf numFmtId="0" fontId="20" fillId="0" borderId="0"/>
    <xf numFmtId="184" fontId="20" fillId="0" borderId="0"/>
    <xf numFmtId="187"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0" fontId="20" fillId="0" borderId="0"/>
    <xf numFmtId="184" fontId="20" fillId="0" borderId="0"/>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0" fillId="0" borderId="0"/>
    <xf numFmtId="182" fontId="22" fillId="75" borderId="32"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3"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7"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0" fontId="22" fillId="75" borderId="32" applyNumberFormat="0" applyProtection="0">
      <alignment horizontal="left" vertical="center" indent="1"/>
    </xf>
    <xf numFmtId="184" fontId="22" fillId="75" borderId="32" applyNumberFormat="0" applyProtection="0">
      <alignment horizontal="left" vertical="center" indent="1"/>
    </xf>
    <xf numFmtId="184" fontId="22" fillId="75" borderId="32"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center" indent="1"/>
    </xf>
    <xf numFmtId="184" fontId="20" fillId="31" borderId="1" applyNumberFormat="0" applyProtection="0">
      <alignment horizontal="left" vertical="center" indent="1"/>
    </xf>
    <xf numFmtId="184" fontId="20" fillId="31"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7"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2"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1" borderId="1" applyNumberFormat="0" applyProtection="0">
      <alignment horizontal="left" vertical="top" indent="1"/>
    </xf>
    <xf numFmtId="184" fontId="20" fillId="31" borderId="1" applyNumberFormat="0" applyProtection="0">
      <alignment horizontal="left" vertical="top" indent="1"/>
    </xf>
    <xf numFmtId="184" fontId="20"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0"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1" borderId="1" applyNumberFormat="0" applyProtection="0">
      <alignment horizontal="left" vertical="top" indent="1"/>
    </xf>
    <xf numFmtId="183"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22" fillId="31" borderId="1" applyNumberFormat="0" applyProtection="0">
      <alignment horizontal="left" vertical="top" indent="1"/>
    </xf>
    <xf numFmtId="184" fontId="22" fillId="31" borderId="1" applyNumberFormat="0" applyProtection="0">
      <alignment horizontal="left" vertical="top" indent="1"/>
    </xf>
    <xf numFmtId="184" fontId="22" fillId="31"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27" borderId="1" applyNumberFormat="0" applyProtection="0">
      <alignment horizontal="left" vertical="center" indent="1"/>
    </xf>
    <xf numFmtId="0" fontId="20" fillId="0" borderId="0"/>
    <xf numFmtId="184" fontId="20" fillId="0" borderId="0"/>
    <xf numFmtId="187"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0" fontId="20" fillId="0" borderId="0"/>
    <xf numFmtId="184" fontId="20" fillId="0" borderId="0"/>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0" fillId="0" borderId="0"/>
    <xf numFmtId="182" fontId="22" fillId="109" borderId="32"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3"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7"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0" fontId="22" fillId="109" borderId="32" applyNumberFormat="0" applyProtection="0">
      <alignment horizontal="left" vertical="center" indent="1"/>
    </xf>
    <xf numFmtId="184" fontId="22" fillId="109" borderId="32" applyNumberFormat="0" applyProtection="0">
      <alignment horizontal="left" vertical="center" indent="1"/>
    </xf>
    <xf numFmtId="184" fontId="22" fillId="109" borderId="32"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center" indent="1"/>
    </xf>
    <xf numFmtId="184" fontId="20" fillId="27" borderId="1" applyNumberFormat="0" applyProtection="0">
      <alignment horizontal="left" vertical="center" indent="1"/>
    </xf>
    <xf numFmtId="184" fontId="20" fillId="27"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0" fontId="20" fillId="0" borderId="0"/>
    <xf numFmtId="184" fontId="20" fillId="0" borderId="0"/>
    <xf numFmtId="187"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0" fontId="20" fillId="0" borderId="0"/>
    <xf numFmtId="184" fontId="20"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4" fontId="20" fillId="0" borderId="0"/>
    <xf numFmtId="182"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27" borderId="1" applyNumberFormat="0" applyProtection="0">
      <alignment horizontal="left" vertical="top" indent="1"/>
    </xf>
    <xf numFmtId="184" fontId="20" fillId="27" borderId="1" applyNumberFormat="0" applyProtection="0">
      <alignment horizontal="left" vertical="top" indent="1"/>
    </xf>
    <xf numFmtId="184" fontId="2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0"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27" borderId="1" applyNumberFormat="0" applyProtection="0">
      <alignment horizontal="left" vertical="top" indent="1"/>
    </xf>
    <xf numFmtId="183"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22" fillId="27" borderId="1" applyNumberFormat="0" applyProtection="0">
      <alignment horizontal="left" vertical="top" indent="1"/>
    </xf>
    <xf numFmtId="184" fontId="22" fillId="27" borderId="1" applyNumberFormat="0" applyProtection="0">
      <alignment horizontal="left" vertical="top" indent="1"/>
    </xf>
    <xf numFmtId="184" fontId="22"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 borderId="1" applyNumberFormat="0" applyProtection="0">
      <alignment horizontal="left" vertical="center" indent="1"/>
    </xf>
    <xf numFmtId="0" fontId="20" fillId="0" borderId="0"/>
    <xf numFmtId="184" fontId="20" fillId="0" borderId="0"/>
    <xf numFmtId="187"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0" fontId="20" fillId="0" borderId="0"/>
    <xf numFmtId="184" fontId="20" fillId="0" borderId="0"/>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0" fillId="0" borderId="0"/>
    <xf numFmtId="182" fontId="22" fillId="3" borderId="32"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183"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2" fillId="3" borderId="32" applyNumberFormat="0" applyProtection="0">
      <alignment horizontal="left" vertical="center" indent="1"/>
    </xf>
    <xf numFmtId="184" fontId="22" fillId="3" borderId="32" applyNumberFormat="0" applyProtection="0">
      <alignment horizontal="left" vertical="center" indent="1"/>
    </xf>
    <xf numFmtId="184" fontId="22" fillId="3" borderId="32"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center" indent="1"/>
    </xf>
    <xf numFmtId="184" fontId="20" fillId="3" borderId="1" applyNumberFormat="0" applyProtection="0">
      <alignment horizontal="left" vertical="center" indent="1"/>
    </xf>
    <xf numFmtId="184" fontId="20" fillId="3"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0" fontId="20" fillId="0" borderId="0"/>
    <xf numFmtId="184" fontId="20" fillId="0" borderId="0"/>
    <xf numFmtId="187"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0" fontId="20" fillId="0" borderId="0"/>
    <xf numFmtId="184" fontId="20"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4" fontId="20" fillId="0" borderId="0"/>
    <xf numFmtId="182"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 borderId="1" applyNumberFormat="0" applyProtection="0">
      <alignment horizontal="left" vertical="top" indent="1"/>
    </xf>
    <xf numFmtId="184" fontId="20" fillId="3" borderId="1" applyNumberFormat="0" applyProtection="0">
      <alignment horizontal="left" vertical="top" indent="1"/>
    </xf>
    <xf numFmtId="184" fontId="20" fillId="3"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0"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 borderId="1" applyNumberFormat="0" applyProtection="0">
      <alignment horizontal="left" vertical="top" indent="1"/>
    </xf>
    <xf numFmtId="183"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22" fillId="3" borderId="1" applyNumberFormat="0" applyProtection="0">
      <alignment horizontal="left" vertical="top" indent="1"/>
    </xf>
    <xf numFmtId="184" fontId="22" fillId="3" borderId="1" applyNumberFormat="0" applyProtection="0">
      <alignment horizontal="left" vertical="top" indent="1"/>
    </xf>
    <xf numFmtId="184" fontId="22" fillId="3" borderId="1" applyNumberFormat="0" applyProtection="0">
      <alignment horizontal="left" vertical="top" indent="1"/>
    </xf>
    <xf numFmtId="0" fontId="4" fillId="0" borderId="0"/>
    <xf numFmtId="183" fontId="4" fillId="0" borderId="0"/>
    <xf numFmtId="184" fontId="4" fillId="0" borderId="0"/>
    <xf numFmtId="184" fontId="4" fillId="0" borderId="0"/>
    <xf numFmtId="0" fontId="20" fillId="0" borderId="0"/>
    <xf numFmtId="184" fontId="20" fillId="0" borderId="0"/>
    <xf numFmtId="187" fontId="20" fillId="30" borderId="1" applyNumberFormat="0" applyProtection="0">
      <alignment horizontal="left" vertical="center" indent="1"/>
    </xf>
    <xf numFmtId="0" fontId="20" fillId="0" borderId="0"/>
    <xf numFmtId="184" fontId="20" fillId="0" borderId="0"/>
    <xf numFmtId="187"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0" fontId="20" fillId="0" borderId="0"/>
    <xf numFmtId="184" fontId="20" fillId="0" borderId="0"/>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0" fillId="0" borderId="0"/>
    <xf numFmtId="182" fontId="22" fillId="30" borderId="32"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183"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2" fillId="30" borderId="32" applyNumberFormat="0" applyProtection="0">
      <alignment horizontal="left" vertical="center" indent="1"/>
    </xf>
    <xf numFmtId="184" fontId="22" fillId="30" borderId="32" applyNumberFormat="0" applyProtection="0">
      <alignment horizontal="left" vertical="center" indent="1"/>
    </xf>
    <xf numFmtId="184" fontId="22" fillId="30" borderId="32"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center" indent="1"/>
    </xf>
    <xf numFmtId="184" fontId="20" fillId="30" borderId="1" applyNumberFormat="0" applyProtection="0">
      <alignment horizontal="left" vertical="center" indent="1"/>
    </xf>
    <xf numFmtId="184" fontId="20" fillId="30"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0" fontId="20" fillId="0" borderId="0"/>
    <xf numFmtId="184" fontId="20" fillId="0" borderId="0"/>
    <xf numFmtId="187"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4" fontId="20"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4" fontId="20" fillId="0" borderId="0"/>
    <xf numFmtId="182"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30" borderId="1" applyNumberFormat="0" applyProtection="0">
      <alignment horizontal="left" vertical="top" indent="1"/>
    </xf>
    <xf numFmtId="184" fontId="20" fillId="30" borderId="1" applyNumberFormat="0" applyProtection="0">
      <alignment horizontal="left" vertical="top" indent="1"/>
    </xf>
    <xf numFmtId="184" fontId="20" fillId="30"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0"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4" fillId="0" borderId="0"/>
    <xf numFmtId="183" fontId="4" fillId="0" borderId="0"/>
    <xf numFmtId="184" fontId="4" fillId="0" borderId="0"/>
    <xf numFmtId="184" fontId="4" fillId="0" borderId="0"/>
    <xf numFmtId="183" fontId="22" fillId="30" borderId="1" applyNumberFormat="0" applyProtection="0">
      <alignment horizontal="left" vertical="top" indent="1"/>
    </xf>
    <xf numFmtId="183"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2" fillId="30" borderId="1" applyNumberFormat="0" applyProtection="0">
      <alignment horizontal="left" vertical="top" indent="1"/>
    </xf>
    <xf numFmtId="184" fontId="22" fillId="30" borderId="1" applyNumberFormat="0" applyProtection="0">
      <alignment horizontal="left" vertical="top" indent="1"/>
    </xf>
    <xf numFmtId="184" fontId="22" fillId="30" borderId="1" applyNumberFormat="0" applyProtection="0">
      <alignment horizontal="left" vertical="top" indent="1"/>
    </xf>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0" fontId="20" fillId="0" borderId="0"/>
    <xf numFmtId="184" fontId="20" fillId="0" borderId="0"/>
    <xf numFmtId="187" fontId="20" fillId="32" borderId="3" applyNumberFormat="0">
      <protection locked="0"/>
    </xf>
    <xf numFmtId="0" fontId="20" fillId="0" borderId="0"/>
    <xf numFmtId="184" fontId="20" fillId="0" borderId="0"/>
    <xf numFmtId="184" fontId="20" fillId="32" borderId="3" applyNumberFormat="0">
      <protection locked="0"/>
    </xf>
    <xf numFmtId="0" fontId="20" fillId="0" borderId="0"/>
    <xf numFmtId="184" fontId="20" fillId="0" borderId="0"/>
    <xf numFmtId="0" fontId="22" fillId="32" borderId="52" applyNumberFormat="0">
      <protection locked="0"/>
    </xf>
    <xf numFmtId="184" fontId="22" fillId="32" borderId="52" applyNumberFormat="0">
      <protection locked="0"/>
    </xf>
    <xf numFmtId="0" fontId="20" fillId="0" borderId="0"/>
    <xf numFmtId="184" fontId="20" fillId="0" borderId="0"/>
    <xf numFmtId="184" fontId="20" fillId="0" borderId="0"/>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2" fillId="32" borderId="52" applyNumberFormat="0">
      <protection locked="0"/>
    </xf>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2" fontId="22" fillId="32" borderId="52" applyNumberFormat="0">
      <protection locked="0"/>
    </xf>
    <xf numFmtId="0" fontId="22" fillId="32" borderId="52" applyNumberFormat="0">
      <protection locked="0"/>
    </xf>
    <xf numFmtId="0" fontId="22" fillId="32" borderId="52"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184" fontId="20" fillId="32" borderId="3" applyNumberFormat="0">
      <protection locked="0"/>
    </xf>
    <xf numFmtId="185"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0" fontId="20" fillId="32" borderId="3" applyNumberFormat="0">
      <protection locked="0"/>
    </xf>
    <xf numFmtId="183" fontId="20" fillId="32" borderId="3" applyNumberFormat="0">
      <protection locked="0"/>
    </xf>
    <xf numFmtId="184"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32" borderId="3" applyNumberFormat="0">
      <protection locked="0"/>
    </xf>
    <xf numFmtId="183" fontId="20" fillId="32" borderId="3" applyNumberFormat="0">
      <protection locked="0"/>
    </xf>
    <xf numFmtId="184" fontId="20" fillId="32" borderId="3" applyNumberFormat="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32" borderId="3" applyNumberFormat="0">
      <protection locked="0"/>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3" fontId="22" fillId="32" borderId="52" applyNumberFormat="0">
      <protection locked="0"/>
    </xf>
    <xf numFmtId="183"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22" fillId="32" borderId="52" applyNumberFormat="0">
      <protection locked="0"/>
    </xf>
    <xf numFmtId="0"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183" fontId="22" fillId="32" borderId="52" applyNumberFormat="0">
      <protection locked="0"/>
    </xf>
    <xf numFmtId="184" fontId="22" fillId="32" borderId="52" applyNumberFormat="0">
      <protection locked="0"/>
    </xf>
    <xf numFmtId="184" fontId="22" fillId="32" borderId="52" applyNumberFormat="0">
      <protection locked="0"/>
    </xf>
    <xf numFmtId="0" fontId="4" fillId="0" borderId="0"/>
    <xf numFmtId="183" fontId="4" fillId="0" borderId="0"/>
    <xf numFmtId="184" fontId="4" fillId="0" borderId="0"/>
    <xf numFmtId="184" fontId="4" fillId="0" borderId="0"/>
    <xf numFmtId="183" fontId="22" fillId="32" borderId="52" applyNumberFormat="0">
      <protection locked="0"/>
    </xf>
    <xf numFmtId="184" fontId="22" fillId="32" borderId="52" applyNumberFormat="0">
      <protection locked="0"/>
    </xf>
    <xf numFmtId="184" fontId="22"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0" fillId="0" borderId="0"/>
    <xf numFmtId="184" fontId="20" fillId="0" borderId="0"/>
    <xf numFmtId="0" fontId="20" fillId="0" borderId="0"/>
    <xf numFmtId="184" fontId="20" fillId="0" borderId="0"/>
    <xf numFmtId="4" fontId="139" fillId="26" borderId="1" applyNumberFormat="0" applyProtection="0">
      <alignment vertical="center"/>
    </xf>
    <xf numFmtId="184" fontId="20" fillId="0" borderId="0"/>
    <xf numFmtId="4" fontId="40"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4" fillId="0" borderId="0"/>
    <xf numFmtId="183" fontId="4" fillId="0" borderId="0"/>
    <xf numFmtId="184" fontId="4" fillId="0" borderId="0"/>
    <xf numFmtId="184" fontId="4" fillId="0" borderId="0"/>
    <xf numFmtId="4" fontId="139"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184" fontId="20" fillId="0" borderId="0"/>
    <xf numFmtId="4" fontId="46"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4" fillId="0" borderId="0"/>
    <xf numFmtId="183" fontId="4" fillId="0" borderId="0"/>
    <xf numFmtId="184" fontId="4" fillId="0" borderId="0"/>
    <xf numFmtId="184" fontId="4" fillId="0" borderId="0"/>
    <xf numFmtId="4" fontId="46" fillId="26" borderId="1" applyNumberFormat="0" applyProtection="0">
      <alignment vertical="center"/>
    </xf>
    <xf numFmtId="4" fontId="46" fillId="26" borderId="1" applyNumberFormat="0" applyProtection="0">
      <alignmen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26" borderId="1" applyNumberFormat="0" applyProtection="0">
      <alignmen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20" fillId="0" borderId="0"/>
    <xf numFmtId="184" fontId="20" fillId="0" borderId="0"/>
    <xf numFmtId="0" fontId="20" fillId="0" borderId="0"/>
    <xf numFmtId="184" fontId="20" fillId="0" borderId="0"/>
    <xf numFmtId="4" fontId="139" fillId="75" borderId="1" applyNumberFormat="0" applyProtection="0">
      <alignment horizontal="left" vertical="center" indent="1"/>
    </xf>
    <xf numFmtId="184" fontId="20" fillId="0" borderId="0"/>
    <xf numFmtId="4" fontId="40"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4" fillId="0" borderId="0"/>
    <xf numFmtId="183" fontId="4" fillId="0" borderId="0"/>
    <xf numFmtId="184" fontId="4" fillId="0" borderId="0"/>
    <xf numFmtId="184" fontId="4" fillId="0" borderId="0"/>
    <xf numFmtId="4" fontId="139"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187" fontId="40" fillId="26" borderId="1" applyNumberFormat="0" applyProtection="0">
      <alignment horizontal="left" vertical="top" indent="1"/>
    </xf>
    <xf numFmtId="0" fontId="20" fillId="0" borderId="0"/>
    <xf numFmtId="184" fontId="20"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0" fillId="0" borderId="0"/>
    <xf numFmtId="182" fontId="139"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0" fillId="30" borderId="1"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22" fillId="0" borderId="32"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6"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40" fillId="27" borderId="1"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4" fontId="22" fillId="78" borderId="32" applyNumberFormat="0" applyProtection="0">
      <alignment horizontal="left" vertical="center" indent="1"/>
    </xf>
    <xf numFmtId="0" fontId="4" fillId="0" borderId="0"/>
    <xf numFmtId="183" fontId="4" fillId="0" borderId="0"/>
    <xf numFmtId="184" fontId="4" fillId="0" borderId="0"/>
    <xf numFmtId="184" fontId="4" fillId="0" borderId="0"/>
    <xf numFmtId="0" fontId="20" fillId="0" borderId="0"/>
    <xf numFmtId="184" fontId="20" fillId="0" borderId="0"/>
    <xf numFmtId="187" fontId="40" fillId="27" borderId="1" applyNumberFormat="0" applyProtection="0">
      <alignment horizontal="left" vertical="top" indent="1"/>
    </xf>
    <xf numFmtId="0" fontId="20" fillId="0" borderId="0"/>
    <xf numFmtId="184" fontId="20"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0" fillId="0" borderId="0"/>
    <xf numFmtId="184" fontId="20" fillId="0" borderId="0"/>
    <xf numFmtId="0" fontId="20" fillId="0" borderId="0"/>
    <xf numFmtId="184" fontId="20"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0" fillId="0" borderId="0"/>
    <xf numFmtId="182" fontId="139"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4" fontId="20" fillId="0" borderId="0"/>
    <xf numFmtId="4" fontId="47"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4" fillId="0" borderId="0"/>
    <xf numFmtId="183" fontId="4" fillId="0" borderId="0"/>
    <xf numFmtId="184" fontId="4" fillId="0" borderId="0"/>
    <xf numFmtId="184" fontId="4"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7" fillId="33" borderId="0" applyNumberFormat="0" applyProtection="0">
      <alignment horizontal="left" vertical="center" inden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182" fontId="22" fillId="111" borderId="3"/>
    <xf numFmtId="184" fontId="22" fillId="111" borderId="3"/>
    <xf numFmtId="182" fontId="22" fillId="111" borderId="3"/>
    <xf numFmtId="0"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5"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183" fontId="22" fillId="111" borderId="3"/>
    <xf numFmtId="183"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2" fillId="111" borderId="3"/>
    <xf numFmtId="0" fontId="22" fillId="111" borderId="3"/>
    <xf numFmtId="183" fontId="22" fillId="111" borderId="3"/>
    <xf numFmtId="184" fontId="22" fillId="111" borderId="3"/>
    <xf numFmtId="184" fontId="22" fillId="111" borderId="3"/>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22" fillId="111" borderId="3"/>
    <xf numFmtId="184" fontId="22" fillId="111" borderId="3"/>
    <xf numFmtId="0" fontId="22" fillId="111" borderId="3"/>
    <xf numFmtId="184" fontId="22" fillId="111" borderId="3"/>
    <xf numFmtId="0" fontId="20" fillId="0" borderId="0"/>
    <xf numFmtId="184" fontId="20" fillId="0" borderId="0"/>
    <xf numFmtId="0" fontId="20" fillId="0" borderId="0"/>
    <xf numFmtId="184" fontId="20" fillId="0" borderId="0"/>
    <xf numFmtId="4" fontId="149" fillId="32" borderId="32" applyNumberFormat="0" applyProtection="0">
      <alignment horizontal="right" vertical="center"/>
    </xf>
    <xf numFmtId="184" fontId="20" fillId="0" borderId="0"/>
    <xf numFmtId="4" fontId="41"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4" fillId="0" borderId="0"/>
    <xf numFmtId="183" fontId="4" fillId="0" borderId="0"/>
    <xf numFmtId="184" fontId="4" fillId="0" borderId="0"/>
    <xf numFmtId="184" fontId="4"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 fontId="41" fillId="30" borderId="1" applyNumberFormat="0" applyProtection="0">
      <alignment horizontal="right" vertical="center"/>
    </xf>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3" fontId="20" fillId="0" borderId="0"/>
    <xf numFmtId="184" fontId="20" fillId="0" borderId="0"/>
    <xf numFmtId="0" fontId="4" fillId="0" borderId="0"/>
    <xf numFmtId="183" fontId="4" fillId="0" borderId="0"/>
    <xf numFmtId="184" fontId="4" fillId="0" borderId="0"/>
    <xf numFmtId="184" fontId="4" fillId="0" borderId="0"/>
    <xf numFmtId="184" fontId="20" fillId="0" borderId="0"/>
    <xf numFmtId="185"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20" fillId="0" borderId="0"/>
    <xf numFmtId="0" fontId="20" fillId="0" borderId="0"/>
    <xf numFmtId="183" fontId="20" fillId="0" borderId="0"/>
    <xf numFmtId="184" fontId="20" fillId="0" borderId="0"/>
    <xf numFmtId="184" fontId="20"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20" fillId="0" borderId="0"/>
    <xf numFmtId="184" fontId="20" fillId="0" borderId="0"/>
    <xf numFmtId="0" fontId="20" fillId="0" borderId="0"/>
    <xf numFmtId="184" fontId="20"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1" fillId="0" borderId="0">
      <alignment horizontal="right"/>
    </xf>
    <xf numFmtId="186" fontId="20" fillId="0" borderId="0">
      <alignment horizontal="left" wrapText="1"/>
    </xf>
    <xf numFmtId="186" fontId="20" fillId="0" borderId="0">
      <alignment horizontal="left" wrapText="1"/>
    </xf>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6" fontId="20" fillId="0" borderId="0">
      <alignment horizontal="lef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0" fontId="152" fillId="0" borderId="0" applyBorder="0">
      <alignment horizontal="right"/>
    </xf>
    <xf numFmtId="40" fontId="152" fillId="0" borderId="0" applyBorder="0">
      <alignment horizontal="righ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49" fontId="153" fillId="0" borderId="0">
      <alignment horizontal="left"/>
    </xf>
    <xf numFmtId="49" fontId="153" fillId="0" borderId="0">
      <alignment horizontal="left"/>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48"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8"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5"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48"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1" fillId="0" borderId="28" applyNumberFormat="0" applyFill="0" applyAlignment="0" applyProtection="0"/>
    <xf numFmtId="0"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7"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4" applyNumberFormat="0" applyFill="0" applyAlignment="0" applyProtection="0"/>
    <xf numFmtId="182" fontId="39" fillId="0" borderId="55"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185"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51" fillId="0" borderId="28" applyNumberFormat="0" applyFill="0" applyAlignment="0" applyProtection="0"/>
    <xf numFmtId="183" fontId="51" fillId="0" borderId="28" applyNumberFormat="0" applyFill="0" applyAlignment="0" applyProtection="0"/>
    <xf numFmtId="184" fontId="51" fillId="0" borderId="28" applyNumberFormat="0" applyFill="0" applyAlignment="0" applyProtection="0"/>
    <xf numFmtId="184" fontId="51" fillId="0" borderId="28"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51" fillId="0" borderId="28"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0" fillId="0" borderId="16">
      <protection locked="0"/>
    </xf>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3" fontId="39" fillId="0" borderId="55" applyNumberFormat="0" applyFill="0" applyAlignment="0" applyProtection="0"/>
    <xf numFmtId="183"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5" fontId="39" fillId="0" borderId="55" applyNumberFormat="0" applyFill="0" applyAlignment="0" applyProtection="0"/>
    <xf numFmtId="184" fontId="39" fillId="0" borderId="55" applyNumberFormat="0" applyFill="0" applyAlignment="0" applyProtection="0"/>
    <xf numFmtId="184" fontId="39" fillId="0" borderId="55" applyNumberFormat="0" applyFill="0" applyAlignment="0" applyProtection="0"/>
    <xf numFmtId="197" fontId="20" fillId="0" borderId="16">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51" fillId="0" borderId="28" applyNumberFormat="0" applyFill="0" applyAlignment="0" applyProtection="0"/>
    <xf numFmtId="184" fontId="51" fillId="0" borderId="28" applyNumberFormat="0" applyFill="0" applyAlignment="0" applyProtection="0"/>
    <xf numFmtId="0" fontId="39" fillId="0" borderId="55" applyNumberFormat="0" applyFill="0" applyAlignment="0" applyProtection="0"/>
    <xf numFmtId="184" fontId="39" fillId="0" borderId="55" applyNumberFormat="0" applyFill="0" applyAlignment="0" applyProtection="0"/>
    <xf numFmtId="184" fontId="51" fillId="0" borderId="28" applyNumberFormat="0" applyFill="0" applyAlignment="0" applyProtection="0"/>
    <xf numFmtId="37" fontId="22" fillId="107" borderId="0" applyNumberFormat="0" applyBorder="0" applyAlignment="0" applyProtection="0"/>
    <xf numFmtId="37" fontId="22" fillId="107" borderId="0" applyNumberFormat="0" applyBorder="0" applyAlignment="0" applyProtection="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107" borderId="0" applyNumberFormat="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37" fontId="22" fillId="0" borderId="0"/>
    <xf numFmtId="37" fontId="22" fillId="69" borderId="0" applyNumberFormat="0" applyBorder="0" applyAlignment="0" applyProtection="0"/>
    <xf numFmtId="3" fontId="156" fillId="0" borderId="42" applyProtection="0"/>
    <xf numFmtId="3" fontId="156" fillId="0" borderId="42"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4" fillId="0" borderId="0"/>
    <xf numFmtId="183" fontId="4" fillId="0" borderId="0"/>
    <xf numFmtId="184" fontId="4" fillId="0" borderId="0"/>
    <xf numFmtId="184" fontId="4" fillId="0" borderId="0"/>
    <xf numFmtId="0" fontId="4" fillId="0" borderId="0"/>
    <xf numFmtId="183" fontId="4" fillId="0" borderId="0"/>
    <xf numFmtId="184" fontId="4" fillId="0" borderId="0"/>
    <xf numFmtId="184"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xf numFmtId="196" fontId="165" fillId="0" borderId="0"/>
    <xf numFmtId="39" fontId="144" fillId="0" borderId="0"/>
  </cellStyleXfs>
  <cellXfs count="1430">
    <xf numFmtId="0" fontId="0" fillId="0" borderId="0" xfId="0"/>
    <xf numFmtId="0" fontId="21" fillId="0" borderId="0" xfId="0" applyFont="1"/>
    <xf numFmtId="0" fontId="21" fillId="0" borderId="0" xfId="0" applyFont="1" applyAlignment="1">
      <alignment horizontal="center"/>
    </xf>
    <xf numFmtId="0" fontId="24" fillId="0" borderId="0" xfId="0" applyFont="1" applyAlignment="1">
      <alignment horizontal="center"/>
    </xf>
    <xf numFmtId="0" fontId="21" fillId="0" borderId="0" xfId="0" quotePrefix="1" applyFont="1" applyAlignment="1">
      <alignment horizontal="center"/>
    </xf>
    <xf numFmtId="0" fontId="23"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5" fillId="35" borderId="0" xfId="0" applyFont="1" applyFill="1"/>
    <xf numFmtId="0" fontId="26" fillId="35" borderId="0" xfId="0" applyFont="1" applyFill="1"/>
    <xf numFmtId="0" fontId="23" fillId="0" borderId="0" xfId="0" applyFont="1"/>
    <xf numFmtId="0" fontId="23" fillId="0" borderId="0" xfId="0" applyFont="1" applyAlignment="1">
      <alignment horizontal="left" indent="1"/>
    </xf>
    <xf numFmtId="0" fontId="0" fillId="0" borderId="0" xfId="0" applyFill="1"/>
    <xf numFmtId="0" fontId="23" fillId="0" borderId="0" xfId="0" applyFont="1" applyFill="1"/>
    <xf numFmtId="0" fontId="0" fillId="0" borderId="0" xfId="0" applyAlignment="1">
      <alignment horizontal="left" indent="1"/>
    </xf>
    <xf numFmtId="0" fontId="23" fillId="0" borderId="0" xfId="28" applyFont="1"/>
    <xf numFmtId="0" fontId="23" fillId="0" borderId="0" xfId="28" applyFont="1" applyBorder="1" applyAlignment="1"/>
    <xf numFmtId="0" fontId="23" fillId="0" borderId="0" xfId="28" applyFont="1" applyBorder="1"/>
    <xf numFmtId="0" fontId="23" fillId="0" borderId="0" xfId="28" applyFont="1" applyBorder="1" applyAlignment="1">
      <alignment horizontal="left"/>
    </xf>
    <xf numFmtId="0" fontId="23" fillId="0" borderId="0" xfId="28" applyNumberFormat="1" applyFont="1" applyFill="1" applyBorder="1" applyAlignment="1">
      <alignment horizontal="left"/>
    </xf>
    <xf numFmtId="0" fontId="21" fillId="0" borderId="0" xfId="28" applyNumberFormat="1" applyFont="1" applyFill="1" applyBorder="1" applyAlignment="1">
      <alignment horizontal="left"/>
    </xf>
    <xf numFmtId="3" fontId="23" fillId="0" borderId="0" xfId="28" applyNumberFormat="1" applyFont="1" applyFill="1" applyBorder="1" applyAlignment="1"/>
    <xf numFmtId="1" fontId="23" fillId="0" borderId="0" xfId="28" applyNumberFormat="1" applyFont="1" applyFill="1" applyBorder="1" applyAlignment="1">
      <alignment horizontal="center"/>
    </xf>
    <xf numFmtId="0" fontId="24" fillId="0" borderId="0" xfId="28" applyFont="1" applyBorder="1" applyAlignment="1">
      <alignment horizontal="center"/>
    </xf>
    <xf numFmtId="0" fontId="21" fillId="0" borderId="0" xfId="28" applyFont="1" applyAlignment="1">
      <alignment horizontal="center"/>
    </xf>
    <xf numFmtId="167" fontId="23" fillId="0" borderId="0" xfId="28" applyNumberFormat="1" applyFont="1" applyFill="1" applyBorder="1" applyAlignment="1">
      <alignment horizontal="right"/>
    </xf>
    <xf numFmtId="167" fontId="23" fillId="0" borderId="0" xfId="20" applyNumberFormat="1" applyFont="1" applyFill="1" applyBorder="1" applyAlignment="1">
      <alignment horizontal="right"/>
    </xf>
    <xf numFmtId="0" fontId="24" fillId="0" borderId="0" xfId="28" applyFont="1" applyFill="1" applyBorder="1" applyAlignment="1">
      <alignment horizontal="center"/>
    </xf>
    <xf numFmtId="3" fontId="23" fillId="0" borderId="0" xfId="28" applyNumberFormat="1" applyFont="1" applyFill="1" applyBorder="1" applyAlignment="1">
      <alignment horizontal="left" indent="1"/>
    </xf>
    <xf numFmtId="0" fontId="24" fillId="0" borderId="0" xfId="28" applyFont="1" applyAlignment="1">
      <alignment horizontal="center"/>
    </xf>
    <xf numFmtId="0" fontId="23" fillId="0" borderId="0" xfId="28" applyFont="1" applyBorder="1" applyAlignment="1">
      <alignment horizontal="right"/>
    </xf>
    <xf numFmtId="164" fontId="23" fillId="0" borderId="0" xfId="20" applyNumberFormat="1" applyFont="1" applyFill="1" applyBorder="1" applyAlignment="1">
      <alignment horizontal="right"/>
    </xf>
    <xf numFmtId="0" fontId="23" fillId="0" borderId="0" xfId="28" applyNumberFormat="1" applyFont="1" applyFill="1" applyBorder="1" applyAlignment="1">
      <alignment horizontal="right"/>
    </xf>
    <xf numFmtId="167" fontId="23" fillId="0" borderId="0" xfId="28" quotePrefix="1" applyNumberFormat="1" applyFont="1" applyFill="1" applyBorder="1" applyAlignment="1">
      <alignment horizontal="left" indent="1"/>
    </xf>
    <xf numFmtId="165" fontId="27" fillId="0" borderId="0" xfId="20" applyNumberFormat="1" applyFont="1" applyFill="1" applyBorder="1" applyAlignment="1">
      <alignment horizontal="right"/>
    </xf>
    <xf numFmtId="0" fontId="0" fillId="0" borderId="0" xfId="0" applyAlignment="1">
      <alignment horizontal="right"/>
    </xf>
    <xf numFmtId="0" fontId="25" fillId="35" borderId="0" xfId="0" applyFont="1" applyFill="1" applyBorder="1"/>
    <xf numFmtId="0" fontId="26" fillId="35" borderId="0" xfId="0" applyFont="1" applyFill="1" applyBorder="1"/>
    <xf numFmtId="0" fontId="21" fillId="0" borderId="0" xfId="0" applyFont="1" applyFill="1" applyBorder="1"/>
    <xf numFmtId="0" fontId="23" fillId="0" borderId="0" xfId="0" applyFont="1" applyFill="1" applyBorder="1"/>
    <xf numFmtId="10" fontId="0" fillId="0" borderId="0" xfId="0" applyNumberFormat="1"/>
    <xf numFmtId="0" fontId="0" fillId="34" borderId="0" xfId="0" applyFill="1"/>
    <xf numFmtId="0" fontId="21" fillId="0" borderId="0" xfId="0" applyFont="1" applyFill="1"/>
    <xf numFmtId="0" fontId="27" fillId="0" borderId="0" xfId="0" applyFont="1" applyFill="1"/>
    <xf numFmtId="0" fontId="23" fillId="0" borderId="0" xfId="0" applyFont="1" applyFill="1" applyAlignment="1">
      <alignment horizontal="left" indent="1"/>
    </xf>
    <xf numFmtId="164" fontId="23" fillId="0" borderId="0" xfId="0" applyNumberFormat="1" applyFont="1" applyFill="1"/>
    <xf numFmtId="165" fontId="23" fillId="0" borderId="0" xfId="0" applyNumberFormat="1" applyFont="1" applyFill="1"/>
    <xf numFmtId="165" fontId="27" fillId="0" borderId="0" xfId="0" applyNumberFormat="1" applyFont="1" applyFill="1"/>
    <xf numFmtId="0" fontId="23" fillId="0" borderId="0" xfId="0" applyFont="1" applyAlignment="1">
      <alignment horizontal="left"/>
    </xf>
    <xf numFmtId="0" fontId="24" fillId="0" borderId="0" xfId="0" applyFont="1"/>
    <xf numFmtId="0" fontId="0" fillId="0" borderId="0" xfId="0" quotePrefix="1"/>
    <xf numFmtId="0" fontId="24" fillId="0" borderId="0" xfId="0" applyFont="1" applyAlignment="1">
      <alignment horizontal="left"/>
    </xf>
    <xf numFmtId="0" fontId="0" fillId="0" borderId="0" xfId="0" quotePrefix="1" applyAlignment="1">
      <alignment horizontal="center"/>
    </xf>
    <xf numFmtId="0" fontId="21" fillId="0" borderId="0" xfId="0" applyFont="1" applyAlignment="1">
      <alignment horizontal="left" indent="2"/>
    </xf>
    <xf numFmtId="0" fontId="0" fillId="0" borderId="0" xfId="0" applyAlignment="1">
      <alignment horizontal="right" indent="1"/>
    </xf>
    <xf numFmtId="164" fontId="28" fillId="0" borderId="0" xfId="0" applyNumberFormat="1" applyFont="1"/>
    <xf numFmtId="164" fontId="27" fillId="0" borderId="0" xfId="0" applyNumberFormat="1" applyFont="1" applyAlignment="1">
      <alignment horizontal="right"/>
    </xf>
    <xf numFmtId="164" fontId="23" fillId="0" borderId="0" xfId="0" applyNumberFormat="1" applyFont="1" applyAlignment="1">
      <alignment horizontal="right"/>
    </xf>
    <xf numFmtId="0" fontId="0" fillId="0" borderId="0" xfId="0" applyBorder="1"/>
    <xf numFmtId="0" fontId="0" fillId="0" borderId="0" xfId="0" applyAlignment="1">
      <alignment horizontal="center"/>
    </xf>
    <xf numFmtId="0" fontId="24" fillId="0" borderId="0" xfId="0" applyFont="1" applyBorder="1" applyAlignment="1">
      <alignment horizontal="center"/>
    </xf>
    <xf numFmtId="164" fontId="0" fillId="0" borderId="0" xfId="0" applyNumberFormat="1" applyFill="1"/>
    <xf numFmtId="3" fontId="23" fillId="0" borderId="0" xfId="0" applyNumberFormat="1" applyFont="1" applyFill="1"/>
    <xf numFmtId="0" fontId="0" fillId="0" borderId="0" xfId="0" applyAlignment="1">
      <alignment horizontal="left"/>
    </xf>
    <xf numFmtId="0" fontId="23" fillId="0" borderId="0" xfId="0" applyFont="1" applyFill="1" applyBorder="1" applyAlignment="1">
      <alignment horizontal="left"/>
    </xf>
    <xf numFmtId="165" fontId="0" fillId="0" borderId="0" xfId="0" applyNumberFormat="1" applyFill="1"/>
    <xf numFmtId="0" fontId="21" fillId="0" borderId="0" xfId="0" applyFont="1" applyAlignment="1">
      <alignment horizontal="right"/>
    </xf>
    <xf numFmtId="0" fontId="23" fillId="0" borderId="0" xfId="0" quotePrefix="1" applyFont="1" applyFill="1" applyAlignment="1">
      <alignment horizontal="left" indent="1"/>
    </xf>
    <xf numFmtId="0" fontId="21" fillId="0" borderId="0" xfId="0" applyFont="1" applyAlignment="1">
      <alignment horizontal="left" indent="1"/>
    </xf>
    <xf numFmtId="166" fontId="0" fillId="0" borderId="0" xfId="0" applyNumberFormat="1"/>
    <xf numFmtId="0" fontId="23" fillId="0" borderId="0" xfId="0" applyFont="1" applyFill="1" applyBorder="1" applyAlignment="1">
      <alignment vertical="top"/>
    </xf>
    <xf numFmtId="164" fontId="21" fillId="0" borderId="0" xfId="0" applyNumberFormat="1" applyFont="1"/>
    <xf numFmtId="167" fontId="21" fillId="0" borderId="0" xfId="20" applyNumberFormat="1" applyFont="1" applyFill="1" applyBorder="1" applyAlignment="1">
      <alignment horizontal="center"/>
    </xf>
    <xf numFmtId="0" fontId="27" fillId="0" borderId="0" xfId="0" applyFont="1"/>
    <xf numFmtId="0" fontId="27" fillId="0" borderId="0" xfId="0" applyFont="1" applyAlignment="1">
      <alignment horizontal="left"/>
    </xf>
    <xf numFmtId="0" fontId="23"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8" fillId="0" borderId="0" xfId="0" applyNumberFormat="1" applyFont="1"/>
    <xf numFmtId="3" fontId="0" fillId="0" borderId="0" xfId="0" applyNumberFormat="1" applyAlignment="1">
      <alignment horizontal="center"/>
    </xf>
    <xf numFmtId="0" fontId="21" fillId="0" borderId="0" xfId="0" applyFont="1" applyAlignment="1">
      <alignment horizontal="left"/>
    </xf>
    <xf numFmtId="0" fontId="24" fillId="0" borderId="0" xfId="0" quotePrefix="1" applyFont="1" applyAlignment="1">
      <alignment horizontal="center"/>
    </xf>
    <xf numFmtId="1" fontId="23" fillId="0" borderId="0" xfId="28" applyNumberFormat="1" applyFont="1" applyFill="1" applyBorder="1" applyAlignment="1">
      <alignment horizontal="right"/>
    </xf>
    <xf numFmtId="0" fontId="23" fillId="0" borderId="0" xfId="0" applyFont="1" applyBorder="1" applyAlignment="1">
      <alignment vertical="top"/>
    </xf>
    <xf numFmtId="0" fontId="23" fillId="0" borderId="0" xfId="0" applyFont="1" applyAlignment="1">
      <alignment horizontal="center"/>
    </xf>
    <xf numFmtId="172" fontId="0" fillId="34" borderId="0" xfId="0" applyNumberFormat="1" applyFill="1"/>
    <xf numFmtId="164" fontId="23" fillId="0" borderId="0" xfId="0" applyNumberFormat="1" applyFont="1" applyAlignment="1">
      <alignment horizontal="center"/>
    </xf>
    <xf numFmtId="0" fontId="21" fillId="0" borderId="0" xfId="0" applyFont="1" applyAlignment="1">
      <alignment wrapText="1"/>
    </xf>
    <xf numFmtId="164" fontId="27" fillId="0" borderId="0" xfId="0" applyNumberFormat="1" applyFont="1"/>
    <xf numFmtId="173" fontId="0" fillId="0" borderId="0" xfId="0" applyNumberFormat="1"/>
    <xf numFmtId="169" fontId="0" fillId="0" borderId="0" xfId="0" applyNumberFormat="1"/>
    <xf numFmtId="0" fontId="23" fillId="0" borderId="0" xfId="0" applyFont="1" applyAlignment="1">
      <alignment horizontal="right"/>
    </xf>
    <xf numFmtId="0" fontId="23" fillId="36" borderId="0" xfId="0" applyFont="1" applyFill="1" applyAlignment="1">
      <alignment horizontal="left" indent="1"/>
    </xf>
    <xf numFmtId="0" fontId="23"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7" fillId="36" borderId="0" xfId="0" applyNumberFormat="1" applyFont="1" applyFill="1"/>
    <xf numFmtId="164" fontId="23" fillId="0" borderId="0" xfId="0" applyNumberFormat="1" applyFont="1"/>
    <xf numFmtId="164" fontId="28" fillId="0" borderId="0" xfId="0" applyNumberFormat="1" applyFont="1" applyFill="1"/>
    <xf numFmtId="0" fontId="21" fillId="0" borderId="0" xfId="0" applyFont="1" applyAlignment="1">
      <alignment horizontal="left" indent="3"/>
    </xf>
    <xf numFmtId="164" fontId="23" fillId="0" borderId="0" xfId="0" quotePrefix="1" applyNumberFormat="1" applyFont="1" applyFill="1" applyAlignment="1">
      <alignment horizontal="right"/>
    </xf>
    <xf numFmtId="164" fontId="23" fillId="0" borderId="0" xfId="0" applyNumberFormat="1" applyFont="1" applyFill="1" applyAlignment="1">
      <alignment horizontal="right"/>
    </xf>
    <xf numFmtId="0" fontId="23" fillId="0" borderId="0" xfId="0" applyFont="1" applyFill="1" applyAlignment="1">
      <alignment horizontal="center"/>
    </xf>
    <xf numFmtId="164" fontId="0" fillId="36" borderId="0" xfId="0" applyNumberFormat="1" applyFill="1"/>
    <xf numFmtId="164" fontId="27" fillId="34" borderId="0" xfId="0" applyNumberFormat="1" applyFont="1" applyFill="1"/>
    <xf numFmtId="168" fontId="23" fillId="0" borderId="0" xfId="20" applyNumberFormat="1" applyFont="1" applyFill="1" applyBorder="1" applyAlignment="1">
      <alignment horizontal="right"/>
    </xf>
    <xf numFmtId="0" fontId="23" fillId="0" borderId="0" xfId="0" applyFont="1" applyFill="1" applyAlignment="1">
      <alignment horizontal="left"/>
    </xf>
    <xf numFmtId="0" fontId="21" fillId="0" borderId="0" xfId="0" applyFont="1" applyFill="1" applyAlignment="1">
      <alignment horizontal="center"/>
    </xf>
    <xf numFmtId="164" fontId="27" fillId="0" borderId="0" xfId="0" applyNumberFormat="1" applyFont="1" applyFill="1"/>
    <xf numFmtId="3" fontId="0" fillId="0" borderId="0" xfId="0" applyNumberFormat="1" applyFill="1"/>
    <xf numFmtId="0" fontId="0" fillId="0" borderId="0" xfId="0" applyFill="1" applyAlignment="1">
      <alignment horizontal="left" indent="1"/>
    </xf>
    <xf numFmtId="0" fontId="23" fillId="0" borderId="0" xfId="0" quotePrefix="1" applyFont="1" applyAlignment="1">
      <alignment horizontal="left" indent="1"/>
    </xf>
    <xf numFmtId="0" fontId="23" fillId="36" borderId="0" xfId="0" applyFont="1" applyFill="1"/>
    <xf numFmtId="164" fontId="27" fillId="36" borderId="0" xfId="0" applyNumberFormat="1" applyFont="1" applyFill="1"/>
    <xf numFmtId="166" fontId="23" fillId="0" borderId="0" xfId="0" applyNumberFormat="1" applyFont="1" applyAlignment="1">
      <alignment horizontal="left" indent="1"/>
    </xf>
    <xf numFmtId="0" fontId="27" fillId="0" borderId="0" xfId="0" applyFont="1" applyAlignment="1">
      <alignment horizontal="center"/>
    </xf>
    <xf numFmtId="164" fontId="28" fillId="36" borderId="0" xfId="0" applyNumberFormat="1" applyFont="1" applyFill="1"/>
    <xf numFmtId="0" fontId="0" fillId="37" borderId="0" xfId="0" applyFill="1"/>
    <xf numFmtId="0" fontId="24" fillId="0" borderId="0" xfId="0" applyFont="1" applyFill="1" applyBorder="1" applyAlignment="1">
      <alignment horizontal="center"/>
    </xf>
    <xf numFmtId="0" fontId="25" fillId="0" borderId="0" xfId="0" applyFont="1" applyFill="1" applyBorder="1"/>
    <xf numFmtId="0" fontId="26" fillId="0" borderId="0" xfId="0" applyFont="1" applyFill="1" applyBorder="1"/>
    <xf numFmtId="0" fontId="24" fillId="0" borderId="0" xfId="0" applyFont="1" applyFill="1" applyAlignment="1">
      <alignment horizontal="center"/>
    </xf>
    <xf numFmtId="168" fontId="23" fillId="0" borderId="0" xfId="0" applyNumberFormat="1" applyFont="1"/>
    <xf numFmtId="0" fontId="31" fillId="0" borderId="0" xfId="34" applyFont="1"/>
    <xf numFmtId="167" fontId="31" fillId="0" borderId="0" xfId="19" applyNumberFormat="1" applyFont="1" applyBorder="1"/>
    <xf numFmtId="0" fontId="31" fillId="0" borderId="0" xfId="34" applyFont="1" applyBorder="1" applyAlignment="1">
      <alignment horizontal="left"/>
    </xf>
    <xf numFmtId="0" fontId="31" fillId="0" borderId="0" xfId="34" applyFont="1" applyBorder="1"/>
    <xf numFmtId="10" fontId="31" fillId="0" borderId="0" xfId="37" applyNumberFormat="1" applyFont="1" applyBorder="1" applyAlignment="1">
      <alignment horizontal="left" indent="3"/>
    </xf>
    <xf numFmtId="0" fontId="31" fillId="0" borderId="0" xfId="34" applyFont="1" applyBorder="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Border="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3" fontId="23" fillId="0" borderId="0" xfId="0" applyNumberFormat="1" applyFont="1"/>
    <xf numFmtId="0" fontId="31" fillId="0" borderId="0" xfId="28" applyFont="1"/>
    <xf numFmtId="164" fontId="0" fillId="0" borderId="0" xfId="0" applyNumberFormat="1" applyAlignment="1">
      <alignment horizontal="right" indent="1"/>
    </xf>
    <xf numFmtId="164" fontId="0" fillId="0" borderId="0" xfId="0" applyNumberFormat="1" applyAlignment="1"/>
    <xf numFmtId="165" fontId="33" fillId="0" borderId="0" xfId="0" applyNumberFormat="1" applyFont="1"/>
    <xf numFmtId="165" fontId="34" fillId="0" borderId="0" xfId="0" applyNumberFormat="1" applyFont="1"/>
    <xf numFmtId="166" fontId="0" fillId="0" borderId="0" xfId="0" applyNumberFormat="1" applyFill="1"/>
    <xf numFmtId="166" fontId="23" fillId="0" borderId="0" xfId="0" applyNumberFormat="1" applyFont="1" applyFill="1" applyAlignment="1">
      <alignment horizontal="left" indent="1"/>
    </xf>
    <xf numFmtId="1" fontId="23" fillId="36" borderId="0" xfId="28" applyNumberFormat="1" applyFont="1" applyFill="1" applyBorder="1" applyAlignment="1">
      <alignment horizontal="center"/>
    </xf>
    <xf numFmtId="165" fontId="23"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1" fillId="0" borderId="0" xfId="0" quotePrefix="1" applyFont="1" applyAlignment="1">
      <alignment horizontal="right"/>
    </xf>
    <xf numFmtId="165" fontId="27" fillId="0" borderId="0" xfId="0" applyNumberFormat="1" applyFont="1"/>
    <xf numFmtId="164" fontId="23" fillId="36" borderId="0" xfId="19" applyNumberFormat="1" applyFont="1" applyFill="1" applyBorder="1"/>
    <xf numFmtId="164" fontId="23" fillId="0" borderId="0" xfId="19" applyNumberFormat="1" applyFont="1" applyBorder="1"/>
    <xf numFmtId="164" fontId="27" fillId="36" borderId="0" xfId="19" applyNumberFormat="1" applyFont="1" applyFill="1" applyBorder="1"/>
    <xf numFmtId="164" fontId="23" fillId="0" borderId="0" xfId="0" applyNumberFormat="1" applyFont="1" applyAlignment="1">
      <alignment horizontal="left" indent="1"/>
    </xf>
    <xf numFmtId="164" fontId="23" fillId="0" borderId="0" xfId="19" applyNumberFormat="1" applyFont="1" applyBorder="1" applyAlignment="1">
      <alignment horizontal="left" indent="1"/>
    </xf>
    <xf numFmtId="10" fontId="23" fillId="0" borderId="0" xfId="37" applyNumberFormat="1" applyFont="1" applyBorder="1" applyAlignment="1">
      <alignment horizontal="center"/>
    </xf>
    <xf numFmtId="10" fontId="27" fillId="0" borderId="0" xfId="37" applyNumberFormat="1" applyFont="1" applyBorder="1" applyAlignment="1">
      <alignment horizontal="center"/>
    </xf>
    <xf numFmtId="164" fontId="21" fillId="0" borderId="0" xfId="19" applyNumberFormat="1" applyFont="1" applyBorder="1" applyAlignment="1">
      <alignment vertical="center"/>
    </xf>
    <xf numFmtId="10" fontId="21" fillId="0" borderId="0" xfId="37" applyNumberFormat="1" applyFont="1" applyBorder="1" applyAlignment="1">
      <alignment horizontal="center" vertical="center"/>
    </xf>
    <xf numFmtId="0" fontId="24" fillId="0" borderId="0" xfId="34" applyFont="1" applyAlignment="1">
      <alignment horizontal="center"/>
    </xf>
    <xf numFmtId="0" fontId="21" fillId="0" borderId="0" xfId="34" applyFont="1" applyBorder="1"/>
    <xf numFmtId="0" fontId="23" fillId="0" borderId="0" xfId="34" applyFont="1" applyBorder="1" applyAlignment="1">
      <alignment horizontal="left" indent="2"/>
    </xf>
    <xf numFmtId="0" fontId="21" fillId="0" borderId="0" xfId="34" applyFont="1" applyBorder="1" applyAlignment="1">
      <alignment horizontal="left"/>
    </xf>
    <xf numFmtId="0" fontId="21" fillId="0" borderId="0" xfId="34" applyFont="1" applyBorder="1" applyAlignment="1">
      <alignment horizontal="left" wrapText="1"/>
    </xf>
    <xf numFmtId="0" fontId="23" fillId="0" borderId="0" xfId="34" applyFont="1" applyBorder="1" applyAlignment="1">
      <alignment horizontal="left" wrapText="1"/>
    </xf>
    <xf numFmtId="0" fontId="21" fillId="0" borderId="0" xfId="34" applyFont="1" applyBorder="1" applyAlignment="1">
      <alignment vertical="center" wrapText="1"/>
    </xf>
    <xf numFmtId="0" fontId="21" fillId="0" borderId="0" xfId="34" applyFont="1"/>
    <xf numFmtId="0" fontId="21" fillId="0" borderId="0" xfId="34" applyFont="1" applyAlignment="1">
      <alignment horizontal="center"/>
    </xf>
    <xf numFmtId="0" fontId="23" fillId="0" borderId="0" xfId="34" applyFont="1"/>
    <xf numFmtId="0" fontId="23" fillId="36" borderId="0" xfId="34" applyFont="1" applyFill="1"/>
    <xf numFmtId="0" fontId="24" fillId="0" borderId="0" xfId="34" applyFont="1" applyFill="1" applyAlignment="1">
      <alignment horizontal="center"/>
    </xf>
    <xf numFmtId="167" fontId="23" fillId="0" borderId="0" xfId="19" applyNumberFormat="1" applyFont="1" applyBorder="1"/>
    <xf numFmtId="171" fontId="23" fillId="0" borderId="0" xfId="37" applyNumberFormat="1" applyFont="1" applyBorder="1" applyAlignment="1">
      <alignment horizontal="left" indent="3"/>
    </xf>
    <xf numFmtId="0" fontId="23" fillId="0" borderId="0" xfId="34" applyFont="1" applyBorder="1" applyAlignment="1">
      <alignment horizontal="left"/>
    </xf>
    <xf numFmtId="41" fontId="23" fillId="0" borderId="0" xfId="19" applyNumberFormat="1" applyFont="1" applyBorder="1"/>
    <xf numFmtId="41" fontId="23" fillId="0" borderId="0" xfId="34" applyNumberFormat="1" applyFont="1" applyBorder="1"/>
    <xf numFmtId="10" fontId="23" fillId="0" borderId="0" xfId="34" applyNumberFormat="1" applyFont="1" applyBorder="1" applyAlignment="1">
      <alignment horizontal="center"/>
    </xf>
    <xf numFmtId="10" fontId="23" fillId="0" borderId="0" xfId="37" applyNumberFormat="1" applyFont="1" applyFill="1" applyBorder="1" applyAlignment="1">
      <alignment horizontal="center"/>
    </xf>
    <xf numFmtId="5" fontId="27" fillId="36" borderId="0" xfId="19" applyNumberFormat="1" applyFont="1" applyFill="1" applyBorder="1"/>
    <xf numFmtId="10" fontId="27" fillId="0" borderId="0" xfId="37" applyNumberFormat="1" applyFont="1" applyFill="1" applyBorder="1" applyAlignment="1">
      <alignment horizontal="center"/>
    </xf>
    <xf numFmtId="0" fontId="23" fillId="0" borderId="0" xfId="34" applyFont="1" applyBorder="1" applyAlignment="1">
      <alignment horizontal="right" wrapText="1"/>
    </xf>
    <xf numFmtId="0" fontId="21" fillId="0" borderId="0" xfId="34" applyFont="1" applyBorder="1" applyAlignment="1">
      <alignment horizontal="left" vertical="center" wrapText="1"/>
    </xf>
    <xf numFmtId="0" fontId="52" fillId="36" borderId="0" xfId="34" applyFont="1" applyFill="1"/>
    <xf numFmtId="0" fontId="23" fillId="36" borderId="0" xfId="0" applyFont="1" applyFill="1" applyAlignment="1"/>
    <xf numFmtId="0" fontId="23" fillId="0" borderId="0" xfId="0" quotePrefix="1" applyFont="1" applyAlignment="1">
      <alignment horizontal="center" vertical="justify"/>
    </xf>
    <xf numFmtId="0" fontId="21" fillId="36" borderId="0" xfId="0" applyFont="1" applyFill="1" applyAlignment="1">
      <alignment horizontal="center"/>
    </xf>
    <xf numFmtId="0" fontId="24" fillId="36" borderId="0" xfId="0" applyFont="1" applyFill="1" applyAlignment="1">
      <alignment horizontal="center"/>
    </xf>
    <xf numFmtId="0" fontId="21" fillId="0" borderId="0" xfId="28" applyFont="1" applyFill="1" applyBorder="1" applyAlignment="1">
      <alignment horizontal="left"/>
    </xf>
    <xf numFmtId="1" fontId="23" fillId="0" borderId="0" xfId="28" quotePrefix="1" applyNumberFormat="1" applyFont="1" applyFill="1" applyBorder="1" applyAlignment="1">
      <alignment horizontal="right"/>
    </xf>
    <xf numFmtId="164" fontId="23" fillId="0" borderId="0" xfId="0" quotePrefix="1" applyNumberFormat="1" applyFont="1" applyAlignment="1">
      <alignment horizontal="center"/>
    </xf>
    <xf numFmtId="0" fontId="21" fillId="0" borderId="0" xfId="0"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NumberFormat="1" applyFont="1" applyBorder="1" applyAlignment="1">
      <alignment horizontal="center" wrapText="1"/>
    </xf>
    <xf numFmtId="0" fontId="21" fillId="0" borderId="3" xfId="0" applyNumberFormat="1" applyFont="1" applyFill="1" applyBorder="1" applyAlignment="1">
      <alignment wrapText="1"/>
    </xf>
    <xf numFmtId="0" fontId="21" fillId="0" borderId="3" xfId="0" applyNumberFormat="1" applyFont="1" applyBorder="1" applyAlignment="1">
      <alignment wrapText="1"/>
    </xf>
    <xf numFmtId="0" fontId="21" fillId="0" borderId="3" xfId="0" applyFont="1" applyFill="1" applyBorder="1" applyAlignment="1">
      <alignment horizontal="center" wrapText="1"/>
    </xf>
    <xf numFmtId="0" fontId="21" fillId="0" borderId="3" xfId="0" applyFont="1" applyBorder="1" applyAlignment="1">
      <alignment horizontal="center" wrapText="1"/>
    </xf>
    <xf numFmtId="0" fontId="23" fillId="0" borderId="3" xfId="0" quotePrefix="1" applyNumberFormat="1" applyFont="1" applyFill="1" applyBorder="1" applyAlignment="1">
      <alignment horizontal="center"/>
    </xf>
    <xf numFmtId="0" fontId="23" fillId="0" borderId="3" xfId="0" quotePrefix="1" applyNumberFormat="1" applyFont="1" applyFill="1" applyBorder="1" applyAlignment="1">
      <alignment horizontal="left"/>
    </xf>
    <xf numFmtId="0" fontId="23" fillId="0" borderId="3" xfId="0" quotePrefix="1" applyNumberFormat="1" applyFont="1" applyFill="1" applyBorder="1"/>
    <xf numFmtId="0" fontId="23" fillId="0" borderId="3" xfId="0" applyFont="1" applyFill="1" applyBorder="1" applyAlignment="1">
      <alignment horizontal="center"/>
    </xf>
    <xf numFmtId="37" fontId="23" fillId="0" borderId="3" xfId="0" applyNumberFormat="1" applyFont="1" applyFill="1" applyBorder="1" applyAlignment="1">
      <alignment horizontal="center"/>
    </xf>
    <xf numFmtId="0" fontId="23" fillId="0" borderId="3" xfId="0" quotePrefix="1" applyNumberFormat="1" applyFont="1" applyBorder="1" applyAlignment="1">
      <alignment horizontal="center"/>
    </xf>
    <xf numFmtId="0" fontId="23" fillId="0" borderId="3" xfId="0" quotePrefix="1" applyNumberFormat="1" applyFont="1" applyBorder="1"/>
    <xf numFmtId="0" fontId="23" fillId="0" borderId="3" xfId="0" applyFont="1" applyBorder="1" applyAlignment="1">
      <alignment horizontal="center"/>
    </xf>
    <xf numFmtId="0" fontId="21" fillId="0" borderId="0" xfId="0" quotePrefix="1" applyNumberFormat="1" applyFont="1" applyBorder="1" applyAlignment="1">
      <alignment horizontal="center"/>
    </xf>
    <xf numFmtId="0" fontId="21" fillId="0" borderId="0" xfId="0" applyNumberFormat="1" applyFont="1" applyFill="1" applyBorder="1"/>
    <xf numFmtId="0" fontId="21" fillId="0" borderId="0" xfId="0" quotePrefix="1" applyNumberFormat="1" applyFont="1" applyBorder="1"/>
    <xf numFmtId="0" fontId="21" fillId="0" borderId="0" xfId="0" quotePrefix="1" applyNumberFormat="1" applyFont="1" applyFill="1" applyBorder="1"/>
    <xf numFmtId="37" fontId="23" fillId="0" borderId="0" xfId="0" applyNumberFormat="1" applyFont="1" applyFill="1" applyBorder="1" applyAlignment="1">
      <alignment horizontal="center"/>
    </xf>
    <xf numFmtId="0" fontId="23" fillId="0" borderId="0" xfId="0" applyFont="1" applyBorder="1" applyAlignment="1">
      <alignment horizontal="center"/>
    </xf>
    <xf numFmtId="0" fontId="23" fillId="0" borderId="0" xfId="0" quotePrefix="1" applyNumberFormat="1" applyFont="1" applyBorder="1" applyAlignment="1">
      <alignment horizontal="center"/>
    </xf>
    <xf numFmtId="0" fontId="23" fillId="0" borderId="3" xfId="0" applyFont="1" applyFill="1" applyBorder="1"/>
    <xf numFmtId="37" fontId="21" fillId="0" borderId="0" xfId="0" applyNumberFormat="1" applyFont="1" applyFill="1" applyBorder="1" applyAlignment="1">
      <alignment horizontal="center"/>
    </xf>
    <xf numFmtId="0" fontId="23" fillId="0" borderId="3" xfId="0" quotePrefix="1" applyNumberFormat="1" applyFont="1" applyBorder="1" applyAlignment="1">
      <alignment horizontal="left"/>
    </xf>
    <xf numFmtId="0" fontId="23" fillId="0" borderId="3" xfId="0" applyNumberFormat="1" applyFont="1" applyFill="1" applyBorder="1"/>
    <xf numFmtId="0" fontId="23" fillId="0" borderId="3" xfId="0" applyNumberFormat="1" applyFont="1" applyFill="1" applyBorder="1" applyAlignment="1">
      <alignment horizontal="left"/>
    </xf>
    <xf numFmtId="39" fontId="23" fillId="0" borderId="0" xfId="19" applyNumberFormat="1" applyFont="1" applyBorder="1" applyAlignment="1">
      <alignment horizontal="center"/>
    </xf>
    <xf numFmtId="0" fontId="23" fillId="0" borderId="0" xfId="0" applyFont="1" applyFill="1" applyBorder="1" applyAlignment="1">
      <alignment horizontal="center"/>
    </xf>
    <xf numFmtId="39" fontId="23" fillId="0" borderId="0" xfId="19" applyNumberFormat="1" applyFont="1" applyFill="1" applyBorder="1" applyAlignment="1">
      <alignment horizontal="center"/>
    </xf>
    <xf numFmtId="0" fontId="23" fillId="0" borderId="0" xfId="0" applyFont="1" applyBorder="1"/>
    <xf numFmtId="0" fontId="21" fillId="0" borderId="3" xfId="0" applyNumberFormat="1" applyFont="1" applyFill="1" applyBorder="1" applyAlignment="1">
      <alignment horizontal="right"/>
    </xf>
    <xf numFmtId="0" fontId="23" fillId="0" borderId="0" xfId="0" quotePrefix="1" applyNumberFormat="1" applyFont="1" applyBorder="1"/>
    <xf numFmtId="0" fontId="23" fillId="0" borderId="0" xfId="0" quotePrefix="1" applyNumberFormat="1" applyFont="1" applyFill="1" applyBorder="1"/>
    <xf numFmtId="164" fontId="23" fillId="0" borderId="0" xfId="19" applyNumberFormat="1" applyFont="1" applyBorder="1" applyAlignment="1">
      <alignment horizontal="right"/>
    </xf>
    <xf numFmtId="0" fontId="27" fillId="0" borderId="0" xfId="0" applyFont="1" applyBorder="1" applyAlignment="1">
      <alignment horizontal="center"/>
    </xf>
    <xf numFmtId="49" fontId="23" fillId="0" borderId="0" xfId="19" applyNumberFormat="1" applyFont="1" applyBorder="1" applyAlignment="1">
      <alignment horizontal="left" indent="1"/>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0" borderId="0" xfId="0" applyNumberFormat="1" applyFont="1" applyFill="1"/>
    <xf numFmtId="164" fontId="53" fillId="36" borderId="0" xfId="0" applyNumberFormat="1" applyFont="1" applyFill="1"/>
    <xf numFmtId="10" fontId="53" fillId="34"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0" fontId="53" fillId="0" borderId="0" xfId="0" applyFont="1" applyFill="1"/>
    <xf numFmtId="10" fontId="53" fillId="0" borderId="0" xfId="0" applyNumberFormat="1" applyFont="1" applyFill="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164" fontId="53" fillId="34" borderId="0" xfId="0" applyNumberFormat="1" applyFont="1" applyFill="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1" fillId="36" borderId="0" xfId="0" quotePrefix="1" applyFont="1" applyFill="1" applyAlignment="1">
      <alignment horizontal="center"/>
    </xf>
    <xf numFmtId="0" fontId="21" fillId="0" borderId="0" xfId="28" applyFont="1"/>
    <xf numFmtId="0" fontId="23" fillId="36" borderId="0" xfId="28" applyFont="1" applyFill="1"/>
    <xf numFmtId="0" fontId="21" fillId="0" borderId="0" xfId="28" applyFont="1" applyFill="1" applyBorder="1" applyAlignment="1">
      <alignment horizontal="left" vertical="center"/>
    </xf>
    <xf numFmtId="0" fontId="21" fillId="0" borderId="0" xfId="28" applyFont="1" applyFill="1" applyBorder="1" applyAlignment="1">
      <alignment horizontal="center" vertical="center" wrapText="1"/>
    </xf>
    <xf numFmtId="0" fontId="21" fillId="0" borderId="0" xfId="28" applyFont="1" applyFill="1" applyBorder="1" applyAlignment="1">
      <alignment horizontal="center" vertical="center"/>
    </xf>
    <xf numFmtId="0" fontId="21" fillId="0" borderId="0" xfId="28" applyFont="1" applyFill="1" applyBorder="1" applyAlignment="1">
      <alignment horizontal="center"/>
    </xf>
    <xf numFmtId="0" fontId="21" fillId="0" borderId="0" xfId="28" applyFont="1" applyBorder="1" applyAlignment="1">
      <alignment horizontal="center" vertical="center" wrapText="1"/>
    </xf>
    <xf numFmtId="0" fontId="23" fillId="0" borderId="0" xfId="28" applyFont="1" applyFill="1" applyBorder="1" applyAlignment="1">
      <alignment horizontal="left" vertical="center" indent="1"/>
    </xf>
    <xf numFmtId="164" fontId="23" fillId="0" borderId="0" xfId="28" applyNumberFormat="1" applyFont="1" applyFill="1" applyBorder="1" applyAlignment="1">
      <alignment horizontal="right" vertical="center" wrapText="1"/>
    </xf>
    <xf numFmtId="164" fontId="23" fillId="0" borderId="0" xfId="20" applyNumberFormat="1" applyFont="1" applyFill="1"/>
    <xf numFmtId="164" fontId="23" fillId="0" borderId="0" xfId="28" applyNumberFormat="1" applyFont="1" applyFill="1" applyBorder="1" applyAlignment="1">
      <alignment horizontal="right"/>
    </xf>
    <xf numFmtId="164" fontId="27" fillId="0" borderId="0" xfId="28" applyNumberFormat="1" applyFont="1" applyFill="1" applyBorder="1" applyAlignment="1">
      <alignment horizontal="right" vertical="center" wrapText="1"/>
    </xf>
    <xf numFmtId="164" fontId="27" fillId="0" borderId="0" xfId="20" applyNumberFormat="1" applyFont="1" applyFill="1"/>
    <xf numFmtId="164" fontId="27" fillId="0" borderId="0" xfId="28" applyNumberFormat="1" applyFont="1" applyFill="1" applyBorder="1" applyAlignment="1">
      <alignment horizontal="right"/>
    </xf>
    <xf numFmtId="164" fontId="23" fillId="0" borderId="0" xfId="28" applyNumberFormat="1" applyFont="1" applyFill="1" applyAlignment="1">
      <alignment vertical="center"/>
    </xf>
    <xf numFmtId="0" fontId="23" fillId="0" borderId="0" xfId="28" applyFont="1" applyFill="1"/>
    <xf numFmtId="41" fontId="23" fillId="0" borderId="0" xfId="20" applyNumberFormat="1" applyFont="1" applyFill="1"/>
    <xf numFmtId="41" fontId="23" fillId="0" borderId="0" xfId="28" applyNumberFormat="1" applyFont="1" applyFill="1"/>
    <xf numFmtId="41" fontId="23" fillId="0" borderId="0" xfId="20" applyNumberFormat="1" applyFont="1"/>
    <xf numFmtId="41" fontId="23" fillId="0" borderId="0" xfId="20" applyNumberFormat="1" applyFont="1" applyAlignment="1" applyProtection="1">
      <alignment horizontal="right" indent="2"/>
    </xf>
    <xf numFmtId="0" fontId="21" fillId="0" borderId="0" xfId="28" applyFont="1" applyFill="1"/>
    <xf numFmtId="0" fontId="23" fillId="0" borderId="0" xfId="28" applyFont="1" applyFill="1" applyAlignment="1">
      <alignment horizontal="left" wrapText="1" indent="1"/>
    </xf>
    <xf numFmtId="164" fontId="23" fillId="0" borderId="0" xfId="28" applyNumberFormat="1" applyFont="1" applyFill="1"/>
    <xf numFmtId="41" fontId="35" fillId="0" borderId="0" xfId="20" applyNumberFormat="1" applyFont="1" applyFill="1"/>
    <xf numFmtId="164" fontId="35" fillId="0" borderId="0" xfId="20" applyNumberFormat="1" applyFont="1" applyFill="1"/>
    <xf numFmtId="42" fontId="35" fillId="0" borderId="0" xfId="28" applyNumberFormat="1" applyFont="1"/>
    <xf numFmtId="42" fontId="23" fillId="0" borderId="0" xfId="28" applyNumberFormat="1" applyFont="1"/>
    <xf numFmtId="42" fontId="23" fillId="0" borderId="0" xfId="20" applyNumberFormat="1" applyFont="1" applyBorder="1"/>
    <xf numFmtId="42" fontId="23" fillId="0" borderId="0" xfId="28" applyNumberFormat="1" applyFont="1" applyBorder="1"/>
    <xf numFmtId="164" fontId="23" fillId="0" borderId="0" xfId="20" applyNumberFormat="1" applyFont="1" applyBorder="1"/>
    <xf numFmtId="43" fontId="23" fillId="0" borderId="0" xfId="28" applyNumberFormat="1" applyFont="1"/>
    <xf numFmtId="41" fontId="23" fillId="0" borderId="0" xfId="28" applyNumberFormat="1" applyFont="1"/>
    <xf numFmtId="0" fontId="21" fillId="0" borderId="0" xfId="28" applyFont="1" applyAlignment="1">
      <alignment horizontal="center" wrapText="1"/>
    </xf>
    <xf numFmtId="0" fontId="24" fillId="0" borderId="0" xfId="28" applyFont="1"/>
    <xf numFmtId="164" fontId="23" fillId="0" borderId="0" xfId="28" applyNumberFormat="1" applyFont="1" applyBorder="1"/>
    <xf numFmtId="0" fontId="23" fillId="0" borderId="0" xfId="28" applyFont="1" applyFill="1" applyBorder="1" applyAlignment="1">
      <alignment horizontal="right" vertical="center"/>
    </xf>
    <xf numFmtId="168" fontId="23" fillId="0" borderId="0" xfId="39" applyNumberFormat="1" applyFont="1" applyFill="1" applyBorder="1" applyAlignment="1">
      <alignment vertical="center"/>
    </xf>
    <xf numFmtId="10" fontId="23" fillId="0" borderId="0" xfId="39" applyNumberFormat="1" applyFont="1" applyFill="1" applyBorder="1" applyAlignment="1">
      <alignment vertical="center"/>
    </xf>
    <xf numFmtId="0" fontId="23" fillId="0" borderId="0" xfId="28" applyFont="1" applyFill="1" applyBorder="1"/>
    <xf numFmtId="10" fontId="23" fillId="0" borderId="0" xfId="39" applyNumberFormat="1" applyFont="1" applyFill="1" applyBorder="1"/>
    <xf numFmtId="42" fontId="23" fillId="0" borderId="0" xfId="20" applyNumberFormat="1" applyFont="1" applyFill="1"/>
    <xf numFmtId="39" fontId="21" fillId="0" borderId="3" xfId="22" quotePrefix="1" applyNumberFormat="1" applyFont="1" applyBorder="1" applyAlignment="1">
      <alignment horizontal="center" wrapText="1"/>
    </xf>
    <xf numFmtId="39" fontId="21" fillId="0" borderId="3" xfId="22" applyNumberFormat="1" applyFont="1" applyBorder="1" applyAlignment="1">
      <alignment horizontal="center" wrapText="1"/>
    </xf>
    <xf numFmtId="39" fontId="23" fillId="0" borderId="3" xfId="22" quotePrefix="1" applyNumberFormat="1" applyFont="1" applyFill="1" applyBorder="1" applyAlignment="1">
      <alignment horizontal="center"/>
    </xf>
    <xf numFmtId="176" fontId="21" fillId="0" borderId="3" xfId="22" applyNumberFormat="1" applyFont="1" applyBorder="1" applyAlignment="1">
      <alignment horizontal="center" wrapText="1"/>
    </xf>
    <xf numFmtId="39" fontId="21" fillId="0" borderId="0" xfId="22" quotePrefix="1" applyNumberFormat="1" applyFont="1" applyBorder="1" applyAlignment="1">
      <alignment horizontal="center"/>
    </xf>
    <xf numFmtId="37" fontId="21" fillId="0" borderId="3" xfId="22" quotePrefix="1" applyNumberFormat="1" applyFont="1" applyBorder="1" applyAlignment="1">
      <alignment horizontal="center"/>
    </xf>
    <xf numFmtId="37" fontId="21" fillId="0" borderId="0" xfId="22" quotePrefix="1" applyNumberFormat="1" applyFont="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Border="1" applyAlignment="1">
      <alignment horizontal="center"/>
    </xf>
    <xf numFmtId="176" fontId="23" fillId="0" borderId="0" xfId="22" applyNumberFormat="1" applyFont="1" applyBorder="1" applyAlignment="1">
      <alignment horizontal="center"/>
    </xf>
    <xf numFmtId="0" fontId="23" fillId="0" borderId="3" xfId="22" applyNumberFormat="1" applyFont="1" applyFill="1" applyBorder="1" applyAlignment="1">
      <alignment horizontal="left"/>
    </xf>
    <xf numFmtId="37" fontId="23" fillId="36" borderId="3" xfId="22" quotePrefix="1" applyNumberFormat="1" applyFont="1" applyFill="1" applyBorder="1" applyAlignment="1">
      <alignment horizontal="center"/>
    </xf>
    <xf numFmtId="0" fontId="23" fillId="36" borderId="3" xfId="0" applyFont="1" applyFill="1" applyBorder="1" applyAlignment="1">
      <alignment horizontal="center"/>
    </xf>
    <xf numFmtId="37" fontId="23" fillId="36" borderId="3" xfId="0" applyNumberFormat="1" applyFont="1" applyFill="1" applyBorder="1" applyAlignment="1">
      <alignment horizontal="center"/>
    </xf>
    <xf numFmtId="37" fontId="23" fillId="36" borderId="3" xfId="22" applyNumberFormat="1" applyFont="1" applyFill="1" applyBorder="1" applyAlignment="1">
      <alignment horizontal="center"/>
    </xf>
    <xf numFmtId="39" fontId="23" fillId="36" borderId="3" xfId="22" quotePrefix="1" applyNumberFormat="1" applyFont="1" applyFill="1" applyBorder="1" applyAlignment="1">
      <alignment horizontal="center"/>
    </xf>
    <xf numFmtId="39" fontId="23" fillId="36" borderId="4" xfId="22" quotePrefix="1" applyNumberFormat="1" applyFont="1" applyFill="1" applyBorder="1" applyAlignment="1">
      <alignment horizontal="center"/>
    </xf>
    <xf numFmtId="37" fontId="21" fillId="36" borderId="3" xfId="22" quotePrefix="1" applyNumberFormat="1" applyFont="1" applyFill="1" applyBorder="1" applyAlignment="1">
      <alignment horizontal="center"/>
    </xf>
    <xf numFmtId="177" fontId="23" fillId="36" borderId="3" xfId="22" applyNumberFormat="1" applyFont="1" applyFill="1" applyBorder="1"/>
    <xf numFmtId="37" fontId="21" fillId="0" borderId="0" xfId="22" quotePrefix="1" applyNumberFormat="1" applyFont="1" applyFill="1" applyBorder="1" applyAlignment="1">
      <alignment horizontal="center"/>
    </xf>
    <xf numFmtId="37" fontId="21" fillId="0" borderId="3" xfId="22" quotePrefix="1" applyNumberFormat="1" applyFont="1" applyFill="1" applyBorder="1" applyAlignment="1">
      <alignment horizontal="center"/>
    </xf>
    <xf numFmtId="39" fontId="21" fillId="0" borderId="0" xfId="22" quotePrefix="1" applyNumberFormat="1" applyFont="1" applyFill="1" applyBorder="1" applyAlignment="1">
      <alignment horizontal="center"/>
    </xf>
    <xf numFmtId="39" fontId="21" fillId="0" borderId="3" xfId="22" applyNumberFormat="1" applyFont="1" applyFill="1" applyBorder="1" applyAlignment="1">
      <alignment horizontal="center" wrapText="1"/>
    </xf>
    <xf numFmtId="39" fontId="23" fillId="0" borderId="0" xfId="22"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52" fillId="0" borderId="0" xfId="22" quotePrefix="1" applyNumberFormat="1" applyFont="1" applyBorder="1" applyAlignment="1">
      <alignment horizontal="center"/>
    </xf>
    <xf numFmtId="39" fontId="23" fillId="0" borderId="3" xfId="22" applyNumberFormat="1" applyFont="1" applyBorder="1" applyAlignment="1">
      <alignment horizontal="center" wrapText="1"/>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1" fillId="37" borderId="3" xfId="22" quotePrefix="1" applyNumberFormat="1" applyFont="1" applyFill="1" applyBorder="1" applyAlignment="1">
      <alignment horizontal="center"/>
    </xf>
    <xf numFmtId="39" fontId="21"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1" fillId="36" borderId="5" xfId="22" quotePrefix="1" applyNumberFormat="1" applyFont="1" applyFill="1" applyBorder="1" applyAlignment="1">
      <alignment horizontal="center"/>
    </xf>
    <xf numFmtId="0" fontId="21" fillId="37" borderId="0" xfId="0" quotePrefix="1" applyNumberFormat="1" applyFont="1" applyFill="1" applyBorder="1"/>
    <xf numFmtId="0" fontId="21" fillId="37" borderId="0" xfId="0" applyFont="1" applyFill="1" applyBorder="1"/>
    <xf numFmtId="37" fontId="57" fillId="0" borderId="0" xfId="22" quotePrefix="1" applyNumberFormat="1" applyFont="1" applyBorder="1" applyAlignment="1">
      <alignment horizontal="center"/>
    </xf>
    <xf numFmtId="0" fontId="23" fillId="36" borderId="3" xfId="0" quotePrefix="1" applyNumberFormat="1" applyFont="1" applyFill="1" applyBorder="1"/>
    <xf numFmtId="0" fontId="23" fillId="36" borderId="3" xfId="0" quotePrefix="1" applyNumberFormat="1" applyFont="1" applyFill="1" applyBorder="1" applyAlignment="1">
      <alignment horizontal="left"/>
    </xf>
    <xf numFmtId="0" fontId="23" fillId="36" borderId="3" xfId="0" applyNumberFormat="1" applyFont="1" applyFill="1" applyBorder="1"/>
    <xf numFmtId="0" fontId="23" fillId="36" borderId="3" xfId="0" applyNumberFormat="1" applyFont="1" applyFill="1" applyBorder="1" applyAlignment="1">
      <alignment horizontal="left"/>
    </xf>
    <xf numFmtId="0" fontId="23" fillId="36" borderId="3" xfId="22" applyNumberFormat="1" applyFont="1" applyFill="1" applyBorder="1" applyAlignment="1">
      <alignment horizontal="left"/>
    </xf>
    <xf numFmtId="0" fontId="23" fillId="36" borderId="3" xfId="0" quotePrefix="1" applyNumberFormat="1" applyFont="1" applyFill="1" applyBorder="1" applyAlignment="1">
      <alignment horizontal="center"/>
    </xf>
    <xf numFmtId="0" fontId="23" fillId="37" borderId="3" xfId="0" applyFont="1" applyFill="1" applyBorder="1" applyAlignment="1">
      <alignment horizontal="center"/>
    </xf>
    <xf numFmtId="0" fontId="23" fillId="37" borderId="3" xfId="0" applyFont="1" applyFill="1" applyBorder="1"/>
    <xf numFmtId="39" fontId="23" fillId="37" borderId="3" xfId="22" applyNumberFormat="1" applyFont="1" applyFill="1" applyBorder="1" applyAlignment="1">
      <alignment horizontal="center"/>
    </xf>
    <xf numFmtId="0" fontId="21" fillId="37" borderId="3" xfId="0" applyFont="1" applyFill="1" applyBorder="1" applyAlignment="1">
      <alignment horizontal="center"/>
    </xf>
    <xf numFmtId="37" fontId="23" fillId="0" borderId="3" xfId="22" applyNumberFormat="1" applyFont="1" applyFill="1" applyBorder="1" applyAlignment="1">
      <alignment horizontal="center"/>
    </xf>
    <xf numFmtId="39" fontId="23" fillId="0" borderId="3" xfId="22" applyNumberFormat="1" applyFont="1" applyFill="1" applyBorder="1" applyAlignment="1">
      <alignment horizontal="center"/>
    </xf>
    <xf numFmtId="49" fontId="23" fillId="0" borderId="0" xfId="22" applyNumberFormat="1" applyFont="1" applyBorder="1" applyAlignment="1">
      <alignment horizontal="left"/>
    </xf>
    <xf numFmtId="39" fontId="23" fillId="0" borderId="3" xfId="22" applyNumberFormat="1" applyFont="1" applyBorder="1" applyAlignment="1">
      <alignment horizontal="right"/>
    </xf>
    <xf numFmtId="10" fontId="23" fillId="0" borderId="3" xfId="38" applyNumberFormat="1" applyFont="1" applyFill="1" applyBorder="1" applyAlignment="1">
      <alignment horizontal="center"/>
    </xf>
    <xf numFmtId="39" fontId="23" fillId="0" borderId="3" xfId="22" quotePrefix="1" applyNumberFormat="1" applyFont="1" applyBorder="1" applyAlignment="1">
      <alignment horizontal="center"/>
    </xf>
    <xf numFmtId="39" fontId="21" fillId="0" borderId="3" xfId="22" applyNumberFormat="1" applyFont="1" applyFill="1" applyBorder="1" applyAlignment="1">
      <alignment horizontal="right" wrapText="1"/>
    </xf>
    <xf numFmtId="0" fontId="23" fillId="37" borderId="3" xfId="0" quotePrefix="1" applyNumberFormat="1" applyFont="1" applyFill="1" applyBorder="1"/>
    <xf numFmtId="0" fontId="23" fillId="36" borderId="6" xfId="0" applyFont="1" applyFill="1" applyBorder="1" applyAlignment="1"/>
    <xf numFmtId="0" fontId="23" fillId="36" borderId="4" xfId="0" applyFont="1" applyFill="1" applyBorder="1" applyAlignment="1"/>
    <xf numFmtId="0" fontId="23" fillId="36" borderId="3" xfId="0" applyFont="1" applyFill="1" applyBorder="1"/>
    <xf numFmtId="39" fontId="23" fillId="36" borderId="3" xfId="22" applyNumberFormat="1" applyFont="1" applyFill="1" applyBorder="1" applyAlignment="1">
      <alignment horizontal="center"/>
    </xf>
    <xf numFmtId="39" fontId="23" fillId="36" borderId="3" xfId="0" applyNumberFormat="1" applyFont="1" applyFill="1" applyBorder="1" applyAlignment="1">
      <alignment horizontal="center"/>
    </xf>
    <xf numFmtId="0" fontId="21" fillId="36" borderId="3" xfId="0" quotePrefix="1" applyNumberFormat="1" applyFont="1" applyFill="1" applyBorder="1"/>
    <xf numFmtId="39" fontId="21" fillId="36" borderId="3" xfId="22" quotePrefix="1" applyNumberFormat="1" applyFont="1" applyFill="1" applyBorder="1" applyAlignment="1">
      <alignment horizontal="center"/>
    </xf>
    <xf numFmtId="0" fontId="21" fillId="36" borderId="3" xfId="0" applyNumberFormat="1" applyFont="1" applyFill="1" applyBorder="1"/>
    <xf numFmtId="37" fontId="21" fillId="0" borderId="0"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39" fontId="21" fillId="37" borderId="7" xfId="22" applyNumberFormat="1" applyFont="1" applyFill="1" applyBorder="1" applyAlignment="1">
      <alignment horizontal="center"/>
    </xf>
    <xf numFmtId="39" fontId="21" fillId="37" borderId="0" xfId="22" quotePrefix="1" applyNumberFormat="1" applyFont="1" applyFill="1" applyBorder="1" applyAlignment="1">
      <alignment horizontal="center"/>
    </xf>
    <xf numFmtId="39" fontId="23" fillId="0" borderId="0" xfId="22" applyNumberFormat="1" applyFont="1" applyBorder="1" applyAlignment="1">
      <alignment horizontal="center"/>
    </xf>
    <xf numFmtId="0" fontId="24" fillId="0" borderId="0" xfId="0" quotePrefix="1" applyFont="1" applyFill="1" applyAlignment="1">
      <alignment horizontal="center"/>
    </xf>
    <xf numFmtId="164" fontId="21" fillId="0" borderId="0" xfId="0" applyNumberFormat="1" applyFont="1" applyFill="1" applyAlignment="1">
      <alignment horizontal="center"/>
    </xf>
    <xf numFmtId="164" fontId="24" fillId="0" borderId="0" xfId="0" applyNumberFormat="1" applyFont="1" applyFill="1" applyAlignment="1">
      <alignment horizontal="center"/>
    </xf>
    <xf numFmtId="164" fontId="24" fillId="36" borderId="0" xfId="0" applyNumberFormat="1" applyFont="1" applyFill="1" applyAlignment="1">
      <alignment horizontal="center"/>
    </xf>
    <xf numFmtId="0" fontId="23" fillId="0" borderId="0" xfId="0" quotePrefix="1" applyFont="1" applyFill="1" applyAlignment="1">
      <alignment horizontal="center"/>
    </xf>
    <xf numFmtId="0" fontId="23" fillId="0" borderId="0" xfId="0" applyFont="1" applyFill="1" applyAlignment="1">
      <alignment horizontal="right"/>
    </xf>
    <xf numFmtId="164" fontId="27" fillId="0" borderId="0" xfId="0" applyNumberFormat="1" applyFont="1" applyFill="1" applyAlignment="1">
      <alignment horizontal="right"/>
    </xf>
    <xf numFmtId="164" fontId="23" fillId="36" borderId="0" xfId="0" applyNumberFormat="1" applyFont="1" applyFill="1" applyAlignment="1">
      <alignment horizontal="right"/>
    </xf>
    <xf numFmtId="10" fontId="53" fillId="0" borderId="0" xfId="0" applyNumberFormat="1" applyFont="1"/>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10" fontId="59" fillId="0" borderId="0" xfId="0" applyNumberFormat="1" applyFont="1"/>
    <xf numFmtId="0" fontId="29" fillId="0" borderId="0" xfId="27" applyAlignment="1" applyProtection="1"/>
    <xf numFmtId="0" fontId="27" fillId="0" borderId="0" xfId="0" applyFont="1" applyFill="1" applyAlignment="1">
      <alignment horizontal="center"/>
    </xf>
    <xf numFmtId="168" fontId="23" fillId="0" borderId="0" xfId="0" applyNumberFormat="1" applyFont="1" applyFill="1" applyAlignment="1">
      <alignment horizontal="right"/>
    </xf>
    <xf numFmtId="0" fontId="23" fillId="0" borderId="0" xfId="0" applyFont="1" applyFill="1" applyAlignment="1">
      <alignment horizontal="left" indent="2"/>
    </xf>
    <xf numFmtId="0" fontId="0" fillId="0" borderId="0" xfId="0" applyFill="1" applyAlignment="1">
      <alignment horizontal="left" indent="2"/>
    </xf>
    <xf numFmtId="0" fontId="23" fillId="0" borderId="0" xfId="0" applyFont="1" applyFill="1" applyAlignment="1">
      <alignment horizontal="left" indent="3"/>
    </xf>
    <xf numFmtId="166" fontId="53" fillId="0" borderId="0" xfId="0" quotePrefix="1" applyNumberFormat="1" applyFont="1" applyAlignment="1">
      <alignment horizontal="right"/>
    </xf>
    <xf numFmtId="168" fontId="27" fillId="0" borderId="0" xfId="0" applyNumberFormat="1" applyFont="1"/>
    <xf numFmtId="0" fontId="0" fillId="0" borderId="0" xfId="0" applyFont="1"/>
    <xf numFmtId="0" fontId="60" fillId="0" borderId="0" xfId="0" applyFont="1" applyAlignment="1">
      <alignment horizontal="center"/>
    </xf>
    <xf numFmtId="164" fontId="41"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1" fillId="0" borderId="0" xfId="0" applyFont="1" applyFill="1" applyAlignment="1">
      <alignment horizontal="left"/>
    </xf>
    <xf numFmtId="0" fontId="24" fillId="0" borderId="0" xfId="0" applyFont="1" applyAlignment="1">
      <alignment horizontal="left" indent="1"/>
    </xf>
    <xf numFmtId="0" fontId="21"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3"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1" fillId="36" borderId="0" xfId="0" quotePrefix="1" applyFont="1" applyFill="1" applyAlignment="1">
      <alignment vertical="center"/>
    </xf>
    <xf numFmtId="164" fontId="23" fillId="36" borderId="8" xfId="0" applyNumberFormat="1" applyFont="1" applyFill="1" applyBorder="1"/>
    <xf numFmtId="164" fontId="56" fillId="0" borderId="0" xfId="0" applyNumberFormat="1" applyFont="1" applyAlignment="1">
      <alignment horizontal="center"/>
    </xf>
    <xf numFmtId="165" fontId="20" fillId="0" borderId="0" xfId="0" applyNumberFormat="1" applyFont="1" applyFill="1"/>
    <xf numFmtId="37" fontId="21" fillId="0" borderId="3" xfId="22" applyNumberFormat="1" applyFont="1" applyFill="1" applyBorder="1" applyAlignment="1">
      <alignment horizontal="center"/>
    </xf>
    <xf numFmtId="37" fontId="21" fillId="0" borderId="3" xfId="0" applyNumberFormat="1" applyFont="1" applyBorder="1" applyAlignment="1">
      <alignment horizontal="center"/>
    </xf>
    <xf numFmtId="37" fontId="21" fillId="37" borderId="3" xfId="0" applyNumberFormat="1" applyFont="1" applyFill="1" applyBorder="1" applyAlignment="1">
      <alignment horizontal="center"/>
    </xf>
    <xf numFmtId="164" fontId="23" fillId="0" borderId="0" xfId="19" applyNumberFormat="1" applyFont="1" applyBorder="1" applyAlignment="1">
      <alignment horizontal="center"/>
    </xf>
    <xf numFmtId="37" fontId="21" fillId="0" borderId="0" xfId="0" applyNumberFormat="1" applyFont="1" applyBorder="1" applyAlignment="1">
      <alignment horizontal="center"/>
    </xf>
    <xf numFmtId="164" fontId="27" fillId="36" borderId="0" xfId="0" applyNumberFormat="1" applyFont="1" applyFill="1" applyAlignment="1">
      <alignment horizontal="right"/>
    </xf>
    <xf numFmtId="0" fontId="23" fillId="36" borderId="0" xfId="0" applyFont="1" applyFill="1" applyAlignment="1">
      <alignment horizontal="right"/>
    </xf>
    <xf numFmtId="0" fontId="21" fillId="0" borderId="0" xfId="28" applyFont="1" applyAlignment="1">
      <alignment horizontal="left" vertical="center"/>
    </xf>
    <xf numFmtId="0" fontId="50" fillId="0" borderId="0" xfId="28" applyFont="1" applyFill="1" applyAlignment="1">
      <alignment horizontal="left"/>
    </xf>
    <xf numFmtId="0" fontId="50" fillId="0" borderId="0" xfId="28" applyFont="1" applyFill="1" applyAlignment="1">
      <alignment horizontal="center"/>
    </xf>
    <xf numFmtId="0" fontId="50" fillId="0" borderId="0" xfId="28" applyNumberFormat="1" applyFont="1" applyFill="1" applyAlignment="1">
      <alignment horizontal="center"/>
    </xf>
    <xf numFmtId="0" fontId="50" fillId="0" borderId="0" xfId="28" applyFont="1" applyAlignment="1">
      <alignment horizontal="center"/>
    </xf>
    <xf numFmtId="0" fontId="21" fillId="0" borderId="0" xfId="28" applyFont="1" applyAlignment="1">
      <alignment horizontal="left"/>
    </xf>
    <xf numFmtId="0" fontId="50" fillId="36" borderId="0" xfId="28" applyNumberFormat="1" applyFont="1" applyFill="1" applyAlignment="1">
      <alignment horizontal="center"/>
    </xf>
    <xf numFmtId="0" fontId="21" fillId="0" borderId="0" xfId="28" applyFont="1" applyAlignment="1">
      <alignment vertical="top"/>
    </xf>
    <xf numFmtId="0" fontId="21" fillId="0" borderId="0" xfId="28" applyFont="1" applyAlignment="1">
      <alignment horizontal="left" vertical="top"/>
    </xf>
    <xf numFmtId="0" fontId="21" fillId="0" borderId="0" xfId="28" applyFont="1" applyAlignment="1">
      <alignment horizontal="center" vertical="top"/>
    </xf>
    <xf numFmtId="0" fontId="21" fillId="0" borderId="0" xfId="28" applyFont="1" applyFill="1" applyAlignment="1">
      <alignment horizontal="center" vertical="top"/>
    </xf>
    <xf numFmtId="0" fontId="21" fillId="0" borderId="0" xfId="28" applyNumberFormat="1" applyFont="1" applyFill="1" applyAlignment="1">
      <alignment horizontal="center" vertical="top"/>
    </xf>
    <xf numFmtId="0" fontId="50" fillId="0" borderId="0" xfId="28" applyFont="1" applyAlignment="1">
      <alignment horizontal="center" vertical="top"/>
    </xf>
    <xf numFmtId="0" fontId="21" fillId="0" borderId="0" xfId="28" applyFont="1" applyAlignment="1"/>
    <xf numFmtId="0" fontId="21" fillId="0" borderId="0" xfId="28" applyFont="1" applyFill="1" applyAlignment="1">
      <alignment horizontal="center"/>
    </xf>
    <xf numFmtId="0" fontId="21" fillId="0" borderId="0" xfId="28" applyNumberFormat="1" applyFont="1" applyFill="1" applyAlignment="1">
      <alignment horizontal="center"/>
    </xf>
    <xf numFmtId="0" fontId="24" fillId="0" borderId="0" xfId="0" quotePrefix="1" applyFont="1" applyAlignment="1">
      <alignment horizontal="center" vertical="top"/>
    </xf>
    <xf numFmtId="0" fontId="24" fillId="0" borderId="0" xfId="0" quotePrefix="1" applyNumberFormat="1" applyFont="1" applyAlignment="1">
      <alignment horizontal="center" vertical="top"/>
    </xf>
    <xf numFmtId="0" fontId="21" fillId="0" borderId="0" xfId="28" applyFont="1" applyAlignment="1">
      <alignment horizontal="center" vertical="center"/>
    </xf>
    <xf numFmtId="0" fontId="21" fillId="0" borderId="0" xfId="28" applyFont="1" applyBorder="1" applyAlignment="1"/>
    <xf numFmtId="0" fontId="21" fillId="0" borderId="6" xfId="28" applyNumberFormat="1" applyFont="1" applyFill="1" applyBorder="1" applyAlignment="1">
      <alignment horizontal="center"/>
    </xf>
    <xf numFmtId="0" fontId="21" fillId="0" borderId="3" xfId="28" applyFont="1" applyBorder="1" applyAlignment="1">
      <alignment horizontal="center"/>
    </xf>
    <xf numFmtId="0" fontId="21" fillId="0" borderId="3" xfId="28" applyNumberFormat="1" applyFont="1" applyBorder="1" applyAlignment="1">
      <alignment horizontal="center"/>
    </xf>
    <xf numFmtId="0" fontId="24" fillId="0" borderId="0" xfId="28" applyFont="1" applyBorder="1" applyAlignment="1"/>
    <xf numFmtId="0" fontId="21" fillId="0" borderId="0" xfId="28" applyFont="1" applyBorder="1" applyAlignment="1">
      <alignment horizontal="center"/>
    </xf>
    <xf numFmtId="0" fontId="21" fillId="0" borderId="0" xfId="28" applyNumberFormat="1" applyFont="1" applyBorder="1" applyAlignment="1">
      <alignment horizontal="center"/>
    </xf>
    <xf numFmtId="167" fontId="35" fillId="0" borderId="0" xfId="28" applyNumberFormat="1" applyFont="1" applyFill="1" applyBorder="1"/>
    <xf numFmtId="0" fontId="21" fillId="0" borderId="0" xfId="28" applyFont="1" applyBorder="1"/>
    <xf numFmtId="0" fontId="21" fillId="0" borderId="0" xfId="28" applyFont="1" applyFill="1" applyBorder="1"/>
    <xf numFmtId="0" fontId="24" fillId="0" borderId="0" xfId="28" applyFont="1" applyBorder="1"/>
    <xf numFmtId="167" fontId="21" fillId="0" borderId="0" xfId="28" applyNumberFormat="1" applyFont="1" applyBorder="1" applyAlignment="1">
      <alignment horizontal="center"/>
    </xf>
    <xf numFmtId="167" fontId="21" fillId="0" borderId="0" xfId="28" applyNumberFormat="1" applyFont="1" applyBorder="1"/>
    <xf numFmtId="0" fontId="21" fillId="0" borderId="0" xfId="28" applyFont="1" applyBorder="1" applyAlignment="1">
      <alignment horizontal="right"/>
    </xf>
    <xf numFmtId="0" fontId="21" fillId="0" borderId="0" xfId="28" applyFont="1" applyFill="1" applyBorder="1" applyAlignment="1">
      <alignment horizontal="right"/>
    </xf>
    <xf numFmtId="167" fontId="21" fillId="0" borderId="3" xfId="22" applyNumberFormat="1" applyFont="1" applyFill="1" applyBorder="1" applyAlignment="1">
      <alignment horizontal="center" wrapText="1"/>
    </xf>
    <xf numFmtId="171" fontId="21" fillId="0" borderId="0" xfId="37" applyNumberFormat="1" applyFont="1" applyFill="1" applyBorder="1" applyAlignment="1">
      <alignment horizontal="center" wrapText="1"/>
    </xf>
    <xf numFmtId="167" fontId="21" fillId="0" borderId="0" xfId="22" applyNumberFormat="1" applyFont="1" applyFill="1" applyBorder="1"/>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167" fontId="35" fillId="0" borderId="0" xfId="22" applyNumberFormat="1" applyFont="1" applyFill="1" applyBorder="1" applyAlignment="1">
      <alignment horizontal="center" wrapText="1"/>
    </xf>
    <xf numFmtId="167" fontId="21" fillId="0" borderId="0" xfId="22" applyNumberFormat="1" applyFont="1" applyBorder="1"/>
    <xf numFmtId="0" fontId="24" fillId="0" borderId="0" xfId="28" applyFont="1" applyBorder="1" applyAlignment="1">
      <alignment vertical="top" wrapText="1"/>
    </xf>
    <xf numFmtId="0" fontId="53" fillId="34" borderId="0" xfId="0" applyFont="1" applyFill="1"/>
    <xf numFmtId="0" fontId="54" fillId="0" borderId="0" xfId="0" applyFont="1" applyFill="1" applyAlignment="1">
      <alignment horizontal="center"/>
    </xf>
    <xf numFmtId="0" fontId="55" fillId="0" borderId="0" xfId="0" applyFont="1" applyFill="1" applyAlignment="1">
      <alignment horizontal="center"/>
    </xf>
    <xf numFmtId="0" fontId="53" fillId="0" borderId="0" xfId="0" applyFont="1" applyFill="1" applyAlignment="1">
      <alignment horizontal="center"/>
    </xf>
    <xf numFmtId="0" fontId="53" fillId="0" borderId="0" xfId="0" applyFont="1" applyFill="1" applyAlignment="1">
      <alignment horizontal="left" indent="2"/>
    </xf>
    <xf numFmtId="0" fontId="54" fillId="0" borderId="0" xfId="0" applyFont="1" applyAlignment="1">
      <alignment horizontal="left" indent="1"/>
    </xf>
    <xf numFmtId="0" fontId="54" fillId="0" borderId="0" xfId="0" quotePrefix="1" applyFont="1" applyAlignment="1">
      <alignment horizontal="center"/>
    </xf>
    <xf numFmtId="0" fontId="55" fillId="0" borderId="0" xfId="0" quotePrefix="1" applyFont="1" applyAlignment="1">
      <alignment horizontal="center"/>
    </xf>
    <xf numFmtId="164" fontId="58" fillId="0" borderId="0" xfId="0" applyNumberFormat="1" applyFont="1" applyFill="1"/>
    <xf numFmtId="0" fontId="53" fillId="0" borderId="0" xfId="0" quotePrefix="1" applyFont="1"/>
    <xf numFmtId="0" fontId="55" fillId="0" borderId="0" xfId="0" applyFont="1" applyAlignment="1">
      <alignment horizontal="left"/>
    </xf>
    <xf numFmtId="1" fontId="53" fillId="36" borderId="0" xfId="0" applyNumberFormat="1" applyFont="1" applyFill="1"/>
    <xf numFmtId="174" fontId="53" fillId="0" borderId="0" xfId="0" applyNumberFormat="1" applyFont="1"/>
    <xf numFmtId="0" fontId="53" fillId="0" borderId="0" xfId="0" applyFont="1" applyFill="1" applyAlignment="1">
      <alignment horizontal="left" indent="1"/>
    </xf>
    <xf numFmtId="164" fontId="0" fillId="0" borderId="0" xfId="0" quotePrefix="1" applyNumberFormat="1" applyAlignment="1">
      <alignment horizontal="center"/>
    </xf>
    <xf numFmtId="164" fontId="51" fillId="0" borderId="0" xfId="0" applyNumberFormat="1" applyFont="1" applyAlignment="1">
      <alignment horizontal="center"/>
    </xf>
    <xf numFmtId="164" fontId="23" fillId="0" borderId="0" xfId="0" applyNumberFormat="1" applyFont="1" applyAlignment="1"/>
    <xf numFmtId="164" fontId="23" fillId="0" borderId="0" xfId="0" applyNumberFormat="1" applyFont="1" applyAlignment="1">
      <alignment horizontal="right" indent="1"/>
    </xf>
    <xf numFmtId="0" fontId="21" fillId="0" borderId="0" xfId="0" applyFont="1" applyAlignment="1">
      <alignment horizontal="center"/>
    </xf>
    <xf numFmtId="0" fontId="0" fillId="0" borderId="0" xfId="0" applyAlignment="1">
      <alignment horizontal="center"/>
    </xf>
    <xf numFmtId="0" fontId="24" fillId="0" borderId="0" xfId="28" applyFont="1" applyFill="1" applyAlignment="1">
      <alignment horizontal="center"/>
    </xf>
    <xf numFmtId="0" fontId="21" fillId="0" borderId="0" xfId="0" applyFont="1" applyAlignment="1">
      <alignment horizontal="center"/>
    </xf>
    <xf numFmtId="0" fontId="21" fillId="0" borderId="0" xfId="0" applyFont="1" applyAlignment="1">
      <alignment horizontal="center"/>
    </xf>
    <xf numFmtId="164" fontId="0" fillId="0" borderId="0" xfId="0" applyNumberFormat="1" applyFill="1" applyAlignment="1"/>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xf>
    <xf numFmtId="0" fontId="20" fillId="0" borderId="0" xfId="0" applyFont="1" applyFill="1" applyAlignment="1">
      <alignment horizontal="left" indent="1"/>
    </xf>
    <xf numFmtId="0" fontId="20" fillId="0" borderId="0" xfId="0" applyFont="1"/>
    <xf numFmtId="0" fontId="20" fillId="0" borderId="0" xfId="0" applyFont="1" applyAlignment="1">
      <alignment horizontal="center"/>
    </xf>
    <xf numFmtId="0" fontId="20" fillId="0" borderId="0" xfId="0" applyFont="1" applyFill="1"/>
    <xf numFmtId="164" fontId="20" fillId="0" borderId="0" xfId="0" applyNumberFormat="1" applyFont="1" applyFill="1" applyBorder="1"/>
    <xf numFmtId="0" fontId="20" fillId="0" borderId="0" xfId="0" applyFont="1" applyAlignment="1">
      <alignment horizontal="left" indent="1"/>
    </xf>
    <xf numFmtId="179" fontId="20" fillId="34" borderId="0" xfId="35" applyNumberFormat="1" applyFont="1" applyFill="1" applyAlignment="1">
      <alignment horizontal="left"/>
    </xf>
    <xf numFmtId="179" fontId="20" fillId="0" borderId="0" xfId="35" applyNumberFormat="1" applyFont="1" applyFill="1" applyAlignment="1">
      <alignment horizontal="left"/>
    </xf>
    <xf numFmtId="164" fontId="20" fillId="0" borderId="0" xfId="0" applyNumberFormat="1" applyFont="1"/>
    <xf numFmtId="179" fontId="20" fillId="0" borderId="0" xfId="35" applyNumberFormat="1" applyFont="1" applyFill="1" applyAlignment="1">
      <alignment horizontal="right"/>
    </xf>
    <xf numFmtId="0" fontId="20" fillId="0" borderId="0" xfId="0" quotePrefix="1" applyFont="1" applyAlignment="1">
      <alignment horizontal="center"/>
    </xf>
    <xf numFmtId="0" fontId="20" fillId="36" borderId="0" xfId="0" applyFont="1" applyFill="1"/>
    <xf numFmtId="0" fontId="20" fillId="0" borderId="0" xfId="28" applyFont="1" applyFill="1"/>
    <xf numFmtId="10" fontId="0" fillId="0" borderId="0" xfId="37" applyNumberFormat="1" applyFont="1"/>
    <xf numFmtId="0" fontId="20" fillId="0" borderId="0" xfId="28" applyFont="1"/>
    <xf numFmtId="164" fontId="20" fillId="0" borderId="0" xfId="0" applyNumberFormat="1" applyFont="1" applyFill="1"/>
    <xf numFmtId="164" fontId="20" fillId="0" borderId="14" xfId="0" applyNumberFormat="1" applyFont="1" applyFill="1" applyBorder="1"/>
    <xf numFmtId="164" fontId="20" fillId="0" borderId="8" xfId="0" applyNumberFormat="1" applyFont="1" applyFill="1" applyBorder="1"/>
    <xf numFmtId="3" fontId="20" fillId="0" borderId="0" xfId="0" applyNumberFormat="1" applyFont="1" applyFill="1"/>
    <xf numFmtId="0" fontId="20" fillId="0" borderId="0" xfId="0" quotePrefix="1" applyFont="1"/>
    <xf numFmtId="17" fontId="20" fillId="0" borderId="0" xfId="0" quotePrefix="1" applyNumberFormat="1" applyFont="1" applyAlignment="1">
      <alignment horizontal="center"/>
    </xf>
    <xf numFmtId="0" fontId="20" fillId="0" borderId="0" xfId="0" applyFont="1" applyAlignment="1">
      <alignment wrapText="1"/>
    </xf>
    <xf numFmtId="0" fontId="0" fillId="0" borderId="0" xfId="0" applyAlignment="1">
      <alignment horizontal="center"/>
    </xf>
    <xf numFmtId="0" fontId="21" fillId="0" borderId="0" xfId="0" applyFont="1" applyAlignment="1">
      <alignment horizontal="center"/>
    </xf>
    <xf numFmtId="0" fontId="21" fillId="0" borderId="0" xfId="0" applyFont="1" applyAlignment="1">
      <alignment horizontal="center"/>
    </xf>
    <xf numFmtId="0" fontId="21" fillId="0" borderId="0" xfId="0" applyFont="1" applyAlignment="1">
      <alignment horizontal="center"/>
    </xf>
    <xf numFmtId="0" fontId="20" fillId="0" borderId="0" xfId="0" applyFont="1" applyAlignment="1">
      <alignment horizontal="right" indent="1"/>
    </xf>
    <xf numFmtId="0" fontId="20" fillId="0" borderId="0" xfId="0" applyFont="1" applyAlignment="1">
      <alignment horizontal="left" indent="2"/>
    </xf>
    <xf numFmtId="0" fontId="21" fillId="0" borderId="0" xfId="0" applyFont="1" applyAlignment="1">
      <alignment horizontal="center"/>
    </xf>
    <xf numFmtId="0" fontId="20" fillId="0" borderId="0" xfId="0" quotePrefix="1" applyFont="1" applyAlignment="1">
      <alignment horizontal="center" vertical="justify"/>
    </xf>
    <xf numFmtId="10" fontId="27" fillId="0" borderId="0" xfId="0" applyNumberFormat="1" applyFont="1"/>
    <xf numFmtId="0" fontId="21" fillId="0" borderId="0" xfId="0" applyFont="1" applyAlignment="1">
      <alignment horizontal="center"/>
    </xf>
    <xf numFmtId="166" fontId="20" fillId="0" borderId="0" xfId="0" applyNumberFormat="1" applyFont="1" applyAlignment="1">
      <alignment horizontal="left" indent="1"/>
    </xf>
    <xf numFmtId="166" fontId="24" fillId="0" borderId="0" xfId="0" applyNumberFormat="1" applyFont="1" applyAlignment="1">
      <alignment horizontal="center"/>
    </xf>
    <xf numFmtId="0" fontId="20" fillId="0" borderId="0" xfId="28" applyNumberFormat="1" applyFont="1" applyFill="1" applyBorder="1" applyAlignment="1">
      <alignment horizontal="left"/>
    </xf>
    <xf numFmtId="164" fontId="20" fillId="36" borderId="0" xfId="0" applyNumberFormat="1" applyFont="1" applyFill="1"/>
    <xf numFmtId="0" fontId="20" fillId="0" borderId="0" xfId="28" applyFont="1" applyBorder="1" applyAlignment="1">
      <alignment horizontal="left"/>
    </xf>
    <xf numFmtId="0" fontId="20" fillId="0" borderId="0" xfId="28" applyNumberFormat="1" applyFont="1" applyFill="1" applyBorder="1" applyAlignment="1">
      <alignment horizontal="right"/>
    </xf>
    <xf numFmtId="0" fontId="20" fillId="0" borderId="0" xfId="28" applyFont="1" applyBorder="1"/>
    <xf numFmtId="3" fontId="20" fillId="0" borderId="0" xfId="28" applyNumberFormat="1" applyFont="1" applyFill="1" applyBorder="1" applyAlignment="1">
      <alignment horizontal="left" indent="1"/>
    </xf>
    <xf numFmtId="1" fontId="20" fillId="0" borderId="0" xfId="28" applyNumberFormat="1" applyFont="1" applyFill="1" applyBorder="1" applyAlignment="1">
      <alignment horizontal="center"/>
    </xf>
    <xf numFmtId="37" fontId="20" fillId="0" borderId="0" xfId="36" applyNumberFormat="1" applyFont="1" applyFill="1" applyAlignment="1">
      <alignment horizontal="left" indent="1"/>
    </xf>
    <xf numFmtId="10" fontId="20" fillId="0" borderId="0" xfId="0" applyNumberFormat="1" applyFont="1" applyFill="1"/>
    <xf numFmtId="0" fontId="20" fillId="36" borderId="0" xfId="34" applyFont="1" applyFill="1"/>
    <xf numFmtId="0" fontId="20" fillId="0" borderId="0" xfId="0" quotePrefix="1" applyFont="1" applyAlignment="1"/>
    <xf numFmtId="0" fontId="55" fillId="0" borderId="0" xfId="0" applyFont="1" applyFill="1"/>
    <xf numFmtId="0" fontId="23" fillId="0" borderId="0" xfId="28" applyFont="1" applyFill="1" applyBorder="1" applyAlignment="1"/>
    <xf numFmtId="0" fontId="21" fillId="0" borderId="0" xfId="0" applyFont="1" applyAlignment="1">
      <alignment horizontal="center"/>
    </xf>
    <xf numFmtId="0" fontId="21" fillId="0" borderId="0" xfId="28" applyFont="1" applyBorder="1" applyAlignment="1">
      <alignment horizontal="left"/>
    </xf>
    <xf numFmtId="1" fontId="20" fillId="0" borderId="0" xfId="28" quotePrefix="1" applyNumberFormat="1" applyFont="1" applyFill="1" applyBorder="1" applyAlignment="1">
      <alignment horizontal="right"/>
    </xf>
    <xf numFmtId="164" fontId="20" fillId="0" borderId="0" xfId="0" applyNumberFormat="1" applyFont="1" applyFill="1" applyAlignment="1">
      <alignment horizontal="right"/>
    </xf>
    <xf numFmtId="164" fontId="21" fillId="0" borderId="0" xfId="0" applyNumberFormat="1" applyFont="1" applyFill="1" applyAlignment="1">
      <alignment horizontal="right"/>
    </xf>
    <xf numFmtId="164" fontId="20" fillId="36" borderId="0" xfId="0" applyNumberFormat="1" applyFont="1" applyFill="1" applyAlignment="1">
      <alignment horizontal="right"/>
    </xf>
    <xf numFmtId="0" fontId="20" fillId="36" borderId="0" xfId="0" applyFont="1" applyFill="1" applyAlignment="1">
      <alignment horizontal="left" indent="1"/>
    </xf>
    <xf numFmtId="0" fontId="20" fillId="36" borderId="0" xfId="0" applyFont="1" applyFill="1" applyAlignment="1">
      <alignment horizontal="left"/>
    </xf>
    <xf numFmtId="0" fontId="20" fillId="36" borderId="0" xfId="0" applyFont="1" applyFill="1" applyAlignment="1">
      <alignment horizontal="left" vertical="center"/>
    </xf>
    <xf numFmtId="0" fontId="20" fillId="36" borderId="0" xfId="0" quotePrefix="1" applyFont="1" applyFill="1"/>
    <xf numFmtId="164" fontId="20" fillId="0" borderId="0" xfId="0" applyNumberFormat="1" applyFont="1" applyFill="1" applyAlignment="1">
      <alignment horizontal="left" indent="1"/>
    </xf>
    <xf numFmtId="0" fontId="0" fillId="0" borderId="0" xfId="0" applyFill="1" applyBorder="1"/>
    <xf numFmtId="0" fontId="61" fillId="0" borderId="0" xfId="0" applyFont="1"/>
    <xf numFmtId="37" fontId="53" fillId="0" borderId="0" xfId="0" applyNumberFormat="1" applyFont="1" applyFill="1"/>
    <xf numFmtId="165" fontId="53" fillId="0" borderId="0" xfId="0" applyNumberFormat="1" applyFont="1" applyFill="1"/>
    <xf numFmtId="165" fontId="53" fillId="0" borderId="0" xfId="0" applyNumberFormat="1" applyFont="1" applyFill="1" applyAlignment="1">
      <alignment horizontal="left" indent="1"/>
    </xf>
    <xf numFmtId="164" fontId="55" fillId="0" borderId="0" xfId="0" applyNumberFormat="1" applyFont="1" applyFill="1"/>
    <xf numFmtId="39" fontId="53" fillId="0" borderId="0" xfId="0" applyNumberFormat="1" applyFont="1" applyAlignment="1">
      <alignment horizontal="left" indent="1"/>
    </xf>
    <xf numFmtId="39" fontId="53" fillId="0" borderId="0" xfId="0" applyNumberFormat="1" applyFont="1"/>
    <xf numFmtId="0" fontId="20" fillId="36" borderId="0" xfId="0" quotePrefix="1" applyFont="1" applyFill="1" applyAlignment="1">
      <alignment horizontal="center"/>
    </xf>
    <xf numFmtId="0" fontId="20" fillId="0" borderId="0" xfId="0" quotePrefix="1" applyFont="1" applyFill="1" applyAlignment="1">
      <alignment horizontal="center"/>
    </xf>
    <xf numFmtId="0" fontId="20" fillId="36" borderId="0" xfId="0" applyFont="1" applyFill="1" applyBorder="1" applyProtection="1"/>
    <xf numFmtId="164" fontId="20" fillId="36" borderId="0" xfId="0" applyNumberFormat="1" applyFont="1" applyFill="1" applyBorder="1" applyProtection="1"/>
    <xf numFmtId="170" fontId="20" fillId="0" borderId="0" xfId="0" applyNumberFormat="1" applyFont="1" applyFill="1" applyBorder="1" applyAlignment="1" applyProtection="1">
      <alignment horizontal="center"/>
    </xf>
    <xf numFmtId="0" fontId="20" fillId="0" borderId="0" xfId="0" applyFont="1" applyFill="1" applyBorder="1" applyProtection="1"/>
    <xf numFmtId="164" fontId="20" fillId="0" borderId="0" xfId="0" applyNumberFormat="1" applyFont="1" applyFill="1" applyBorder="1" applyProtection="1"/>
    <xf numFmtId="0" fontId="20" fillId="0" borderId="0" xfId="0" quotePrefix="1" applyFont="1" applyFill="1" applyBorder="1"/>
    <xf numFmtId="0" fontId="20" fillId="0" borderId="0" xfId="0" applyFont="1" applyFill="1" applyBorder="1"/>
    <xf numFmtId="0" fontId="20" fillId="0" borderId="0" xfId="0" applyFont="1" applyAlignment="1">
      <alignment horizontal="left"/>
    </xf>
    <xf numFmtId="164" fontId="27" fillId="0" borderId="0" xfId="28" applyNumberFormat="1" applyFont="1" applyFill="1"/>
    <xf numFmtId="0" fontId="21" fillId="0" borderId="0" xfId="0" applyFont="1" applyFill="1" applyBorder="1" applyAlignment="1">
      <alignment horizontal="center"/>
    </xf>
    <xf numFmtId="37" fontId="20" fillId="0" borderId="0" xfId="0" applyNumberFormat="1" applyFont="1" applyFill="1" applyAlignment="1">
      <alignment horizontal="left" indent="1"/>
    </xf>
    <xf numFmtId="0" fontId="63" fillId="0" borderId="0" xfId="0" applyFont="1"/>
    <xf numFmtId="0" fontId="21" fillId="0" borderId="0" xfId="0" applyFont="1" applyAlignment="1">
      <alignment horizontal="center"/>
    </xf>
    <xf numFmtId="0" fontId="21" fillId="0" borderId="0" xfId="0" applyFont="1" applyAlignment="1">
      <alignment horizontal="center"/>
    </xf>
    <xf numFmtId="0" fontId="25" fillId="0" borderId="0" xfId="0" applyFont="1" applyFill="1"/>
    <xf numFmtId="0" fontId="26" fillId="0" borderId="0" xfId="0" applyFont="1" applyFill="1"/>
    <xf numFmtId="0" fontId="24" fillId="0" borderId="0" xfId="0" applyFont="1" applyFill="1" applyAlignment="1">
      <alignment horizontal="left"/>
    </xf>
    <xf numFmtId="17" fontId="20" fillId="0" borderId="0" xfId="0" quotePrefix="1" applyNumberFormat="1" applyFont="1" applyFill="1" applyAlignment="1">
      <alignment horizontal="center"/>
    </xf>
    <xf numFmtId="0" fontId="20" fillId="0" borderId="0" xfId="0" quotePrefix="1" applyFont="1" applyAlignment="1">
      <alignment horizontal="left" indent="1"/>
    </xf>
    <xf numFmtId="0" fontId="20" fillId="0" borderId="0" xfId="28" quotePrefix="1" applyFont="1" applyFill="1" applyAlignment="1">
      <alignment horizontal="center" vertical="center"/>
    </xf>
    <xf numFmtId="0" fontId="20" fillId="0" borderId="0" xfId="28" quotePrefix="1" applyFont="1" applyFill="1" applyAlignment="1">
      <alignment horizontal="center"/>
    </xf>
    <xf numFmtId="0" fontId="20" fillId="0" borderId="0" xfId="28" quotePrefix="1" applyFont="1" applyBorder="1" applyAlignment="1">
      <alignment horizontal="center"/>
    </xf>
    <xf numFmtId="0" fontId="20" fillId="0" borderId="3" xfId="0" applyFont="1" applyBorder="1" applyAlignment="1">
      <alignment horizontal="center"/>
    </xf>
    <xf numFmtId="0" fontId="20" fillId="0" borderId="3" xfId="0" applyFont="1" applyFill="1" applyBorder="1" applyAlignment="1">
      <alignment horizontal="center"/>
    </xf>
    <xf numFmtId="0" fontId="20" fillId="0" borderId="3" xfId="0" applyFont="1" applyFill="1" applyBorder="1"/>
    <xf numFmtId="39" fontId="20" fillId="0" borderId="3" xfId="22" applyNumberFormat="1" applyFont="1" applyFill="1" applyBorder="1" applyAlignment="1">
      <alignment horizontal="center"/>
    </xf>
    <xf numFmtId="0" fontId="20" fillId="0" borderId="0" xfId="0" applyFont="1" applyFill="1" applyBorder="1" applyAlignment="1">
      <alignment vertical="top"/>
    </xf>
    <xf numFmtId="37" fontId="53" fillId="36" borderId="0" xfId="81" applyNumberFormat="1" applyFont="1" applyFill="1" applyAlignment="1">
      <alignment horizontal="right"/>
    </xf>
    <xf numFmtId="0" fontId="21" fillId="0" borderId="0" xfId="0" applyFont="1" applyAlignment="1">
      <alignment horizontal="center"/>
    </xf>
    <xf numFmtId="6" fontId="0" fillId="0" borderId="0" xfId="0" applyNumberFormat="1"/>
    <xf numFmtId="0" fontId="21" fillId="0" borderId="0" xfId="0" applyFont="1" applyAlignment="1">
      <alignment horizontal="center"/>
    </xf>
    <xf numFmtId="180" fontId="0" fillId="0" borderId="0" xfId="0" applyNumberFormat="1"/>
    <xf numFmtId="0" fontId="21" fillId="0" borderId="0" xfId="0" quotePrefix="1" applyFont="1" applyFill="1" applyAlignment="1">
      <alignment horizontal="right"/>
    </xf>
    <xf numFmtId="0" fontId="20" fillId="0" borderId="0" xfId="0" quotePrefix="1" applyFont="1" applyAlignment="1">
      <alignment horizontal="center" vertical="center"/>
    </xf>
    <xf numFmtId="0" fontId="21" fillId="0" borderId="0" xfId="108" applyFont="1"/>
    <xf numFmtId="0" fontId="20" fillId="0" borderId="0" xfId="108"/>
    <xf numFmtId="0" fontId="24" fillId="0" borderId="0" xfId="108" applyFont="1"/>
    <xf numFmtId="0" fontId="21" fillId="0" borderId="0" xfId="108" applyFont="1" applyAlignment="1">
      <alignment horizontal="center"/>
    </xf>
    <xf numFmtId="0" fontId="20" fillId="0" borderId="0" xfId="108" applyFont="1"/>
    <xf numFmtId="0" fontId="24" fillId="0" borderId="0" xfId="108" applyFont="1" applyAlignment="1">
      <alignment horizontal="center"/>
    </xf>
    <xf numFmtId="0" fontId="24" fillId="0" borderId="0" xfId="108" applyFont="1" applyAlignment="1">
      <alignment horizontal="left"/>
    </xf>
    <xf numFmtId="164" fontId="20" fillId="0" borderId="0" xfId="108" applyNumberFormat="1" applyFill="1"/>
    <xf numFmtId="0" fontId="20" fillId="36" borderId="0" xfId="108" applyFont="1" applyFill="1"/>
    <xf numFmtId="164" fontId="20" fillId="36" borderId="0" xfId="108" applyNumberFormat="1" applyFill="1"/>
    <xf numFmtId="164" fontId="27" fillId="36" borderId="0" xfId="108" applyNumberFormat="1" applyFont="1" applyFill="1"/>
    <xf numFmtId="164" fontId="20" fillId="0" borderId="0" xfId="108" applyNumberFormat="1"/>
    <xf numFmtId="0" fontId="20" fillId="0" borderId="0" xfId="108" applyFont="1" applyFill="1"/>
    <xf numFmtId="3" fontId="31" fillId="0" borderId="0" xfId="34" applyNumberFormat="1" applyFont="1" applyBorder="1"/>
    <xf numFmtId="39" fontId="23" fillId="36" borderId="0" xfId="22" applyNumberFormat="1" applyFont="1" applyFill="1" applyBorder="1" applyAlignment="1">
      <alignment horizontal="center"/>
    </xf>
    <xf numFmtId="0" fontId="29" fillId="0" borderId="0" xfId="27" applyAlignment="1" applyProtection="1"/>
    <xf numFmtId="164" fontId="0" fillId="36" borderId="0" xfId="0" applyNumberFormat="1" applyFill="1" applyAlignment="1">
      <alignment horizontal="right"/>
    </xf>
    <xf numFmtId="0" fontId="20" fillId="0" borderId="0" xfId="0" quotePrefix="1" applyFont="1" applyFill="1"/>
    <xf numFmtId="171" fontId="0" fillId="36" borderId="0" xfId="0" applyNumberFormat="1" applyFill="1"/>
    <xf numFmtId="167" fontId="20" fillId="0" borderId="0" xfId="28" applyNumberFormat="1" applyFont="1" applyBorder="1"/>
    <xf numFmtId="15" fontId="20" fillId="36" borderId="0" xfId="0" quotePrefix="1" applyNumberFormat="1" applyFont="1" applyFill="1" applyAlignment="1">
      <alignment horizontal="center"/>
    </xf>
    <xf numFmtId="0" fontId="68" fillId="0" borderId="0" xfId="0" applyFont="1"/>
    <xf numFmtId="0" fontId="20" fillId="0" borderId="0" xfId="28" applyFont="1" applyFill="1" applyBorder="1" applyAlignment="1" applyProtection="1">
      <alignment horizontal="left" indent="1"/>
      <protection locked="0"/>
    </xf>
    <xf numFmtId="0" fontId="20" fillId="0" borderId="0" xfId="100" applyFill="1"/>
    <xf numFmtId="0" fontId="20" fillId="36" borderId="0" xfId="108" applyFill="1"/>
    <xf numFmtId="0" fontId="20" fillId="0" borderId="0" xfId="100" applyFont="1" applyAlignment="1">
      <alignment horizontal="left" indent="1"/>
    </xf>
    <xf numFmtId="164" fontId="20" fillId="0" borderId="0" xfId="100" applyNumberFormat="1"/>
    <xf numFmtId="164" fontId="52" fillId="0" borderId="0" xfId="100" applyNumberFormat="1" applyFont="1" applyFill="1"/>
    <xf numFmtId="0" fontId="21" fillId="0" borderId="0" xfId="100" applyFont="1"/>
    <xf numFmtId="0" fontId="20" fillId="0" borderId="0" xfId="100" applyFont="1"/>
    <xf numFmtId="0" fontId="21" fillId="0" borderId="0" xfId="100" applyFont="1" applyAlignment="1">
      <alignment horizontal="left" indent="1"/>
    </xf>
    <xf numFmtId="0" fontId="62" fillId="0" borderId="0" xfId="100" applyFont="1" applyBorder="1" applyAlignment="1">
      <alignment horizontal="left"/>
    </xf>
    <xf numFmtId="0" fontId="21" fillId="0" borderId="0" xfId="100" applyFont="1" applyBorder="1" applyAlignment="1">
      <alignment horizontal="center"/>
    </xf>
    <xf numFmtId="0" fontId="20" fillId="0" borderId="0" xfId="100" applyFont="1" applyBorder="1" applyAlignment="1">
      <alignment horizontal="right"/>
    </xf>
    <xf numFmtId="0" fontId="21" fillId="0" borderId="0" xfId="100" applyFont="1" applyBorder="1" applyAlignment="1">
      <alignment horizontal="right"/>
    </xf>
    <xf numFmtId="0" fontId="21" fillId="0" borderId="8" xfId="100" applyFont="1" applyBorder="1" applyAlignment="1">
      <alignment horizontal="center"/>
    </xf>
    <xf numFmtId="0" fontId="20" fillId="36" borderId="0" xfId="100" applyFont="1" applyFill="1"/>
    <xf numFmtId="164" fontId="20" fillId="36" borderId="0" xfId="100" applyNumberFormat="1" applyFont="1" applyFill="1"/>
    <xf numFmtId="170" fontId="20" fillId="0" borderId="0" xfId="100" applyNumberFormat="1" applyFont="1" applyFill="1" applyAlignment="1">
      <alignment horizontal="center"/>
    </xf>
    <xf numFmtId="0" fontId="20" fillId="0" borderId="0" xfId="100" applyFont="1" applyFill="1"/>
    <xf numFmtId="164" fontId="20" fillId="0" borderId="0" xfId="100" applyNumberFormat="1" applyFont="1" applyFill="1"/>
    <xf numFmtId="170" fontId="20" fillId="0" borderId="0" xfId="100" quotePrefix="1" applyNumberFormat="1" applyFont="1" applyFill="1" applyAlignment="1">
      <alignment horizontal="center"/>
    </xf>
    <xf numFmtId="164" fontId="20" fillId="0" borderId="0" xfId="100" applyNumberFormat="1" applyFont="1"/>
    <xf numFmtId="164" fontId="20" fillId="0" borderId="0" xfId="96" applyNumberFormat="1" applyFont="1" applyBorder="1"/>
    <xf numFmtId="164" fontId="20" fillId="0" borderId="0" xfId="96" applyNumberFormat="1" applyFont="1"/>
    <xf numFmtId="168" fontId="20" fillId="0" borderId="0" xfId="96" applyNumberFormat="1" applyFont="1" applyBorder="1"/>
    <xf numFmtId="164" fontId="20" fillId="0" borderId="14" xfId="96" applyNumberFormat="1" applyFont="1" applyBorder="1"/>
    <xf numFmtId="0" fontId="20" fillId="0" borderId="0" xfId="100" quotePrefix="1" applyFont="1" applyAlignment="1">
      <alignment horizontal="left" indent="1"/>
    </xf>
    <xf numFmtId="164" fontId="20" fillId="0" borderId="0" xfId="96" applyNumberFormat="1" applyFont="1" applyBorder="1" applyAlignment="1">
      <alignment horizontal="left" indent="1"/>
    </xf>
    <xf numFmtId="39" fontId="20" fillId="0" borderId="0" xfId="96" applyNumberFormat="1" applyFont="1" applyBorder="1"/>
    <xf numFmtId="37" fontId="20" fillId="0" borderId="0" xfId="96" applyNumberFormat="1" applyFont="1" applyBorder="1" applyAlignment="1">
      <alignment horizontal="center"/>
    </xf>
    <xf numFmtId="164" fontId="20" fillId="0" borderId="0" xfId="96" applyNumberFormat="1" applyFont="1" applyFill="1" applyBorder="1"/>
    <xf numFmtId="0" fontId="20" fillId="0" borderId="0" xfId="100" applyFont="1" applyBorder="1"/>
    <xf numFmtId="164" fontId="21" fillId="0" borderId="0" xfId="100" applyNumberFormat="1" applyFont="1" applyBorder="1" applyAlignment="1">
      <alignment horizontal="center"/>
    </xf>
    <xf numFmtId="164" fontId="21" fillId="0" borderId="8" xfId="100" applyNumberFormat="1" applyFont="1" applyBorder="1" applyAlignment="1">
      <alignment horizontal="center"/>
    </xf>
    <xf numFmtId="0" fontId="24" fillId="0" borderId="0" xfId="100" applyFont="1" applyBorder="1" applyAlignment="1">
      <alignment horizontal="center"/>
    </xf>
    <xf numFmtId="0" fontId="20" fillId="0" borderId="0" xfId="100" applyFont="1" applyBorder="1" applyAlignment="1">
      <alignment horizontal="left"/>
    </xf>
    <xf numFmtId="1" fontId="20" fillId="36" borderId="0" xfId="100" applyNumberFormat="1" applyFont="1" applyFill="1" applyBorder="1" applyAlignment="1">
      <alignment horizontal="center"/>
    </xf>
    <xf numFmtId="164" fontId="20" fillId="0" borderId="0" xfId="0" applyNumberFormat="1" applyFont="1" applyFill="1" applyAlignment="1">
      <alignment horizontal="center"/>
    </xf>
    <xf numFmtId="0" fontId="20" fillId="0" borderId="0" xfId="100" applyNumberFormat="1" applyFont="1" applyFill="1" applyBorder="1" applyAlignment="1">
      <alignment horizontal="left"/>
    </xf>
    <xf numFmtId="1" fontId="20" fillId="0" borderId="0" xfId="100" quotePrefix="1" applyNumberFormat="1" applyFont="1" applyFill="1" applyBorder="1" applyAlignment="1">
      <alignment horizontal="right"/>
    </xf>
    <xf numFmtId="164" fontId="20" fillId="36" borderId="0" xfId="0" quotePrefix="1" applyNumberFormat="1" applyFont="1" applyFill="1" applyAlignment="1">
      <alignment horizontal="center"/>
    </xf>
    <xf numFmtId="164" fontId="20" fillId="0" borderId="0" xfId="0" quotePrefix="1" applyNumberFormat="1" applyFont="1" applyFill="1" applyAlignment="1">
      <alignment horizontal="center"/>
    </xf>
    <xf numFmtId="0" fontId="21" fillId="0" borderId="0" xfId="100" applyFont="1" applyFill="1" applyBorder="1" applyAlignment="1">
      <alignment horizontal="left"/>
    </xf>
    <xf numFmtId="0" fontId="21" fillId="0" borderId="0" xfId="100" applyNumberFormat="1" applyFont="1" applyFill="1" applyBorder="1" applyAlignment="1">
      <alignment horizontal="left"/>
    </xf>
    <xf numFmtId="0" fontId="20" fillId="0" borderId="0" xfId="100"/>
    <xf numFmtId="0" fontId="20" fillId="36" borderId="0" xfId="100" applyFill="1"/>
    <xf numFmtId="0" fontId="24" fillId="0" borderId="0" xfId="100" quotePrefix="1" applyFont="1" applyAlignment="1">
      <alignment horizontal="center"/>
    </xf>
    <xf numFmtId="0" fontId="24" fillId="0" borderId="0" xfId="100" applyFont="1" applyAlignment="1">
      <alignment horizontal="center"/>
    </xf>
    <xf numFmtId="0" fontId="20" fillId="0" borderId="0" xfId="100" quotePrefix="1" applyFont="1" applyAlignment="1">
      <alignment horizontal="center"/>
    </xf>
    <xf numFmtId="0" fontId="20" fillId="0" borderId="0" xfId="100" quotePrefix="1" applyFont="1" applyFill="1" applyAlignment="1">
      <alignment horizontal="center"/>
    </xf>
    <xf numFmtId="0" fontId="20" fillId="0" borderId="0" xfId="100" applyAlignment="1">
      <alignment horizontal="center"/>
    </xf>
    <xf numFmtId="0" fontId="21" fillId="0" borderId="0" xfId="100" applyFont="1" applyAlignment="1">
      <alignment horizontal="center"/>
    </xf>
    <xf numFmtId="0" fontId="21" fillId="0" borderId="0" xfId="100" applyFont="1" applyFill="1" applyAlignment="1">
      <alignment horizontal="center"/>
    </xf>
    <xf numFmtId="0" fontId="24" fillId="0" borderId="0" xfId="100" applyFont="1"/>
    <xf numFmtId="0" fontId="24" fillId="0" borderId="0" xfId="100" applyFont="1" applyFill="1" applyAlignment="1">
      <alignment horizontal="center"/>
    </xf>
    <xf numFmtId="164" fontId="20" fillId="0" borderId="0" xfId="100" applyNumberFormat="1" applyFont="1" applyFill="1" applyAlignment="1"/>
    <xf numFmtId="10" fontId="20" fillId="0" borderId="0" xfId="37" applyNumberFormat="1" applyFont="1" applyFill="1" applyAlignment="1"/>
    <xf numFmtId="167" fontId="20" fillId="0" borderId="0" xfId="100" applyNumberFormat="1"/>
    <xf numFmtId="164" fontId="27" fillId="0" borderId="0" xfId="100" applyNumberFormat="1" applyFont="1"/>
    <xf numFmtId="0" fontId="20" fillId="0" borderId="0" xfId="100" applyFont="1" applyAlignment="1">
      <alignment horizontal="left"/>
    </xf>
    <xf numFmtId="0" fontId="20" fillId="0" borderId="0" xfId="100" applyFont="1" applyAlignment="1">
      <alignment horizontal="right" indent="1"/>
    </xf>
    <xf numFmtId="167" fontId="0" fillId="0" borderId="0" xfId="19" applyNumberFormat="1" applyFont="1"/>
    <xf numFmtId="164" fontId="20" fillId="0" borderId="0" xfId="100" applyNumberFormat="1" applyFont="1" applyFill="1" applyAlignment="1">
      <alignment horizontal="right"/>
    </xf>
    <xf numFmtId="164" fontId="20" fillId="36" borderId="0" xfId="100" applyNumberFormat="1" applyFont="1" applyFill="1" applyAlignment="1">
      <alignment horizontal="right"/>
    </xf>
    <xf numFmtId="0" fontId="20" fillId="0" borderId="0" xfId="100" applyAlignment="1">
      <alignment horizontal="left" indent="1"/>
    </xf>
    <xf numFmtId="10" fontId="0" fillId="0" borderId="0" xfId="37" applyNumberFormat="1" applyFont="1" applyAlignment="1">
      <alignment horizontal="center"/>
    </xf>
    <xf numFmtId="10" fontId="24" fillId="0" borderId="0" xfId="100" applyNumberFormat="1" applyFont="1" applyAlignment="1">
      <alignment horizontal="center"/>
    </xf>
    <xf numFmtId="0" fontId="20" fillId="0" borderId="0" xfId="100" applyNumberFormat="1"/>
    <xf numFmtId="10" fontId="20" fillId="0" borderId="0" xfId="37" applyNumberFormat="1" applyAlignment="1">
      <alignment horizontal="center"/>
    </xf>
    <xf numFmtId="0" fontId="21" fillId="0" borderId="0" xfId="100" applyFont="1" applyFill="1"/>
    <xf numFmtId="0" fontId="24" fillId="0" borderId="0" xfId="0" applyNumberFormat="1" applyFont="1" applyFill="1" applyAlignment="1">
      <alignment horizontal="center"/>
    </xf>
    <xf numFmtId="0" fontId="22" fillId="0" borderId="0" xfId="0" applyFont="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alignment horizontal="center" wrapText="1"/>
    </xf>
    <xf numFmtId="164" fontId="21" fillId="0" borderId="0" xfId="0" applyNumberFormat="1" applyFont="1" applyFill="1" applyAlignment="1">
      <alignment horizontal="right" indent="1"/>
    </xf>
    <xf numFmtId="0" fontId="0" fillId="0" borderId="0" xfId="0" applyNumberFormat="1" applyFill="1"/>
    <xf numFmtId="0" fontId="21" fillId="0" borderId="0" xfId="0" applyNumberFormat="1" applyFont="1" applyFill="1" applyAlignment="1">
      <alignment horizontal="left" indent="2"/>
    </xf>
    <xf numFmtId="0" fontId="24" fillId="0" borderId="0" xfId="0" quotePrefix="1" applyNumberFormat="1" applyFont="1" applyFill="1" applyAlignment="1">
      <alignment horizontal="center"/>
    </xf>
    <xf numFmtId="0" fontId="20" fillId="0" borderId="0" xfId="0" quotePrefix="1" applyNumberFormat="1" applyFont="1" applyFill="1" applyAlignment="1">
      <alignment horizontal="center" wrapText="1"/>
    </xf>
    <xf numFmtId="0" fontId="20" fillId="0" borderId="0" xfId="0" quotePrefix="1" applyNumberFormat="1" applyFont="1" applyFill="1" applyAlignment="1">
      <alignment horizontal="center"/>
    </xf>
    <xf numFmtId="0" fontId="22" fillId="0" borderId="0" xfId="0" quotePrefix="1" applyNumberFormat="1" applyFont="1" applyFill="1" applyAlignment="1">
      <alignment horizontal="center"/>
    </xf>
    <xf numFmtId="0" fontId="20" fillId="0" borderId="0" xfId="100" quotePrefix="1" applyNumberFormat="1" applyFont="1" applyFill="1" applyBorder="1" applyAlignment="1">
      <alignment horizontal="right"/>
    </xf>
    <xf numFmtId="0" fontId="20" fillId="0" borderId="0" xfId="0" applyNumberFormat="1" applyFont="1" applyFill="1" applyAlignment="1">
      <alignment horizontal="left" indent="1"/>
    </xf>
    <xf numFmtId="0" fontId="21" fillId="0" borderId="0" xfId="100" applyFont="1" applyAlignment="1">
      <alignment horizontal="right"/>
    </xf>
    <xf numFmtId="164" fontId="21" fillId="0" borderId="0" xfId="100" applyNumberFormat="1" applyFont="1"/>
    <xf numFmtId="166" fontId="21" fillId="0" borderId="0" xfId="100" applyNumberFormat="1" applyFont="1"/>
    <xf numFmtId="10" fontId="24" fillId="0" borderId="0" xfId="37" applyNumberFormat="1" applyFont="1" applyAlignment="1">
      <alignment horizontal="center"/>
    </xf>
    <xf numFmtId="0" fontId="20" fillId="0" borderId="0" xfId="100" applyAlignment="1">
      <alignment horizontal="center" wrapText="1"/>
    </xf>
    <xf numFmtId="164" fontId="20" fillId="0" borderId="0" xfId="100" quotePrefix="1" applyNumberFormat="1" applyAlignment="1">
      <alignment horizontal="center"/>
    </xf>
    <xf numFmtId="0" fontId="20" fillId="0" borderId="0" xfId="100" quotePrefix="1" applyAlignment="1">
      <alignment horizontal="center" wrapText="1"/>
    </xf>
    <xf numFmtId="0" fontId="20" fillId="0" borderId="0" xfId="100" quotePrefix="1" applyFont="1" applyAlignment="1">
      <alignment horizontal="center" wrapText="1"/>
    </xf>
    <xf numFmtId="10" fontId="20" fillId="0" borderId="0" xfId="37" quotePrefix="1" applyNumberFormat="1" applyFont="1" applyAlignment="1">
      <alignment horizontal="center" wrapText="1"/>
    </xf>
    <xf numFmtId="5" fontId="20"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0" fillId="0" borderId="0" xfId="23" applyNumberFormat="1" applyFont="1"/>
    <xf numFmtId="10" fontId="20" fillId="0" borderId="0" xfId="100" applyNumberFormat="1"/>
    <xf numFmtId="0" fontId="27" fillId="0" borderId="0" xfId="100" applyFont="1" applyAlignment="1">
      <alignment horizontal="center"/>
    </xf>
    <xf numFmtId="5" fontId="20" fillId="0" borderId="0" xfId="19" applyNumberFormat="1"/>
    <xf numFmtId="5" fontId="20" fillId="0" borderId="0" xfId="100" applyNumberFormat="1"/>
    <xf numFmtId="5" fontId="20" fillId="0" borderId="0" xfId="100" applyNumberFormat="1" applyFont="1"/>
    <xf numFmtId="172" fontId="0" fillId="0" borderId="0" xfId="0" applyNumberFormat="1"/>
    <xf numFmtId="0" fontId="20" fillId="36" borderId="0" xfId="0" applyFont="1" applyFill="1" applyAlignment="1">
      <alignment horizontal="center"/>
    </xf>
    <xf numFmtId="0" fontId="21" fillId="0" borderId="0" xfId="108" applyFont="1" applyFill="1"/>
    <xf numFmtId="0" fontId="20" fillId="0" borderId="0" xfId="108" applyFill="1"/>
    <xf numFmtId="0" fontId="24" fillId="0" borderId="0" xfId="108" applyFont="1" applyFill="1"/>
    <xf numFmtId="0" fontId="21" fillId="0" borderId="0" xfId="108" applyFont="1" applyFill="1" applyAlignment="1">
      <alignment horizontal="center"/>
    </xf>
    <xf numFmtId="0" fontId="21" fillId="0" borderId="8" xfId="108" applyFont="1" applyFill="1" applyBorder="1" applyAlignment="1">
      <alignment horizontal="center"/>
    </xf>
    <xf numFmtId="0" fontId="21" fillId="0" borderId="0" xfId="108" applyFont="1" applyFill="1" applyBorder="1" applyAlignment="1">
      <alignment horizontal="center"/>
    </xf>
    <xf numFmtId="0" fontId="21" fillId="0" borderId="8" xfId="108" applyFont="1" applyBorder="1" applyAlignment="1">
      <alignment horizontal="center"/>
    </xf>
    <xf numFmtId="0" fontId="41" fillId="0" borderId="0" xfId="0" applyFont="1"/>
    <xf numFmtId="164" fontId="20" fillId="0" borderId="15" xfId="108" applyNumberFormat="1" applyFill="1" applyBorder="1"/>
    <xf numFmtId="0" fontId="21" fillId="0" borderId="0" xfId="108" quotePrefix="1" applyFont="1" applyFill="1" applyAlignment="1">
      <alignment horizontal="center"/>
    </xf>
    <xf numFmtId="0" fontId="39" fillId="0" borderId="0" xfId="0" applyFont="1" applyFill="1" applyAlignment="1">
      <alignment horizontal="center"/>
    </xf>
    <xf numFmtId="164" fontId="20" fillId="0" borderId="0" xfId="108" applyNumberFormat="1" applyFill="1" applyBorder="1"/>
    <xf numFmtId="164" fontId="20" fillId="0" borderId="8" xfId="108" applyNumberFormat="1" applyFont="1" applyFill="1" applyBorder="1" applyAlignment="1">
      <alignment horizontal="right"/>
    </xf>
    <xf numFmtId="164" fontId="20" fillId="0" borderId="0" xfId="108" applyNumberFormat="1" applyFont="1" applyFill="1" applyBorder="1" applyAlignment="1">
      <alignment horizontal="right"/>
    </xf>
    <xf numFmtId="164" fontId="20" fillId="0" borderId="16" xfId="108" applyNumberFormat="1" applyBorder="1"/>
    <xf numFmtId="0" fontId="20" fillId="0" borderId="0" xfId="108" applyFill="1" applyBorder="1"/>
    <xf numFmtId="0" fontId="0" fillId="0" borderId="0" xfId="0" applyFill="1" applyBorder="1" applyAlignment="1">
      <alignment horizontal="center"/>
    </xf>
    <xf numFmtId="0" fontId="20" fillId="0" borderId="8" xfId="0" applyFont="1" applyBorder="1" applyAlignment="1">
      <alignment horizontal="center"/>
    </xf>
    <xf numFmtId="164" fontId="20" fillId="34" borderId="0" xfId="19" applyNumberFormat="1" applyFont="1" applyFill="1"/>
    <xf numFmtId="164" fontId="20" fillId="0" borderId="0" xfId="19" applyNumberFormat="1" applyFont="1" applyFill="1" applyBorder="1"/>
    <xf numFmtId="37" fontId="20"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1" fillId="0" borderId="0" xfId="0" applyFont="1" applyAlignment="1">
      <alignment wrapText="1"/>
    </xf>
    <xf numFmtId="164" fontId="20"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0" fillId="36" borderId="0" xfId="100" quotePrefix="1" applyNumberFormat="1" applyFont="1" applyFill="1" applyBorder="1" applyAlignment="1">
      <alignment horizontal="left"/>
    </xf>
    <xf numFmtId="0" fontId="20" fillId="36" borderId="0" xfId="100" quotePrefix="1" applyFont="1" applyFill="1" applyBorder="1" applyAlignment="1">
      <alignment horizontal="left"/>
    </xf>
    <xf numFmtId="10" fontId="53" fillId="36" borderId="0" xfId="0" applyNumberFormat="1" applyFont="1" applyFill="1"/>
    <xf numFmtId="0" fontId="20" fillId="0" borderId="0" xfId="0" quotePrefix="1" applyFont="1" applyAlignment="1">
      <alignment horizontal="right"/>
    </xf>
    <xf numFmtId="49" fontId="20" fillId="0" borderId="0" xfId="19" applyNumberFormat="1" applyFont="1" applyBorder="1" applyAlignment="1">
      <alignment horizontal="left" indent="1"/>
    </xf>
    <xf numFmtId="5" fontId="20" fillId="36" borderId="0" xfId="19" applyNumberFormat="1" applyFont="1" applyFill="1" applyBorder="1"/>
    <xf numFmtId="0" fontId="23" fillId="36" borderId="4" xfId="0" applyNumberFormat="1" applyFont="1" applyFill="1" applyBorder="1"/>
    <xf numFmtId="37" fontId="20" fillId="36" borderId="3" xfId="0" applyNumberFormat="1" applyFont="1" applyFill="1" applyBorder="1" applyAlignment="1">
      <alignment horizontal="center"/>
    </xf>
    <xf numFmtId="164" fontId="27" fillId="36" borderId="0" xfId="100" applyNumberFormat="1" applyFont="1" applyFill="1"/>
    <xf numFmtId="0" fontId="52" fillId="36" borderId="0" xfId="0" applyFont="1" applyFill="1"/>
    <xf numFmtId="164" fontId="53" fillId="36" borderId="0" xfId="125" applyNumberFormat="1" applyFont="1" applyFill="1" applyBorder="1" applyProtection="1"/>
    <xf numFmtId="164" fontId="20" fillId="36" borderId="0" xfId="125" applyNumberFormat="1" applyFont="1" applyFill="1" applyBorder="1" applyProtection="1"/>
    <xf numFmtId="39" fontId="20" fillId="0" borderId="0" xfId="0" applyNumberFormat="1" applyFont="1" applyFill="1" applyAlignment="1">
      <alignment horizontal="left" indent="1"/>
    </xf>
    <xf numFmtId="164" fontId="20" fillId="36" borderId="0" xfId="23" applyNumberFormat="1" applyFont="1" applyFill="1" applyAlignment="1">
      <alignment horizontal="right"/>
    </xf>
    <xf numFmtId="0" fontId="20" fillId="36" borderId="0" xfId="0" applyFont="1" applyFill="1" applyAlignment="1">
      <alignment wrapText="1"/>
    </xf>
    <xf numFmtId="0" fontId="70" fillId="0" borderId="0" xfId="126" applyFont="1"/>
    <xf numFmtId="0" fontId="20" fillId="0" borderId="0" xfId="126" applyFont="1"/>
    <xf numFmtId="0" fontId="20" fillId="0" borderId="0" xfId="126" applyFont="1" applyBorder="1"/>
    <xf numFmtId="0" fontId="20" fillId="0" borderId="0" xfId="126" applyFill="1" applyAlignment="1">
      <alignment horizontal="center"/>
    </xf>
    <xf numFmtId="0" fontId="20" fillId="0" borderId="0" xfId="126"/>
    <xf numFmtId="0" fontId="24" fillId="0" borderId="0" xfId="126" applyFont="1" applyAlignment="1">
      <alignment horizontal="center"/>
    </xf>
    <xf numFmtId="0" fontId="20" fillId="0" borderId="0" xfId="126" applyBorder="1"/>
    <xf numFmtId="0" fontId="21" fillId="0" borderId="0" xfId="126" applyFont="1" applyAlignment="1">
      <alignment horizontal="right"/>
    </xf>
    <xf numFmtId="167" fontId="20" fillId="0" borderId="0" xfId="19" applyNumberFormat="1" applyFont="1"/>
    <xf numFmtId="0" fontId="20" fillId="0" borderId="0" xfId="126" applyFont="1" applyAlignment="1">
      <alignment horizontal="left" indent="1"/>
    </xf>
    <xf numFmtId="0" fontId="21" fillId="34" borderId="0" xfId="127" applyFont="1" applyFill="1"/>
    <xf numFmtId="0" fontId="20" fillId="36" borderId="0" xfId="127" applyFont="1" applyFill="1"/>
    <xf numFmtId="0" fontId="20" fillId="0" borderId="0" xfId="126" applyFill="1"/>
    <xf numFmtId="164" fontId="20" fillId="0" borderId="0" xfId="126" applyNumberFormat="1"/>
    <xf numFmtId="0" fontId="24" fillId="0" borderId="0" xfId="126" quotePrefix="1" applyFont="1" applyAlignment="1">
      <alignment horizontal="center"/>
    </xf>
    <xf numFmtId="0" fontId="20" fillId="0" borderId="0" xfId="126" applyFont="1" applyAlignment="1">
      <alignment horizontal="center"/>
    </xf>
    <xf numFmtId="0" fontId="20" fillId="0" borderId="0" xfId="126" applyAlignment="1"/>
    <xf numFmtId="0" fontId="20" fillId="0" borderId="0" xfId="126" quotePrefix="1" applyFont="1" applyBorder="1" applyAlignment="1">
      <alignment horizontal="center" wrapText="1"/>
    </xf>
    <xf numFmtId="0" fontId="20" fillId="0" borderId="0" xfId="126" applyFill="1" applyAlignment="1"/>
    <xf numFmtId="0" fontId="20" fillId="0" borderId="0" xfId="126" applyAlignment="1">
      <alignment vertical="center" wrapText="1"/>
    </xf>
    <xf numFmtId="0" fontId="24" fillId="0" borderId="0" xfId="126" quotePrefix="1" applyFont="1" applyAlignment="1">
      <alignment horizontal="center" vertical="center" wrapText="1"/>
    </xf>
    <xf numFmtId="0" fontId="20" fillId="0" borderId="6" xfId="126" quotePrefix="1" applyFont="1" applyBorder="1" applyAlignment="1">
      <alignment horizontal="center" vertical="center" wrapText="1"/>
    </xf>
    <xf numFmtId="0" fontId="20" fillId="0" borderId="0" xfId="126" applyFill="1" applyAlignment="1">
      <alignment horizontal="center" vertical="center" wrapText="1"/>
    </xf>
    <xf numFmtId="0" fontId="20" fillId="0" borderId="0" xfId="126" applyFill="1" applyAlignment="1">
      <alignment vertical="center" wrapText="1"/>
    </xf>
    <xf numFmtId="0" fontId="21" fillId="0" borderId="3" xfId="126" applyFont="1" applyFill="1" applyBorder="1" applyAlignment="1">
      <alignment horizontal="center" wrapText="1"/>
    </xf>
    <xf numFmtId="0" fontId="21" fillId="0" borderId="3" xfId="126" quotePrefix="1" applyFont="1" applyBorder="1" applyAlignment="1">
      <alignment horizontal="center" wrapText="1"/>
    </xf>
    <xf numFmtId="0" fontId="21" fillId="0" borderId="6" xfId="126" applyFont="1" applyBorder="1" applyAlignment="1">
      <alignment horizontal="center" wrapText="1"/>
    </xf>
    <xf numFmtId="0" fontId="21" fillId="0" borderId="3" xfId="126" applyFont="1" applyFill="1" applyBorder="1" applyAlignment="1">
      <alignment horizontal="center"/>
    </xf>
    <xf numFmtId="0" fontId="21" fillId="0" borderId="4" xfId="126" applyFont="1" applyBorder="1" applyAlignment="1">
      <alignment horizontal="center" wrapText="1"/>
    </xf>
    <xf numFmtId="0" fontId="21" fillId="0" borderId="3" xfId="126" applyFont="1" applyBorder="1" applyAlignment="1">
      <alignment horizontal="center" wrapText="1"/>
    </xf>
    <xf numFmtId="0" fontId="21" fillId="0" borderId="0" xfId="126" applyFont="1" applyAlignment="1">
      <alignment horizontal="center"/>
    </xf>
    <xf numFmtId="10" fontId="20" fillId="0" borderId="0" xfId="126" applyNumberFormat="1"/>
    <xf numFmtId="173" fontId="20" fillId="0" borderId="0" xfId="126" applyNumberFormat="1" applyAlignment="1">
      <alignment horizontal="center"/>
    </xf>
    <xf numFmtId="0" fontId="20" fillId="0" borderId="0" xfId="126" quotePrefix="1" applyNumberFormat="1" applyFont="1" applyAlignment="1">
      <alignment horizontal="center"/>
    </xf>
    <xf numFmtId="10" fontId="20" fillId="0" borderId="0" xfId="126" applyNumberFormat="1" applyBorder="1"/>
    <xf numFmtId="0" fontId="20" fillId="0" borderId="0" xfId="126" quotePrefix="1" applyNumberFormat="1" applyFont="1" applyBorder="1" applyAlignment="1">
      <alignment horizontal="center"/>
    </xf>
    <xf numFmtId="166" fontId="20" fillId="0" borderId="17" xfId="126" applyNumberFormat="1" applyBorder="1" applyAlignment="1">
      <alignment horizontal="center"/>
    </xf>
    <xf numFmtId="164" fontId="20" fillId="0" borderId="18" xfId="126" applyNumberFormat="1" applyBorder="1"/>
    <xf numFmtId="166" fontId="20" fillId="0" borderId="0" xfId="126" applyNumberFormat="1" applyAlignment="1">
      <alignment horizontal="center"/>
    </xf>
    <xf numFmtId="166" fontId="20" fillId="0" borderId="0" xfId="126" applyNumberFormat="1"/>
    <xf numFmtId="3" fontId="43" fillId="0" borderId="0" xfId="131" applyNumberFormat="1" applyFill="1" applyBorder="1"/>
    <xf numFmtId="3" fontId="43" fillId="0" borderId="0" xfId="132" applyNumberFormat="1" applyFill="1"/>
    <xf numFmtId="0" fontId="20" fillId="0" borderId="0" xfId="126" applyFill="1" applyBorder="1"/>
    <xf numFmtId="166" fontId="20" fillId="0" borderId="0" xfId="126" applyNumberFormat="1" applyFill="1"/>
    <xf numFmtId="3" fontId="43" fillId="0" borderId="0" xfId="130" applyNumberFormat="1" applyFill="1" applyBorder="1" applyAlignment="1">
      <alignment horizontal="center"/>
    </xf>
    <xf numFmtId="0" fontId="20" fillId="0" borderId="0" xfId="126" applyFill="1" applyBorder="1" applyAlignment="1">
      <alignment horizontal="center"/>
    </xf>
    <xf numFmtId="0" fontId="20" fillId="0" borderId="0" xfId="126" applyAlignment="1">
      <alignment horizontal="left" indent="1"/>
    </xf>
    <xf numFmtId="164" fontId="20" fillId="0" borderId="0" xfId="126" applyNumberFormat="1" applyFont="1"/>
    <xf numFmtId="179" fontId="20" fillId="34" borderId="0" xfId="35" quotePrefix="1" applyNumberFormat="1" applyFont="1" applyFill="1" applyAlignment="1">
      <alignment horizontal="left"/>
    </xf>
    <xf numFmtId="3" fontId="43" fillId="36" borderId="0" xfId="128" applyNumberFormat="1" applyFill="1"/>
    <xf numFmtId="3" fontId="43" fillId="36" borderId="0" xfId="129" applyNumberFormat="1" applyFill="1"/>
    <xf numFmtId="3" fontId="43" fillId="36" borderId="0" xfId="130" applyNumberFormat="1" applyFill="1"/>
    <xf numFmtId="10" fontId="20" fillId="0" borderId="3" xfId="126" applyNumberFormat="1" applyBorder="1"/>
    <xf numFmtId="164" fontId="20" fillId="0" borderId="3" xfId="126" applyNumberFormat="1" applyFill="1" applyBorder="1"/>
    <xf numFmtId="3" fontId="20" fillId="0" borderId="3" xfId="126" applyNumberFormat="1" applyBorder="1"/>
    <xf numFmtId="0" fontId="20" fillId="0" borderId="0" xfId="126" applyAlignment="1">
      <alignment horizontal="center"/>
    </xf>
    <xf numFmtId="3" fontId="20" fillId="0" borderId="0" xfId="126" applyNumberFormat="1" applyFill="1"/>
    <xf numFmtId="3" fontId="43" fillId="0" borderId="0" xfId="129" applyNumberFormat="1" applyFill="1"/>
    <xf numFmtId="0" fontId="20" fillId="0" borderId="0" xfId="126" applyFont="1" applyAlignment="1">
      <alignment horizontal="center" vertical="center" wrapText="1"/>
    </xf>
    <xf numFmtId="0" fontId="20" fillId="0" borderId="0" xfId="126" quotePrefix="1" applyFont="1" applyAlignment="1">
      <alignment horizontal="center" vertical="center" wrapText="1"/>
    </xf>
    <xf numFmtId="0" fontId="24" fillId="0" borderId="0" xfId="126" quotePrefix="1" applyFont="1" applyBorder="1" applyAlignment="1">
      <alignment horizontal="center"/>
    </xf>
    <xf numFmtId="2" fontId="21" fillId="0" borderId="3" xfId="126" applyNumberFormat="1" applyFont="1" applyFill="1" applyBorder="1" applyAlignment="1">
      <alignment horizontal="center" wrapText="1"/>
    </xf>
    <xf numFmtId="2" fontId="21" fillId="0" borderId="3" xfId="126" applyNumberFormat="1" applyFont="1" applyBorder="1" applyAlignment="1">
      <alignment horizontal="center" wrapText="1"/>
    </xf>
    <xf numFmtId="2" fontId="20" fillId="0" borderId="0" xfId="126" applyNumberFormat="1" applyFont="1" applyAlignment="1">
      <alignment horizontal="center" wrapText="1"/>
    </xf>
    <xf numFmtId="2" fontId="21" fillId="0" borderId="0" xfId="126" applyNumberFormat="1" applyFont="1" applyAlignment="1">
      <alignment horizontal="center"/>
    </xf>
    <xf numFmtId="2" fontId="20" fillId="34" borderId="0" xfId="35" applyNumberFormat="1" applyFont="1" applyFill="1" applyAlignment="1">
      <alignment horizontal="left"/>
    </xf>
    <xf numFmtId="164" fontId="20" fillId="0" borderId="0" xfId="126" applyNumberFormat="1" applyFill="1"/>
    <xf numFmtId="2" fontId="20" fillId="0" borderId="0" xfId="126" applyNumberFormat="1" applyFont="1"/>
    <xf numFmtId="2" fontId="20" fillId="0" borderId="0" xfId="126" applyNumberFormat="1" applyFont="1" applyFill="1" applyAlignment="1">
      <alignment horizontal="center"/>
    </xf>
    <xf numFmtId="179" fontId="70" fillId="0" borderId="0" xfId="35" applyNumberFormat="1" applyFont="1" applyFill="1" applyAlignment="1">
      <alignment horizontal="left"/>
    </xf>
    <xf numFmtId="0" fontId="21" fillId="0" borderId="0" xfId="126" applyFont="1" applyAlignment="1">
      <alignment horizontal="center" vertical="center" wrapText="1"/>
    </xf>
    <xf numFmtId="0" fontId="20" fillId="0" borderId="0" xfId="126" quotePrefix="1" applyFont="1" applyAlignment="1">
      <alignment horizontal="center"/>
    </xf>
    <xf numFmtId="0" fontId="20" fillId="0" borderId="0" xfId="126" applyFont="1" applyFill="1" applyAlignment="1">
      <alignment horizontal="center"/>
    </xf>
    <xf numFmtId="179" fontId="21" fillId="0" borderId="3" xfId="35" applyNumberFormat="1" applyFont="1" applyFill="1" applyBorder="1" applyAlignment="1">
      <alignment horizontal="center"/>
    </xf>
    <xf numFmtId="173" fontId="20" fillId="0" borderId="0" xfId="126" quotePrefix="1" applyNumberFormat="1" applyFill="1" applyAlignment="1">
      <alignment horizontal="center"/>
    </xf>
    <xf numFmtId="164" fontId="20" fillId="0" borderId="0" xfId="126" quotePrefix="1" applyNumberFormat="1" applyFill="1" applyAlignment="1">
      <alignment horizontal="center"/>
    </xf>
    <xf numFmtId="164" fontId="20" fillId="0" borderId="0" xfId="126" applyNumberFormat="1" applyAlignment="1">
      <alignment horizontal="right"/>
    </xf>
    <xf numFmtId="166" fontId="20" fillId="0" borderId="17" xfId="126" quotePrefix="1" applyNumberFormat="1" applyFill="1" applyBorder="1" applyAlignment="1">
      <alignment horizontal="center"/>
    </xf>
    <xf numFmtId="166" fontId="20" fillId="0" borderId="18" xfId="126" applyNumberFormat="1" applyFill="1" applyBorder="1" applyAlignment="1">
      <alignment horizontal="center"/>
    </xf>
    <xf numFmtId="166" fontId="20" fillId="0" borderId="0" xfId="126" quotePrefix="1" applyNumberFormat="1" applyFill="1" applyAlignment="1">
      <alignment horizontal="center"/>
    </xf>
    <xf numFmtId="166" fontId="20" fillId="0" borderId="0" xfId="126" applyNumberFormat="1" applyFill="1" applyAlignment="1">
      <alignment horizontal="center"/>
    </xf>
    <xf numFmtId="164" fontId="20" fillId="0" borderId="0" xfId="126" applyNumberFormat="1" applyBorder="1" applyAlignment="1">
      <alignment horizontal="right"/>
    </xf>
    <xf numFmtId="173" fontId="20" fillId="0" borderId="0" xfId="126" applyNumberFormat="1" applyFill="1" applyAlignment="1">
      <alignment horizontal="center"/>
    </xf>
    <xf numFmtId="166" fontId="20" fillId="0" borderId="17" xfId="126" applyNumberFormat="1" applyFill="1" applyBorder="1" applyAlignment="1">
      <alignment horizontal="center"/>
    </xf>
    <xf numFmtId="164" fontId="20" fillId="0" borderId="0" xfId="126" applyNumberFormat="1" applyBorder="1"/>
    <xf numFmtId="0" fontId="24" fillId="0" borderId="0" xfId="126" applyFont="1"/>
    <xf numFmtId="0" fontId="20" fillId="0" borderId="0" xfId="126" applyFont="1" applyFill="1"/>
    <xf numFmtId="0" fontId="20" fillId="0" borderId="0" xfId="126" applyAlignment="1">
      <alignment horizontal="left"/>
    </xf>
    <xf numFmtId="0" fontId="21" fillId="0" borderId="6" xfId="126" applyFont="1" applyFill="1" applyBorder="1"/>
    <xf numFmtId="0" fontId="20" fillId="0" borderId="9" xfId="126" applyFont="1" applyFill="1" applyBorder="1"/>
    <xf numFmtId="0" fontId="20" fillId="0" borderId="4" xfId="126" applyFont="1" applyFill="1" applyBorder="1"/>
    <xf numFmtId="179" fontId="20" fillId="36" borderId="0" xfId="35" applyNumberFormat="1" applyFont="1" applyFill="1" applyAlignment="1">
      <alignment horizontal="left"/>
    </xf>
    <xf numFmtId="0" fontId="20" fillId="36" borderId="0" xfId="35" applyFont="1" applyFill="1" applyAlignment="1">
      <alignment horizontal="left" vertical="top" indent="1"/>
    </xf>
    <xf numFmtId="0" fontId="20" fillId="36" borderId="0" xfId="126" applyFont="1" applyFill="1"/>
    <xf numFmtId="0" fontId="20" fillId="36" borderId="0" xfId="126" applyFill="1"/>
    <xf numFmtId="179" fontId="20" fillId="36" borderId="0" xfId="35" quotePrefix="1" applyNumberFormat="1" applyFont="1" applyFill="1" applyAlignment="1">
      <alignment horizontal="left"/>
    </xf>
    <xf numFmtId="0" fontId="24" fillId="0" borderId="0" xfId="126" quotePrefix="1" applyFont="1" applyFill="1" applyAlignment="1">
      <alignment horizontal="center"/>
    </xf>
    <xf numFmtId="0" fontId="21" fillId="0" borderId="0" xfId="126" applyFont="1" applyAlignment="1">
      <alignment horizontal="center" vertical="center"/>
    </xf>
    <xf numFmtId="0" fontId="24" fillId="0" borderId="0" xfId="126" quotePrefix="1" applyFont="1" applyFill="1" applyAlignment="1">
      <alignment horizontal="center" vertical="center" wrapText="1"/>
    </xf>
    <xf numFmtId="0" fontId="20" fillId="0" borderId="0" xfId="126" applyAlignment="1">
      <alignment wrapText="1"/>
    </xf>
    <xf numFmtId="0" fontId="24" fillId="0" borderId="0" xfId="126" quotePrefix="1" applyFont="1" applyAlignment="1">
      <alignment horizontal="center" wrapText="1"/>
    </xf>
    <xf numFmtId="0" fontId="20" fillId="0" borderId="0" xfId="126" quotePrefix="1" applyFont="1" applyAlignment="1">
      <alignment horizontal="center" vertical="top" wrapText="1"/>
    </xf>
    <xf numFmtId="0" fontId="24" fillId="0" borderId="0" xfId="126" quotePrefix="1" applyFont="1" applyFill="1" applyAlignment="1">
      <alignment horizontal="center" wrapText="1"/>
    </xf>
    <xf numFmtId="0" fontId="20" fillId="0" borderId="7" xfId="126" applyFill="1" applyBorder="1"/>
    <xf numFmtId="0" fontId="21" fillId="34" borderId="7" xfId="126" applyFont="1" applyFill="1" applyBorder="1" applyAlignment="1">
      <alignment horizontal="center" wrapText="1"/>
    </xf>
    <xf numFmtId="0" fontId="20" fillId="0" borderId="7" xfId="126" applyBorder="1"/>
    <xf numFmtId="0" fontId="24" fillId="0" borderId="7" xfId="126" quotePrefix="1" applyFont="1" applyBorder="1" applyAlignment="1">
      <alignment horizontal="center"/>
    </xf>
    <xf numFmtId="0" fontId="21" fillId="0" borderId="5" xfId="126" applyFont="1" applyFill="1" applyBorder="1" applyAlignment="1">
      <alignment horizontal="center" wrapText="1"/>
    </xf>
    <xf numFmtId="0" fontId="21" fillId="34" borderId="11" xfId="126" applyFont="1" applyFill="1" applyBorder="1" applyAlignment="1">
      <alignment horizontal="center" wrapText="1"/>
    </xf>
    <xf numFmtId="0" fontId="21" fillId="34" borderId="10" xfId="126" applyFont="1" applyFill="1" applyBorder="1" applyAlignment="1">
      <alignment horizontal="center" wrapText="1"/>
    </xf>
    <xf numFmtId="0" fontId="21" fillId="34" borderId="5" xfId="126" applyFont="1" applyFill="1" applyBorder="1" applyAlignment="1">
      <alignment horizontal="center" wrapText="1"/>
    </xf>
    <xf numFmtId="3" fontId="20" fillId="0" borderId="0" xfId="126" applyNumberFormat="1"/>
    <xf numFmtId="174" fontId="0" fillId="36" borderId="0" xfId="0" applyNumberFormat="1" applyFill="1" applyAlignment="1">
      <alignment horizontal="center"/>
    </xf>
    <xf numFmtId="2" fontId="20" fillId="0" borderId="0" xfId="126" applyNumberFormat="1" applyFont="1" applyBorder="1"/>
    <xf numFmtId="164" fontId="52" fillId="0" borderId="0" xfId="135" applyNumberFormat="1" applyFont="1" applyFill="1"/>
    <xf numFmtId="164" fontId="72" fillId="0" borderId="0" xfId="135" applyNumberFormat="1" applyFont="1" applyFill="1"/>
    <xf numFmtId="164" fontId="27" fillId="0" borderId="0" xfId="0" applyNumberFormat="1" applyFont="1" applyFill="1" applyBorder="1"/>
    <xf numFmtId="0" fontId="22" fillId="0" borderId="0" xfId="0" applyFont="1" applyFill="1" applyAlignment="1">
      <alignment horizontal="center"/>
    </xf>
    <xf numFmtId="164" fontId="57" fillId="0" borderId="0" xfId="135" applyNumberFormat="1" applyFont="1" applyFill="1"/>
    <xf numFmtId="0" fontId="21" fillId="0" borderId="3" xfId="28" applyFont="1" applyFill="1" applyBorder="1" applyAlignment="1">
      <alignment horizontal="center"/>
    </xf>
    <xf numFmtId="0" fontId="20" fillId="0" borderId="0" xfId="28" applyNumberFormat="1" applyFont="1" applyFill="1" applyAlignment="1">
      <alignment horizontal="center" vertical="center"/>
    </xf>
    <xf numFmtId="167" fontId="20" fillId="0" borderId="0" xfId="28" applyNumberFormat="1" applyFont="1" applyFill="1"/>
    <xf numFmtId="43" fontId="20" fillId="0" borderId="0" xfId="0" applyNumberFormat="1" applyFont="1"/>
    <xf numFmtId="0" fontId="20" fillId="0" borderId="0" xfId="0" applyNumberFormat="1" applyFont="1"/>
    <xf numFmtId="0" fontId="20" fillId="0" borderId="0" xfId="28" applyFont="1" applyAlignment="1">
      <alignment horizontal="center"/>
    </xf>
    <xf numFmtId="167" fontId="20" fillId="0" borderId="0" xfId="22" applyNumberFormat="1" applyFont="1"/>
    <xf numFmtId="167" fontId="20" fillId="0" borderId="0" xfId="28" applyNumberFormat="1" applyFont="1"/>
    <xf numFmtId="164" fontId="20" fillId="0" borderId="0" xfId="28" applyNumberFormat="1" applyFont="1" applyFill="1" applyBorder="1"/>
    <xf numFmtId="164" fontId="20" fillId="0" borderId="0" xfId="28" applyNumberFormat="1" applyFont="1" applyBorder="1" applyAlignment="1">
      <alignment horizontal="center"/>
    </xf>
    <xf numFmtId="164" fontId="20" fillId="0" borderId="0" xfId="28" applyNumberFormat="1" applyFont="1" applyFill="1" applyBorder="1" applyAlignment="1">
      <alignment horizontal="center"/>
    </xf>
    <xf numFmtId="0" fontId="20" fillId="36" borderId="0" xfId="28" applyFont="1" applyFill="1"/>
    <xf numFmtId="0" fontId="20" fillId="36" borderId="0" xfId="28" applyNumberFormat="1" applyFont="1" applyFill="1"/>
    <xf numFmtId="167" fontId="20" fillId="36" borderId="0" xfId="28" quotePrefix="1" applyNumberFormat="1" applyFont="1" applyFill="1" applyBorder="1" applyAlignment="1">
      <alignment horizontal="center"/>
    </xf>
    <xf numFmtId="167" fontId="20" fillId="0" borderId="8" xfId="28" applyNumberFormat="1" applyFont="1" applyBorder="1" applyAlignment="1">
      <alignment horizontal="center"/>
    </xf>
    <xf numFmtId="164" fontId="20" fillId="0" borderId="8" xfId="28" applyNumberFormat="1" applyFont="1" applyFill="1" applyBorder="1" applyAlignment="1">
      <alignment horizontal="center"/>
    </xf>
    <xf numFmtId="5" fontId="20" fillId="0" borderId="8" xfId="28" quotePrefix="1" applyNumberFormat="1" applyFont="1" applyFill="1" applyBorder="1" applyAlignment="1">
      <alignment horizontal="right"/>
    </xf>
    <xf numFmtId="5" fontId="20" fillId="0" borderId="8" xfId="28" applyNumberFormat="1" applyFont="1" applyBorder="1"/>
    <xf numFmtId="164" fontId="20" fillId="0" borderId="0" xfId="22" applyNumberFormat="1" applyFont="1" applyFill="1" applyBorder="1"/>
    <xf numFmtId="164" fontId="20" fillId="0" borderId="0" xfId="22" applyNumberFormat="1" applyFont="1" applyFill="1" applyBorder="1" applyAlignment="1">
      <alignment horizontal="center"/>
    </xf>
    <xf numFmtId="164" fontId="20" fillId="0" borderId="0" xfId="22" applyNumberFormat="1" applyFont="1" applyBorder="1" applyAlignment="1">
      <alignment horizontal="center"/>
    </xf>
    <xf numFmtId="164" fontId="20" fillId="0" borderId="0" xfId="22" applyNumberFormat="1" applyFont="1" applyBorder="1"/>
    <xf numFmtId="0" fontId="20" fillId="0" borderId="0" xfId="28" applyFont="1" applyFill="1" applyBorder="1"/>
    <xf numFmtId="167" fontId="20" fillId="0" borderId="0" xfId="22" applyNumberFormat="1" applyFont="1" applyFill="1" applyBorder="1"/>
    <xf numFmtId="0" fontId="20" fillId="0" borderId="0" xfId="22" applyNumberFormat="1" applyFont="1" applyFill="1" applyBorder="1" applyAlignment="1">
      <alignment horizontal="center"/>
    </xf>
    <xf numFmtId="167" fontId="20" fillId="0" borderId="0" xfId="28" applyNumberFormat="1" applyFont="1" applyBorder="1" applyAlignment="1">
      <alignment horizontal="center"/>
    </xf>
    <xf numFmtId="167" fontId="20" fillId="0" borderId="0" xfId="22" applyNumberFormat="1" applyFont="1" applyBorder="1"/>
    <xf numFmtId="167" fontId="20" fillId="0" borderId="0" xfId="22" applyNumberFormat="1" applyFont="1" applyFill="1" applyBorder="1" applyAlignment="1">
      <alignment horizontal="center"/>
    </xf>
    <xf numFmtId="167" fontId="20" fillId="0" borderId="0" xfId="28" applyNumberFormat="1" applyFont="1" applyFill="1" applyBorder="1"/>
    <xf numFmtId="167" fontId="20" fillId="0" borderId="8" xfId="28" applyNumberFormat="1" applyFont="1" applyFill="1" applyBorder="1" applyAlignment="1">
      <alignment horizontal="center"/>
    </xf>
    <xf numFmtId="167" fontId="20" fillId="0" borderId="8" xfId="28" quotePrefix="1" applyNumberFormat="1" applyFont="1" applyFill="1" applyBorder="1" applyAlignment="1">
      <alignment horizontal="center"/>
    </xf>
    <xf numFmtId="167" fontId="20" fillId="0" borderId="8" xfId="28" applyNumberFormat="1" applyFont="1" applyBorder="1"/>
    <xf numFmtId="0" fontId="20" fillId="0" borderId="0" xfId="22" applyNumberFormat="1" applyFont="1" applyFill="1" applyBorder="1"/>
    <xf numFmtId="0" fontId="20" fillId="0" borderId="0" xfId="28" applyNumberFormat="1" applyFont="1" applyFill="1" applyBorder="1"/>
    <xf numFmtId="0" fontId="20" fillId="0" borderId="0" xfId="28" applyFont="1" applyBorder="1" applyAlignment="1">
      <alignment horizontal="center"/>
    </xf>
    <xf numFmtId="167" fontId="20" fillId="0" borderId="0" xfId="28" applyNumberFormat="1" applyFont="1" applyFill="1" applyBorder="1" applyAlignment="1"/>
    <xf numFmtId="164" fontId="20" fillId="0" borderId="0" xfId="28" applyNumberFormat="1" applyFont="1" applyFill="1" applyBorder="1" applyAlignment="1">
      <alignment vertical="top" wrapText="1"/>
    </xf>
    <xf numFmtId="167" fontId="20" fillId="0" borderId="0" xfId="22" applyNumberFormat="1" applyFont="1" applyFill="1" applyBorder="1" applyAlignment="1">
      <alignment horizontal="center" wrapText="1"/>
    </xf>
    <xf numFmtId="0" fontId="20" fillId="0" borderId="0" xfId="0" quotePrefix="1" applyFont="1" applyFill="1" applyAlignment="1"/>
    <xf numFmtId="167" fontId="20" fillId="0" borderId="0" xfId="22" applyNumberFormat="1" applyFont="1" applyFill="1" applyBorder="1" applyAlignment="1"/>
    <xf numFmtId="167" fontId="20" fillId="0" borderId="8" xfId="28" applyNumberFormat="1" applyFont="1" applyFill="1" applyBorder="1"/>
    <xf numFmtId="171" fontId="20" fillId="0" borderId="8" xfId="37" applyNumberFormat="1" applyFont="1" applyFill="1" applyBorder="1" applyAlignment="1">
      <alignment horizontal="center" wrapText="1"/>
    </xf>
    <xf numFmtId="167" fontId="20" fillId="0" borderId="8" xfId="22" applyNumberFormat="1" applyFont="1" applyFill="1" applyBorder="1" applyAlignment="1">
      <alignment horizontal="center" wrapText="1"/>
    </xf>
    <xf numFmtId="0" fontId="20" fillId="0" borderId="0" xfId="39" applyNumberFormat="1" applyFont="1" applyFill="1" applyBorder="1" applyAlignment="1">
      <alignment horizontal="center" wrapText="1"/>
    </xf>
    <xf numFmtId="171" fontId="20" fillId="0" borderId="0" xfId="39" applyNumberFormat="1" applyFont="1" applyFill="1" applyBorder="1" applyAlignment="1">
      <alignment horizontal="center" wrapText="1"/>
    </xf>
    <xf numFmtId="0" fontId="20" fillId="0" borderId="0" xfId="28" applyFont="1" applyAlignment="1">
      <alignment vertical="justify"/>
    </xf>
    <xf numFmtId="167" fontId="20" fillId="0" borderId="0" xfId="28" applyNumberFormat="1" applyFont="1" applyBorder="1" applyAlignment="1">
      <alignment vertical="justify"/>
    </xf>
    <xf numFmtId="0" fontId="20" fillId="0" borderId="0" xfId="28" applyNumberFormat="1" applyFont="1" applyFill="1"/>
    <xf numFmtId="0" fontId="20" fillId="0" borderId="0" xfId="28" applyFont="1" applyFill="1" applyBorder="1" applyAlignment="1">
      <alignment vertical="top"/>
    </xf>
    <xf numFmtId="0" fontId="20" fillId="0" borderId="0" xfId="28" applyFont="1" applyFill="1" applyAlignment="1">
      <alignment horizontal="center"/>
    </xf>
    <xf numFmtId="167" fontId="20" fillId="0" borderId="0" xfId="22" applyNumberFormat="1" applyFont="1" applyFill="1"/>
    <xf numFmtId="0" fontId="20" fillId="0" borderId="0" xfId="28" applyFont="1" applyFill="1" applyBorder="1" applyAlignment="1">
      <alignment vertical="top" wrapText="1"/>
    </xf>
    <xf numFmtId="0" fontId="20" fillId="0" borderId="0" xfId="28" applyFont="1" applyFill="1" applyBorder="1" applyAlignment="1" applyProtection="1">
      <alignment horizontal="left" vertical="top" indent="1"/>
      <protection locked="0"/>
    </xf>
    <xf numFmtId="0" fontId="20" fillId="36" borderId="0" xfId="28" applyFont="1" applyFill="1" applyBorder="1" applyAlignment="1" applyProtection="1">
      <alignment horizontal="left" indent="1"/>
      <protection locked="0"/>
    </xf>
    <xf numFmtId="0" fontId="20" fillId="36" borderId="0" xfId="28" applyFont="1" applyFill="1" applyAlignment="1">
      <alignment horizontal="center"/>
    </xf>
    <xf numFmtId="167" fontId="20" fillId="36" borderId="0" xfId="22" applyNumberFormat="1" applyFont="1" applyFill="1"/>
    <xf numFmtId="0" fontId="20" fillId="0" borderId="0" xfId="28" applyFont="1" applyFill="1" applyAlignment="1">
      <alignment horizontal="left" indent="1"/>
    </xf>
    <xf numFmtId="165" fontId="20" fillId="0" borderId="0" xfId="28" applyNumberFormat="1" applyFont="1" applyFill="1"/>
    <xf numFmtId="0" fontId="24" fillId="0" borderId="0" xfId="0" applyFont="1" applyFill="1"/>
    <xf numFmtId="10" fontId="20" fillId="0" borderId="0" xfId="0" applyNumberFormat="1" applyFont="1"/>
    <xf numFmtId="0" fontId="21" fillId="0" borderId="3" xfId="28" applyFont="1" applyFill="1" applyBorder="1" applyAlignment="1">
      <alignment horizontal="center"/>
    </xf>
    <xf numFmtId="0" fontId="23" fillId="0" borderId="6" xfId="0" applyFont="1" applyFill="1" applyBorder="1" applyAlignment="1">
      <alignment horizontal="left"/>
    </xf>
    <xf numFmtId="0" fontId="20"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3" fillId="0" borderId="0" xfId="0" applyNumberFormat="1" applyFont="1" applyFill="1"/>
    <xf numFmtId="0" fontId="20" fillId="0" borderId="0" xfId="0" applyFont="1" applyFill="1" applyAlignment="1">
      <alignment horizontal="left"/>
    </xf>
    <xf numFmtId="0" fontId="20" fillId="0" borderId="0" xfId="0" applyFont="1" applyFill="1" applyAlignment="1">
      <alignment horizontal="right"/>
    </xf>
    <xf numFmtId="0" fontId="20" fillId="0" borderId="0" xfId="0" quotePrefix="1" applyFont="1" applyFill="1" applyAlignment="1">
      <alignment horizontal="right"/>
    </xf>
    <xf numFmtId="168" fontId="0" fillId="0" borderId="0" xfId="0" applyNumberFormat="1" applyFill="1"/>
    <xf numFmtId="0" fontId="20" fillId="0" borderId="0" xfId="0" applyFont="1" applyFill="1" applyAlignment="1">
      <alignment horizontal="left" indent="2"/>
    </xf>
    <xf numFmtId="0" fontId="20" fillId="0" borderId="0" xfId="0" quotePrefix="1" applyFont="1" applyFill="1" applyAlignment="1">
      <alignment horizontal="left" indent="2"/>
    </xf>
    <xf numFmtId="0" fontId="20" fillId="0" borderId="0" xfId="0" applyFont="1" applyFill="1" applyAlignment="1">
      <alignment horizontal="left" indent="3"/>
    </xf>
    <xf numFmtId="0" fontId="53" fillId="0" borderId="0" xfId="0" applyFont="1" applyFill="1" applyAlignment="1">
      <alignment horizontal="left"/>
    </xf>
    <xf numFmtId="0" fontId="20" fillId="0" borderId="0" xfId="0" quotePrefix="1" applyFont="1" applyFill="1" applyAlignment="1">
      <alignment horizontal="left" indent="1"/>
    </xf>
    <xf numFmtId="0" fontId="27" fillId="0" borderId="0" xfId="0" applyFont="1" applyFill="1" applyAlignment="1">
      <alignment horizontal="left"/>
    </xf>
    <xf numFmtId="0" fontId="23" fillId="0" borderId="0" xfId="28" applyFont="1" applyFill="1" applyBorder="1" applyAlignment="1">
      <alignment horizontal="left" indent="1"/>
    </xf>
    <xf numFmtId="0" fontId="21" fillId="0" borderId="0" xfId="0" applyNumberFormat="1" applyFont="1" applyFill="1" applyAlignment="1">
      <alignment horizontal="left"/>
    </xf>
    <xf numFmtId="0" fontId="20" fillId="0" borderId="0" xfId="0" applyFont="1" applyFill="1" applyAlignment="1"/>
    <xf numFmtId="0" fontId="21" fillId="0" borderId="0" xfId="0" quotePrefix="1" applyFont="1" applyFill="1" applyAlignment="1">
      <alignment horizontal="center"/>
    </xf>
    <xf numFmtId="10" fontId="20" fillId="0" borderId="0" xfId="0" quotePrefix="1" applyNumberFormat="1" applyFont="1" applyFill="1" applyAlignment="1">
      <alignment horizontal="right"/>
    </xf>
    <xf numFmtId="3" fontId="0" fillId="0" borderId="0" xfId="0" applyNumberFormat="1" applyFill="1" applyAlignment="1">
      <alignment horizontal="center"/>
    </xf>
    <xf numFmtId="0" fontId="52" fillId="0" borderId="0" xfId="0" applyFont="1" applyFill="1"/>
    <xf numFmtId="0" fontId="54" fillId="36" borderId="0" xfId="0" quotePrefix="1" applyFont="1" applyFill="1" applyAlignment="1">
      <alignment horizontal="center"/>
    </xf>
    <xf numFmtId="0" fontId="53" fillId="0" borderId="0" xfId="0" applyFont="1" applyFill="1" applyAlignment="1">
      <alignment horizontal="right"/>
    </xf>
    <xf numFmtId="0" fontId="66" fillId="0" borderId="0" xfId="0" applyFont="1" applyFill="1" applyAlignment="1">
      <alignment horizontal="left" vertical="center"/>
    </xf>
    <xf numFmtId="0" fontId="21" fillId="0" borderId="0" xfId="34" applyFont="1" applyFill="1"/>
    <xf numFmtId="0" fontId="23" fillId="0" borderId="0" xfId="34" applyFont="1" applyFill="1"/>
    <xf numFmtId="0" fontId="20" fillId="0" borderId="0" xfId="34" applyFont="1" applyFill="1" applyAlignment="1">
      <alignment horizontal="right"/>
    </xf>
    <xf numFmtId="0" fontId="55" fillId="0" borderId="0" xfId="0" applyFont="1" applyFill="1" applyAlignment="1">
      <alignment horizontal="left" indent="1"/>
    </xf>
    <xf numFmtId="0" fontId="20" fillId="0" borderId="0" xfId="100" applyFont="1" applyFill="1" applyAlignment="1">
      <alignment horizontal="left" indent="1"/>
    </xf>
    <xf numFmtId="0" fontId="54" fillId="0" borderId="0" xfId="0" applyFont="1" applyFill="1"/>
    <xf numFmtId="0" fontId="53" fillId="0" borderId="0" xfId="0" quotePrefix="1" applyFont="1" applyFill="1" applyAlignment="1">
      <alignment horizontal="center"/>
    </xf>
    <xf numFmtId="0" fontId="20" fillId="0" borderId="0" xfId="0" applyFont="1" applyFill="1" applyBorder="1" applyAlignment="1">
      <alignment horizontal="left" indent="1"/>
    </xf>
    <xf numFmtId="0" fontId="0" fillId="0" borderId="0" xfId="0" quotePrefix="1" applyFill="1"/>
    <xf numFmtId="166" fontId="23" fillId="0" borderId="0" xfId="20" applyNumberFormat="1" applyFont="1" applyFill="1" applyBorder="1" applyAlignment="1">
      <alignment horizontal="right"/>
    </xf>
    <xf numFmtId="0" fontId="20" fillId="0" borderId="0" xfId="100" applyFont="1" applyFill="1" applyBorder="1" applyAlignment="1"/>
    <xf numFmtId="0" fontId="23"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1" fillId="0" borderId="0" xfId="100" applyNumberFormat="1" applyFont="1" applyFill="1"/>
    <xf numFmtId="0" fontId="20" fillId="0" borderId="0" xfId="100" applyNumberFormat="1" applyFont="1" applyFill="1" applyAlignment="1">
      <alignment horizontal="center"/>
    </xf>
    <xf numFmtId="10" fontId="20" fillId="0" borderId="0" xfId="37" applyNumberFormat="1" applyFont="1" applyFill="1" applyAlignment="1">
      <alignment horizontal="center"/>
    </xf>
    <xf numFmtId="5" fontId="20" fillId="0" borderId="0" xfId="100" applyNumberFormat="1" applyFill="1"/>
    <xf numFmtId="0" fontId="20" fillId="0" borderId="0" xfId="100" quotePrefix="1" applyFill="1"/>
    <xf numFmtId="166" fontId="53" fillId="0" borderId="0" xfId="0" applyNumberFormat="1" applyFont="1" applyFill="1"/>
    <xf numFmtId="167" fontId="20" fillId="0" borderId="0" xfId="28" applyNumberFormat="1" applyFont="1" applyFill="1" applyBorder="1" applyAlignment="1">
      <alignment horizontal="center"/>
    </xf>
    <xf numFmtId="0" fontId="24" fillId="0" borderId="0" xfId="0" quotePrefix="1" applyFont="1" applyFill="1" applyAlignment="1">
      <alignment horizontal="center" vertical="top"/>
    </xf>
    <xf numFmtId="0" fontId="21" fillId="0" borderId="7" xfId="28" applyFont="1" applyFill="1" applyBorder="1" applyAlignment="1">
      <alignment horizontal="center"/>
    </xf>
    <xf numFmtId="0" fontId="20" fillId="0" borderId="0" xfId="28" quotePrefix="1" applyFont="1" applyFill="1"/>
    <xf numFmtId="0" fontId="20" fillId="0" borderId="0" xfId="28" applyFont="1" applyFill="1" applyBorder="1" applyAlignment="1" applyProtection="1">
      <alignment horizontal="left" indent="2"/>
      <protection locked="0"/>
    </xf>
    <xf numFmtId="0" fontId="20" fillId="0" borderId="0" xfId="28" applyFont="1" applyFill="1" applyAlignment="1">
      <alignment horizontal="right"/>
    </xf>
    <xf numFmtId="10" fontId="20" fillId="0" borderId="0" xfId="28" applyNumberFormat="1" applyFont="1" applyFill="1"/>
    <xf numFmtId="10" fontId="20" fillId="0" borderId="0" xfId="39" applyNumberFormat="1" applyFont="1" applyFill="1" applyBorder="1" applyAlignment="1">
      <alignment horizontal="center" vertical="justify" wrapText="1"/>
    </xf>
    <xf numFmtId="10" fontId="20" fillId="0" borderId="8" xfId="39" applyNumberFormat="1" applyFont="1" applyFill="1" applyBorder="1" applyAlignment="1">
      <alignment horizontal="center" wrapText="1"/>
    </xf>
    <xf numFmtId="165" fontId="28" fillId="0" borderId="0" xfId="0" applyNumberFormat="1" applyFont="1" applyFill="1"/>
    <xf numFmtId="0" fontId="65" fillId="0" borderId="0" xfId="0" applyFont="1" applyFill="1"/>
    <xf numFmtId="0" fontId="20" fillId="0" borderId="0" xfId="100" applyFont="1" applyFill="1" applyAlignment="1">
      <alignment horizontal="left"/>
    </xf>
    <xf numFmtId="37" fontId="20" fillId="0" borderId="3" xfId="0" applyNumberFormat="1" applyFont="1" applyFill="1" applyBorder="1" applyAlignment="1">
      <alignment horizontal="center"/>
    </xf>
    <xf numFmtId="37" fontId="20" fillId="0" borderId="3" xfId="97" quotePrefix="1" applyNumberFormat="1" applyFont="1" applyFill="1" applyBorder="1" applyAlignment="1">
      <alignment horizontal="center"/>
    </xf>
    <xf numFmtId="0" fontId="20" fillId="0" borderId="3" xfId="0" quotePrefix="1" applyNumberFormat="1" applyFont="1" applyFill="1" applyBorder="1"/>
    <xf numFmtId="0" fontId="20" fillId="0" borderId="3" xfId="0" quotePrefix="1" applyNumberFormat="1" applyFont="1" applyFill="1" applyBorder="1" applyAlignment="1">
      <alignment horizontal="center"/>
    </xf>
    <xf numFmtId="0" fontId="23" fillId="0" borderId="4" xfId="0" applyFont="1" applyFill="1" applyBorder="1" applyAlignment="1">
      <alignment horizontal="left"/>
    </xf>
    <xf numFmtId="49" fontId="20" fillId="0" borderId="0" xfId="22" applyNumberFormat="1" applyFont="1" applyFill="1" applyBorder="1" applyAlignment="1">
      <alignment horizontal="left"/>
    </xf>
    <xf numFmtId="49" fontId="23" fillId="0" borderId="0" xfId="22" quotePrefix="1" applyNumberFormat="1" applyFont="1" applyFill="1" applyBorder="1" applyAlignment="1">
      <alignment horizontal="left"/>
    </xf>
    <xf numFmtId="49" fontId="23" fillId="0" borderId="0" xfId="22" applyNumberFormat="1" applyFont="1" applyFill="1" applyBorder="1" applyAlignment="1">
      <alignment horizontal="left"/>
    </xf>
    <xf numFmtId="49" fontId="23" fillId="0" borderId="0" xfId="0" applyNumberFormat="1" applyFont="1" applyFill="1" applyBorder="1" applyAlignment="1">
      <alignment horizontal="left"/>
    </xf>
    <xf numFmtId="176" fontId="23" fillId="0" borderId="0" xfId="22" applyNumberFormat="1" applyFont="1" applyFill="1" applyBorder="1" applyAlignment="1">
      <alignment horizontal="center"/>
    </xf>
    <xf numFmtId="39" fontId="20" fillId="0" borderId="0" xfId="22" applyNumberFormat="1" applyFont="1" applyFill="1" applyBorder="1" applyAlignment="1">
      <alignment horizontal="right"/>
    </xf>
    <xf numFmtId="0" fontId="24" fillId="0" borderId="0" xfId="108" applyFont="1" applyFill="1" applyAlignment="1">
      <alignment horizontal="center"/>
    </xf>
    <xf numFmtId="0" fontId="24" fillId="0" borderId="0" xfId="108" applyFont="1" applyFill="1" applyAlignment="1">
      <alignment horizontal="left"/>
    </xf>
    <xf numFmtId="0" fontId="51" fillId="0" borderId="0" xfId="0" applyFont="1" applyFill="1"/>
    <xf numFmtId="0" fontId="21" fillId="0" borderId="0" xfId="108" applyFont="1" applyFill="1" applyAlignment="1"/>
    <xf numFmtId="0" fontId="24" fillId="0" borderId="0" xfId="108" applyFont="1" applyFill="1" applyAlignment="1"/>
    <xf numFmtId="0" fontId="20" fillId="0" borderId="0" xfId="108" applyFont="1" applyFill="1" applyAlignment="1">
      <alignment horizontal="left" indent="1"/>
    </xf>
    <xf numFmtId="0" fontId="21" fillId="0" borderId="0" xfId="0" applyFont="1" applyFill="1" applyAlignment="1">
      <alignment horizontal="left" indent="2"/>
    </xf>
    <xf numFmtId="0" fontId="51" fillId="0" borderId="0" xfId="0" applyFont="1" applyFill="1" applyAlignment="1">
      <alignment horizontal="center"/>
    </xf>
    <xf numFmtId="0" fontId="54" fillId="0" borderId="0" xfId="0" applyFont="1" applyFill="1" applyAlignment="1">
      <alignment horizontal="left" indent="1"/>
    </xf>
    <xf numFmtId="0" fontId="53" fillId="0" borderId="0" xfId="0" quotePrefix="1" applyFont="1" applyFill="1"/>
    <xf numFmtId="0" fontId="21" fillId="0" borderId="0" xfId="0" applyFont="1" applyFill="1" applyAlignment="1">
      <alignment horizontal="left" indent="1"/>
    </xf>
    <xf numFmtId="164" fontId="20" fillId="0" borderId="0" xfId="0" applyNumberFormat="1" applyFont="1" applyFill="1" applyAlignment="1"/>
    <xf numFmtId="0" fontId="54" fillId="0" borderId="0" xfId="0" applyFont="1" applyFill="1" applyAlignment="1">
      <alignment horizontal="left"/>
    </xf>
    <xf numFmtId="0" fontId="20" fillId="0" borderId="0" xfId="0" applyNumberFormat="1" applyFont="1" applyFill="1" applyAlignment="1">
      <alignment horizontal="left"/>
    </xf>
    <xf numFmtId="0" fontId="20" fillId="0" borderId="0" xfId="0" applyFont="1" applyFill="1" applyBorder="1" applyAlignment="1">
      <alignment horizontal="left"/>
    </xf>
    <xf numFmtId="171" fontId="0" fillId="0" borderId="0" xfId="0" applyNumberFormat="1" applyFill="1"/>
    <xf numFmtId="0" fontId="24" fillId="0" borderId="0" xfId="0" applyFont="1" applyFill="1" applyAlignment="1"/>
    <xf numFmtId="172" fontId="0" fillId="0" borderId="0" xfId="0" applyNumberFormat="1" applyFill="1"/>
    <xf numFmtId="0" fontId="21" fillId="0" borderId="0" xfId="28" applyFont="1" applyFill="1" applyAlignment="1">
      <alignment horizontal="right" vertical="center"/>
    </xf>
    <xf numFmtId="0" fontId="21" fillId="0" borderId="0" xfId="28" applyFont="1" applyFill="1" applyAlignment="1">
      <alignment horizontal="right"/>
    </xf>
    <xf numFmtId="42" fontId="23" fillId="0" borderId="0" xfId="20" applyNumberFormat="1" applyFont="1" applyFill="1" applyBorder="1"/>
    <xf numFmtId="164" fontId="23" fillId="0" borderId="0" xfId="20" applyNumberFormat="1" applyFont="1" applyFill="1" applyBorder="1"/>
    <xf numFmtId="0" fontId="36" fillId="0" borderId="0" xfId="28" applyFont="1" applyFill="1" applyAlignment="1">
      <alignment vertical="center"/>
    </xf>
    <xf numFmtId="0" fontId="23" fillId="0" borderId="0" xfId="28" applyFont="1" applyFill="1" applyAlignment="1">
      <alignment vertical="center"/>
    </xf>
    <xf numFmtId="164" fontId="23" fillId="0" borderId="0" xfId="39" applyNumberFormat="1" applyFont="1" applyFill="1"/>
    <xf numFmtId="164" fontId="20" fillId="0" borderId="0" xfId="106" applyNumberFormat="1" applyFont="1" applyFill="1"/>
    <xf numFmtId="0" fontId="31" fillId="0" borderId="0" xfId="100" applyFont="1" applyFill="1"/>
    <xf numFmtId="42" fontId="23" fillId="0" borderId="0" xfId="39" applyNumberFormat="1" applyFont="1" applyFill="1"/>
    <xf numFmtId="42" fontId="23" fillId="0" borderId="0" xfId="28" applyNumberFormat="1" applyFont="1" applyFill="1"/>
    <xf numFmtId="0" fontId="21" fillId="0" borderId="0" xfId="28" applyFont="1" applyFill="1" applyAlignment="1">
      <alignment horizontal="center" wrapText="1"/>
    </xf>
    <xf numFmtId="0" fontId="24" fillId="0" borderId="0" xfId="28" applyFont="1" applyFill="1"/>
    <xf numFmtId="164" fontId="20" fillId="0" borderId="0" xfId="28" applyNumberFormat="1" applyFont="1" applyFill="1"/>
    <xf numFmtId="168" fontId="23" fillId="0" borderId="0" xfId="28" applyNumberFormat="1" applyFont="1" applyFill="1"/>
    <xf numFmtId="0" fontId="20" fillId="0" borderId="0" xfId="28" applyFont="1" applyFill="1" applyAlignment="1">
      <alignment vertical="center"/>
    </xf>
    <xf numFmtId="0" fontId="31" fillId="0" borderId="0" xfId="28" applyFont="1" applyFill="1"/>
    <xf numFmtId="10" fontId="23" fillId="0" borderId="0" xfId="0" applyNumberFormat="1" applyFont="1" applyFill="1"/>
    <xf numFmtId="164" fontId="20" fillId="0" borderId="8" xfId="96" applyNumberFormat="1" applyFont="1" applyBorder="1"/>
    <xf numFmtId="17" fontId="20"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0"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0" fillId="0" borderId="0" xfId="0" applyNumberFormat="1" applyFont="1"/>
    <xf numFmtId="164" fontId="20" fillId="36" borderId="0" xfId="0" applyNumberFormat="1" applyFont="1" applyFill="1" applyAlignment="1">
      <alignment wrapText="1"/>
    </xf>
    <xf numFmtId="164" fontId="20"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0" fillId="36" borderId="0" xfId="126" applyNumberFormat="1" applyFill="1"/>
    <xf numFmtId="3" fontId="20" fillId="36" borderId="0" xfId="128" applyNumberFormat="1" applyFont="1" applyFill="1"/>
    <xf numFmtId="3" fontId="20" fillId="36" borderId="0" xfId="129" applyNumberFormat="1" applyFont="1" applyFill="1"/>
    <xf numFmtId="3" fontId="20" fillId="36" borderId="0" xfId="130" applyNumberFormat="1" applyFont="1" applyFill="1"/>
    <xf numFmtId="10" fontId="20" fillId="36" borderId="0" xfId="126" applyNumberFormat="1" applyFont="1" applyFill="1" applyBorder="1"/>
    <xf numFmtId="3" fontId="20" fillId="36" borderId="0" xfId="126" applyNumberFormat="1" applyFont="1" applyFill="1" applyBorder="1"/>
    <xf numFmtId="3" fontId="20" fillId="36" borderId="0" xfId="128" applyNumberFormat="1" applyFont="1" applyFill="1" applyBorder="1"/>
    <xf numFmtId="3" fontId="20" fillId="36" borderId="0" xfId="129" applyNumberFormat="1" applyFont="1" applyFill="1" applyBorder="1"/>
    <xf numFmtId="3" fontId="20" fillId="36" borderId="0" xfId="130" applyNumberFormat="1" applyFont="1" applyFill="1" applyBorder="1"/>
    <xf numFmtId="3" fontId="20" fillId="36" borderId="0" xfId="128" applyNumberFormat="1" applyFont="1" applyFill="1" applyAlignment="1">
      <alignment horizontal="center"/>
    </xf>
    <xf numFmtId="3" fontId="20" fillId="36" borderId="0" xfId="129" applyNumberFormat="1" applyFont="1" applyFill="1" applyAlignment="1">
      <alignment horizontal="center"/>
    </xf>
    <xf numFmtId="3" fontId="20" fillId="36" borderId="0" xfId="130" applyNumberFormat="1" applyFont="1" applyFill="1" applyAlignment="1">
      <alignment horizontal="center"/>
    </xf>
    <xf numFmtId="164" fontId="20" fillId="36" borderId="0" xfId="255" applyNumberFormat="1" applyFont="1" applyFill="1" applyAlignment="1">
      <alignment horizontal="right"/>
    </xf>
    <xf numFmtId="5" fontId="20" fillId="36" borderId="0" xfId="22" applyNumberFormat="1" applyFont="1" applyFill="1" applyBorder="1"/>
    <xf numFmtId="3" fontId="0" fillId="36" borderId="0" xfId="0" applyNumberFormat="1" applyFill="1"/>
    <xf numFmtId="170" fontId="20" fillId="36" borderId="0" xfId="100" applyNumberFormat="1" applyFont="1" applyFill="1" applyAlignment="1">
      <alignment horizontal="center"/>
    </xf>
    <xf numFmtId="0" fontId="20" fillId="36" borderId="0" xfId="100" applyFont="1" applyFill="1"/>
    <xf numFmtId="164" fontId="20" fillId="36" borderId="0" xfId="100" applyNumberFormat="1" applyFont="1" applyFill="1"/>
    <xf numFmtId="0" fontId="0" fillId="0" borderId="0" xfId="0"/>
    <xf numFmtId="0" fontId="20" fillId="36" borderId="0" xfId="0" applyFont="1" applyFill="1"/>
    <xf numFmtId="164" fontId="53" fillId="36" borderId="0" xfId="0" applyNumberFormat="1" applyFont="1" applyFill="1"/>
    <xf numFmtId="0" fontId="53" fillId="36" borderId="0" xfId="0" applyFont="1" applyFill="1"/>
    <xf numFmtId="170" fontId="20" fillId="36" borderId="0" xfId="100" applyNumberFormat="1" applyFont="1" applyFill="1" applyAlignment="1">
      <alignment horizontal="center"/>
    </xf>
    <xf numFmtId="164" fontId="20" fillId="36" borderId="0" xfId="96" applyNumberFormat="1" applyFont="1" applyFill="1" applyBorder="1"/>
    <xf numFmtId="0" fontId="20" fillId="36" borderId="0" xfId="0" applyFont="1" applyFill="1"/>
    <xf numFmtId="0" fontId="21" fillId="36" borderId="0" xfId="0" applyFont="1" applyFill="1" applyAlignment="1">
      <alignment horizontal="center"/>
    </xf>
    <xf numFmtId="164" fontId="53" fillId="36" borderId="0" xfId="0" applyNumberFormat="1" applyFont="1" applyFill="1"/>
    <xf numFmtId="170" fontId="20" fillId="36" borderId="0" xfId="100" applyNumberFormat="1" applyFont="1" applyFill="1" applyAlignment="1">
      <alignment horizontal="center"/>
    </xf>
    <xf numFmtId="164" fontId="20" fillId="36" borderId="0" xfId="96" applyNumberFormat="1" applyFont="1" applyFill="1" applyBorder="1"/>
    <xf numFmtId="164" fontId="53" fillId="36" borderId="0" xfId="125" applyNumberFormat="1" applyFont="1" applyFill="1"/>
    <xf numFmtId="0" fontId="53" fillId="36" borderId="0" xfId="125" applyFont="1" applyFill="1"/>
    <xf numFmtId="170" fontId="20" fillId="36" borderId="0" xfId="125" quotePrefix="1" applyNumberFormat="1" applyFont="1" applyFill="1" applyAlignment="1">
      <alignment horizontal="center"/>
    </xf>
    <xf numFmtId="0" fontId="20" fillId="36" borderId="0" xfId="125" applyFont="1" applyFill="1"/>
    <xf numFmtId="164" fontId="53" fillId="36" borderId="0" xfId="96" applyNumberFormat="1" applyFont="1" applyFill="1" applyBorder="1"/>
    <xf numFmtId="0" fontId="20" fillId="36" borderId="0" xfId="125" applyFont="1" applyFill="1" applyBorder="1" applyProtection="1"/>
    <xf numFmtId="164" fontId="66" fillId="36" borderId="0" xfId="0" applyNumberFormat="1" applyFont="1" applyFill="1"/>
    <xf numFmtId="172" fontId="20" fillId="34" borderId="0" xfId="0" applyNumberFormat="1" applyFont="1" applyFill="1" applyAlignment="1">
      <alignment wrapText="1"/>
    </xf>
    <xf numFmtId="0" fontId="23" fillId="0" borderId="4" xfId="0" applyNumberFormat="1" applyFont="1" applyFill="1" applyBorder="1"/>
    <xf numFmtId="0" fontId="20" fillId="36" borderId="0" xfId="0" applyFont="1" applyFill="1" applyAlignment="1"/>
    <xf numFmtId="37" fontId="20" fillId="36" borderId="3" xfId="97" quotePrefix="1" applyNumberFormat="1" applyFont="1" applyFill="1" applyBorder="1" applyAlignment="1">
      <alignment horizontal="center"/>
    </xf>
    <xf numFmtId="37" fontId="20"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0" fillId="34" borderId="0" xfId="0" applyNumberFormat="1" applyFont="1" applyFill="1"/>
    <xf numFmtId="164" fontId="20" fillId="0" borderId="0" xfId="100" applyNumberFormat="1" applyFont="1" applyFill="1" applyBorder="1" applyAlignment="1">
      <alignment horizontal="right"/>
    </xf>
    <xf numFmtId="164" fontId="20" fillId="0" borderId="14" xfId="96" applyNumberFormat="1" applyFont="1" applyFill="1" applyBorder="1"/>
    <xf numFmtId="164" fontId="20" fillId="36" borderId="0" xfId="0" applyNumberFormat="1" applyFont="1" applyFill="1" applyBorder="1"/>
    <xf numFmtId="0" fontId="24" fillId="0" borderId="0" xfId="0" applyFont="1" applyFill="1" applyBorder="1"/>
    <xf numFmtId="0" fontId="23" fillId="0" borderId="0" xfId="0" applyFont="1" applyBorder="1" applyAlignment="1">
      <alignment horizontal="right"/>
    </xf>
    <xf numFmtId="164" fontId="27" fillId="36" borderId="0" xfId="0" applyNumberFormat="1" applyFont="1" applyFill="1" applyBorder="1" applyAlignment="1"/>
    <xf numFmtId="0" fontId="21" fillId="0" borderId="0" xfId="0" applyFont="1" applyBorder="1"/>
    <xf numFmtId="164" fontId="0" fillId="0" borderId="0" xfId="0" applyNumberFormat="1" applyBorder="1" applyAlignment="1"/>
    <xf numFmtId="0" fontId="23" fillId="0" borderId="0" xfId="0" applyFont="1" applyBorder="1" applyAlignment="1">
      <alignment horizontal="left" indent="1"/>
    </xf>
    <xf numFmtId="0" fontId="20" fillId="0" borderId="0" xfId="0" applyFont="1" applyBorder="1" applyAlignment="1">
      <alignment horizontal="left" indent="1"/>
    </xf>
    <xf numFmtId="0" fontId="20" fillId="36" borderId="0" xfId="0" applyFont="1" applyFill="1" applyBorder="1"/>
    <xf numFmtId="0" fontId="20" fillId="0" borderId="0" xfId="0" applyFont="1" applyBorder="1" applyAlignment="1">
      <alignment horizontal="right"/>
    </xf>
    <xf numFmtId="0" fontId="0" fillId="36" borderId="0" xfId="0" applyFill="1" applyBorder="1"/>
    <xf numFmtId="164" fontId="20" fillId="36" borderId="0" xfId="0" applyNumberFormat="1" applyFont="1" applyFill="1" applyBorder="1" applyAlignment="1">
      <alignment horizontal="right"/>
    </xf>
    <xf numFmtId="181" fontId="21" fillId="36" borderId="0" xfId="19" applyNumberFormat="1" applyFont="1" applyFill="1" applyAlignment="1">
      <alignment horizontal="center"/>
    </xf>
    <xf numFmtId="164" fontId="53" fillId="36" borderId="0" xfId="125" applyNumberFormat="1" applyFont="1" applyFill="1" applyBorder="1"/>
    <xf numFmtId="164" fontId="53" fillId="36" borderId="0" xfId="0" applyNumberFormat="1" applyFont="1" applyFill="1" applyBorder="1"/>
    <xf numFmtId="0" fontId="21" fillId="36" borderId="0" xfId="0" applyFont="1" applyFill="1" applyBorder="1" applyAlignment="1">
      <alignment horizontal="center"/>
    </xf>
    <xf numFmtId="170" fontId="20" fillId="36" borderId="0" xfId="0" quotePrefix="1" applyNumberFormat="1" applyFont="1" applyFill="1" applyBorder="1" applyAlignment="1" applyProtection="1">
      <alignment horizontal="center"/>
    </xf>
    <xf numFmtId="0" fontId="53" fillId="36" borderId="0" xfId="125" applyFont="1" applyFill="1" applyBorder="1"/>
    <xf numFmtId="0" fontId="20" fillId="36" borderId="0" xfId="28" applyFont="1" applyFill="1" applyBorder="1"/>
    <xf numFmtId="164" fontId="23" fillId="0" borderId="0" xfId="0" applyNumberFormat="1" applyFont="1" applyFill="1" applyBorder="1" applyAlignment="1">
      <alignment horizontal="right"/>
    </xf>
    <xf numFmtId="164" fontId="0" fillId="34" borderId="0" xfId="0" applyNumberFormat="1" applyFill="1" applyBorder="1"/>
    <xf numFmtId="10" fontId="20" fillId="0" borderId="0" xfId="0" applyNumberFormat="1" applyFont="1" applyAlignment="1">
      <alignment horizontal="right" wrapText="1"/>
    </xf>
    <xf numFmtId="0" fontId="52" fillId="0" borderId="0" xfId="126" applyFont="1" applyFill="1" applyAlignment="1">
      <alignment horizontal="center"/>
    </xf>
    <xf numFmtId="0" fontId="20" fillId="0" borderId="6" xfId="126" quotePrefix="1" applyFont="1" applyBorder="1" applyAlignment="1">
      <alignment horizontal="center" wrapText="1"/>
    </xf>
    <xf numFmtId="0" fontId="20" fillId="0" borderId="5" xfId="126" applyFont="1" applyFill="1" applyBorder="1" applyAlignment="1">
      <alignment horizontal="center" wrapText="1"/>
    </xf>
    <xf numFmtId="0" fontId="20" fillId="0" borderId="0" xfId="126" applyFont="1" applyFill="1" applyAlignment="1">
      <alignment horizontal="center" wrapText="1"/>
    </xf>
    <xf numFmtId="0" fontId="20" fillId="0" borderId="5" xfId="126" quotePrefix="1" applyFont="1" applyFill="1" applyBorder="1" applyAlignment="1">
      <alignment horizontal="center" wrapText="1"/>
    </xf>
    <xf numFmtId="0" fontId="20" fillId="0" borderId="19" xfId="126" applyFont="1" applyFill="1" applyBorder="1" applyAlignment="1">
      <alignment horizontal="center"/>
    </xf>
    <xf numFmtId="3" fontId="20" fillId="0" borderId="3" xfId="126" applyNumberFormat="1" applyFill="1" applyBorder="1"/>
    <xf numFmtId="9" fontId="20" fillId="0" borderId="0" xfId="37" applyFont="1" applyFill="1"/>
    <xf numFmtId="0" fontId="20" fillId="0" borderId="0" xfId="126" quotePrefix="1" applyFont="1" applyFill="1" applyAlignment="1">
      <alignment horizontal="center" vertical="center" wrapText="1"/>
    </xf>
    <xf numFmtId="0" fontId="160" fillId="0" borderId="0" xfId="126" applyFont="1" applyFill="1" applyAlignment="1">
      <alignment horizontal="center"/>
    </xf>
    <xf numFmtId="0" fontId="20" fillId="0" borderId="0" xfId="126" applyFont="1" applyFill="1" applyAlignment="1">
      <alignment horizontal="left"/>
    </xf>
    <xf numFmtId="179" fontId="20" fillId="36" borderId="0" xfId="35" applyNumberFormat="1" applyFont="1" applyFill="1" applyBorder="1" applyAlignment="1">
      <alignment horizontal="left"/>
    </xf>
    <xf numFmtId="0" fontId="20" fillId="36" borderId="0" xfId="35" applyFont="1" applyFill="1" applyBorder="1" applyAlignment="1">
      <alignment horizontal="left" vertical="top" indent="1"/>
    </xf>
    <xf numFmtId="0" fontId="20" fillId="36" borderId="0" xfId="126" applyFont="1" applyFill="1" applyBorder="1"/>
    <xf numFmtId="0" fontId="20" fillId="36" borderId="0" xfId="126" applyFill="1" applyBorder="1"/>
    <xf numFmtId="3" fontId="20" fillId="0" borderId="0" xfId="126" applyNumberFormat="1" applyFont="1"/>
    <xf numFmtId="0" fontId="20"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0" fillId="0" borderId="18" xfId="126" applyNumberFormat="1" applyBorder="1" applyAlignment="1">
      <alignment horizontal="center"/>
    </xf>
    <xf numFmtId="0" fontId="0" fillId="0" borderId="18" xfId="0" applyBorder="1" applyAlignment="1">
      <alignment horizontal="center"/>
    </xf>
    <xf numFmtId="0" fontId="21" fillId="0" borderId="4" xfId="126" applyFont="1" applyFill="1" applyBorder="1" applyAlignment="1">
      <alignment horizontal="center"/>
    </xf>
    <xf numFmtId="3" fontId="20" fillId="0" borderId="3" xfId="126" applyNumberFormat="1" applyFont="1" applyFill="1" applyBorder="1"/>
    <xf numFmtId="0" fontId="70" fillId="0" borderId="0" xfId="126" applyFont="1" applyFill="1"/>
    <xf numFmtId="0" fontId="65" fillId="0" borderId="0" xfId="126" quotePrefix="1" applyFont="1" applyAlignment="1">
      <alignment horizontal="center" vertical="center" wrapText="1"/>
    </xf>
    <xf numFmtId="0" fontId="20" fillId="0" borderId="0" xfId="126" applyFont="1" applyAlignment="1">
      <alignment horizontal="center" wrapText="1"/>
    </xf>
    <xf numFmtId="0" fontId="20" fillId="0" borderId="0" xfId="126" quotePrefix="1" applyFont="1" applyFill="1" applyAlignment="1">
      <alignment horizontal="center" wrapText="1"/>
    </xf>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0" fillId="0" borderId="0" xfId="126" applyNumberFormat="1" applyFont="1" applyFill="1"/>
    <xf numFmtId="3" fontId="59" fillId="0" borderId="0" xfId="0" applyNumberFormat="1" applyFont="1" applyFill="1" applyAlignment="1">
      <alignment horizontal="right"/>
    </xf>
    <xf numFmtId="166" fontId="59" fillId="0" borderId="0" xfId="0" applyNumberFormat="1" applyFont="1" applyFill="1" applyAlignment="1">
      <alignment horizontal="right"/>
    </xf>
    <xf numFmtId="2" fontId="160" fillId="0" borderId="0" xfId="126" applyNumberFormat="1" applyFont="1"/>
    <xf numFmtId="164" fontId="160" fillId="0" borderId="0" xfId="126" applyNumberFormat="1" applyFont="1" applyFill="1"/>
    <xf numFmtId="1" fontId="160" fillId="0" borderId="0" xfId="126" applyNumberFormat="1" applyFont="1"/>
    <xf numFmtId="166" fontId="20" fillId="0" borderId="0" xfId="126" quotePrefix="1" applyNumberFormat="1" applyFont="1" applyFill="1" applyAlignment="1">
      <alignment horizontal="center"/>
    </xf>
    <xf numFmtId="166" fontId="20" fillId="0" borderId="0" xfId="126" applyNumberFormat="1" applyFont="1" applyFill="1" applyAlignment="1">
      <alignment horizontal="center"/>
    </xf>
    <xf numFmtId="164" fontId="20" fillId="0" borderId="3" xfId="126" applyNumberFormat="1" applyFont="1" applyFill="1" applyBorder="1"/>
    <xf numFmtId="0" fontId="20" fillId="0" borderId="0" xfId="126" applyFont="1" applyFill="1" applyAlignment="1">
      <alignment readingOrder="1"/>
    </xf>
    <xf numFmtId="0" fontId="20" fillId="0" borderId="0" xfId="126" quotePrefix="1" applyFont="1" applyAlignment="1">
      <alignment horizontal="center" wrapText="1"/>
    </xf>
    <xf numFmtId="0" fontId="20" fillId="0" borderId="0" xfId="126" applyFont="1" applyAlignment="1">
      <alignment wrapText="1"/>
    </xf>
    <xf numFmtId="0" fontId="21" fillId="0" borderId="5" xfId="126" applyFont="1" applyBorder="1" applyAlignment="1">
      <alignment horizontal="center" wrapText="1"/>
    </xf>
    <xf numFmtId="3" fontId="20" fillId="36" borderId="0" xfId="126" applyNumberFormat="1" applyFont="1" applyFill="1"/>
    <xf numFmtId="10" fontId="20" fillId="0" borderId="0" xfId="126" applyNumberFormat="1" applyFont="1"/>
    <xf numFmtId="3" fontId="20" fillId="0" borderId="0" xfId="126" applyNumberFormat="1" applyFont="1" applyFill="1"/>
    <xf numFmtId="3" fontId="20" fillId="0" borderId="3" xfId="126" applyNumberFormat="1" applyFont="1" applyBorder="1"/>
    <xf numFmtId="10" fontId="53" fillId="0" borderId="3" xfId="134" applyNumberFormat="1" applyFont="1" applyBorder="1"/>
    <xf numFmtId="164" fontId="20" fillId="0" borderId="0" xfId="0" applyNumberFormat="1" applyFont="1" applyAlignment="1"/>
    <xf numFmtId="42" fontId="20" fillId="34" borderId="0" xfId="0" applyNumberFormat="1" applyFont="1" applyFill="1"/>
    <xf numFmtId="166" fontId="20" fillId="0" borderId="0" xfId="0" applyNumberFormat="1" applyFont="1" applyFill="1" applyAlignment="1">
      <alignment horizontal="left" indent="1"/>
    </xf>
    <xf numFmtId="164" fontId="20" fillId="0" borderId="0" xfId="0" quotePrefix="1" applyNumberFormat="1" applyFont="1" applyAlignment="1">
      <alignment horizontal="center"/>
    </xf>
    <xf numFmtId="0" fontId="20" fillId="0" borderId="0" xfId="100" applyNumberFormat="1" applyFont="1" applyFill="1" applyBorder="1" applyAlignment="1">
      <alignment horizontal="left" indent="2"/>
    </xf>
    <xf numFmtId="0" fontId="20" fillId="0" borderId="0" xfId="0" applyFont="1" applyFill="1" applyAlignment="1">
      <alignment horizontal="left" indent="4"/>
    </xf>
    <xf numFmtId="0" fontId="20" fillId="0" borderId="0" xfId="100" applyNumberFormat="1" applyFont="1" applyFill="1" applyBorder="1" applyAlignment="1">
      <alignment horizontal="left" indent="1"/>
    </xf>
    <xf numFmtId="49" fontId="20" fillId="0" borderId="0" xfId="0" applyNumberFormat="1" applyFont="1" applyAlignment="1">
      <alignment horizontal="left" indent="1"/>
    </xf>
    <xf numFmtId="37" fontId="20" fillId="36" borderId="3" xfId="22" quotePrefix="1" applyNumberFormat="1" applyFont="1" applyFill="1" applyBorder="1" applyAlignment="1">
      <alignment horizontal="center"/>
    </xf>
    <xf numFmtId="0" fontId="20" fillId="0" borderId="0" xfId="0" quotePrefix="1" applyFont="1" applyAlignment="1">
      <alignment horizontal="left" indent="2"/>
    </xf>
    <xf numFmtId="37" fontId="0" fillId="36" borderId="0" xfId="19" applyNumberFormat="1" applyFont="1" applyFill="1"/>
    <xf numFmtId="3" fontId="20" fillId="0" borderId="0" xfId="100" applyNumberFormat="1" applyFont="1" applyFill="1" applyBorder="1" applyAlignment="1">
      <alignment horizontal="left" indent="1"/>
    </xf>
    <xf numFmtId="167" fontId="21" fillId="0" borderId="0" xfId="96" applyNumberFormat="1" applyFont="1" applyFill="1" applyBorder="1" applyAlignment="1">
      <alignment horizontal="center"/>
    </xf>
    <xf numFmtId="0" fontId="20" fillId="0" borderId="0" xfId="100" applyFont="1" applyFill="1" applyBorder="1"/>
    <xf numFmtId="42" fontId="20" fillId="0" borderId="0" xfId="0" applyNumberFormat="1" applyFont="1" applyFill="1"/>
    <xf numFmtId="0" fontId="20" fillId="0" borderId="0" xfId="100" quotePrefix="1" applyFont="1" applyFill="1"/>
    <xf numFmtId="0" fontId="21" fillId="36" borderId="0" xfId="28" applyFont="1" applyFill="1" applyBorder="1" applyAlignment="1">
      <alignment horizontal="left"/>
    </xf>
    <xf numFmtId="0" fontId="20" fillId="36" borderId="0" xfId="0" applyNumberFormat="1" applyFont="1" applyFill="1" applyAlignment="1"/>
    <xf numFmtId="165" fontId="0" fillId="36" borderId="0" xfId="0" applyNumberFormat="1" applyFill="1"/>
    <xf numFmtId="164" fontId="20" fillId="36" borderId="0" xfId="100" applyNumberFormat="1" applyFont="1" applyFill="1" applyBorder="1" applyAlignment="1">
      <alignment vertical="top" wrapText="1"/>
    </xf>
    <xf numFmtId="5" fontId="20" fillId="36" borderId="0" xfId="22" applyNumberFormat="1" applyFont="1" applyFill="1" applyBorder="1" applyAlignment="1">
      <alignment horizontal="center"/>
    </xf>
    <xf numFmtId="0" fontId="0" fillId="0" borderId="0" xfId="0" applyFill="1" applyAlignment="1"/>
    <xf numFmtId="1" fontId="20" fillId="36" borderId="0" xfId="0" applyNumberFormat="1" applyFont="1" applyFill="1" applyAlignment="1">
      <alignment horizontal="center"/>
    </xf>
    <xf numFmtId="164" fontId="20" fillId="34" borderId="0" xfId="96" applyNumberFormat="1" applyFont="1" applyFill="1" applyBorder="1" applyAlignment="1">
      <alignment horizontal="right"/>
    </xf>
    <xf numFmtId="0" fontId="20" fillId="36" borderId="0" xfId="100" applyFont="1" applyFill="1" applyBorder="1" applyAlignment="1">
      <alignment horizontal="center"/>
    </xf>
    <xf numFmtId="164" fontId="27" fillId="34" borderId="0" xfId="0" applyNumberFormat="1" applyFont="1" applyFill="1" applyAlignment="1"/>
    <xf numFmtId="0" fontId="20" fillId="0" borderId="0" xfId="100" quotePrefix="1" applyNumberFormat="1" applyFont="1" applyFill="1" applyBorder="1" applyAlignment="1">
      <alignment horizontal="left"/>
    </xf>
    <xf numFmtId="0" fontId="20" fillId="0" borderId="0" xfId="100" applyNumberFormat="1" applyFont="1" applyFill="1" applyBorder="1" applyAlignment="1">
      <alignment horizontal="right"/>
    </xf>
    <xf numFmtId="164" fontId="20" fillId="0" borderId="0" xfId="96" applyNumberFormat="1" applyFont="1" applyFill="1" applyBorder="1" applyAlignment="1">
      <alignment horizontal="right"/>
    </xf>
    <xf numFmtId="167" fontId="20" fillId="0" borderId="0" xfId="100" quotePrefix="1" applyNumberFormat="1" applyFont="1" applyFill="1" applyBorder="1" applyAlignment="1">
      <alignment horizontal="left" indent="1"/>
    </xf>
    <xf numFmtId="0" fontId="24" fillId="0" borderId="0" xfId="100" applyNumberFormat="1" applyFont="1" applyFill="1" applyBorder="1" applyAlignment="1">
      <alignment horizontal="left"/>
    </xf>
    <xf numFmtId="0" fontId="24" fillId="0" borderId="0" xfId="100" applyNumberFormat="1" applyFont="1" applyFill="1" applyBorder="1" applyAlignment="1">
      <alignment horizontal="center"/>
    </xf>
    <xf numFmtId="167" fontId="20" fillId="0" borderId="0" xfId="100" applyNumberFormat="1" applyFont="1" applyFill="1" applyBorder="1" applyAlignment="1">
      <alignment horizontal="left" indent="1"/>
    </xf>
    <xf numFmtId="0" fontId="20" fillId="0" borderId="0" xfId="100" applyFont="1" applyBorder="1" applyAlignment="1"/>
    <xf numFmtId="167" fontId="20" fillId="0" borderId="0" xfId="96" applyNumberFormat="1" applyFont="1" applyFill="1" applyBorder="1" applyAlignment="1">
      <alignment horizontal="right"/>
    </xf>
    <xf numFmtId="167" fontId="20" fillId="0" borderId="0" xfId="100" applyNumberFormat="1" applyFont="1" applyFill="1" applyBorder="1" applyAlignment="1">
      <alignment horizontal="right"/>
    </xf>
    <xf numFmtId="0" fontId="24" fillId="0" borderId="0" xfId="100" applyFont="1" applyFill="1" applyBorder="1" applyAlignment="1">
      <alignment horizontal="center"/>
    </xf>
    <xf numFmtId="1" fontId="20" fillId="0" borderId="0" xfId="100" applyNumberFormat="1" applyFont="1" applyFill="1" applyBorder="1" applyAlignment="1">
      <alignment horizontal="center"/>
    </xf>
    <xf numFmtId="3" fontId="20" fillId="0" borderId="0" xfId="100" applyNumberFormat="1" applyFont="1" applyFill="1" applyBorder="1" applyAlignment="1"/>
    <xf numFmtId="3" fontId="24" fillId="0" borderId="0" xfId="100" applyNumberFormat="1" applyFont="1" applyFill="1" applyBorder="1" applyAlignment="1">
      <alignment horizontal="center"/>
    </xf>
    <xf numFmtId="165" fontId="27" fillId="0" borderId="0" xfId="96" applyNumberFormat="1" applyFont="1" applyFill="1" applyBorder="1" applyAlignment="1">
      <alignment horizontal="right"/>
    </xf>
    <xf numFmtId="42" fontId="20" fillId="0" borderId="0" xfId="0" quotePrefix="1" applyNumberFormat="1" applyFont="1" applyAlignment="1">
      <alignment horizontal="center"/>
    </xf>
    <xf numFmtId="5" fontId="20" fillId="0" borderId="0" xfId="0" quotePrefix="1" applyNumberFormat="1" applyFont="1" applyAlignment="1">
      <alignment horizontal="center"/>
    </xf>
    <xf numFmtId="5" fontId="27" fillId="0" borderId="0" xfId="0" quotePrefix="1" applyNumberFormat="1" applyFont="1" applyAlignment="1">
      <alignment horizontal="center"/>
    </xf>
    <xf numFmtId="0" fontId="21" fillId="0" borderId="0" xfId="0" quotePrefix="1" applyFont="1" applyFill="1"/>
    <xf numFmtId="164" fontId="27" fillId="0" borderId="0" xfId="0" quotePrefix="1" applyNumberFormat="1" applyFont="1" applyAlignment="1">
      <alignment horizontal="center"/>
    </xf>
    <xf numFmtId="0" fontId="20" fillId="0" borderId="0" xfId="0" quotePrefix="1" applyFont="1" applyFill="1" applyAlignment="1">
      <alignment horizontal="left"/>
    </xf>
    <xf numFmtId="164" fontId="20" fillId="36" borderId="0" xfId="0" quotePrefix="1" applyNumberFormat="1" applyFont="1" applyFill="1" applyAlignment="1">
      <alignment horizontal="right"/>
    </xf>
    <xf numFmtId="171" fontId="20" fillId="0" borderId="0" xfId="0" quotePrefix="1" applyNumberFormat="1" applyFont="1" applyAlignment="1">
      <alignment horizontal="right"/>
    </xf>
    <xf numFmtId="165" fontId="20" fillId="0" borderId="0" xfId="96" applyNumberFormat="1" applyFont="1" applyFill="1" applyBorder="1" applyAlignment="1">
      <alignment horizontal="right"/>
    </xf>
    <xf numFmtId="3" fontId="20" fillId="0" borderId="0" xfId="100" applyNumberFormat="1" applyFont="1" applyFill="1" applyBorder="1" applyAlignment="1">
      <alignment horizontal="left"/>
    </xf>
    <xf numFmtId="0" fontId="66" fillId="0" borderId="0" xfId="0" applyFont="1" applyFill="1" applyAlignment="1">
      <alignment horizontal="left" vertical="center" indent="1"/>
    </xf>
    <xf numFmtId="171" fontId="20" fillId="0" borderId="0" xfId="0" applyNumberFormat="1" applyFont="1" applyFill="1"/>
    <xf numFmtId="37" fontId="21" fillId="36" borderId="3" xfId="97" quotePrefix="1" applyNumberFormat="1" applyFont="1" applyFill="1" applyBorder="1" applyAlignment="1">
      <alignment horizontal="center"/>
    </xf>
    <xf numFmtId="0" fontId="20" fillId="36" borderId="3" xfId="0" quotePrefix="1" applyNumberFormat="1" applyFont="1" applyFill="1" applyBorder="1" applyAlignment="1">
      <alignment horizontal="center"/>
    </xf>
    <xf numFmtId="0" fontId="20" fillId="36" borderId="3" xfId="0" quotePrefix="1" applyNumberFormat="1" applyFont="1" applyFill="1" applyBorder="1" applyAlignment="1">
      <alignment horizontal="left"/>
    </xf>
    <xf numFmtId="0" fontId="20" fillId="36" borderId="3" xfId="0" applyNumberFormat="1" applyFont="1" applyFill="1" applyBorder="1"/>
    <xf numFmtId="0" fontId="20" fillId="36" borderId="3" xfId="0" applyFont="1" applyFill="1" applyBorder="1" applyAlignment="1">
      <alignment horizontal="center"/>
    </xf>
    <xf numFmtId="0" fontId="20" fillId="36" borderId="3" xfId="0" quotePrefix="1" applyNumberFormat="1" applyFont="1" applyFill="1" applyBorder="1"/>
    <xf numFmtId="177" fontId="20" fillId="36" borderId="3" xfId="97" applyNumberFormat="1" applyFont="1" applyFill="1" applyBorder="1" applyAlignment="1">
      <alignment horizontal="center"/>
    </xf>
    <xf numFmtId="37" fontId="21" fillId="36" borderId="3" xfId="97" applyNumberFormat="1" applyFont="1" applyFill="1" applyBorder="1" applyAlignment="1">
      <alignment horizontal="center"/>
    </xf>
    <xf numFmtId="164" fontId="20" fillId="36" borderId="0" xfId="100" applyNumberFormat="1" applyFont="1" applyFill="1" applyBorder="1" applyAlignment="1">
      <alignment horizontal="right" vertical="center" wrapText="1"/>
    </xf>
    <xf numFmtId="164" fontId="27" fillId="36" borderId="0" xfId="100" applyNumberFormat="1" applyFont="1" applyFill="1" applyBorder="1" applyAlignment="1">
      <alignment horizontal="right" vertical="center" wrapText="1"/>
    </xf>
    <xf numFmtId="164" fontId="20" fillId="36" borderId="0" xfId="96" applyNumberFormat="1" applyFont="1" applyFill="1"/>
    <xf numFmtId="164" fontId="35" fillId="36" borderId="0" xfId="96" applyNumberFormat="1" applyFont="1" applyFill="1"/>
    <xf numFmtId="164" fontId="35" fillId="36" borderId="0" xfId="100" applyNumberFormat="1" applyFont="1" applyFill="1"/>
    <xf numFmtId="1" fontId="20" fillId="36" borderId="0" xfId="126" applyNumberFormat="1" applyFont="1" applyFill="1"/>
    <xf numFmtId="164" fontId="35" fillId="0" borderId="0" xfId="0" quotePrefix="1" applyNumberFormat="1" applyFont="1" applyAlignment="1">
      <alignment horizontal="right"/>
    </xf>
    <xf numFmtId="164" fontId="20" fillId="0" borderId="0" xfId="0" quotePrefix="1" applyNumberFormat="1" applyFont="1" applyAlignment="1">
      <alignment horizontal="right"/>
    </xf>
    <xf numFmtId="10" fontId="0" fillId="36" borderId="0" xfId="0" applyNumberFormat="1" applyFill="1"/>
    <xf numFmtId="164" fontId="23" fillId="36" borderId="0" xfId="0" applyNumberFormat="1" applyFont="1" applyFill="1" applyBorder="1" applyAlignment="1">
      <alignment horizontal="right"/>
    </xf>
    <xf numFmtId="206" fontId="23" fillId="0" borderId="0" xfId="0" applyNumberFormat="1" applyFont="1" applyFill="1"/>
    <xf numFmtId="0" fontId="0" fillId="0" borderId="0" xfId="0" applyFill="1" applyAlignment="1">
      <alignment wrapText="1"/>
    </xf>
    <xf numFmtId="164" fontId="21" fillId="0" borderId="0" xfId="96" applyNumberFormat="1" applyFont="1" applyBorder="1" applyAlignment="1">
      <alignment horizontal="center"/>
    </xf>
    <xf numFmtId="0" fontId="21" fillId="0" borderId="0" xfId="0" quotePrefix="1" applyFont="1" applyAlignment="1">
      <alignment horizontal="left" indent="1"/>
    </xf>
    <xf numFmtId="164" fontId="24" fillId="0" borderId="0" xfId="96" applyNumberFormat="1" applyFont="1" applyBorder="1" applyAlignment="1">
      <alignment horizontal="center"/>
    </xf>
    <xf numFmtId="0" fontId="20" fillId="0" borderId="0" xfId="0" applyFont="1" applyFill="1" applyAlignment="1">
      <alignment wrapText="1"/>
    </xf>
    <xf numFmtId="3" fontId="20" fillId="0" borderId="0" xfId="96" applyNumberFormat="1" applyFont="1" applyFill="1" applyBorder="1"/>
    <xf numFmtId="10" fontId="20" fillId="0" borderId="0" xfId="96" applyNumberFormat="1" applyFont="1" applyBorder="1"/>
    <xf numFmtId="0" fontId="0" fillId="36" borderId="0" xfId="0" applyFill="1" applyAlignment="1">
      <alignment wrapText="1"/>
    </xf>
    <xf numFmtId="166" fontId="20" fillId="0" borderId="0" xfId="96" applyNumberFormat="1" applyFont="1" applyBorder="1" applyAlignment="1">
      <alignment horizontal="left" indent="1"/>
    </xf>
    <xf numFmtId="166" fontId="20" fillId="0" borderId="0" xfId="0" quotePrefix="1" applyNumberFormat="1" applyFont="1" applyAlignment="1">
      <alignment horizontal="center"/>
    </xf>
    <xf numFmtId="14" fontId="0" fillId="0" borderId="0" xfId="0" applyNumberFormat="1"/>
    <xf numFmtId="0" fontId="52" fillId="0" borderId="0" xfId="0" applyFont="1" applyAlignment="1">
      <alignment horizontal="right"/>
    </xf>
    <xf numFmtId="0" fontId="164" fillId="0" borderId="0" xfId="0" applyFont="1"/>
    <xf numFmtId="1" fontId="21" fillId="0" borderId="0" xfId="53892" applyNumberFormat="1" applyFont="1" applyFill="1" applyAlignment="1" applyProtection="1">
      <alignment horizontal="center"/>
    </xf>
    <xf numFmtId="168" fontId="0" fillId="0" borderId="0" xfId="0" applyNumberFormat="1"/>
    <xf numFmtId="0" fontId="21" fillId="0" borderId="57" xfId="0" applyFont="1" applyBorder="1" applyAlignment="1">
      <alignment horizontal="center"/>
    </xf>
    <xf numFmtId="207" fontId="21" fillId="0" borderId="17" xfId="53892" applyNumberFormat="1" applyFont="1" applyBorder="1" applyAlignment="1" applyProtection="1">
      <alignment horizontal="center" wrapText="1"/>
    </xf>
    <xf numFmtId="196" fontId="21" fillId="0" borderId="57" xfId="53892" applyFont="1" applyBorder="1" applyAlignment="1" applyProtection="1">
      <alignment horizontal="center" wrapText="1"/>
    </xf>
    <xf numFmtId="196" fontId="21" fillId="0" borderId="19" xfId="53892" applyFont="1" applyBorder="1" applyAlignment="1" applyProtection="1">
      <alignment horizontal="center" wrapText="1"/>
    </xf>
    <xf numFmtId="3" fontId="21" fillId="0" borderId="57" xfId="53892" applyNumberFormat="1" applyFont="1" applyFill="1" applyBorder="1" applyAlignment="1" applyProtection="1">
      <alignment horizontal="center" wrapText="1"/>
    </xf>
    <xf numFmtId="196" fontId="21" fillId="0" borderId="17" xfId="53892" applyFont="1" applyBorder="1" applyAlignment="1" applyProtection="1">
      <alignment horizontal="center" wrapText="1"/>
    </xf>
    <xf numFmtId="196" fontId="21" fillId="0" borderId="57" xfId="53892" applyFont="1" applyFill="1" applyBorder="1" applyAlignment="1" applyProtection="1">
      <alignment horizontal="center" wrapText="1"/>
    </xf>
    <xf numFmtId="196" fontId="21" fillId="0" borderId="57" xfId="53892" applyFont="1" applyBorder="1" applyAlignment="1">
      <alignment horizontal="center" wrapText="1"/>
    </xf>
    <xf numFmtId="196" fontId="21" fillId="0" borderId="19" xfId="53892" applyFont="1" applyFill="1" applyBorder="1" applyAlignment="1" applyProtection="1">
      <alignment horizontal="center" wrapText="1"/>
    </xf>
    <xf numFmtId="14" fontId="0" fillId="36" borderId="0" xfId="0" applyNumberFormat="1" applyFill="1"/>
    <xf numFmtId="203" fontId="0" fillId="0" borderId="0" xfId="0" applyNumberFormat="1" applyFill="1"/>
    <xf numFmtId="1" fontId="0" fillId="36" borderId="0" xfId="0" applyNumberFormat="1" applyFill="1" applyAlignment="1">
      <alignment horizontal="center"/>
    </xf>
    <xf numFmtId="203" fontId="0" fillId="0" borderId="0" xfId="0" applyNumberFormat="1"/>
    <xf numFmtId="0" fontId="33" fillId="36" borderId="0" xfId="0" applyFont="1" applyFill="1" applyBorder="1" applyAlignment="1">
      <alignment horizontal="left" indent="1"/>
    </xf>
    <xf numFmtId="14" fontId="20" fillId="36" borderId="0" xfId="0" applyNumberFormat="1" applyFont="1" applyFill="1"/>
    <xf numFmtId="168" fontId="20" fillId="36" borderId="0" xfId="0" applyNumberFormat="1" applyFont="1" applyFill="1"/>
    <xf numFmtId="168" fontId="20" fillId="0" borderId="0" xfId="0" applyNumberFormat="1" applyFont="1"/>
    <xf numFmtId="164" fontId="166" fillId="0" borderId="0" xfId="0" applyNumberFormat="1" applyFont="1" applyFill="1"/>
    <xf numFmtId="164" fontId="166" fillId="36" borderId="0" xfId="0" applyNumberFormat="1" applyFont="1" applyFill="1"/>
    <xf numFmtId="0" fontId="52" fillId="0" borderId="0" xfId="0" applyFont="1"/>
    <xf numFmtId="0" fontId="21" fillId="0" borderId="0" xfId="0" applyFont="1" applyFill="1" applyBorder="1" applyAlignment="1">
      <alignment horizontal="left"/>
    </xf>
    <xf numFmtId="0" fontId="21" fillId="0" borderId="57" xfId="0" applyFont="1" applyBorder="1" applyAlignment="1">
      <alignment horizontal="center" wrapText="1"/>
    </xf>
    <xf numFmtId="3" fontId="21" fillId="0" borderId="17" xfId="53892" applyNumberFormat="1" applyFont="1" applyBorder="1" applyAlignment="1" applyProtection="1">
      <alignment horizontal="center" wrapText="1"/>
    </xf>
    <xf numFmtId="203" fontId="20" fillId="0" borderId="0" xfId="0" applyNumberFormat="1" applyFont="1" applyFill="1"/>
    <xf numFmtId="0" fontId="33" fillId="36" borderId="0" xfId="0" quotePrefix="1" applyFont="1" applyFill="1" applyBorder="1" applyAlignment="1">
      <alignment horizontal="left" indent="1"/>
    </xf>
    <xf numFmtId="3" fontId="21" fillId="0" borderId="57" xfId="53892" applyNumberFormat="1" applyFont="1" applyBorder="1" applyAlignment="1" applyProtection="1">
      <alignment horizontal="center" wrapText="1"/>
    </xf>
    <xf numFmtId="0" fontId="167" fillId="0" borderId="0" xfId="0" applyFont="1" applyFill="1" applyAlignment="1">
      <alignment horizontal="right"/>
    </xf>
    <xf numFmtId="0" fontId="21" fillId="0" borderId="17" xfId="0" applyFont="1" applyBorder="1" applyAlignment="1">
      <alignment horizontal="center"/>
    </xf>
    <xf numFmtId="0" fontId="21" fillId="0" borderId="17" xfId="0" applyFont="1" applyBorder="1" applyAlignment="1">
      <alignment horizontal="center" wrapText="1"/>
    </xf>
    <xf numFmtId="0" fontId="21" fillId="0" borderId="18" xfId="0" applyFont="1" applyBorder="1" applyAlignment="1">
      <alignment horizontal="center" wrapText="1"/>
    </xf>
    <xf numFmtId="0" fontId="21" fillId="0" borderId="18" xfId="0" applyFont="1" applyFill="1" applyBorder="1" applyAlignment="1">
      <alignment horizontal="center" wrapText="1"/>
    </xf>
    <xf numFmtId="0" fontId="21" fillId="0" borderId="19" xfId="0" applyFont="1" applyBorder="1" applyAlignment="1">
      <alignment horizontal="center" wrapText="1"/>
    </xf>
    <xf numFmtId="14" fontId="20" fillId="36" borderId="0" xfId="0" quotePrefix="1" applyNumberFormat="1" applyFont="1" applyFill="1" applyAlignment="1" applyProtection="1">
      <alignment horizontal="center" vertical="center"/>
    </xf>
    <xf numFmtId="168" fontId="20" fillId="36" borderId="0" xfId="37" applyNumberFormat="1" applyFont="1" applyFill="1" applyAlignment="1">
      <alignment horizontal="center"/>
    </xf>
    <xf numFmtId="5" fontId="20" fillId="36" borderId="0" xfId="0" applyNumberFormat="1" applyFont="1" applyFill="1" applyAlignment="1" applyProtection="1">
      <alignment horizontal="center"/>
    </xf>
    <xf numFmtId="5" fontId="0" fillId="0" borderId="0" xfId="0" applyNumberFormat="1"/>
    <xf numFmtId="171" fontId="0" fillId="0" borderId="0" xfId="0" applyNumberFormat="1"/>
    <xf numFmtId="208" fontId="0" fillId="0" borderId="0" xfId="0" applyNumberFormat="1"/>
    <xf numFmtId="14" fontId="20" fillId="36" borderId="0" xfId="0" applyNumberFormat="1" applyFont="1" applyFill="1" applyAlignment="1" applyProtection="1">
      <alignment horizontal="center" vertical="center"/>
    </xf>
    <xf numFmtId="5" fontId="20" fillId="36" borderId="0" xfId="0" applyNumberFormat="1" applyFont="1" applyFill="1" applyBorder="1" applyAlignment="1" applyProtection="1">
      <alignment horizontal="center"/>
    </xf>
    <xf numFmtId="0" fontId="20" fillId="36" borderId="0" xfId="0" applyFont="1" applyFill="1" applyBorder="1" applyAlignment="1">
      <alignment horizontal="left" indent="1"/>
    </xf>
    <xf numFmtId="14" fontId="20" fillId="36" borderId="0" xfId="0" applyNumberFormat="1" applyFont="1" applyFill="1" applyBorder="1" applyAlignment="1" applyProtection="1">
      <alignment horizontal="center" vertical="center"/>
    </xf>
    <xf numFmtId="168" fontId="20" fillId="36" borderId="0" xfId="37" applyNumberFormat="1" applyFont="1" applyFill="1" applyBorder="1" applyAlignment="1">
      <alignment horizontal="center"/>
    </xf>
    <xf numFmtId="164" fontId="21" fillId="0" borderId="17" xfId="0" applyNumberFormat="1" applyFont="1" applyBorder="1" applyAlignment="1">
      <alignment horizontal="center" wrapText="1"/>
    </xf>
    <xf numFmtId="164" fontId="21" fillId="0" borderId="57" xfId="0" applyNumberFormat="1" applyFont="1" applyBorder="1" applyAlignment="1">
      <alignment horizontal="center" wrapText="1"/>
    </xf>
    <xf numFmtId="164" fontId="0" fillId="36" borderId="0" xfId="0" applyNumberFormat="1" applyFill="1" applyAlignment="1">
      <alignment horizontal="center"/>
    </xf>
    <xf numFmtId="0" fontId="20" fillId="36" borderId="58" xfId="0" applyFont="1" applyFill="1" applyBorder="1" applyAlignment="1">
      <alignment horizontal="left" indent="1"/>
    </xf>
    <xf numFmtId="10" fontId="20" fillId="36" borderId="0" xfId="37" applyNumberFormat="1" applyFont="1" applyFill="1" applyAlignment="1">
      <alignment horizontal="left" indent="1"/>
    </xf>
    <xf numFmtId="10" fontId="20" fillId="0" borderId="0" xfId="37" applyNumberFormat="1" applyFont="1" applyFill="1"/>
    <xf numFmtId="0" fontId="20" fillId="113" borderId="0" xfId="0" applyFont="1" applyFill="1"/>
    <xf numFmtId="0" fontId="20" fillId="0" borderId="11" xfId="0" applyNumberFormat="1" applyFont="1" applyFill="1" applyBorder="1" applyAlignment="1">
      <alignment horizontal="center"/>
    </xf>
    <xf numFmtId="0" fontId="20" fillId="0" borderId="4" xfId="0" applyNumberFormat="1" applyFont="1" applyFill="1" applyBorder="1" applyAlignment="1">
      <alignment horizontal="center"/>
    </xf>
    <xf numFmtId="0" fontId="20" fillId="0" borderId="59" xfId="0" applyNumberFormat="1" applyFont="1" applyFill="1" applyBorder="1" applyAlignment="1">
      <alignment horizontal="center"/>
    </xf>
    <xf numFmtId="0" fontId="20" fillId="0" borderId="3" xfId="0" applyNumberFormat="1" applyFont="1" applyFill="1" applyBorder="1" applyAlignment="1">
      <alignment horizontal="center"/>
    </xf>
    <xf numFmtId="0" fontId="20" fillId="0" borderId="3" xfId="0" quotePrefix="1" applyNumberFormat="1" applyFont="1" applyBorder="1" applyAlignment="1">
      <alignment horizontal="center"/>
    </xf>
    <xf numFmtId="0" fontId="168" fillId="36" borderId="0" xfId="0" applyFont="1" applyFill="1"/>
    <xf numFmtId="0" fontId="20" fillId="0" borderId="7" xfId="126" applyBorder="1" applyAlignment="1">
      <alignment horizontal="center"/>
    </xf>
    <xf numFmtId="39" fontId="20" fillId="36" borderId="0" xfId="53893" applyFont="1" applyFill="1" applyAlignment="1" applyProtection="1">
      <alignment horizontal="left" indent="1"/>
    </xf>
    <xf numFmtId="196" fontId="20" fillId="36" borderId="0" xfId="53892" applyFont="1" applyFill="1" applyBorder="1" applyAlignment="1">
      <alignment horizontal="left" indent="1"/>
    </xf>
    <xf numFmtId="39" fontId="20" fillId="36" borderId="0" xfId="53893" applyFont="1" applyFill="1" applyBorder="1" applyAlignment="1">
      <alignment horizontal="left" indent="1"/>
    </xf>
    <xf numFmtId="168" fontId="20" fillId="36" borderId="0" xfId="0" applyNumberFormat="1" applyFont="1" applyFill="1" applyAlignment="1">
      <alignment horizontal="right"/>
    </xf>
    <xf numFmtId="0" fontId="169" fillId="0" borderId="0" xfId="0" applyFont="1" applyAlignment="1">
      <alignment horizontal="center"/>
    </xf>
    <xf numFmtId="164" fontId="21" fillId="36" borderId="0" xfId="0" applyNumberFormat="1" applyFont="1" applyFill="1" applyAlignment="1">
      <alignment horizontal="center"/>
    </xf>
    <xf numFmtId="164" fontId="20" fillId="36" borderId="0" xfId="0" applyNumberFormat="1" applyFont="1" applyFill="1" applyAlignment="1">
      <alignment horizontal="center"/>
    </xf>
    <xf numFmtId="164" fontId="27" fillId="36" borderId="0" xfId="0" quotePrefix="1" applyNumberFormat="1" applyFont="1" applyFill="1" applyAlignment="1">
      <alignment horizontal="right"/>
    </xf>
    <xf numFmtId="0" fontId="20" fillId="36" borderId="0" xfId="0" applyFont="1" applyFill="1" applyAlignment="1">
      <alignment horizontal="right"/>
    </xf>
    <xf numFmtId="0" fontId="21" fillId="36" borderId="0" xfId="0" applyFont="1" applyFill="1" applyAlignment="1">
      <alignment horizontal="left"/>
    </xf>
    <xf numFmtId="164" fontId="23" fillId="0" borderId="0" xfId="0" applyNumberFormat="1" applyFont="1" applyFill="1" applyAlignment="1"/>
    <xf numFmtId="164" fontId="23" fillId="0" borderId="0" xfId="0" applyNumberFormat="1" applyFont="1" applyFill="1" applyAlignment="1">
      <alignment horizontal="right" indent="1"/>
    </xf>
    <xf numFmtId="3" fontId="53" fillId="0" borderId="0" xfId="0" applyNumberFormat="1" applyFont="1"/>
    <xf numFmtId="0" fontId="20" fillId="0" borderId="0" xfId="28" applyFont="1" applyFill="1" applyBorder="1" applyAlignment="1">
      <alignment horizontal="left"/>
    </xf>
    <xf numFmtId="164" fontId="20" fillId="0" borderId="0" xfId="23" applyNumberFormat="1" applyFont="1" applyFill="1" applyAlignment="1">
      <alignment horizontal="right"/>
    </xf>
    <xf numFmtId="164" fontId="20" fillId="0" borderId="0" xfId="0" applyNumberFormat="1" applyFont="1" applyAlignment="1">
      <alignment horizontal="right"/>
    </xf>
    <xf numFmtId="49" fontId="20" fillId="0" borderId="0" xfId="0" applyNumberFormat="1" applyFont="1" applyAlignment="1">
      <alignment horizontal="center"/>
    </xf>
    <xf numFmtId="0" fontId="20"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0" fillId="0" borderId="0" xfId="0" applyFont="1" applyBorder="1"/>
    <xf numFmtId="3" fontId="20" fillId="0" borderId="0" xfId="23" applyNumberFormat="1" applyFont="1" applyBorder="1" applyAlignment="1">
      <alignment horizontal="right"/>
    </xf>
    <xf numFmtId="3" fontId="20" fillId="0" borderId="0" xfId="0" applyNumberFormat="1" applyFont="1"/>
    <xf numFmtId="164" fontId="53" fillId="36" borderId="0" xfId="23" applyNumberFormat="1" applyFont="1" applyFill="1" applyAlignment="1">
      <alignment horizontal="right"/>
    </xf>
    <xf numFmtId="49" fontId="55" fillId="0" borderId="0" xfId="0" applyNumberFormat="1" applyFont="1" applyAlignment="1">
      <alignment horizontal="center"/>
    </xf>
    <xf numFmtId="0" fontId="21" fillId="0" borderId="0" xfId="0" applyFont="1" applyAlignment="1">
      <alignment horizontal="center" vertical="top"/>
    </xf>
    <xf numFmtId="0" fontId="20" fillId="36" borderId="4" xfId="0" applyNumberFormat="1" applyFont="1" applyFill="1" applyBorder="1"/>
    <xf numFmtId="3" fontId="20" fillId="36" borderId="0" xfId="0" applyNumberFormat="1" applyFont="1" applyFill="1"/>
    <xf numFmtId="3" fontId="53" fillId="36" borderId="0" xfId="247" applyNumberFormat="1" applyFont="1" applyFill="1"/>
    <xf numFmtId="0" fontId="57" fillId="0" borderId="0" xfId="0" applyFont="1" applyAlignment="1">
      <alignment horizontal="center"/>
    </xf>
    <xf numFmtId="0" fontId="72" fillId="0" borderId="0" xfId="0" applyFont="1"/>
    <xf numFmtId="0" fontId="72" fillId="0" borderId="0" xfId="0" applyFont="1" applyFill="1"/>
    <xf numFmtId="0" fontId="72" fillId="0" borderId="0" xfId="0" applyFont="1" applyFill="1" applyAlignment="1">
      <alignment horizontal="left" indent="1"/>
    </xf>
    <xf numFmtId="0" fontId="57" fillId="0" borderId="0" xfId="0" applyFont="1" applyFill="1" applyAlignment="1">
      <alignment horizontal="center"/>
    </xf>
    <xf numFmtId="168" fontId="0" fillId="0" borderId="0" xfId="0" applyNumberFormat="1" applyAlignment="1">
      <alignment horizontal="right"/>
    </xf>
    <xf numFmtId="168" fontId="20" fillId="0" borderId="0" xfId="0" applyNumberFormat="1" applyFont="1" applyAlignment="1">
      <alignment horizontal="right"/>
    </xf>
    <xf numFmtId="164" fontId="20" fillId="36" borderId="0" xfId="129" applyNumberFormat="1" applyFont="1" applyFill="1" applyAlignment="1">
      <alignment horizontal="right"/>
    </xf>
    <xf numFmtId="203" fontId="20" fillId="0" borderId="0" xfId="0" applyNumberFormat="1" applyFont="1" applyFill="1" applyAlignment="1">
      <alignment horizontal="right"/>
    </xf>
    <xf numFmtId="0" fontId="20" fillId="36" borderId="0" xfId="0" quotePrefix="1" applyFont="1" applyFill="1" applyBorder="1" applyAlignment="1">
      <alignment horizontal="left" indent="1"/>
    </xf>
    <xf numFmtId="4" fontId="53" fillId="36" borderId="0" xfId="19" applyNumberFormat="1" applyFont="1" applyFill="1"/>
    <xf numFmtId="10" fontId="72" fillId="36" borderId="0" xfId="0" applyNumberFormat="1" applyFont="1" applyFill="1" applyAlignment="1">
      <alignment horizontal="right"/>
    </xf>
    <xf numFmtId="37" fontId="52" fillId="0" borderId="0" xfId="0" applyNumberFormat="1" applyFont="1" applyFill="1"/>
    <xf numFmtId="0" fontId="20" fillId="36" borderId="0" xfId="100" applyFont="1" applyFill="1" applyBorder="1" applyAlignment="1" applyProtection="1">
      <alignment horizontal="left" indent="1"/>
      <protection locked="0"/>
    </xf>
    <xf numFmtId="0" fontId="0" fillId="36" borderId="0" xfId="0" quotePrefix="1" applyFont="1" applyFill="1" applyAlignment="1">
      <alignment horizontal="left" indent="1"/>
    </xf>
    <xf numFmtId="0" fontId="20" fillId="0" borderId="3" xfId="0" applyNumberFormat="1" applyFont="1" applyFill="1" applyBorder="1" applyAlignment="1">
      <alignment horizontal="left"/>
    </xf>
    <xf numFmtId="0" fontId="20" fillId="0" borderId="3" xfId="97" applyNumberFormat="1" applyFont="1" applyFill="1" applyBorder="1" applyAlignment="1">
      <alignment horizontal="left"/>
    </xf>
    <xf numFmtId="0" fontId="20" fillId="0" borderId="3" xfId="0" applyNumberFormat="1" applyFont="1" applyFill="1" applyBorder="1"/>
    <xf numFmtId="0" fontId="20" fillId="0" borderId="3" xfId="0" quotePrefix="1" applyNumberFormat="1" applyFont="1" applyFill="1" applyBorder="1" applyAlignment="1">
      <alignment horizontal="left"/>
    </xf>
    <xf numFmtId="0" fontId="23" fillId="36" borderId="6" xfId="0" quotePrefix="1" applyNumberFormat="1" applyFont="1" applyFill="1" applyBorder="1" applyAlignment="1">
      <alignment horizontal="left"/>
    </xf>
    <xf numFmtId="0" fontId="23" fillId="36" borderId="9" xfId="0" quotePrefix="1" applyNumberFormat="1" applyFont="1" applyFill="1" applyBorder="1"/>
    <xf numFmtId="209" fontId="20" fillId="36" borderId="0" xfId="0" quotePrefix="1" applyNumberFormat="1" applyFont="1" applyFill="1" applyAlignment="1">
      <alignment horizontal="center"/>
    </xf>
    <xf numFmtId="37" fontId="20" fillId="0" borderId="3" xfId="22" quotePrefix="1" applyNumberFormat="1" applyFont="1" applyFill="1" applyBorder="1" applyAlignment="1">
      <alignment horizontal="center"/>
    </xf>
    <xf numFmtId="37" fontId="21" fillId="0" borderId="3" xfId="0" applyNumberFormat="1" applyFont="1" applyFill="1" applyBorder="1" applyAlignment="1">
      <alignment horizontal="center"/>
    </xf>
    <xf numFmtId="37" fontId="20" fillId="0" borderId="3" xfId="97" applyNumberFormat="1" applyFont="1" applyFill="1" applyBorder="1" applyAlignment="1">
      <alignment horizontal="center"/>
    </xf>
    <xf numFmtId="0" fontId="170" fillId="0" borderId="0" xfId="0" applyFont="1" applyAlignment="1">
      <alignment horizontal="center"/>
    </xf>
    <xf numFmtId="0" fontId="0" fillId="0" borderId="0" xfId="0" applyAlignment="1">
      <alignment horizontal="center"/>
    </xf>
    <xf numFmtId="0" fontId="69" fillId="0" borderId="0" xfId="0" applyFont="1" applyAlignment="1">
      <alignment horizontal="center"/>
    </xf>
    <xf numFmtId="0" fontId="50" fillId="0" borderId="0" xfId="0" applyFont="1" applyAlignment="1">
      <alignment horizontal="center"/>
    </xf>
    <xf numFmtId="0" fontId="169" fillId="0" borderId="0" xfId="0" applyFont="1" applyAlignment="1">
      <alignment horizontal="center"/>
    </xf>
    <xf numFmtId="0" fontId="21" fillId="0" borderId="60" xfId="0" quotePrefix="1" applyFont="1" applyBorder="1" applyAlignment="1">
      <alignment horizontal="center"/>
    </xf>
    <xf numFmtId="0" fontId="20" fillId="0" borderId="61" xfId="0" applyFont="1" applyBorder="1" applyAlignment="1">
      <alignment horizontal="center"/>
    </xf>
    <xf numFmtId="196" fontId="21" fillId="0" borderId="17" xfId="53892" applyFont="1" applyBorder="1" applyAlignment="1" applyProtection="1">
      <alignment horizontal="center" wrapText="1"/>
    </xf>
    <xf numFmtId="0" fontId="0" fillId="0" borderId="19" xfId="0" applyBorder="1" applyAlignment="1">
      <alignment horizontal="center" wrapText="1"/>
    </xf>
    <xf numFmtId="0" fontId="20" fillId="0" borderId="0" xfId="0" applyNumberFormat="1" applyFont="1" applyFill="1" applyAlignment="1">
      <alignment horizontal="left"/>
    </xf>
    <xf numFmtId="0" fontId="20" fillId="36" borderId="0" xfId="0" applyNumberFormat="1" applyFont="1" applyFill="1" applyAlignment="1">
      <alignment horizontal="center"/>
    </xf>
    <xf numFmtId="0" fontId="21" fillId="0" borderId="6" xfId="28" applyFont="1" applyBorder="1" applyAlignment="1">
      <alignment horizontal="center"/>
    </xf>
    <xf numFmtId="0" fontId="21" fillId="0" borderId="9" xfId="28" applyFont="1" applyBorder="1" applyAlignment="1">
      <alignment horizontal="center"/>
    </xf>
    <xf numFmtId="0" fontId="21" fillId="0" borderId="4" xfId="28" applyFont="1" applyBorder="1" applyAlignment="1">
      <alignment horizontal="center"/>
    </xf>
    <xf numFmtId="0" fontId="21" fillId="0" borderId="7" xfId="28" applyFont="1" applyBorder="1" applyAlignment="1">
      <alignment horizontal="center"/>
    </xf>
    <xf numFmtId="0" fontId="21" fillId="0" borderId="5" xfId="28" applyFont="1" applyBorder="1" applyAlignment="1">
      <alignment horizontal="center"/>
    </xf>
    <xf numFmtId="0" fontId="21" fillId="0" borderId="3" xfId="28" applyFont="1" applyFill="1" applyBorder="1" applyAlignment="1">
      <alignment horizontal="center"/>
    </xf>
    <xf numFmtId="0" fontId="21" fillId="0" borderId="6" xfId="28" applyFont="1" applyFill="1" applyBorder="1" applyAlignment="1">
      <alignment horizontal="center"/>
    </xf>
    <xf numFmtId="0" fontId="21" fillId="0" borderId="9" xfId="28" applyFont="1" applyFill="1" applyBorder="1" applyAlignment="1">
      <alignment horizontal="center"/>
    </xf>
    <xf numFmtId="0" fontId="21" fillId="0" borderId="4" xfId="28" applyFont="1" applyFill="1" applyBorder="1" applyAlignment="1">
      <alignment horizontal="center"/>
    </xf>
    <xf numFmtId="0" fontId="21" fillId="0" borderId="3" xfId="28" applyFont="1" applyBorder="1" applyAlignment="1"/>
    <xf numFmtId="0" fontId="20"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1" fillId="0" borderId="6" xfId="0" applyNumberFormat="1" applyFont="1" applyFill="1" applyBorder="1" applyAlignment="1"/>
    <xf numFmtId="0" fontId="0" fillId="0" borderId="9" xfId="0" applyBorder="1" applyAlignment="1"/>
    <xf numFmtId="0" fontId="0" fillId="0" borderId="4" xfId="0" applyBorder="1" applyAlignment="1"/>
    <xf numFmtId="0" fontId="23"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1"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6" xfId="0" applyFont="1" applyFill="1" applyBorder="1" applyAlignment="1"/>
    <xf numFmtId="0" fontId="20" fillId="0" borderId="0" xfId="0" applyFont="1" applyFill="1" applyBorder="1" applyAlignment="1">
      <alignment wrapText="1"/>
    </xf>
    <xf numFmtId="0" fontId="0" fillId="0" borderId="0" xfId="0" applyAlignment="1">
      <alignment wrapText="1"/>
    </xf>
    <xf numFmtId="0" fontId="23" fillId="0" borderId="6" xfId="0" applyFont="1" applyFill="1" applyBorder="1" applyAlignment="1">
      <alignment horizontal="left"/>
    </xf>
    <xf numFmtId="0" fontId="23" fillId="0" borderId="4" xfId="0" applyFont="1" applyFill="1" applyBorder="1" applyAlignment="1">
      <alignment horizontal="left"/>
    </xf>
    <xf numFmtId="0" fontId="21"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3" fillId="0" borderId="6" xfId="22" applyNumberFormat="1" applyFont="1" applyBorder="1" applyAlignment="1">
      <alignment horizontal="center"/>
    </xf>
    <xf numFmtId="0" fontId="0" fillId="0" borderId="9" xfId="0" applyBorder="1"/>
    <xf numFmtId="0" fontId="0" fillId="0" borderId="4" xfId="0" applyBorder="1"/>
    <xf numFmtId="0" fontId="21"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3" xfId="0" applyNumberFormat="1" applyFont="1" applyFill="1" applyBorder="1" applyAlignment="1">
      <alignment wrapText="1"/>
    </xf>
    <xf numFmtId="0" fontId="20" fillId="0" borderId="12" xfId="126" applyFont="1" applyFill="1" applyBorder="1" applyAlignment="1">
      <alignment horizontal="center"/>
    </xf>
    <xf numFmtId="0" fontId="20" fillId="0" borderId="14" xfId="126" applyFont="1" applyFill="1" applyBorder="1" applyAlignment="1">
      <alignment horizontal="center"/>
    </xf>
    <xf numFmtId="0" fontId="0" fillId="0" borderId="14" xfId="0" applyBorder="1" applyAlignment="1"/>
    <xf numFmtId="0" fontId="0" fillId="0" borderId="13" xfId="0" applyBorder="1" applyAlignment="1"/>
    <xf numFmtId="0" fontId="20" fillId="0" borderId="13" xfId="126" applyFont="1" applyFill="1" applyBorder="1" applyAlignment="1">
      <alignment horizontal="center"/>
    </xf>
  </cellXfs>
  <cellStyles count="53894">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Debt Sept 94" xfId="53892"/>
    <cellStyle name="Normal_Rate-Design" xfId="35"/>
    <cellStyle name="Normal_Review_only_Extract_Bond_Amortizations_from_Journal_Entry_Data" xfId="53893"/>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FFCC"/>
      <color rgb="FFFFCCCC"/>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1"/>
  <sheetViews>
    <sheetView zoomScaleNormal="100" workbookViewId="0">
      <selection activeCell="A9" sqref="A9:K9"/>
    </sheetView>
  </sheetViews>
  <sheetFormatPr defaultRowHeight="12.75"/>
  <cols>
    <col min="3" max="3" width="8.42578125" customWidth="1"/>
  </cols>
  <sheetData>
    <row r="2" spans="1:11" ht="27.75">
      <c r="C2" s="1375"/>
      <c r="D2" s="1376"/>
      <c r="E2" s="1376"/>
      <c r="F2" s="1376"/>
      <c r="G2" s="1376"/>
      <c r="H2" s="1376"/>
    </row>
    <row r="3" spans="1:11" s="1075" customFormat="1">
      <c r="D3" s="483"/>
    </row>
    <row r="4" spans="1:11" ht="23.25">
      <c r="B4" s="1379"/>
      <c r="C4" s="1379"/>
      <c r="D4" s="1379"/>
      <c r="E4" s="1379"/>
      <c r="F4" s="1379"/>
      <c r="G4" s="1379"/>
      <c r="H4" s="1379"/>
      <c r="I4" s="1379"/>
    </row>
    <row r="5" spans="1:11" s="1075" customFormat="1" ht="23.25">
      <c r="B5" s="1323"/>
      <c r="C5" s="1323"/>
      <c r="D5" s="1379"/>
      <c r="E5" s="1376"/>
      <c r="F5" s="1376"/>
      <c r="G5" s="1376"/>
      <c r="H5" s="1323"/>
      <c r="I5" s="1323"/>
    </row>
    <row r="6" spans="1:11" s="1075" customFormat="1" ht="23.25">
      <c r="B6" s="1323"/>
      <c r="C6" s="1323"/>
      <c r="D6" s="1323"/>
      <c r="E6" s="504"/>
      <c r="F6" s="504"/>
      <c r="G6" s="504"/>
      <c r="H6" s="1323"/>
      <c r="I6" s="1323"/>
    </row>
    <row r="7" spans="1:11" s="1075" customFormat="1" ht="23.25">
      <c r="B7" s="1323"/>
      <c r="C7" s="1323"/>
      <c r="D7" s="1323"/>
      <c r="E7" s="504"/>
      <c r="F7" s="504"/>
      <c r="G7" s="504"/>
      <c r="H7" s="1323"/>
      <c r="I7" s="1323"/>
    </row>
    <row r="9" spans="1:11" ht="26.25">
      <c r="A9" s="1377" t="s">
        <v>1899</v>
      </c>
      <c r="B9" s="1377"/>
      <c r="C9" s="1377"/>
      <c r="D9" s="1377"/>
      <c r="E9" s="1377"/>
      <c r="F9" s="1377"/>
      <c r="G9" s="1377"/>
      <c r="H9" s="1377"/>
      <c r="I9" s="1377"/>
      <c r="J9" s="1377"/>
      <c r="K9" s="1377"/>
    </row>
    <row r="10" spans="1:11">
      <c r="D10" s="1"/>
    </row>
    <row r="11" spans="1:11" ht="20.25">
      <c r="A11" s="1378" t="s">
        <v>1900</v>
      </c>
      <c r="B11" s="1378"/>
      <c r="C11" s="1378"/>
      <c r="D11" s="1378"/>
      <c r="E11" s="1378"/>
      <c r="F11" s="1378"/>
      <c r="G11" s="1378"/>
      <c r="H11" s="1378"/>
      <c r="I11" s="1378"/>
      <c r="J11" s="1378"/>
      <c r="K11" s="1378"/>
    </row>
  </sheetData>
  <mergeCells count="5">
    <mergeCell ref="C2:H2"/>
    <mergeCell ref="A9:K9"/>
    <mergeCell ref="A11:K11"/>
    <mergeCell ref="B4:I4"/>
    <mergeCell ref="D5:G5"/>
  </mergeCells>
  <pageMargins left="0.7" right="0.7" top="0.75" bottom="0.75" header="0.3" footer="0.3"/>
  <pageSetup scale="92" orientation="portrait" r:id="rId1"/>
  <headerFooter>
    <oddHeader xml:space="preserve">&amp;C&amp;"Arial,Bold"
&amp;RTO2019 Draft Annual Update 
Attachment1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4"/>
  <sheetViews>
    <sheetView zoomScaleNormal="100" workbookViewId="0"/>
  </sheetViews>
  <sheetFormatPr defaultColWidth="8.85546875" defaultRowHeight="12.75"/>
  <cols>
    <col min="1" max="1" width="5.7109375" style="1075" customWidth="1"/>
    <col min="2" max="2" width="28.140625" style="1075" customWidth="1"/>
    <col min="3" max="4" width="12.7109375" style="1075" customWidth="1"/>
    <col min="5" max="5" width="15.7109375" style="1075" customWidth="1"/>
    <col min="6" max="6" width="15.28515625" style="1075" customWidth="1"/>
    <col min="7" max="7" width="7.7109375" style="1075" customWidth="1"/>
    <col min="8" max="8" width="10.7109375" style="1075" customWidth="1"/>
    <col min="9" max="9" width="13.7109375" style="1075" customWidth="1"/>
    <col min="10" max="10" width="7.7109375" style="1075" customWidth="1"/>
    <col min="11" max="11" width="18.85546875" style="1075" customWidth="1"/>
    <col min="12" max="12" width="13.7109375" style="1075" customWidth="1"/>
    <col min="13" max="13" width="8.85546875" style="1075"/>
    <col min="14" max="14" width="20.7109375" style="1075" customWidth="1"/>
    <col min="15" max="16384" width="8.85546875" style="1075"/>
  </cols>
  <sheetData>
    <row r="1" spans="1:13">
      <c r="A1" s="1" t="s">
        <v>256</v>
      </c>
    </row>
    <row r="2" spans="1:13">
      <c r="B2" s="481" t="s">
        <v>2523</v>
      </c>
      <c r="C2" s="1050">
        <v>2017</v>
      </c>
      <c r="E2" s="1257"/>
    </row>
    <row r="3" spans="1:13">
      <c r="B3" s="1258"/>
      <c r="M3" s="1259"/>
    </row>
    <row r="4" spans="1:13">
      <c r="B4" s="1" t="s">
        <v>2524</v>
      </c>
      <c r="M4" s="1259"/>
    </row>
    <row r="5" spans="1:13">
      <c r="A5" s="51" t="s">
        <v>332</v>
      </c>
      <c r="E5" s="3" t="s">
        <v>175</v>
      </c>
      <c r="F5" s="3" t="s">
        <v>205</v>
      </c>
    </row>
    <row r="6" spans="1:13">
      <c r="A6" s="1260">
        <v>1</v>
      </c>
      <c r="D6" s="481" t="s">
        <v>2525</v>
      </c>
      <c r="E6" s="7">
        <f>K73</f>
        <v>499100333.42735654</v>
      </c>
      <c r="F6" s="16" t="str">
        <f>"Line "&amp;A73&amp;", Col 10"</f>
        <v>Line 200, Col 10</v>
      </c>
    </row>
    <row r="7" spans="1:13">
      <c r="A7" s="1260">
        <f>A6+1</f>
        <v>2</v>
      </c>
      <c r="D7" s="481" t="s">
        <v>2526</v>
      </c>
      <c r="E7" s="91">
        <f>D197</f>
        <v>16710134.76275879</v>
      </c>
      <c r="F7" s="16" t="str">
        <f>"Line "&amp;A197&amp;", Col 3"</f>
        <v>Line 500, Col 3</v>
      </c>
    </row>
    <row r="8" spans="1:13">
      <c r="A8" s="1260">
        <f t="shared" ref="A8:A15" si="0">A7+1</f>
        <v>3</v>
      </c>
      <c r="D8" s="481" t="s">
        <v>2527</v>
      </c>
      <c r="E8" s="7">
        <f>SUM(E6:E7)</f>
        <v>515810468.19011533</v>
      </c>
      <c r="F8" s="568" t="s">
        <v>2528</v>
      </c>
    </row>
    <row r="9" spans="1:13">
      <c r="A9" s="1260">
        <f t="shared" si="0"/>
        <v>4</v>
      </c>
      <c r="F9" s="65"/>
    </row>
    <row r="10" spans="1:13">
      <c r="A10" s="1260">
        <f t="shared" si="0"/>
        <v>5</v>
      </c>
      <c r="D10" s="481" t="s">
        <v>2529</v>
      </c>
      <c r="E10" s="7">
        <f>F73</f>
        <v>10616790400.346558</v>
      </c>
      <c r="F10" s="16" t="str">
        <f>"Line "&amp;A73&amp;", Col 5"</f>
        <v>Line 200, Col 5</v>
      </c>
    </row>
    <row r="11" spans="1:13">
      <c r="A11" s="1260">
        <f t="shared" si="0"/>
        <v>6</v>
      </c>
      <c r="C11" s="483"/>
      <c r="D11" s="481" t="s">
        <v>2530</v>
      </c>
      <c r="E11" s="490">
        <f>+F84</f>
        <v>-30000000</v>
      </c>
      <c r="F11" s="16" t="str">
        <f>"Line "&amp;A84&amp;", Col 5"</f>
        <v>Line 205, Col 5</v>
      </c>
    </row>
    <row r="12" spans="1:13">
      <c r="A12" s="1260">
        <f t="shared" si="0"/>
        <v>7</v>
      </c>
      <c r="D12" s="481" t="s">
        <v>2531</v>
      </c>
      <c r="E12" s="91">
        <f>C197</f>
        <v>-99214071.643933207</v>
      </c>
      <c r="F12" s="16" t="str">
        <f>"Line "&amp;A197&amp;", Col 2"</f>
        <v>Line 500, Col 2</v>
      </c>
    </row>
    <row r="13" spans="1:13">
      <c r="A13" s="1260">
        <f t="shared" si="0"/>
        <v>8</v>
      </c>
      <c r="D13" s="481" t="s">
        <v>2532</v>
      </c>
      <c r="E13" s="7">
        <f>SUM(E10:E12)</f>
        <v>10487576328.702625</v>
      </c>
      <c r="F13" s="568" t="s">
        <v>2634</v>
      </c>
    </row>
    <row r="14" spans="1:13">
      <c r="A14" s="1260">
        <f t="shared" si="0"/>
        <v>9</v>
      </c>
      <c r="F14" s="65"/>
    </row>
    <row r="15" spans="1:13">
      <c r="A15" s="1260">
        <f t="shared" si="0"/>
        <v>10</v>
      </c>
      <c r="D15" s="481" t="s">
        <v>2533</v>
      </c>
      <c r="E15" s="1261">
        <f>E8/E13</f>
        <v>4.9183000154042658E-2</v>
      </c>
      <c r="F15" s="568" t="s">
        <v>2635</v>
      </c>
    </row>
    <row r="17" spans="1:15">
      <c r="B17" s="1" t="s">
        <v>2535</v>
      </c>
    </row>
    <row r="18" spans="1:15">
      <c r="B18" s="84" t="s">
        <v>363</v>
      </c>
      <c r="C18" s="84" t="s">
        <v>347</v>
      </c>
      <c r="D18" s="84" t="s">
        <v>348</v>
      </c>
      <c r="E18" s="84" t="s">
        <v>349</v>
      </c>
      <c r="F18" s="84" t="s">
        <v>350</v>
      </c>
      <c r="G18" s="84" t="s">
        <v>351</v>
      </c>
      <c r="H18" s="84" t="s">
        <v>352</v>
      </c>
      <c r="I18" s="84" t="s">
        <v>544</v>
      </c>
      <c r="J18" s="84" t="s">
        <v>961</v>
      </c>
      <c r="K18" s="84" t="s">
        <v>974</v>
      </c>
      <c r="L18" s="84"/>
    </row>
    <row r="19" spans="1:15">
      <c r="B19" s="111" t="s">
        <v>2536</v>
      </c>
      <c r="C19" s="111" t="s">
        <v>2537</v>
      </c>
      <c r="D19" s="111" t="s">
        <v>2538</v>
      </c>
      <c r="E19" s="111" t="s">
        <v>2536</v>
      </c>
      <c r="F19" s="111" t="s">
        <v>2539</v>
      </c>
      <c r="G19" s="111" t="s">
        <v>364</v>
      </c>
      <c r="H19" s="111" t="s">
        <v>2540</v>
      </c>
      <c r="I19" s="953" t="s">
        <v>2541</v>
      </c>
      <c r="J19" s="111" t="s">
        <v>365</v>
      </c>
      <c r="K19" s="953" t="s">
        <v>2542</v>
      </c>
    </row>
    <row r="20" spans="1:15" ht="13.5" thickBot="1"/>
    <row r="21" spans="1:15" ht="67.150000000000006" customHeight="1" thickBot="1">
      <c r="A21" s="51" t="s">
        <v>332</v>
      </c>
      <c r="B21" s="1262" t="s">
        <v>2543</v>
      </c>
      <c r="C21" s="1263" t="s">
        <v>2544</v>
      </c>
      <c r="D21" s="1263" t="s">
        <v>2545</v>
      </c>
      <c r="E21" s="1264" t="s">
        <v>2546</v>
      </c>
      <c r="F21" s="1265" t="s">
        <v>2547</v>
      </c>
      <c r="G21" s="1266" t="s">
        <v>2548</v>
      </c>
      <c r="H21" s="1267" t="s">
        <v>2549</v>
      </c>
      <c r="I21" s="1268" t="s">
        <v>2550</v>
      </c>
      <c r="J21" s="1269" t="s">
        <v>2551</v>
      </c>
      <c r="K21" s="1265" t="s">
        <v>2552</v>
      </c>
      <c r="L21" s="1270" t="s">
        <v>2553</v>
      </c>
    </row>
    <row r="22" spans="1:15">
      <c r="A22" s="1260">
        <v>101</v>
      </c>
      <c r="B22" s="1319" t="s">
        <v>2695</v>
      </c>
      <c r="C22" s="1276">
        <v>38000</v>
      </c>
      <c r="D22" s="1276">
        <v>48959</v>
      </c>
      <c r="E22" s="1277">
        <v>0.06</v>
      </c>
      <c r="F22" s="517">
        <v>525000</v>
      </c>
      <c r="G22" s="1272">
        <f>IF(ROUND(($D22-DATE($C$2,12,31))/365.25,0)=0,MONTH($D22)/12,ROUND(($D22-DATE($C$2,12,31))/365.25,0))</f>
        <v>16</v>
      </c>
      <c r="H22" s="7">
        <f t="shared" ref="H22:H46" si="1">(C97+D97)/1000</f>
        <v>4520.2394599999989</v>
      </c>
      <c r="I22" s="7">
        <f t="shared" ref="I22:I52" si="2">F22-H22</f>
        <v>520479.76053999999</v>
      </c>
      <c r="J22" s="1261">
        <f>(RATE(G22*2,-(E22*F22)/2,I22,-F22))*2</f>
        <v>6.0849469780530539E-2</v>
      </c>
      <c r="K22" s="7">
        <f>F22*J22</f>
        <v>31945.971634778532</v>
      </c>
      <c r="L22" s="1273"/>
      <c r="M22" s="67"/>
      <c r="O22" s="1274"/>
    </row>
    <row r="23" spans="1:15">
      <c r="A23" s="1260">
        <f>A22+1</f>
        <v>102</v>
      </c>
      <c r="B23" s="1320" t="s">
        <v>2696</v>
      </c>
      <c r="C23" s="1276">
        <v>38069</v>
      </c>
      <c r="D23" s="1276">
        <v>49400</v>
      </c>
      <c r="E23" s="1277">
        <v>5.7500000000000002E-2</v>
      </c>
      <c r="F23" s="517">
        <v>350000</v>
      </c>
      <c r="G23" s="1272">
        <f t="shared" ref="G23:G56" si="3">IF(ROUND(($D23-DATE($C$2,12,31))/365.25,0)=0,MONTH($D23)/12,ROUND(($D23-DATE($C$2,12,31))/365.25,0))</f>
        <v>17</v>
      </c>
      <c r="H23" s="7">
        <f t="shared" si="1"/>
        <v>1814.4075199999979</v>
      </c>
      <c r="I23" s="7">
        <f t="shared" si="2"/>
        <v>348185.59247999999</v>
      </c>
      <c r="J23" s="1261">
        <f t="shared" ref="J23:J52" si="4">(RATE(G23*2,-(E23*F23)/2,I23,-F23))*2</f>
        <v>5.7983601492717501E-2</v>
      </c>
      <c r="K23" s="7">
        <f t="shared" ref="K23:K52" si="5">F23*J23</f>
        <v>20294.260522451124</v>
      </c>
      <c r="L23" s="1273"/>
      <c r="M23" s="67"/>
      <c r="N23" s="483"/>
      <c r="O23" s="1274"/>
    </row>
    <row r="24" spans="1:15">
      <c r="A24" s="1260">
        <f t="shared" ref="A24:A55" si="6">A23+1</f>
        <v>103</v>
      </c>
      <c r="B24" s="1320" t="s">
        <v>2697</v>
      </c>
      <c r="C24" s="1276">
        <v>38371</v>
      </c>
      <c r="D24" s="1276">
        <v>49689</v>
      </c>
      <c r="E24" s="1277">
        <v>5.5500000000000001E-2</v>
      </c>
      <c r="F24" s="517">
        <v>250000</v>
      </c>
      <c r="G24" s="1272">
        <f t="shared" si="3"/>
        <v>18</v>
      </c>
      <c r="H24" s="7">
        <f t="shared" si="1"/>
        <v>1811.8160499999997</v>
      </c>
      <c r="I24" s="7">
        <f t="shared" si="2"/>
        <v>248188.18395000001</v>
      </c>
      <c r="J24" s="1261">
        <f t="shared" si="4"/>
        <v>5.6144948748628798E-2</v>
      </c>
      <c r="K24" s="7">
        <f t="shared" si="5"/>
        <v>14036.2371871572</v>
      </c>
      <c r="L24" s="1273"/>
      <c r="M24" s="67"/>
      <c r="O24" s="1274"/>
    </row>
    <row r="25" spans="1:15">
      <c r="A25" s="1260">
        <f t="shared" si="6"/>
        <v>104</v>
      </c>
      <c r="B25" s="1320" t="s">
        <v>2698</v>
      </c>
      <c r="C25" s="1276">
        <v>38530</v>
      </c>
      <c r="D25" s="1276">
        <v>49505</v>
      </c>
      <c r="E25" s="1277">
        <v>5.3499999999999999E-2</v>
      </c>
      <c r="F25" s="517">
        <v>350000</v>
      </c>
      <c r="G25" s="1272">
        <f t="shared" si="3"/>
        <v>18</v>
      </c>
      <c r="H25" s="7">
        <f t="shared" si="1"/>
        <v>1915.7787299999984</v>
      </c>
      <c r="I25" s="7">
        <f t="shared" si="2"/>
        <v>348084.22126999998</v>
      </c>
      <c r="J25" s="1261">
        <f t="shared" si="4"/>
        <v>5.3979161150202418E-2</v>
      </c>
      <c r="K25" s="7">
        <f t="shared" si="5"/>
        <v>18892.706402570846</v>
      </c>
      <c r="L25" s="1273"/>
      <c r="M25" s="67"/>
      <c r="O25" s="1274"/>
    </row>
    <row r="26" spans="1:15">
      <c r="A26" s="1260">
        <f t="shared" si="6"/>
        <v>105</v>
      </c>
      <c r="B26" s="1320" t="s">
        <v>2700</v>
      </c>
      <c r="C26" s="1276">
        <v>38748</v>
      </c>
      <c r="D26" s="1276">
        <v>49706</v>
      </c>
      <c r="E26" s="1277">
        <v>5.6250000000000001E-2</v>
      </c>
      <c r="F26" s="517">
        <v>350000</v>
      </c>
      <c r="G26" s="1272">
        <f t="shared" si="3"/>
        <v>18</v>
      </c>
      <c r="H26" s="7">
        <f t="shared" si="1"/>
        <v>2589.271700000003</v>
      </c>
      <c r="I26" s="7">
        <f t="shared" si="2"/>
        <v>347410.72830000002</v>
      </c>
      <c r="J26" s="1261">
        <f t="shared" si="4"/>
        <v>5.6912184137791699E-2</v>
      </c>
      <c r="K26" s="7">
        <f t="shared" si="5"/>
        <v>19919.264448227095</v>
      </c>
      <c r="L26" s="1273"/>
      <c r="M26" s="67"/>
      <c r="O26" s="1274"/>
    </row>
    <row r="27" spans="1:15">
      <c r="A27" s="1260">
        <f t="shared" si="6"/>
        <v>106</v>
      </c>
      <c r="B27" s="1320" t="s">
        <v>2704</v>
      </c>
      <c r="C27" s="1276">
        <v>39062</v>
      </c>
      <c r="D27" s="1276">
        <v>50055</v>
      </c>
      <c r="E27" s="1277">
        <v>5.5500000000000001E-2</v>
      </c>
      <c r="F27" s="517">
        <v>400000</v>
      </c>
      <c r="G27" s="1272">
        <f t="shared" si="3"/>
        <v>19</v>
      </c>
      <c r="H27" s="7">
        <f t="shared" si="1"/>
        <v>3926.4979900000003</v>
      </c>
      <c r="I27" s="7">
        <f t="shared" si="2"/>
        <v>396073.50201</v>
      </c>
      <c r="J27" s="1261">
        <f t="shared" si="4"/>
        <v>5.6348238613833555E-2</v>
      </c>
      <c r="K27" s="7">
        <f t="shared" si="5"/>
        <v>22539.295445533422</v>
      </c>
      <c r="L27" s="1273"/>
      <c r="M27" s="67"/>
      <c r="O27" s="1274"/>
    </row>
    <row r="28" spans="1:15">
      <c r="A28" s="1260">
        <f t="shared" si="6"/>
        <v>107</v>
      </c>
      <c r="B28" s="1320" t="s">
        <v>2705</v>
      </c>
      <c r="C28" s="1276">
        <v>39469</v>
      </c>
      <c r="D28" s="1276">
        <v>50437</v>
      </c>
      <c r="E28" s="1277">
        <v>5.9499999999999997E-2</v>
      </c>
      <c r="F28" s="517">
        <v>600000</v>
      </c>
      <c r="G28" s="1272">
        <f t="shared" si="3"/>
        <v>20</v>
      </c>
      <c r="H28" s="7">
        <f t="shared" si="1"/>
        <v>6093.5729900000024</v>
      </c>
      <c r="I28" s="7">
        <f t="shared" si="2"/>
        <v>593906.42700999998</v>
      </c>
      <c r="J28" s="1261">
        <f t="shared" si="4"/>
        <v>6.0381452850689459E-2</v>
      </c>
      <c r="K28" s="7">
        <f t="shared" si="5"/>
        <v>36228.871710413674</v>
      </c>
      <c r="L28" s="1273"/>
      <c r="M28" s="67"/>
      <c r="O28" s="1274"/>
    </row>
    <row r="29" spans="1:15">
      <c r="A29" s="1260">
        <f t="shared" si="6"/>
        <v>108</v>
      </c>
      <c r="B29" s="1320" t="s">
        <v>2706</v>
      </c>
      <c r="C29" s="1276">
        <v>39678</v>
      </c>
      <c r="D29" s="1276">
        <v>43327</v>
      </c>
      <c r="E29" s="1277">
        <v>5.5E-2</v>
      </c>
      <c r="F29" s="517">
        <v>400000</v>
      </c>
      <c r="G29" s="1272">
        <f t="shared" si="3"/>
        <v>1</v>
      </c>
      <c r="H29" s="7">
        <f t="shared" si="1"/>
        <v>343.03639000000175</v>
      </c>
      <c r="I29" s="7">
        <f t="shared" si="2"/>
        <v>399656.96360999998</v>
      </c>
      <c r="J29" s="1261">
        <f t="shared" si="4"/>
        <v>5.589370657146913E-2</v>
      </c>
      <c r="K29" s="7">
        <f t="shared" si="5"/>
        <v>22357.482628587652</v>
      </c>
      <c r="L29" s="1273"/>
      <c r="M29" s="67"/>
      <c r="O29" s="1274"/>
    </row>
    <row r="30" spans="1:15">
      <c r="A30" s="1260">
        <f t="shared" si="6"/>
        <v>109</v>
      </c>
      <c r="B30" s="1302" t="s">
        <v>2707</v>
      </c>
      <c r="C30" s="1276">
        <v>39892</v>
      </c>
      <c r="D30" s="1276">
        <v>50844</v>
      </c>
      <c r="E30" s="1277">
        <v>6.0499999999999998E-2</v>
      </c>
      <c r="F30" s="517">
        <v>500000</v>
      </c>
      <c r="G30" s="1272">
        <f t="shared" si="3"/>
        <v>21</v>
      </c>
      <c r="H30" s="7">
        <f t="shared" si="1"/>
        <v>6507.8607399999964</v>
      </c>
      <c r="I30" s="7">
        <f t="shared" si="2"/>
        <v>493492.13926000003</v>
      </c>
      <c r="J30" s="1261">
        <f t="shared" si="4"/>
        <v>6.1613208265030639E-2</v>
      </c>
      <c r="K30" s="7">
        <f t="shared" si="5"/>
        <v>30806.60413251532</v>
      </c>
      <c r="L30" s="1273"/>
      <c r="M30" s="67"/>
      <c r="O30" s="1274"/>
    </row>
    <row r="31" spans="1:15">
      <c r="A31" s="1260">
        <f t="shared" si="6"/>
        <v>110</v>
      </c>
      <c r="B31" s="1321" t="s">
        <v>2708</v>
      </c>
      <c r="C31" s="1276">
        <v>40248</v>
      </c>
      <c r="D31" s="1276">
        <v>51210</v>
      </c>
      <c r="E31" s="1277">
        <v>5.5E-2</v>
      </c>
      <c r="F31" s="517">
        <v>500000</v>
      </c>
      <c r="G31" s="1272">
        <f t="shared" si="3"/>
        <v>22</v>
      </c>
      <c r="H31" s="7">
        <f t="shared" si="1"/>
        <v>8424.8210199999994</v>
      </c>
      <c r="I31" s="7">
        <f t="shared" si="2"/>
        <v>491575.17898000003</v>
      </c>
      <c r="J31" s="1261">
        <f t="shared" si="4"/>
        <v>5.6345725825326917E-2</v>
      </c>
      <c r="K31" s="7">
        <f t="shared" si="5"/>
        <v>28172.862912663459</v>
      </c>
      <c r="L31" s="1273"/>
      <c r="M31" s="67"/>
      <c r="O31" s="1274"/>
    </row>
    <row r="32" spans="1:15">
      <c r="A32" s="1260">
        <f t="shared" si="6"/>
        <v>111</v>
      </c>
      <c r="B32" s="1320" t="s">
        <v>2709</v>
      </c>
      <c r="C32" s="1276">
        <v>40420</v>
      </c>
      <c r="D32" s="1276">
        <v>51380</v>
      </c>
      <c r="E32" s="1277">
        <v>4.4999999999999998E-2</v>
      </c>
      <c r="F32" s="517">
        <v>500000</v>
      </c>
      <c r="G32" s="1272">
        <f t="shared" si="3"/>
        <v>23</v>
      </c>
      <c r="H32" s="7">
        <f t="shared" si="1"/>
        <v>6424.9251799999975</v>
      </c>
      <c r="I32" s="7">
        <f t="shared" si="2"/>
        <v>493575.07481999998</v>
      </c>
      <c r="J32" s="1261">
        <f t="shared" si="4"/>
        <v>4.5910464979471322E-2</v>
      </c>
      <c r="K32" s="7">
        <f t="shared" si="5"/>
        <v>22955.232489735659</v>
      </c>
      <c r="L32" s="1273"/>
      <c r="M32" s="67"/>
      <c r="O32" s="1274"/>
    </row>
    <row r="33" spans="1:15">
      <c r="A33" s="1260">
        <f t="shared" si="6"/>
        <v>112</v>
      </c>
      <c r="B33" s="1320" t="s">
        <v>2818</v>
      </c>
      <c r="C33" s="1276">
        <v>40680</v>
      </c>
      <c r="D33" s="1276">
        <v>44348</v>
      </c>
      <c r="E33" s="1277">
        <v>3.875E-2</v>
      </c>
      <c r="F33" s="517">
        <v>500000</v>
      </c>
      <c r="G33" s="1272">
        <f t="shared" si="3"/>
        <v>3</v>
      </c>
      <c r="H33" s="7">
        <f t="shared" si="1"/>
        <v>2439.3565599999979</v>
      </c>
      <c r="I33" s="7">
        <f t="shared" si="2"/>
        <v>497560.64344000001</v>
      </c>
      <c r="J33" s="1261">
        <f t="shared" si="4"/>
        <v>4.0493403003130798E-2</v>
      </c>
      <c r="K33" s="7">
        <f t="shared" si="5"/>
        <v>20246.7015015654</v>
      </c>
      <c r="L33" s="1273"/>
      <c r="M33" s="67"/>
      <c r="O33" s="1274"/>
    </row>
    <row r="34" spans="1:15">
      <c r="A34" s="1260">
        <f t="shared" si="6"/>
        <v>113</v>
      </c>
      <c r="B34" s="1302" t="s">
        <v>2819</v>
      </c>
      <c r="C34" s="1276">
        <v>40859</v>
      </c>
      <c r="D34" s="1276">
        <v>51836</v>
      </c>
      <c r="E34" s="1277">
        <v>3.9E-2</v>
      </c>
      <c r="F34" s="517">
        <v>250000</v>
      </c>
      <c r="G34" s="1272">
        <f t="shared" si="3"/>
        <v>24</v>
      </c>
      <c r="H34" s="7">
        <f t="shared" si="1"/>
        <v>3266.7000199999984</v>
      </c>
      <c r="I34" s="7">
        <f t="shared" si="2"/>
        <v>246733.29998000001</v>
      </c>
      <c r="J34" s="1261">
        <f t="shared" si="4"/>
        <v>3.9850709721751948E-2</v>
      </c>
      <c r="K34" s="7">
        <f t="shared" si="5"/>
        <v>9962.6774304379869</v>
      </c>
      <c r="L34" s="1273"/>
      <c r="M34" s="67"/>
      <c r="O34" s="1274"/>
    </row>
    <row r="35" spans="1:15">
      <c r="A35" s="1260">
        <f t="shared" si="6"/>
        <v>114</v>
      </c>
      <c r="B35" s="1302" t="s">
        <v>2820</v>
      </c>
      <c r="C35" s="1276">
        <v>40981</v>
      </c>
      <c r="D35" s="1276">
        <v>51940</v>
      </c>
      <c r="E35" s="1277">
        <v>4.0500000000000001E-2</v>
      </c>
      <c r="F35" s="517">
        <v>400000</v>
      </c>
      <c r="G35" s="1272">
        <f t="shared" si="3"/>
        <v>24</v>
      </c>
      <c r="H35" s="7">
        <f t="shared" si="1"/>
        <v>7281.1765800000021</v>
      </c>
      <c r="I35" s="7">
        <f t="shared" si="2"/>
        <v>392718.82341999997</v>
      </c>
      <c r="J35" s="1261">
        <f t="shared" si="4"/>
        <v>4.1707613438356148E-2</v>
      </c>
      <c r="K35" s="7">
        <f t="shared" si="5"/>
        <v>16683.045375342459</v>
      </c>
      <c r="L35" s="1273"/>
      <c r="M35" s="67"/>
      <c r="O35" s="1274"/>
    </row>
    <row r="36" spans="1:15">
      <c r="A36" s="1260">
        <f t="shared" si="6"/>
        <v>115</v>
      </c>
      <c r="B36" s="1302" t="s">
        <v>2821</v>
      </c>
      <c r="C36" s="1276">
        <v>41340</v>
      </c>
      <c r="D36" s="1276">
        <v>52305</v>
      </c>
      <c r="E36" s="1277">
        <v>3.9E-2</v>
      </c>
      <c r="F36" s="517">
        <v>400000</v>
      </c>
      <c r="G36" s="1272">
        <f t="shared" si="3"/>
        <v>25</v>
      </c>
      <c r="H36" s="7">
        <f t="shared" si="1"/>
        <v>5630.4042700000018</v>
      </c>
      <c r="I36" s="7">
        <f t="shared" si="2"/>
        <v>394369.59573</v>
      </c>
      <c r="J36" s="1261">
        <f t="shared" si="4"/>
        <v>3.9894898276913032E-2</v>
      </c>
      <c r="K36" s="7">
        <f t="shared" si="5"/>
        <v>15957.959310765213</v>
      </c>
      <c r="L36" s="1273"/>
      <c r="M36" s="67"/>
      <c r="O36" s="1274"/>
    </row>
    <row r="37" spans="1:15">
      <c r="A37" s="1260">
        <f t="shared" si="6"/>
        <v>116</v>
      </c>
      <c r="B37" s="1302" t="s">
        <v>2822</v>
      </c>
      <c r="C37" s="1276">
        <v>41549</v>
      </c>
      <c r="D37" s="1276">
        <v>45200</v>
      </c>
      <c r="E37" s="1277">
        <v>3.5000000000000003E-2</v>
      </c>
      <c r="F37" s="517">
        <v>600000</v>
      </c>
      <c r="G37" s="1272">
        <f t="shared" si="3"/>
        <v>6</v>
      </c>
      <c r="H37" s="7">
        <f t="shared" si="1"/>
        <v>3615.4508200000023</v>
      </c>
      <c r="I37" s="7">
        <f t="shared" si="2"/>
        <v>596384.54917999997</v>
      </c>
      <c r="J37" s="1261">
        <f t="shared" si="4"/>
        <v>3.6126072476386523E-2</v>
      </c>
      <c r="K37" s="7">
        <f t="shared" si="5"/>
        <v>21675.643485831915</v>
      </c>
      <c r="L37" s="1273"/>
      <c r="M37" s="67"/>
      <c r="O37" s="1274"/>
    </row>
    <row r="38" spans="1:15">
      <c r="A38" s="1260">
        <f t="shared" si="6"/>
        <v>117</v>
      </c>
      <c r="B38" s="1302" t="s">
        <v>2823</v>
      </c>
      <c r="C38" s="1276">
        <v>41549</v>
      </c>
      <c r="D38" s="1276">
        <v>52505</v>
      </c>
      <c r="E38" s="1277">
        <v>4.65E-2</v>
      </c>
      <c r="F38" s="517">
        <v>800000</v>
      </c>
      <c r="G38" s="1272">
        <f t="shared" si="3"/>
        <v>26</v>
      </c>
      <c r="H38" s="7">
        <f t="shared" si="1"/>
        <v>12233.378829999996</v>
      </c>
      <c r="I38" s="7">
        <f t="shared" si="2"/>
        <v>787766.62117000006</v>
      </c>
      <c r="J38" s="1261">
        <f t="shared" si="4"/>
        <v>4.753071707076173E-2</v>
      </c>
      <c r="K38" s="7">
        <f t="shared" si="5"/>
        <v>38024.573656609384</v>
      </c>
      <c r="L38" s="1273"/>
      <c r="M38" s="67"/>
      <c r="O38" s="1274"/>
    </row>
    <row r="39" spans="1:15">
      <c r="A39" s="1260">
        <f t="shared" si="6"/>
        <v>118</v>
      </c>
      <c r="B39" s="1302" t="s">
        <v>2824</v>
      </c>
      <c r="C39" s="1276">
        <v>41768</v>
      </c>
      <c r="D39" s="1276">
        <v>42856</v>
      </c>
      <c r="E39" s="1322" t="s">
        <v>1986</v>
      </c>
      <c r="F39" s="534" t="s">
        <v>1986</v>
      </c>
      <c r="G39" s="397" t="s">
        <v>1986</v>
      </c>
      <c r="H39" s="397" t="s">
        <v>1986</v>
      </c>
      <c r="I39" s="397" t="s">
        <v>1986</v>
      </c>
      <c r="J39" s="1355" t="s">
        <v>1986</v>
      </c>
      <c r="K39" s="397" t="s">
        <v>1986</v>
      </c>
      <c r="L39" s="1273">
        <v>1</v>
      </c>
      <c r="M39" s="67"/>
      <c r="O39" s="1274"/>
    </row>
    <row r="40" spans="1:15">
      <c r="A40" s="1260">
        <f t="shared" si="6"/>
        <v>119</v>
      </c>
      <c r="B40" s="1302" t="s">
        <v>2825</v>
      </c>
      <c r="C40" s="1276">
        <v>41950</v>
      </c>
      <c r="D40" s="1276">
        <v>43040</v>
      </c>
      <c r="E40" s="1322" t="s">
        <v>1986</v>
      </c>
      <c r="F40" s="534" t="s">
        <v>1986</v>
      </c>
      <c r="G40" s="397" t="s">
        <v>1986</v>
      </c>
      <c r="H40" s="397" t="s">
        <v>1986</v>
      </c>
      <c r="I40" s="397" t="s">
        <v>1986</v>
      </c>
      <c r="J40" s="1355" t="s">
        <v>1986</v>
      </c>
      <c r="K40" s="397" t="s">
        <v>1986</v>
      </c>
      <c r="L40" s="1273">
        <v>2</v>
      </c>
      <c r="M40" s="67"/>
      <c r="O40" s="1274"/>
    </row>
    <row r="41" spans="1:15">
      <c r="A41" s="1260">
        <f t="shared" si="6"/>
        <v>120</v>
      </c>
      <c r="B41" s="1302" t="s">
        <v>2826</v>
      </c>
      <c r="C41" s="1276">
        <v>42030</v>
      </c>
      <c r="D41" s="1276">
        <v>44593</v>
      </c>
      <c r="E41" s="1277">
        <v>1.8450000000000001E-2</v>
      </c>
      <c r="F41" s="517">
        <v>141118.12600825899</v>
      </c>
      <c r="G41" s="1272">
        <f t="shared" si="3"/>
        <v>4</v>
      </c>
      <c r="H41" s="7">
        <f t="shared" si="1"/>
        <v>1040.7030558922984</v>
      </c>
      <c r="I41" s="7">
        <f t="shared" si="2"/>
        <v>140077.4229523667</v>
      </c>
      <c r="J41" s="1261">
        <f t="shared" si="4"/>
        <v>2.0379211772003383E-2</v>
      </c>
      <c r="K41" s="7">
        <f t="shared" si="5"/>
        <v>2875.8761747905683</v>
      </c>
      <c r="L41" s="1273">
        <v>3</v>
      </c>
      <c r="M41" s="67"/>
      <c r="O41" s="1274"/>
    </row>
    <row r="42" spans="1:15">
      <c r="A42" s="1260">
        <f t="shared" si="6"/>
        <v>121</v>
      </c>
      <c r="B42" s="1302" t="s">
        <v>2827</v>
      </c>
      <c r="C42" s="1276">
        <v>42030</v>
      </c>
      <c r="D42" s="1276">
        <v>44593</v>
      </c>
      <c r="E42" s="1277">
        <v>2.4E-2</v>
      </c>
      <c r="F42" s="517">
        <v>129714.641078299</v>
      </c>
      <c r="G42" s="1272">
        <f t="shared" si="3"/>
        <v>4</v>
      </c>
      <c r="H42" s="7">
        <f t="shared" si="1"/>
        <v>623.89387738482355</v>
      </c>
      <c r="I42" s="7">
        <f t="shared" si="2"/>
        <v>129090.74720091418</v>
      </c>
      <c r="J42" s="1261">
        <f t="shared" si="4"/>
        <v>2.5271809160239488E-2</v>
      </c>
      <c r="K42" s="7">
        <f t="shared" si="5"/>
        <v>3278.1236546197338</v>
      </c>
      <c r="L42" s="1273">
        <v>4</v>
      </c>
      <c r="M42" s="67"/>
      <c r="O42" s="1274"/>
    </row>
    <row r="43" spans="1:15">
      <c r="A43" s="1260">
        <f t="shared" si="6"/>
        <v>122</v>
      </c>
      <c r="B43" s="1302" t="s">
        <v>2828</v>
      </c>
      <c r="C43" s="1276">
        <v>42030</v>
      </c>
      <c r="D43" s="1276">
        <v>52994</v>
      </c>
      <c r="E43" s="1277">
        <v>3.5999999999999997E-2</v>
      </c>
      <c r="F43" s="517">
        <v>425000</v>
      </c>
      <c r="G43" s="1272">
        <f t="shared" si="3"/>
        <v>27</v>
      </c>
      <c r="H43" s="7">
        <f t="shared" si="1"/>
        <v>5701.9556300000031</v>
      </c>
      <c r="I43" s="7">
        <f t="shared" si="2"/>
        <v>419298.04437000002</v>
      </c>
      <c r="J43" s="1261">
        <f t="shared" si="4"/>
        <v>3.6788083427464383E-2</v>
      </c>
      <c r="K43" s="7">
        <f t="shared" si="5"/>
        <v>15634.935456672363</v>
      </c>
      <c r="L43" s="1273"/>
      <c r="M43" s="67"/>
      <c r="O43" s="1274"/>
    </row>
    <row r="44" spans="1:15">
      <c r="A44" s="1260">
        <f t="shared" si="6"/>
        <v>123</v>
      </c>
      <c r="B44" s="1302" t="s">
        <v>2829</v>
      </c>
      <c r="C44" s="1276">
        <v>42818</v>
      </c>
      <c r="D44" s="1276">
        <v>53783</v>
      </c>
      <c r="E44" s="1277">
        <v>0.04</v>
      </c>
      <c r="F44" s="517">
        <v>1000000</v>
      </c>
      <c r="G44" s="1272">
        <f t="shared" si="3"/>
        <v>29</v>
      </c>
      <c r="H44" s="7">
        <f t="shared" si="1"/>
        <v>10872.561532127038</v>
      </c>
      <c r="I44" s="7">
        <f t="shared" si="2"/>
        <v>989127.43846787291</v>
      </c>
      <c r="J44" s="1261">
        <f t="shared" si="4"/>
        <v>4.0641672791420613E-2</v>
      </c>
      <c r="K44" s="7">
        <f t="shared" si="5"/>
        <v>40641.672791420613</v>
      </c>
      <c r="L44" s="1273"/>
      <c r="M44" s="67"/>
      <c r="O44" s="1274"/>
    </row>
    <row r="45" spans="1:15" s="483" customFormat="1">
      <c r="A45" s="1260">
        <f t="shared" si="6"/>
        <v>124</v>
      </c>
      <c r="B45" s="1302" t="s">
        <v>2701</v>
      </c>
      <c r="C45" s="1276">
        <v>41369</v>
      </c>
      <c r="D45" s="1276">
        <v>46844</v>
      </c>
      <c r="E45" s="1277">
        <v>1.375E-2</v>
      </c>
      <c r="F45" s="517">
        <v>157500</v>
      </c>
      <c r="G45" s="1272">
        <f t="shared" si="3"/>
        <v>10</v>
      </c>
      <c r="H45" s="490">
        <f t="shared" si="1"/>
        <v>676.61966000000018</v>
      </c>
      <c r="I45" s="490">
        <f t="shared" si="2"/>
        <v>156823.38034</v>
      </c>
      <c r="J45" s="1278">
        <f t="shared" si="4"/>
        <v>1.4212372883760186E-2</v>
      </c>
      <c r="K45" s="490">
        <f t="shared" si="5"/>
        <v>2238.4487291922292</v>
      </c>
      <c r="L45" s="1197"/>
      <c r="M45" s="405"/>
      <c r="O45" s="1274"/>
    </row>
    <row r="46" spans="1:15" s="483" customFormat="1">
      <c r="A46" s="1260">
        <f t="shared" si="6"/>
        <v>125</v>
      </c>
      <c r="B46" s="1302" t="s">
        <v>2702</v>
      </c>
      <c r="C46" s="1276">
        <v>41369</v>
      </c>
      <c r="D46" s="1276">
        <v>46844</v>
      </c>
      <c r="E46" s="1277">
        <v>1.9E-2</v>
      </c>
      <c r="F46" s="517">
        <v>38500</v>
      </c>
      <c r="G46" s="1272">
        <f t="shared" si="3"/>
        <v>10</v>
      </c>
      <c r="H46" s="490">
        <f t="shared" si="1"/>
        <v>229.21783000000008</v>
      </c>
      <c r="I46" s="490">
        <f t="shared" si="2"/>
        <v>38270.782169999999</v>
      </c>
      <c r="J46" s="1278">
        <f t="shared" si="4"/>
        <v>1.9658720273853444E-2</v>
      </c>
      <c r="K46" s="490">
        <f t="shared" si="5"/>
        <v>756.86073054335759</v>
      </c>
      <c r="L46" s="1197"/>
      <c r="M46" s="405"/>
      <c r="O46" s="1274"/>
    </row>
    <row r="47" spans="1:15">
      <c r="A47" s="1260">
        <f t="shared" si="6"/>
        <v>126</v>
      </c>
      <c r="B47" s="1302" t="s">
        <v>2703</v>
      </c>
      <c r="C47" s="1276">
        <v>38819</v>
      </c>
      <c r="D47" s="1276">
        <v>48884</v>
      </c>
      <c r="E47" s="1277">
        <v>2.6249999999999999E-2</v>
      </c>
      <c r="F47" s="517">
        <v>135000</v>
      </c>
      <c r="G47" s="1272">
        <f t="shared" si="3"/>
        <v>16</v>
      </c>
      <c r="H47" s="490">
        <f t="shared" ref="H47" si="7">(C122+D122)/1000</f>
        <v>1788.139283271362</v>
      </c>
      <c r="I47" s="490">
        <f t="shared" ref="I47" si="8">F47-H47</f>
        <v>133211.86071672864</v>
      </c>
      <c r="J47" s="1278">
        <f t="shared" ref="J47" si="9">(RATE(G47*2,-(E47*F47)/2,I47,-F47))*2</f>
        <v>2.7277134888885442E-2</v>
      </c>
      <c r="K47" s="490">
        <f t="shared" ref="K47" si="10">F47*J47</f>
        <v>3682.413209999535</v>
      </c>
      <c r="L47" s="1273"/>
      <c r="M47" s="67"/>
      <c r="O47" s="1274"/>
    </row>
    <row r="48" spans="1:15">
      <c r="A48" s="1260">
        <f t="shared" si="6"/>
        <v>127</v>
      </c>
      <c r="B48" s="1302" t="s">
        <v>2830</v>
      </c>
      <c r="C48" s="1276">
        <v>42095</v>
      </c>
      <c r="D48" s="1276">
        <v>48000</v>
      </c>
      <c r="E48" s="1277">
        <v>1.8749999999999999E-2</v>
      </c>
      <c r="F48" s="517">
        <v>75000</v>
      </c>
      <c r="G48" s="1272">
        <f t="shared" si="3"/>
        <v>13</v>
      </c>
      <c r="H48" s="7">
        <f t="shared" ref="H48:H53" si="11">(C123+D123)/1000</f>
        <v>1033.3981200000005</v>
      </c>
      <c r="I48" s="7">
        <f t="shared" si="2"/>
        <v>73966.601880000002</v>
      </c>
      <c r="J48" s="1261">
        <f t="shared" si="4"/>
        <v>1.9958586371811464E-2</v>
      </c>
      <c r="K48" s="7">
        <f t="shared" si="5"/>
        <v>1496.8939778858598</v>
      </c>
      <c r="L48" s="1273"/>
      <c r="M48" s="67"/>
      <c r="O48" s="1274"/>
    </row>
    <row r="49" spans="1:15" ht="13.15" customHeight="1">
      <c r="A49" s="1260">
        <f t="shared" si="6"/>
        <v>128</v>
      </c>
      <c r="B49" s="1302" t="s">
        <v>2712</v>
      </c>
      <c r="C49" s="1276">
        <v>42095</v>
      </c>
      <c r="D49" s="1276">
        <v>47209</v>
      </c>
      <c r="E49" s="1277">
        <v>1.8749999999999999E-2</v>
      </c>
      <c r="F49" s="517">
        <v>55540</v>
      </c>
      <c r="G49" s="1272">
        <f t="shared" si="3"/>
        <v>11</v>
      </c>
      <c r="H49" s="7">
        <f t="shared" si="11"/>
        <v>733.74684000000013</v>
      </c>
      <c r="I49" s="7">
        <f t="shared" si="2"/>
        <v>54806.25316</v>
      </c>
      <c r="J49" s="1261">
        <f t="shared" si="4"/>
        <v>2.0094634609983203E-2</v>
      </c>
      <c r="K49" s="7">
        <f t="shared" si="5"/>
        <v>1116.056006238467</v>
      </c>
      <c r="L49" s="1273"/>
      <c r="M49" s="67"/>
      <c r="O49" s="1274"/>
    </row>
    <row r="50" spans="1:15">
      <c r="A50" s="1260">
        <f t="shared" si="6"/>
        <v>129</v>
      </c>
      <c r="B50" s="1302" t="s">
        <v>2831</v>
      </c>
      <c r="C50" s="1276">
        <v>38047</v>
      </c>
      <c r="D50" s="1276">
        <v>49461</v>
      </c>
      <c r="E50" s="1322">
        <v>0.05</v>
      </c>
      <c r="F50" s="517">
        <v>144400</v>
      </c>
      <c r="G50" s="1272">
        <f t="shared" si="3"/>
        <v>17</v>
      </c>
      <c r="H50" s="7">
        <f t="shared" si="11"/>
        <v>313.48763000000037</v>
      </c>
      <c r="I50" s="7">
        <f t="shared" si="2"/>
        <v>144086.51237000001</v>
      </c>
      <c r="J50" s="1261">
        <f t="shared" si="4"/>
        <v>5.0191344715555516E-2</v>
      </c>
      <c r="K50" s="7">
        <f t="shared" si="5"/>
        <v>7247.6301769262163</v>
      </c>
      <c r="L50" s="1273"/>
      <c r="M50" s="67"/>
      <c r="O50" s="1274"/>
    </row>
    <row r="51" spans="1:15">
      <c r="A51" s="1260">
        <f t="shared" si="6"/>
        <v>130</v>
      </c>
      <c r="B51" s="1302" t="s">
        <v>2699</v>
      </c>
      <c r="C51" s="1276">
        <v>42095</v>
      </c>
      <c r="D51" s="1276">
        <v>47209</v>
      </c>
      <c r="E51" s="1322">
        <v>1.8749999999999999E-2</v>
      </c>
      <c r="F51" s="534">
        <v>203460</v>
      </c>
      <c r="G51" s="1272">
        <f t="shared" si="3"/>
        <v>11</v>
      </c>
      <c r="H51" s="7">
        <f t="shared" si="11"/>
        <v>1843.70056</v>
      </c>
      <c r="I51" s="7">
        <f t="shared" si="2"/>
        <v>201616.29944</v>
      </c>
      <c r="J51" s="1261">
        <f t="shared" si="4"/>
        <v>1.9670157151845176E-2</v>
      </c>
      <c r="K51" s="7">
        <f t="shared" si="5"/>
        <v>4002.0901741144194</v>
      </c>
      <c r="L51" s="1273"/>
      <c r="M51" s="67"/>
      <c r="O51" s="1274"/>
    </row>
    <row r="52" spans="1:15">
      <c r="A52" s="1260">
        <f t="shared" si="6"/>
        <v>131</v>
      </c>
      <c r="B52" s="1302" t="s">
        <v>2710</v>
      </c>
      <c r="C52" s="1276">
        <v>40442</v>
      </c>
      <c r="D52" s="1276">
        <v>47362</v>
      </c>
      <c r="E52" s="1277">
        <v>4.4999999999999998E-2</v>
      </c>
      <c r="F52" s="517">
        <v>100000</v>
      </c>
      <c r="G52" s="1272">
        <f t="shared" si="3"/>
        <v>12</v>
      </c>
      <c r="H52" s="7">
        <f t="shared" si="11"/>
        <v>1231.6605399999994</v>
      </c>
      <c r="I52" s="490">
        <f t="shared" si="2"/>
        <v>98768.339460000003</v>
      </c>
      <c r="J52" s="1278">
        <f t="shared" si="4"/>
        <v>4.6349693841930571E-2</v>
      </c>
      <c r="K52" s="490">
        <f t="shared" si="5"/>
        <v>4634.9693841930575</v>
      </c>
      <c r="L52" s="1197"/>
      <c r="M52" s="67"/>
      <c r="O52" s="1274"/>
    </row>
    <row r="53" spans="1:15">
      <c r="A53" s="1260">
        <f t="shared" si="6"/>
        <v>132</v>
      </c>
      <c r="B53" s="1302" t="s">
        <v>2713</v>
      </c>
      <c r="C53" s="1276">
        <v>40787</v>
      </c>
      <c r="D53" s="1276">
        <v>48092</v>
      </c>
      <c r="E53" s="1277">
        <v>7.9600000000000001E-3</v>
      </c>
      <c r="F53" s="517">
        <v>30000</v>
      </c>
      <c r="G53" s="1272">
        <f t="shared" si="3"/>
        <v>14</v>
      </c>
      <c r="H53" s="7">
        <f t="shared" si="11"/>
        <v>239.16691999999998</v>
      </c>
      <c r="I53" s="490">
        <f t="shared" ref="I53" si="12">F53-H53</f>
        <v>29760.83308</v>
      </c>
      <c r="J53" s="1278">
        <f t="shared" ref="J53" si="13">(RATE(G53*2,-(E53*F53)/2,I53,-F53))*2</f>
        <v>8.5654873607422573E-3</v>
      </c>
      <c r="K53" s="490">
        <f t="shared" ref="K53" si="14">F53*J53</f>
        <v>256.9646208222677</v>
      </c>
      <c r="L53" s="1197">
        <v>5</v>
      </c>
      <c r="M53" s="67"/>
      <c r="O53" s="1274"/>
    </row>
    <row r="54" spans="1:15">
      <c r="A54" s="1260">
        <f>A53+1</f>
        <v>133</v>
      </c>
      <c r="B54" s="1302" t="s">
        <v>2713</v>
      </c>
      <c r="C54" s="1276">
        <v>40787</v>
      </c>
      <c r="D54" s="1276">
        <v>48092</v>
      </c>
      <c r="E54" s="1322" t="s">
        <v>1986</v>
      </c>
      <c r="F54" s="534" t="s">
        <v>1986</v>
      </c>
      <c r="G54" s="1358" t="s">
        <v>1986</v>
      </c>
      <c r="H54" s="1334" t="s">
        <v>1986</v>
      </c>
      <c r="I54" s="1334" t="s">
        <v>1986</v>
      </c>
      <c r="J54" s="1356" t="s">
        <v>1986</v>
      </c>
      <c r="K54" s="1334" t="s">
        <v>1986</v>
      </c>
      <c r="L54" s="1197">
        <v>6</v>
      </c>
      <c r="M54" s="67"/>
      <c r="O54" s="1274"/>
    </row>
    <row r="55" spans="1:15">
      <c r="A55" s="1260">
        <f t="shared" si="6"/>
        <v>134</v>
      </c>
      <c r="B55" s="1302" t="s">
        <v>2714</v>
      </c>
      <c r="C55" s="1276">
        <v>36251</v>
      </c>
      <c r="D55" s="1276">
        <v>47209</v>
      </c>
      <c r="E55" s="1277">
        <v>6.6500000000000004E-2</v>
      </c>
      <c r="F55" s="517">
        <v>300000</v>
      </c>
      <c r="G55" s="1272">
        <f t="shared" si="3"/>
        <v>11</v>
      </c>
      <c r="H55" s="7">
        <f>(C130+D130)/1000</f>
        <v>1968.2433500000018</v>
      </c>
      <c r="I55" s="490">
        <f t="shared" ref="I55:I56" si="15">F55-H55</f>
        <v>298031.75665</v>
      </c>
      <c r="J55" s="1278">
        <f t="shared" ref="J55:J56" si="16">(RATE(G55*2,-(E55*F55)/2,I55,-F55))*2</f>
        <v>6.7353972739317938E-2</v>
      </c>
      <c r="K55" s="490">
        <f t="shared" ref="K55:K56" si="17">F55*J55</f>
        <v>20206.191821795383</v>
      </c>
      <c r="L55" s="1197"/>
      <c r="M55" s="67"/>
      <c r="O55" s="1274"/>
    </row>
    <row r="56" spans="1:15">
      <c r="A56" s="1260">
        <f>A55+1</f>
        <v>135</v>
      </c>
      <c r="B56" s="1302" t="s">
        <v>2715</v>
      </c>
      <c r="C56" s="1276">
        <v>37865</v>
      </c>
      <c r="D56" s="1276">
        <v>56128</v>
      </c>
      <c r="E56" s="1322">
        <v>5.0599999999999999E-2</v>
      </c>
      <c r="F56" s="517">
        <v>6557.6332599999996</v>
      </c>
      <c r="G56" s="1272">
        <f t="shared" si="3"/>
        <v>36</v>
      </c>
      <c r="H56" s="7">
        <f>(C131+D131)/1000</f>
        <v>0</v>
      </c>
      <c r="I56" s="490">
        <f t="shared" si="15"/>
        <v>6557.6332599999996</v>
      </c>
      <c r="J56" s="1278">
        <f t="shared" si="16"/>
        <v>5.0600000000003413E-2</v>
      </c>
      <c r="K56" s="490">
        <f t="shared" si="17"/>
        <v>331.81624295602234</v>
      </c>
      <c r="L56" s="1197">
        <v>7</v>
      </c>
      <c r="M56" s="67"/>
      <c r="O56" s="1274"/>
    </row>
    <row r="57" spans="1:15">
      <c r="A57" s="1260">
        <f>A56+1</f>
        <v>136</v>
      </c>
      <c r="B57" s="1302" t="s">
        <v>2726</v>
      </c>
      <c r="C57" s="1276">
        <v>42748</v>
      </c>
      <c r="D57" s="1276">
        <v>42986</v>
      </c>
      <c r="E57" s="393" t="s">
        <v>1986</v>
      </c>
      <c r="F57" s="393" t="s">
        <v>1986</v>
      </c>
      <c r="G57" s="1334" t="s">
        <v>1986</v>
      </c>
      <c r="H57" s="1334" t="s">
        <v>1986</v>
      </c>
      <c r="I57" s="1334" t="s">
        <v>1986</v>
      </c>
      <c r="J57" s="1356" t="s">
        <v>1986</v>
      </c>
      <c r="K57" s="1334" t="s">
        <v>1986</v>
      </c>
      <c r="L57" s="1197">
        <v>8</v>
      </c>
      <c r="M57" s="14"/>
    </row>
    <row r="58" spans="1:15">
      <c r="A58" s="1260">
        <f>A57+1</f>
        <v>137</v>
      </c>
      <c r="B58" s="1359" t="s">
        <v>513</v>
      </c>
      <c r="C58" s="1276"/>
      <c r="D58" s="1276"/>
      <c r="E58" s="393"/>
      <c r="F58" s="393"/>
      <c r="G58" s="1334"/>
      <c r="H58" s="1334"/>
      <c r="I58" s="1334"/>
      <c r="J58" s="1356"/>
      <c r="K58" s="1334"/>
      <c r="L58" s="1197"/>
      <c r="M58" s="14"/>
    </row>
    <row r="59" spans="1:15">
      <c r="A59" s="1260"/>
      <c r="L59" s="1279"/>
    </row>
    <row r="60" spans="1:15">
      <c r="A60" s="1260"/>
      <c r="B60" s="44" t="s">
        <v>2554</v>
      </c>
      <c r="C60" s="14"/>
      <c r="D60" s="14"/>
      <c r="E60" s="14"/>
      <c r="F60" s="14"/>
      <c r="L60" s="1279"/>
    </row>
    <row r="61" spans="1:15">
      <c r="A61" s="1260"/>
      <c r="B61" s="44"/>
      <c r="C61" s="14"/>
      <c r="D61" s="14"/>
      <c r="E61" s="14"/>
      <c r="F61" s="14"/>
      <c r="L61" s="1279"/>
    </row>
    <row r="62" spans="1:15">
      <c r="A62" s="1260"/>
      <c r="B62" s="932" t="s">
        <v>2555</v>
      </c>
      <c r="C62" s="932" t="s">
        <v>2556</v>
      </c>
      <c r="D62" s="14"/>
      <c r="E62" s="14"/>
      <c r="F62" s="14"/>
      <c r="L62" s="1279"/>
    </row>
    <row r="63" spans="1:15">
      <c r="A63" s="1260"/>
      <c r="B63" s="707">
        <v>1</v>
      </c>
      <c r="C63" s="1081" t="s">
        <v>2832</v>
      </c>
      <c r="D63" s="1081"/>
      <c r="E63" s="1081"/>
      <c r="F63" s="1081"/>
      <c r="G63" s="1081"/>
      <c r="H63" s="1081"/>
      <c r="I63" s="97"/>
      <c r="J63" s="97"/>
      <c r="K63" s="97"/>
      <c r="L63" s="1280"/>
    </row>
    <row r="64" spans="1:15">
      <c r="A64" s="1260"/>
      <c r="B64" s="707">
        <v>2</v>
      </c>
      <c r="C64" s="1081" t="s">
        <v>2833</v>
      </c>
      <c r="D64" s="1081"/>
      <c r="E64" s="1081"/>
      <c r="F64" s="1081"/>
      <c r="G64" s="1081"/>
      <c r="H64" s="1081"/>
      <c r="I64" s="97"/>
      <c r="J64" s="97"/>
      <c r="K64" s="97"/>
      <c r="L64" s="1280"/>
    </row>
    <row r="65" spans="1:13">
      <c r="A65" s="1260"/>
      <c r="B65" s="707">
        <v>3</v>
      </c>
      <c r="C65" s="1081" t="s">
        <v>2834</v>
      </c>
      <c r="D65" s="1081"/>
      <c r="E65" s="1081"/>
      <c r="F65" s="1081"/>
      <c r="G65" s="1081"/>
      <c r="H65" s="1081"/>
      <c r="I65" s="97"/>
      <c r="J65" s="97"/>
      <c r="K65" s="97"/>
      <c r="L65" s="1280"/>
    </row>
    <row r="66" spans="1:13">
      <c r="A66" s="1260"/>
      <c r="B66" s="707">
        <v>4</v>
      </c>
      <c r="C66" s="1081" t="s">
        <v>2835</v>
      </c>
      <c r="D66" s="1081"/>
      <c r="E66" s="1081"/>
      <c r="F66" s="1081"/>
      <c r="G66" s="1081"/>
      <c r="H66" s="1081"/>
      <c r="I66" s="97"/>
      <c r="J66" s="97"/>
      <c r="K66" s="97"/>
      <c r="L66" s="1280"/>
    </row>
    <row r="67" spans="1:13">
      <c r="A67" s="1260"/>
      <c r="B67" s="707">
        <v>5</v>
      </c>
      <c r="C67" s="1081" t="s">
        <v>2836</v>
      </c>
      <c r="D67" s="1081"/>
      <c r="E67" s="1081"/>
      <c r="F67" s="1081"/>
      <c r="G67" s="1081"/>
      <c r="H67" s="1081"/>
      <c r="I67" s="97"/>
      <c r="J67" s="97"/>
      <c r="K67" s="97"/>
      <c r="L67" s="1280"/>
    </row>
    <row r="68" spans="1:13">
      <c r="A68" s="1260"/>
      <c r="B68" s="707">
        <v>6</v>
      </c>
      <c r="C68" s="1081" t="s">
        <v>2837</v>
      </c>
      <c r="D68" s="1081"/>
      <c r="E68" s="1081"/>
      <c r="F68" s="1081"/>
      <c r="G68" s="1081"/>
      <c r="H68" s="1081"/>
      <c r="I68" s="97"/>
      <c r="J68" s="97"/>
      <c r="K68" s="97"/>
      <c r="L68" s="1280"/>
    </row>
    <row r="69" spans="1:13">
      <c r="A69" s="1260"/>
      <c r="B69" s="707">
        <v>7</v>
      </c>
      <c r="C69" s="1081" t="s">
        <v>2725</v>
      </c>
      <c r="D69" s="1081"/>
      <c r="E69" s="1081"/>
      <c r="F69" s="1081"/>
      <c r="G69" s="1081"/>
      <c r="H69" s="1081"/>
      <c r="I69" s="97"/>
      <c r="J69" s="97"/>
      <c r="K69" s="97"/>
      <c r="L69" s="1280"/>
    </row>
    <row r="70" spans="1:13">
      <c r="A70" s="1260"/>
      <c r="B70" s="151">
        <v>8</v>
      </c>
      <c r="C70" s="1081" t="s">
        <v>2832</v>
      </c>
      <c r="D70" s="97"/>
      <c r="E70" s="97"/>
      <c r="F70" s="97"/>
      <c r="G70" s="97"/>
      <c r="H70" s="97"/>
      <c r="I70" s="97"/>
      <c r="J70" s="97"/>
      <c r="K70" s="97"/>
      <c r="L70" s="1280"/>
    </row>
    <row r="71" spans="1:13">
      <c r="A71" s="1260"/>
      <c r="B71" s="1359" t="s">
        <v>513</v>
      </c>
      <c r="C71" s="1081"/>
      <c r="D71" s="97"/>
      <c r="E71" s="97"/>
      <c r="F71" s="97"/>
      <c r="G71" s="97"/>
      <c r="H71" s="97"/>
      <c r="I71" s="97"/>
      <c r="J71" s="97"/>
      <c r="K71" s="97"/>
      <c r="L71" s="1280"/>
    </row>
    <row r="72" spans="1:13">
      <c r="A72" s="1260"/>
      <c r="L72" s="1279"/>
    </row>
    <row r="73" spans="1:13">
      <c r="A73" s="1260">
        <v>200</v>
      </c>
      <c r="E73" s="68" t="s">
        <v>2557</v>
      </c>
      <c r="F73" s="7">
        <f>SUM(F$22:F$57)*1000</f>
        <v>10616790400.346558</v>
      </c>
      <c r="J73" s="68" t="s">
        <v>2558</v>
      </c>
      <c r="K73" s="7">
        <f>SUM(K$22:K$57)*1000</f>
        <v>499100333.42735654</v>
      </c>
    </row>
    <row r="74" spans="1:13">
      <c r="A74" s="1260"/>
      <c r="F74" s="63"/>
    </row>
    <row r="75" spans="1:13">
      <c r="A75" s="1260"/>
      <c r="B75" s="1" t="s">
        <v>2559</v>
      </c>
    </row>
    <row r="76" spans="1:13">
      <c r="A76" s="1260"/>
      <c r="B76" s="1"/>
    </row>
    <row r="77" spans="1:13">
      <c r="A77" s="1260"/>
      <c r="B77" s="84" t="s">
        <v>363</v>
      </c>
      <c r="C77" s="84" t="s">
        <v>347</v>
      </c>
      <c r="D77" s="84" t="s">
        <v>348</v>
      </c>
      <c r="E77" s="84" t="s">
        <v>349</v>
      </c>
      <c r="F77" s="84" t="s">
        <v>350</v>
      </c>
      <c r="M77" s="1281"/>
    </row>
    <row r="78" spans="1:13" s="14" customFormat="1" ht="13.5" thickBot="1">
      <c r="A78" s="1260"/>
      <c r="B78" s="485"/>
      <c r="C78" s="485"/>
      <c r="D78" s="485"/>
      <c r="E78" s="485"/>
      <c r="F78" s="497"/>
      <c r="G78" s="1075"/>
      <c r="H78" s="1075"/>
      <c r="I78" s="1075"/>
      <c r="J78" s="1075"/>
      <c r="K78" s="1075"/>
      <c r="L78" s="1075"/>
      <c r="M78" s="956"/>
    </row>
    <row r="79" spans="1:13" s="14" customFormat="1" ht="26.25" thickBot="1">
      <c r="A79" s="1260"/>
      <c r="B79" s="1262" t="s">
        <v>2543</v>
      </c>
      <c r="C79" s="1263" t="s">
        <v>2544</v>
      </c>
      <c r="D79" s="1263" t="s">
        <v>2545</v>
      </c>
      <c r="E79" s="1264" t="s">
        <v>2546</v>
      </c>
      <c r="F79" s="1265" t="s">
        <v>2560</v>
      </c>
      <c r="G79" s="1380" t="s">
        <v>2639</v>
      </c>
      <c r="H79" s="1381"/>
      <c r="I79" s="1075"/>
      <c r="J79" s="1075"/>
      <c r="K79" s="1075"/>
      <c r="L79" s="1075"/>
      <c r="M79" s="956"/>
    </row>
    <row r="80" spans="1:13" s="14" customFormat="1">
      <c r="A80" s="1260">
        <v>201</v>
      </c>
      <c r="B80" s="1302" t="s">
        <v>2838</v>
      </c>
      <c r="C80" s="1276">
        <v>40787</v>
      </c>
      <c r="D80" s="1276">
        <v>48092</v>
      </c>
      <c r="E80" s="1277">
        <v>4.0724999999999997E-3</v>
      </c>
      <c r="F80" s="517">
        <v>-30000</v>
      </c>
      <c r="G80" s="517"/>
      <c r="H80" s="517"/>
      <c r="I80" s="1075"/>
      <c r="J80" s="1075"/>
      <c r="K80" s="1075"/>
      <c r="L80" s="1075"/>
      <c r="M80" s="956"/>
    </row>
    <row r="81" spans="1:13" s="14" customFormat="1">
      <c r="A81" s="1260">
        <f t="shared" ref="A81:A84" si="18">A80+1</f>
        <v>202</v>
      </c>
      <c r="B81" s="1275"/>
      <c r="C81" s="1276"/>
      <c r="D81" s="1276"/>
      <c r="E81" s="1277"/>
      <c r="F81" s="517"/>
      <c r="G81" s="517"/>
      <c r="H81" s="517"/>
      <c r="I81" s="1075"/>
      <c r="J81" s="1075"/>
      <c r="K81" s="1075"/>
      <c r="L81" s="1075"/>
      <c r="M81" s="956"/>
    </row>
    <row r="82" spans="1:13" s="14" customFormat="1">
      <c r="A82" s="1260">
        <f t="shared" si="18"/>
        <v>203</v>
      </c>
      <c r="B82" s="1275"/>
      <c r="C82" s="1276"/>
      <c r="D82" s="1276"/>
      <c r="E82" s="1277"/>
      <c r="F82" s="517"/>
      <c r="G82" s="517"/>
      <c r="H82" s="517"/>
      <c r="I82" s="1075"/>
      <c r="J82" s="1075"/>
      <c r="K82" s="1075"/>
      <c r="L82" s="1075"/>
      <c r="M82" s="956"/>
    </row>
    <row r="83" spans="1:13" s="14" customFormat="1">
      <c r="A83" s="1260">
        <f t="shared" si="18"/>
        <v>204</v>
      </c>
      <c r="B83" s="1275" t="s">
        <v>513</v>
      </c>
      <c r="C83" s="1276"/>
      <c r="D83" s="1276"/>
      <c r="E83" s="1277"/>
      <c r="F83" s="517"/>
      <c r="G83" s="517"/>
      <c r="H83" s="517"/>
      <c r="I83" s="1075"/>
      <c r="J83" s="1075"/>
      <c r="K83" s="1075"/>
      <c r="L83" s="1075"/>
      <c r="M83" s="956"/>
    </row>
    <row r="84" spans="1:13" s="14" customFormat="1">
      <c r="A84" s="1260">
        <f t="shared" si="18"/>
        <v>205</v>
      </c>
      <c r="B84" s="485"/>
      <c r="C84" s="485"/>
      <c r="D84" s="485"/>
      <c r="E84" s="68" t="s">
        <v>2561</v>
      </c>
      <c r="F84" s="490">
        <f>+SUM(F80:F83)*1000</f>
        <v>-30000000</v>
      </c>
      <c r="G84" s="485"/>
      <c r="H84" s="485"/>
      <c r="I84" s="485"/>
      <c r="J84" s="485"/>
      <c r="K84" s="485"/>
      <c r="L84" s="485"/>
      <c r="M84" s="956"/>
    </row>
    <row r="85" spans="1:13" s="14" customFormat="1">
      <c r="A85" s="1260"/>
      <c r="B85" s="485"/>
      <c r="C85" s="485"/>
      <c r="D85" s="485"/>
      <c r="E85" s="68"/>
      <c r="F85" s="490"/>
      <c r="G85" s="485"/>
      <c r="H85" s="485"/>
      <c r="I85" s="485"/>
      <c r="J85" s="485"/>
      <c r="K85" s="485"/>
      <c r="L85" s="485"/>
      <c r="M85" s="956"/>
    </row>
    <row r="86" spans="1:13" s="14" customFormat="1">
      <c r="A86" s="1260"/>
      <c r="B86" s="44" t="s">
        <v>2562</v>
      </c>
      <c r="G86" s="1075"/>
      <c r="H86" s="1075"/>
      <c r="I86" s="1075"/>
      <c r="J86" s="1075"/>
      <c r="K86" s="1075"/>
      <c r="L86" s="1279"/>
      <c r="M86" s="956"/>
    </row>
    <row r="87" spans="1:13" s="14" customFormat="1">
      <c r="A87" s="1260"/>
      <c r="B87" s="44"/>
      <c r="G87" s="1075"/>
      <c r="H87" s="1075"/>
      <c r="I87" s="1075"/>
      <c r="J87" s="1075"/>
      <c r="K87" s="1075"/>
      <c r="L87" s="1279"/>
      <c r="M87" s="956"/>
    </row>
    <row r="88" spans="1:13" s="14" customFormat="1">
      <c r="A88" s="1260"/>
      <c r="B88" s="932" t="s">
        <v>2555</v>
      </c>
      <c r="C88" s="932" t="s">
        <v>2556</v>
      </c>
      <c r="G88" s="1075"/>
      <c r="H88" s="1075"/>
      <c r="I88" s="1075"/>
      <c r="J88" s="1075"/>
      <c r="K88" s="1075"/>
      <c r="L88" s="1279"/>
      <c r="M88" s="956"/>
    </row>
    <row r="89" spans="1:13" s="14" customFormat="1">
      <c r="A89" s="1260"/>
      <c r="B89" s="151"/>
      <c r="C89" s="517"/>
      <c r="D89" s="97"/>
      <c r="E89" s="97"/>
      <c r="F89" s="97"/>
      <c r="G89" s="97"/>
      <c r="H89" s="97"/>
      <c r="I89" s="97"/>
      <c r="J89" s="97"/>
      <c r="K89" s="97"/>
      <c r="L89" s="1280"/>
      <c r="M89" s="956"/>
    </row>
    <row r="90" spans="1:13" s="14" customFormat="1">
      <c r="A90" s="1260"/>
      <c r="B90" s="151"/>
      <c r="C90" s="1081"/>
      <c r="D90" s="97"/>
      <c r="E90" s="97"/>
      <c r="F90" s="97"/>
      <c r="G90" s="97"/>
      <c r="H90" s="97"/>
      <c r="I90" s="97"/>
      <c r="J90" s="97"/>
      <c r="K90" s="97"/>
      <c r="L90" s="1280"/>
      <c r="M90" s="956"/>
    </row>
    <row r="91" spans="1:13" s="14" customFormat="1">
      <c r="A91" s="1260"/>
      <c r="B91" s="151"/>
      <c r="C91" s="1081"/>
      <c r="D91" s="97"/>
      <c r="E91" s="97"/>
      <c r="F91" s="97"/>
      <c r="G91" s="97"/>
      <c r="H91" s="97"/>
      <c r="I91" s="97"/>
      <c r="J91" s="97"/>
      <c r="K91" s="97"/>
      <c r="L91" s="1280"/>
      <c r="M91" s="956"/>
    </row>
    <row r="92" spans="1:13" s="14" customFormat="1">
      <c r="A92" s="1260"/>
      <c r="F92" s="63"/>
    </row>
    <row r="93" spans="1:13">
      <c r="B93" s="1282" t="s">
        <v>2563</v>
      </c>
    </row>
    <row r="94" spans="1:13">
      <c r="B94" s="84" t="s">
        <v>363</v>
      </c>
      <c r="C94" s="84" t="s">
        <v>347</v>
      </c>
      <c r="D94" s="84" t="s">
        <v>348</v>
      </c>
    </row>
    <row r="95" spans="1:13" ht="13.5" thickBot="1"/>
    <row r="96" spans="1:13" ht="64.5" thickBot="1">
      <c r="A96" s="3" t="s">
        <v>332</v>
      </c>
      <c r="B96" s="1283" t="s">
        <v>2543</v>
      </c>
      <c r="C96" s="1287" t="s">
        <v>2636</v>
      </c>
      <c r="D96" s="1287" t="s">
        <v>2637</v>
      </c>
    </row>
    <row r="97" spans="1:6">
      <c r="A97" s="1260">
        <v>301</v>
      </c>
      <c r="B97" s="1320" t="s">
        <v>2695</v>
      </c>
      <c r="C97" s="517">
        <v>2665100.1599999983</v>
      </c>
      <c r="D97" s="517">
        <v>1855139.300000001</v>
      </c>
      <c r="E97" s="63"/>
      <c r="F97" s="1272"/>
    </row>
    <row r="98" spans="1:6">
      <c r="A98" s="1260">
        <f>A97+1</f>
        <v>302</v>
      </c>
      <c r="B98" s="1302" t="s">
        <v>2696</v>
      </c>
      <c r="C98" s="517">
        <v>1728780.0099999979</v>
      </c>
      <c r="D98" s="517">
        <v>85627.509999999966</v>
      </c>
      <c r="E98" s="63"/>
      <c r="F98" s="1272"/>
    </row>
    <row r="99" spans="1:6">
      <c r="A99" s="1260">
        <f t="shared" ref="A99:A133" si="19">A98+1</f>
        <v>303</v>
      </c>
      <c r="B99" s="1320" t="s">
        <v>2697</v>
      </c>
      <c r="C99" s="517">
        <v>1384926.1999999993</v>
      </c>
      <c r="D99" s="517">
        <v>426889.85000000027</v>
      </c>
      <c r="E99" s="63"/>
      <c r="F99" s="1272"/>
    </row>
    <row r="100" spans="1:6">
      <c r="A100" s="1260">
        <f t="shared" si="19"/>
        <v>304</v>
      </c>
      <c r="B100" s="1320" t="s">
        <v>2698</v>
      </c>
      <c r="C100" s="517">
        <v>1817692.1199999982</v>
      </c>
      <c r="D100" s="517">
        <v>98086.610000000073</v>
      </c>
      <c r="E100" s="63"/>
      <c r="F100" s="1272"/>
    </row>
    <row r="101" spans="1:6">
      <c r="A101" s="1260">
        <f t="shared" si="19"/>
        <v>305</v>
      </c>
      <c r="B101" s="1320" t="s">
        <v>2700</v>
      </c>
      <c r="C101" s="517">
        <v>2072385.370000002</v>
      </c>
      <c r="D101" s="517">
        <v>516886.33000000101</v>
      </c>
      <c r="E101" s="63"/>
      <c r="F101" s="1272"/>
    </row>
    <row r="102" spans="1:6">
      <c r="A102" s="1260">
        <f t="shared" si="19"/>
        <v>306</v>
      </c>
      <c r="B102" s="1321" t="s">
        <v>2704</v>
      </c>
      <c r="C102" s="517">
        <v>2549836.3900000006</v>
      </c>
      <c r="D102" s="517">
        <v>1376661.5999999994</v>
      </c>
      <c r="E102" s="63"/>
      <c r="F102" s="1272"/>
    </row>
    <row r="103" spans="1:6">
      <c r="A103" s="1260">
        <f t="shared" si="19"/>
        <v>307</v>
      </c>
      <c r="B103" s="1302" t="s">
        <v>2705</v>
      </c>
      <c r="C103" s="517">
        <v>4247432.9400000013</v>
      </c>
      <c r="D103" s="517">
        <v>1846140.0500000003</v>
      </c>
      <c r="E103" s="63"/>
      <c r="F103" s="1272"/>
    </row>
    <row r="104" spans="1:6">
      <c r="A104" s="1260">
        <f t="shared" si="19"/>
        <v>308</v>
      </c>
      <c r="B104" s="1320" t="s">
        <v>2706</v>
      </c>
      <c r="C104" s="517">
        <v>201895.5700000017</v>
      </c>
      <c r="D104" s="517">
        <v>141140.82000000007</v>
      </c>
      <c r="E104" s="63"/>
      <c r="F104" s="1272"/>
    </row>
    <row r="105" spans="1:6">
      <c r="A105" s="1260">
        <f t="shared" si="19"/>
        <v>309</v>
      </c>
      <c r="B105" s="1320" t="s">
        <v>2707</v>
      </c>
      <c r="C105" s="517">
        <v>3612203.2999999993</v>
      </c>
      <c r="D105" s="517">
        <v>2895657.4399999976</v>
      </c>
      <c r="E105" s="63"/>
      <c r="F105" s="1272"/>
    </row>
    <row r="106" spans="1:6">
      <c r="A106" s="1260">
        <f t="shared" si="19"/>
        <v>310</v>
      </c>
      <c r="B106" s="1320" t="s">
        <v>2708</v>
      </c>
      <c r="C106" s="517">
        <v>3958351.6799999997</v>
      </c>
      <c r="D106" s="517">
        <v>4466469.34</v>
      </c>
      <c r="E106" s="63"/>
      <c r="F106" s="1272"/>
    </row>
    <row r="107" spans="1:6">
      <c r="A107" s="1260">
        <f t="shared" si="19"/>
        <v>311</v>
      </c>
      <c r="B107" s="1302" t="s">
        <v>2709</v>
      </c>
      <c r="C107" s="517">
        <v>4022487.0500000017</v>
      </c>
      <c r="D107" s="517">
        <v>2402438.1299999966</v>
      </c>
      <c r="E107" s="63"/>
      <c r="F107" s="1272"/>
    </row>
    <row r="108" spans="1:6">
      <c r="A108" s="1260">
        <f t="shared" si="19"/>
        <v>312</v>
      </c>
      <c r="B108" s="1320" t="s">
        <v>2818</v>
      </c>
      <c r="C108" s="517">
        <v>1457836.5999999996</v>
      </c>
      <c r="D108" s="517">
        <v>981519.95999999787</v>
      </c>
      <c r="E108" s="63"/>
      <c r="F108" s="1272"/>
    </row>
    <row r="109" spans="1:6">
      <c r="A109" s="1260">
        <f t="shared" si="19"/>
        <v>313</v>
      </c>
      <c r="B109" s="1302" t="s">
        <v>2819</v>
      </c>
      <c r="C109" s="517">
        <v>2151319.6000000006</v>
      </c>
      <c r="D109" s="517">
        <v>1115380.4199999983</v>
      </c>
      <c r="E109" s="63"/>
      <c r="F109" s="1272"/>
    </row>
    <row r="110" spans="1:6">
      <c r="A110" s="1260">
        <f t="shared" si="19"/>
        <v>314</v>
      </c>
      <c r="B110" s="1302" t="s">
        <v>2820</v>
      </c>
      <c r="C110" s="517">
        <v>3467250.2500000014</v>
      </c>
      <c r="D110" s="517">
        <v>3813926.33</v>
      </c>
      <c r="E110" s="63"/>
      <c r="F110" s="1272"/>
    </row>
    <row r="111" spans="1:6">
      <c r="A111" s="1260">
        <f t="shared" si="19"/>
        <v>315</v>
      </c>
      <c r="B111" s="1302" t="s">
        <v>2821</v>
      </c>
      <c r="C111" s="517">
        <v>3625567.2699999996</v>
      </c>
      <c r="D111" s="517">
        <v>2004837.0000000019</v>
      </c>
      <c r="E111" s="63"/>
      <c r="F111" s="1272"/>
    </row>
    <row r="112" spans="1:6">
      <c r="A112" s="1260">
        <f t="shared" si="19"/>
        <v>316</v>
      </c>
      <c r="B112" s="1302" t="s">
        <v>2822</v>
      </c>
      <c r="C112" s="517">
        <v>3008083.0000000014</v>
      </c>
      <c r="D112" s="517">
        <v>607367.820000001</v>
      </c>
      <c r="E112" s="63"/>
      <c r="F112" s="1272"/>
    </row>
    <row r="113" spans="1:6">
      <c r="A113" s="1260">
        <f t="shared" si="19"/>
        <v>317</v>
      </c>
      <c r="B113" s="1302" t="s">
        <v>2823</v>
      </c>
      <c r="C113" s="517">
        <v>7508686.0700000003</v>
      </c>
      <c r="D113" s="517">
        <v>4724692.7599999961</v>
      </c>
      <c r="E113" s="63"/>
      <c r="F113" s="1272"/>
    </row>
    <row r="114" spans="1:6">
      <c r="A114" s="1260">
        <f t="shared" si="19"/>
        <v>318</v>
      </c>
      <c r="B114" s="1302" t="s">
        <v>2824</v>
      </c>
      <c r="C114" s="534" t="s">
        <v>1986</v>
      </c>
      <c r="D114" s="534" t="s">
        <v>1986</v>
      </c>
      <c r="E114" s="63"/>
      <c r="F114" s="1272"/>
    </row>
    <row r="115" spans="1:6">
      <c r="A115" s="1260">
        <f t="shared" si="19"/>
        <v>319</v>
      </c>
      <c r="B115" s="1302" t="s">
        <v>2825</v>
      </c>
      <c r="C115" s="534" t="s">
        <v>1986</v>
      </c>
      <c r="D115" s="534" t="s">
        <v>1986</v>
      </c>
      <c r="E115" s="63"/>
      <c r="F115" s="1272"/>
    </row>
    <row r="116" spans="1:6">
      <c r="A116" s="1260">
        <f t="shared" si="19"/>
        <v>320</v>
      </c>
      <c r="B116" s="1302" t="s">
        <v>2826</v>
      </c>
      <c r="C116" s="517">
        <v>1040703.0558922983</v>
      </c>
      <c r="D116" s="517">
        <v>0</v>
      </c>
      <c r="E116" s="63"/>
      <c r="F116" s="1272"/>
    </row>
    <row r="117" spans="1:6">
      <c r="A117" s="1260">
        <f t="shared" si="19"/>
        <v>321</v>
      </c>
      <c r="B117" s="1302" t="s">
        <v>2827</v>
      </c>
      <c r="C117" s="517">
        <v>618603.71919089765</v>
      </c>
      <c r="D117" s="517">
        <v>5290.1581939258322</v>
      </c>
      <c r="E117" s="63"/>
      <c r="F117" s="1272"/>
    </row>
    <row r="118" spans="1:6">
      <c r="A118" s="1260">
        <f t="shared" si="19"/>
        <v>322</v>
      </c>
      <c r="B118" s="1302" t="s">
        <v>2828</v>
      </c>
      <c r="C118" s="517">
        <v>4229357.9700000007</v>
      </c>
      <c r="D118" s="517">
        <v>1472597.6600000018</v>
      </c>
      <c r="E118" s="63"/>
      <c r="F118" s="1272"/>
    </row>
    <row r="119" spans="1:6">
      <c r="A119" s="1260">
        <f t="shared" si="19"/>
        <v>323</v>
      </c>
      <c r="B119" s="1302" t="s">
        <v>2829</v>
      </c>
      <c r="C119" s="517">
        <v>10395120.992127039</v>
      </c>
      <c r="D119" s="517">
        <v>477440.53999999992</v>
      </c>
      <c r="E119" s="63"/>
      <c r="F119" s="1272"/>
    </row>
    <row r="120" spans="1:6">
      <c r="A120" s="1260">
        <f t="shared" si="19"/>
        <v>324</v>
      </c>
      <c r="B120" s="1302" t="s">
        <v>2701</v>
      </c>
      <c r="C120" s="517">
        <v>676619.66000000015</v>
      </c>
      <c r="D120" s="517">
        <v>0</v>
      </c>
      <c r="E120" s="497"/>
      <c r="F120" s="1285"/>
    </row>
    <row r="121" spans="1:6">
      <c r="A121" s="1260">
        <f t="shared" si="19"/>
        <v>325</v>
      </c>
      <c r="B121" s="1302" t="s">
        <v>2702</v>
      </c>
      <c r="C121" s="517">
        <v>229217.83000000007</v>
      </c>
      <c r="D121" s="517">
        <v>0</v>
      </c>
      <c r="E121" s="497"/>
      <c r="F121" s="1285"/>
    </row>
    <row r="122" spans="1:6">
      <c r="A122" s="1260">
        <f t="shared" si="19"/>
        <v>326</v>
      </c>
      <c r="B122" s="1302" t="s">
        <v>2703</v>
      </c>
      <c r="C122" s="517">
        <v>1788139.2832713621</v>
      </c>
      <c r="D122" s="517">
        <v>0</v>
      </c>
      <c r="E122" s="63"/>
      <c r="F122" s="1272"/>
    </row>
    <row r="123" spans="1:6">
      <c r="A123" s="1260">
        <f t="shared" si="19"/>
        <v>327</v>
      </c>
      <c r="B123" s="1302" t="s">
        <v>2830</v>
      </c>
      <c r="C123" s="517">
        <v>1033398.1200000006</v>
      </c>
      <c r="D123" s="517">
        <v>0</v>
      </c>
      <c r="E123" s="63"/>
      <c r="F123" s="1272"/>
    </row>
    <row r="124" spans="1:6">
      <c r="A124" s="1260">
        <f t="shared" si="19"/>
        <v>328</v>
      </c>
      <c r="B124" s="1302" t="s">
        <v>2712</v>
      </c>
      <c r="C124" s="517">
        <v>733746.84000000008</v>
      </c>
      <c r="D124" s="517">
        <v>0</v>
      </c>
      <c r="E124" s="63"/>
      <c r="F124" s="14"/>
    </row>
    <row r="125" spans="1:6">
      <c r="A125" s="1260">
        <f t="shared" si="19"/>
        <v>329</v>
      </c>
      <c r="B125" s="1302" t="s">
        <v>2831</v>
      </c>
      <c r="C125" s="517">
        <v>313487.63000000035</v>
      </c>
      <c r="D125" s="517">
        <v>0</v>
      </c>
      <c r="E125" s="63"/>
      <c r="F125" s="14"/>
    </row>
    <row r="126" spans="1:6">
      <c r="A126" s="1260">
        <f t="shared" si="19"/>
        <v>330</v>
      </c>
      <c r="B126" s="1302" t="s">
        <v>2699</v>
      </c>
      <c r="C126" s="517">
        <v>1843700.56</v>
      </c>
      <c r="D126" s="517">
        <v>0</v>
      </c>
      <c r="E126" s="63"/>
      <c r="F126" s="14"/>
    </row>
    <row r="127" spans="1:6">
      <c r="A127" s="1260">
        <f t="shared" si="19"/>
        <v>331</v>
      </c>
      <c r="B127" s="1319" t="s">
        <v>2710</v>
      </c>
      <c r="C127" s="517">
        <v>1231660.5399999993</v>
      </c>
      <c r="D127" s="517">
        <v>0</v>
      </c>
      <c r="E127" s="63"/>
      <c r="F127" s="14"/>
    </row>
    <row r="128" spans="1:6">
      <c r="A128" s="1260">
        <f t="shared" si="19"/>
        <v>332</v>
      </c>
      <c r="B128" s="1320" t="s">
        <v>2713</v>
      </c>
      <c r="C128" s="517">
        <v>239166.91999999998</v>
      </c>
      <c r="D128" s="517">
        <v>0</v>
      </c>
      <c r="E128" s="63"/>
      <c r="F128" s="14"/>
    </row>
    <row r="129" spans="1:8">
      <c r="A129" s="1260">
        <f t="shared" si="19"/>
        <v>333</v>
      </c>
      <c r="B129" s="1320" t="s">
        <v>2713</v>
      </c>
      <c r="C129" s="1357" t="s">
        <v>1986</v>
      </c>
      <c r="D129" s="1357" t="s">
        <v>1986</v>
      </c>
      <c r="E129" s="63"/>
      <c r="F129" s="14"/>
    </row>
    <row r="130" spans="1:8">
      <c r="A130" s="1260">
        <f t="shared" si="19"/>
        <v>334</v>
      </c>
      <c r="B130" s="1359" t="s">
        <v>2714</v>
      </c>
      <c r="C130" s="1099">
        <v>612597.28</v>
      </c>
      <c r="D130" s="1099">
        <v>1355646.0700000017</v>
      </c>
      <c r="E130" s="63"/>
      <c r="F130" s="14"/>
    </row>
    <row r="131" spans="1:8">
      <c r="A131" s="1260">
        <f t="shared" si="19"/>
        <v>335</v>
      </c>
      <c r="B131" s="1359" t="s">
        <v>2715</v>
      </c>
      <c r="C131" s="1099">
        <v>0</v>
      </c>
      <c r="D131" s="1099">
        <v>0</v>
      </c>
      <c r="E131" s="63"/>
      <c r="F131" s="14"/>
    </row>
    <row r="132" spans="1:8">
      <c r="A132" s="1260">
        <f t="shared" si="19"/>
        <v>336</v>
      </c>
      <c r="B132" s="1359" t="s">
        <v>2726</v>
      </c>
      <c r="C132" s="600" t="s">
        <v>1986</v>
      </c>
      <c r="D132" s="600" t="s">
        <v>1986</v>
      </c>
      <c r="E132" s="63"/>
      <c r="F132" s="14"/>
    </row>
    <row r="133" spans="1:8">
      <c r="A133" s="1260">
        <f t="shared" si="19"/>
        <v>337</v>
      </c>
      <c r="B133" s="1286" t="s">
        <v>513</v>
      </c>
      <c r="C133" s="1099"/>
      <c r="D133" s="1099"/>
      <c r="E133" s="63"/>
      <c r="F133" s="14"/>
    </row>
    <row r="134" spans="1:8">
      <c r="A134" s="1260"/>
      <c r="G134" s="63"/>
      <c r="H134" s="14"/>
    </row>
    <row r="135" spans="1:8">
      <c r="B135" s="1282" t="s">
        <v>2564</v>
      </c>
    </row>
    <row r="136" spans="1:8">
      <c r="B136" s="84" t="s">
        <v>363</v>
      </c>
      <c r="C136" s="84" t="s">
        <v>347</v>
      </c>
      <c r="D136" s="84" t="s">
        <v>348</v>
      </c>
    </row>
    <row r="137" spans="1:8" ht="13.5" thickBot="1"/>
    <row r="138" spans="1:8" ht="40.15" customHeight="1" thickBot="1">
      <c r="A138" s="3" t="s">
        <v>332</v>
      </c>
      <c r="B138" s="1283" t="s">
        <v>2543</v>
      </c>
      <c r="C138" s="1284" t="s">
        <v>2638</v>
      </c>
      <c r="D138" s="1287" t="s">
        <v>2565</v>
      </c>
    </row>
    <row r="139" spans="1:8">
      <c r="A139" s="580">
        <v>401</v>
      </c>
      <c r="B139" s="1081" t="s">
        <v>2839</v>
      </c>
      <c r="C139" s="1099">
        <v>-223.73565760654003</v>
      </c>
      <c r="D139" s="1099">
        <v>506.00352000000009</v>
      </c>
    </row>
    <row r="140" spans="1:8">
      <c r="A140" s="1260">
        <f t="shared" ref="A140:A195" si="20">A139+1</f>
        <v>402</v>
      </c>
      <c r="B140" s="1081" t="s">
        <v>2839</v>
      </c>
      <c r="C140" s="1099">
        <v>-21.520035191617929</v>
      </c>
      <c r="D140" s="1099">
        <v>48.66935999999999</v>
      </c>
    </row>
    <row r="141" spans="1:8">
      <c r="A141" s="1260">
        <f t="shared" si="20"/>
        <v>403</v>
      </c>
      <c r="B141" s="1081" t="s">
        <v>2840</v>
      </c>
      <c r="C141" s="1099">
        <v>-1094.7930353034687</v>
      </c>
      <c r="D141" s="1099">
        <v>246.31331999999995</v>
      </c>
    </row>
    <row r="142" spans="1:8">
      <c r="A142" s="1260">
        <f t="shared" si="20"/>
        <v>404</v>
      </c>
      <c r="B142" s="1081" t="s">
        <v>2841</v>
      </c>
      <c r="C142" s="1099">
        <v>-1161.0941879290335</v>
      </c>
      <c r="D142" s="1099">
        <v>261.23015999999996</v>
      </c>
    </row>
    <row r="143" spans="1:8">
      <c r="A143" s="1260">
        <f t="shared" si="20"/>
        <v>405</v>
      </c>
      <c r="B143" s="1081" t="s">
        <v>2842</v>
      </c>
      <c r="C143" s="1099">
        <v>-657.62998415400784</v>
      </c>
      <c r="D143" s="1099">
        <v>202.81415999999996</v>
      </c>
    </row>
    <row r="144" spans="1:8">
      <c r="A144" s="1260">
        <f t="shared" si="20"/>
        <v>406</v>
      </c>
      <c r="B144" s="1081" t="s">
        <v>2843</v>
      </c>
      <c r="C144" s="1099">
        <v>-9.4610984000001494E-2</v>
      </c>
      <c r="D144" s="1099">
        <v>7.8480000000000022E-2</v>
      </c>
    </row>
    <row r="145" spans="1:4">
      <c r="A145" s="1260">
        <f t="shared" si="20"/>
        <v>407</v>
      </c>
      <c r="B145" s="1081" t="s">
        <v>2843</v>
      </c>
      <c r="C145" s="1099">
        <v>-2732.0697767285592</v>
      </c>
      <c r="D145" s="1099">
        <v>567.44831999999997</v>
      </c>
    </row>
    <row r="146" spans="1:4">
      <c r="A146" s="1260">
        <f t="shared" si="20"/>
        <v>408</v>
      </c>
      <c r="B146" s="1081" t="s">
        <v>2840</v>
      </c>
      <c r="C146" s="1099">
        <v>-4477.7612199579271</v>
      </c>
      <c r="D146" s="1099">
        <v>1098.1038000000001</v>
      </c>
    </row>
    <row r="147" spans="1:4">
      <c r="A147" s="1260">
        <f t="shared" si="20"/>
        <v>409</v>
      </c>
      <c r="B147" s="1081" t="s">
        <v>2844</v>
      </c>
      <c r="C147" s="1099">
        <v>-65.254460932856759</v>
      </c>
      <c r="D147" s="1099">
        <v>649.42919999999981</v>
      </c>
    </row>
    <row r="148" spans="1:4">
      <c r="A148" s="1260">
        <f t="shared" si="20"/>
        <v>410</v>
      </c>
      <c r="B148" s="1081" t="s">
        <v>2845</v>
      </c>
      <c r="C148" s="1099">
        <v>-794.54744877593885</v>
      </c>
      <c r="D148" s="1099">
        <v>1262.5503600000002</v>
      </c>
    </row>
    <row r="149" spans="1:4">
      <c r="A149" s="1260">
        <f t="shared" si="20"/>
        <v>411</v>
      </c>
      <c r="B149" s="1081" t="s">
        <v>2846</v>
      </c>
      <c r="C149" s="1099">
        <v>-488.3397785368702</v>
      </c>
      <c r="D149" s="1099">
        <v>251.00820000000004</v>
      </c>
    </row>
    <row r="150" spans="1:4">
      <c r="A150" s="1260">
        <f t="shared" si="20"/>
        <v>412</v>
      </c>
      <c r="B150" s="1081" t="s">
        <v>2847</v>
      </c>
      <c r="C150" s="1099">
        <v>-528.00658725540927</v>
      </c>
      <c r="D150" s="1099">
        <v>255.04740000000004</v>
      </c>
    </row>
    <row r="151" spans="1:4">
      <c r="A151" s="1260">
        <f t="shared" si="20"/>
        <v>413</v>
      </c>
      <c r="B151" s="1081" t="s">
        <v>2848</v>
      </c>
      <c r="C151" s="1099">
        <v>-1.4995832461863757E-11</v>
      </c>
      <c r="D151" s="1099">
        <v>715.25374999999997</v>
      </c>
    </row>
    <row r="152" spans="1:4">
      <c r="A152" s="1260">
        <f t="shared" si="20"/>
        <v>414</v>
      </c>
      <c r="B152" s="1081" t="s">
        <v>2848</v>
      </c>
      <c r="C152" s="1099">
        <v>-461.76727887839934</v>
      </c>
      <c r="D152" s="1099">
        <v>156.89207999999999</v>
      </c>
    </row>
    <row r="153" spans="1:4">
      <c r="A153" s="1260">
        <f t="shared" si="20"/>
        <v>415</v>
      </c>
      <c r="B153" s="1081" t="s">
        <v>2849</v>
      </c>
      <c r="C153" s="1099">
        <v>-2.2247169733123816E-6</v>
      </c>
      <c r="D153" s="1099">
        <v>0.25306000000000006</v>
      </c>
    </row>
    <row r="154" spans="1:4">
      <c r="A154" s="1260">
        <f t="shared" si="20"/>
        <v>416</v>
      </c>
      <c r="B154" s="1081" t="s">
        <v>2849</v>
      </c>
      <c r="C154" s="1099">
        <v>2.5915714917058363E-6</v>
      </c>
      <c r="D154" s="1099">
        <v>313.19990999999999</v>
      </c>
    </row>
    <row r="155" spans="1:4">
      <c r="A155" s="1260">
        <f t="shared" si="20"/>
        <v>417</v>
      </c>
      <c r="B155" s="1081" t="s">
        <v>2849</v>
      </c>
      <c r="C155" s="1099">
        <v>-1.1418197800594499E-14</v>
      </c>
      <c r="D155" s="1099">
        <v>0.64206999999999992</v>
      </c>
    </row>
    <row r="156" spans="1:4">
      <c r="A156" s="1260">
        <f t="shared" si="20"/>
        <v>418</v>
      </c>
      <c r="B156" s="1081" t="s">
        <v>2850</v>
      </c>
      <c r="C156" s="1099">
        <v>-1774.6519719694622</v>
      </c>
      <c r="D156" s="1099">
        <v>561.56088</v>
      </c>
    </row>
    <row r="157" spans="1:4">
      <c r="A157" s="1260">
        <f t="shared" si="20"/>
        <v>419</v>
      </c>
      <c r="B157" s="1081" t="s">
        <v>2851</v>
      </c>
      <c r="C157" s="1099">
        <v>-2074.6725565429347</v>
      </c>
      <c r="D157" s="1099">
        <v>545.66028000000006</v>
      </c>
    </row>
    <row r="158" spans="1:4">
      <c r="A158" s="1260">
        <f t="shared" si="20"/>
        <v>420</v>
      </c>
      <c r="B158" s="1081" t="s">
        <v>2852</v>
      </c>
      <c r="C158" s="1099">
        <v>-2906.2572179548065</v>
      </c>
      <c r="D158" s="1099">
        <v>435.97715999999997</v>
      </c>
    </row>
    <row r="159" spans="1:4">
      <c r="A159" s="1260">
        <f t="shared" si="20"/>
        <v>421</v>
      </c>
      <c r="B159" s="1081" t="s">
        <v>2853</v>
      </c>
      <c r="C159" s="1099">
        <v>-1297.5139146831859</v>
      </c>
      <c r="D159" s="1099">
        <v>187.65251999999992</v>
      </c>
    </row>
    <row r="160" spans="1:4">
      <c r="A160" s="1260">
        <f t="shared" si="20"/>
        <v>422</v>
      </c>
      <c r="B160" s="1081" t="s">
        <v>2854</v>
      </c>
      <c r="C160" s="1099">
        <v>-114.72893260148659</v>
      </c>
      <c r="D160" s="1099">
        <v>11.117039999999999</v>
      </c>
    </row>
    <row r="161" spans="1:4">
      <c r="A161" s="1260">
        <f t="shared" si="20"/>
        <v>423</v>
      </c>
      <c r="B161" s="1081" t="s">
        <v>2855</v>
      </c>
      <c r="C161" s="1099">
        <v>-159.73064170769786</v>
      </c>
      <c r="D161" s="1099">
        <v>20.092079999999999</v>
      </c>
    </row>
    <row r="162" spans="1:4">
      <c r="A162" s="1260">
        <f t="shared" si="20"/>
        <v>424</v>
      </c>
      <c r="B162" s="1081" t="s">
        <v>2856</v>
      </c>
      <c r="C162" s="1099">
        <v>-96.198804176771588</v>
      </c>
      <c r="D162" s="1099">
        <v>12.100679999999999</v>
      </c>
    </row>
    <row r="163" spans="1:4">
      <c r="A163" s="1260">
        <f t="shared" si="20"/>
        <v>425</v>
      </c>
      <c r="B163" s="1081" t="s">
        <v>2857</v>
      </c>
      <c r="C163" s="1099">
        <v>-3765.2935885300121</v>
      </c>
      <c r="D163" s="1099">
        <v>396.18624000000005</v>
      </c>
    </row>
    <row r="164" spans="1:4">
      <c r="A164" s="1260">
        <f t="shared" si="20"/>
        <v>426</v>
      </c>
      <c r="B164" s="1081" t="s">
        <v>2858</v>
      </c>
      <c r="C164" s="1099">
        <v>-3351.5806322030885</v>
      </c>
      <c r="D164" s="1099">
        <v>352.65515999999997</v>
      </c>
    </row>
    <row r="165" spans="1:4">
      <c r="A165" s="1260">
        <f t="shared" si="20"/>
        <v>427</v>
      </c>
      <c r="B165" s="1081" t="s">
        <v>2859</v>
      </c>
      <c r="C165" s="1099">
        <v>-1647.5365698797332</v>
      </c>
      <c r="D165" s="1099">
        <v>173.35476</v>
      </c>
    </row>
    <row r="166" spans="1:4">
      <c r="A166" s="1260">
        <f t="shared" si="20"/>
        <v>428</v>
      </c>
      <c r="B166" s="1081" t="s">
        <v>2860</v>
      </c>
      <c r="C166" s="1099">
        <v>-825.97706977294411</v>
      </c>
      <c r="D166" s="1099">
        <v>80.809319999999985</v>
      </c>
    </row>
    <row r="167" spans="1:4">
      <c r="A167" s="1260">
        <f t="shared" si="20"/>
        <v>429</v>
      </c>
      <c r="B167" s="1081" t="s">
        <v>2861</v>
      </c>
      <c r="C167" s="1099">
        <v>-21095.763553655448</v>
      </c>
      <c r="D167" s="1099">
        <v>1973.6090399999998</v>
      </c>
    </row>
    <row r="168" spans="1:4">
      <c r="A168" s="1260">
        <f t="shared" si="20"/>
        <v>430</v>
      </c>
      <c r="B168" s="1081" t="s">
        <v>2861</v>
      </c>
      <c r="C168" s="1099">
        <v>-6768.518846709052</v>
      </c>
      <c r="D168" s="1099">
        <v>651.27887999999996</v>
      </c>
    </row>
    <row r="169" spans="1:4">
      <c r="A169" s="1260">
        <f t="shared" si="20"/>
        <v>431</v>
      </c>
      <c r="B169" s="1081" t="s">
        <v>2862</v>
      </c>
      <c r="C169" s="1099">
        <v>-1388.2424151426937</v>
      </c>
      <c r="D169" s="1099">
        <v>133.57920000000004</v>
      </c>
    </row>
    <row r="170" spans="1:4">
      <c r="A170" s="1260">
        <f t="shared" si="20"/>
        <v>432</v>
      </c>
      <c r="B170" s="1081" t="s">
        <v>2863</v>
      </c>
      <c r="C170" s="1099">
        <v>-201.10633432742569</v>
      </c>
      <c r="D170" s="1099">
        <v>19.302119999999999</v>
      </c>
    </row>
    <row r="171" spans="1:4">
      <c r="A171" s="1260">
        <f t="shared" si="20"/>
        <v>433</v>
      </c>
      <c r="B171" s="1081" t="s">
        <v>2864</v>
      </c>
      <c r="C171" s="1099">
        <v>-422.23049528518453</v>
      </c>
      <c r="D171" s="1099">
        <v>40.525800000000011</v>
      </c>
    </row>
    <row r="172" spans="1:4">
      <c r="A172" s="1260">
        <f t="shared" si="20"/>
        <v>434</v>
      </c>
      <c r="B172" s="1081" t="s">
        <v>2865</v>
      </c>
      <c r="C172" s="1099">
        <v>-1893.0333193899692</v>
      </c>
      <c r="D172" s="1099">
        <v>181.69356000000002</v>
      </c>
    </row>
    <row r="173" spans="1:4">
      <c r="A173" s="1260">
        <f t="shared" si="20"/>
        <v>435</v>
      </c>
      <c r="B173" s="1081" t="s">
        <v>2866</v>
      </c>
      <c r="C173" s="1099">
        <v>-42.724895236399909</v>
      </c>
      <c r="D173" s="1099">
        <v>7.0346400000000022</v>
      </c>
    </row>
    <row r="174" spans="1:4">
      <c r="A174" s="1260">
        <f t="shared" si="20"/>
        <v>436</v>
      </c>
      <c r="B174" s="1081" t="s">
        <v>2867</v>
      </c>
      <c r="C174" s="1099">
        <v>-61.285327851800339</v>
      </c>
      <c r="D174" s="1099">
        <v>10.090440000000003</v>
      </c>
    </row>
    <row r="175" spans="1:4">
      <c r="A175" s="1260">
        <f t="shared" si="20"/>
        <v>437</v>
      </c>
      <c r="B175" s="1081" t="s">
        <v>2868</v>
      </c>
      <c r="C175" s="1099">
        <v>-180.04953622239864</v>
      </c>
      <c r="D175" s="1099">
        <v>19.191240000000001</v>
      </c>
    </row>
    <row r="176" spans="1:4">
      <c r="A176" s="1260">
        <f t="shared" si="20"/>
        <v>438</v>
      </c>
      <c r="B176" s="1081" t="s">
        <v>2869</v>
      </c>
      <c r="C176" s="1099">
        <v>-1858.8442514486026</v>
      </c>
      <c r="D176" s="1099">
        <v>306.05651999999998</v>
      </c>
    </row>
    <row r="177" spans="1:4">
      <c r="A177" s="1260">
        <f t="shared" si="20"/>
        <v>439</v>
      </c>
      <c r="B177" s="1081" t="s">
        <v>2870</v>
      </c>
      <c r="C177" s="1099">
        <v>-3300.9875624622205</v>
      </c>
      <c r="D177" s="1099">
        <v>292.60272000000003</v>
      </c>
    </row>
    <row r="178" spans="1:4">
      <c r="A178" s="1260"/>
    </row>
    <row r="179" spans="1:4">
      <c r="B179" s="1282" t="s">
        <v>2566</v>
      </c>
    </row>
    <row r="180" spans="1:4">
      <c r="B180" s="84" t="s">
        <v>363</v>
      </c>
      <c r="C180" s="84" t="s">
        <v>347</v>
      </c>
      <c r="D180" s="84" t="s">
        <v>348</v>
      </c>
    </row>
    <row r="181" spans="1:4" ht="13.5" thickBot="1"/>
    <row r="182" spans="1:4" ht="39" thickBot="1">
      <c r="A182" s="3" t="s">
        <v>332</v>
      </c>
      <c r="B182" s="1283" t="s">
        <v>2543</v>
      </c>
      <c r="C182" s="1284" t="s">
        <v>2638</v>
      </c>
      <c r="D182" s="1287" t="s">
        <v>2565</v>
      </c>
    </row>
    <row r="183" spans="1:4">
      <c r="A183" s="1260">
        <f>A177+1</f>
        <v>440</v>
      </c>
      <c r="B183" s="1081" t="s">
        <v>2871</v>
      </c>
      <c r="C183" s="1099">
        <v>-8470.2166459949913</v>
      </c>
      <c r="D183" s="1099">
        <v>711.83892000000026</v>
      </c>
    </row>
    <row r="184" spans="1:4">
      <c r="A184" s="1260">
        <f t="shared" si="20"/>
        <v>441</v>
      </c>
      <c r="B184" s="1081" t="s">
        <v>2872</v>
      </c>
      <c r="C184" s="1099">
        <v>-420.00925124079163</v>
      </c>
      <c r="D184" s="1099">
        <v>1141.9836000000003</v>
      </c>
    </row>
    <row r="185" spans="1:4">
      <c r="A185" s="1260">
        <f t="shared" si="20"/>
        <v>442</v>
      </c>
      <c r="B185" s="1081" t="s">
        <v>2873</v>
      </c>
      <c r="C185" s="1099">
        <v>-78.006974283276861</v>
      </c>
      <c r="D185" s="1099">
        <v>54.534240000000018</v>
      </c>
    </row>
    <row r="186" spans="1:4">
      <c r="A186" s="1260">
        <f t="shared" si="20"/>
        <v>443</v>
      </c>
      <c r="B186" s="1081" t="s">
        <v>2874</v>
      </c>
      <c r="C186" s="1099">
        <v>-4022.7942788499863</v>
      </c>
      <c r="D186" s="1099">
        <v>581.79552000000001</v>
      </c>
    </row>
    <row r="187" spans="1:4">
      <c r="A187" s="1260">
        <f t="shared" si="20"/>
        <v>444</v>
      </c>
      <c r="B187" s="1081" t="s">
        <v>2875</v>
      </c>
      <c r="C187" s="1099">
        <v>-237.6270983527989</v>
      </c>
      <c r="D187" s="1099">
        <v>35.652359999999994</v>
      </c>
    </row>
    <row r="188" spans="1:4">
      <c r="A188" s="1260">
        <f t="shared" si="20"/>
        <v>445</v>
      </c>
      <c r="B188" s="1081" t="s">
        <v>2875</v>
      </c>
      <c r="C188" s="1099">
        <v>-84.960755359999652</v>
      </c>
      <c r="D188" s="1099">
        <v>12.747120000000001</v>
      </c>
    </row>
    <row r="189" spans="1:4">
      <c r="A189" s="1260">
        <f t="shared" si="20"/>
        <v>446</v>
      </c>
      <c r="B189" s="1081" t="s">
        <v>2876</v>
      </c>
      <c r="C189" s="1099">
        <v>-661.03885648320136</v>
      </c>
      <c r="D189" s="1099">
        <v>63.44652</v>
      </c>
    </row>
    <row r="190" spans="1:4">
      <c r="A190" s="1260">
        <f t="shared" si="20"/>
        <v>447</v>
      </c>
      <c r="B190" s="1081" t="s">
        <v>2877</v>
      </c>
      <c r="C190" s="1099">
        <v>-602.58666976040161</v>
      </c>
      <c r="D190" s="1099">
        <v>99.215159999999969</v>
      </c>
    </row>
    <row r="191" spans="1:4">
      <c r="A191" s="1260">
        <f t="shared" si="20"/>
        <v>448</v>
      </c>
      <c r="B191" s="1081" t="s">
        <v>2878</v>
      </c>
      <c r="C191" s="1099">
        <v>-5378.8990008922747</v>
      </c>
      <c r="D191" s="1099">
        <v>352.52940000000007</v>
      </c>
    </row>
    <row r="192" spans="1:4">
      <c r="A192" s="1260">
        <f t="shared" si="20"/>
        <v>449</v>
      </c>
      <c r="B192" s="1081" t="s">
        <v>2879</v>
      </c>
      <c r="C192" s="1099">
        <v>-1795.5948666200618</v>
      </c>
      <c r="D192" s="1099">
        <v>117.68207999999997</v>
      </c>
    </row>
    <row r="193" spans="1:4">
      <c r="A193" s="1260">
        <f t="shared" si="20"/>
        <v>450</v>
      </c>
      <c r="B193" s="1081" t="s">
        <v>2711</v>
      </c>
      <c r="C193" s="1099">
        <v>-9490.8267462164058</v>
      </c>
      <c r="D193" s="1099">
        <v>591.09480000000019</v>
      </c>
    </row>
    <row r="194" spans="1:4">
      <c r="A194" s="1260">
        <f t="shared" si="20"/>
        <v>451</v>
      </c>
      <c r="B194" s="1081" t="s">
        <v>2880</v>
      </c>
      <c r="C194" s="1099">
        <v>-37.968000257908891</v>
      </c>
      <c r="D194" s="1099">
        <v>0.54761275878610693</v>
      </c>
    </row>
    <row r="195" spans="1:4">
      <c r="A195" s="1260">
        <f t="shared" si="20"/>
        <v>452</v>
      </c>
      <c r="B195" s="1047" t="s">
        <v>513</v>
      </c>
      <c r="C195" s="97"/>
      <c r="D195" s="97"/>
    </row>
    <row r="197" spans="1:4">
      <c r="A197" s="580">
        <v>500</v>
      </c>
      <c r="B197" s="1288" t="s">
        <v>2567</v>
      </c>
      <c r="C197" s="7">
        <f>(SUM(C139:C177)+SUM(C183:C195))*1000</f>
        <v>-99214071.643933207</v>
      </c>
      <c r="D197" s="7">
        <f>(SUM(D139:D177)+SUM(D183:D195))*1000</f>
        <v>16710134.76275879</v>
      </c>
    </row>
    <row r="199" spans="1:4">
      <c r="B199" s="1" t="s">
        <v>232</v>
      </c>
    </row>
    <row r="200" spans="1:4">
      <c r="B200" s="483" t="s">
        <v>2633</v>
      </c>
    </row>
    <row r="201" spans="1:4">
      <c r="B201" s="382" t="s">
        <v>2632</v>
      </c>
    </row>
    <row r="203" spans="1:4">
      <c r="B203" s="485"/>
    </row>
    <row r="204" spans="1:4">
      <c r="B204" s="485"/>
    </row>
  </sheetData>
  <mergeCells count="1">
    <mergeCell ref="G79:H79"/>
  </mergeCells>
  <pageMargins left="0.7" right="0.7" top="0.75" bottom="0.75" header="0.3" footer="0.3"/>
  <pageSetup scale="65" orientation="landscape" r:id="rId1"/>
  <headerFooter>
    <oddHeader>&amp;CSchedule 5 ROR-3
Return and Capitalization&amp;RTO2019 Draft Annual Update 
Attachment1</oddHeader>
    <oddFooter>&amp;R5-ROR-3</oddFooter>
  </headerFooter>
  <rowBreaks count="4" manualBreakCount="4">
    <brk id="58" max="16383" man="1"/>
    <brk id="92" max="16383" man="1"/>
    <brk id="134" max="16383" man="1"/>
    <brk id="178"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zoomScaleNormal="100" workbookViewId="0"/>
  </sheetViews>
  <sheetFormatPr defaultColWidth="8.85546875" defaultRowHeight="12.75"/>
  <cols>
    <col min="1" max="1" width="4.7109375" style="1075" customWidth="1"/>
    <col min="2" max="2" width="28.85546875" style="1075" customWidth="1"/>
    <col min="3" max="4" width="12.7109375" style="1075" customWidth="1"/>
    <col min="5" max="5" width="14.7109375" style="1075" customWidth="1"/>
    <col min="6" max="12" width="12.7109375" style="1075" customWidth="1"/>
    <col min="13" max="16384" width="8.85546875" style="1075"/>
  </cols>
  <sheetData>
    <row r="1" spans="1:6">
      <c r="A1" s="1" t="s">
        <v>43</v>
      </c>
    </row>
    <row r="2" spans="1:6">
      <c r="B2" s="481" t="s">
        <v>2523</v>
      </c>
      <c r="C2" s="151">
        <v>2017</v>
      </c>
    </row>
    <row r="4" spans="1:6">
      <c r="B4" s="1" t="s">
        <v>2568</v>
      </c>
    </row>
    <row r="5" spans="1:6">
      <c r="A5" s="51" t="s">
        <v>332</v>
      </c>
      <c r="E5" s="3" t="s">
        <v>175</v>
      </c>
      <c r="F5" s="3" t="s">
        <v>205</v>
      </c>
    </row>
    <row r="6" spans="1:6">
      <c r="A6" s="580">
        <v>1</v>
      </c>
      <c r="D6" s="481" t="s">
        <v>2569</v>
      </c>
      <c r="E6" s="7">
        <f>J33</f>
        <v>126019184.07969923</v>
      </c>
      <c r="F6" s="16" t="str">
        <f>"Line "&amp;A33&amp;", Col 9"</f>
        <v>Line 112, Col 9</v>
      </c>
    </row>
    <row r="7" spans="1:6">
      <c r="A7" s="580">
        <f>A6+1</f>
        <v>2</v>
      </c>
      <c r="D7" s="481" t="s">
        <v>2570</v>
      </c>
      <c r="E7" s="91">
        <f>G71</f>
        <v>1027661.2402995675</v>
      </c>
      <c r="F7" s="16" t="str">
        <f>"Line "&amp;A71&amp;", Col 6"</f>
        <v>Line 312, Col 6</v>
      </c>
    </row>
    <row r="8" spans="1:6">
      <c r="A8" s="580">
        <f t="shared" ref="A8:A14" si="0">A7+1</f>
        <v>3</v>
      </c>
      <c r="D8" s="481" t="s">
        <v>2571</v>
      </c>
      <c r="E8" s="7">
        <f>SUM(E6:E7)</f>
        <v>127046845.3199988</v>
      </c>
      <c r="F8" s="568" t="s">
        <v>2528</v>
      </c>
    </row>
    <row r="9" spans="1:6">
      <c r="A9" s="580">
        <f t="shared" si="0"/>
        <v>4</v>
      </c>
      <c r="F9" s="65"/>
    </row>
    <row r="10" spans="1:6">
      <c r="A10" s="580">
        <f t="shared" si="0"/>
        <v>5</v>
      </c>
      <c r="D10" s="481" t="s">
        <v>2572</v>
      </c>
      <c r="E10" s="7">
        <f>E33</f>
        <v>2245054950</v>
      </c>
      <c r="F10" s="16" t="str">
        <f>"Line "&amp;A33&amp;", Col 4"</f>
        <v>Line 112, Col 4</v>
      </c>
    </row>
    <row r="11" spans="1:6">
      <c r="A11" s="580">
        <f t="shared" si="0"/>
        <v>6</v>
      </c>
      <c r="D11" s="481" t="s">
        <v>2573</v>
      </c>
      <c r="E11" s="91">
        <f>E71</f>
        <v>19365634.255193394</v>
      </c>
      <c r="F11" s="16" t="str">
        <f>"Line "&amp;A71&amp;", Col 4"</f>
        <v>Line 312, Col 4</v>
      </c>
    </row>
    <row r="12" spans="1:6">
      <c r="A12" s="580">
        <f t="shared" si="0"/>
        <v>7</v>
      </c>
      <c r="D12" s="481" t="s">
        <v>2574</v>
      </c>
      <c r="E12" s="7">
        <f>E10-E11</f>
        <v>2225689315.7448068</v>
      </c>
      <c r="F12" s="568" t="s">
        <v>2575</v>
      </c>
    </row>
    <row r="13" spans="1:6">
      <c r="A13" s="580">
        <f t="shared" si="0"/>
        <v>8</v>
      </c>
      <c r="F13" s="65"/>
    </row>
    <row r="14" spans="1:6">
      <c r="A14" s="580">
        <f t="shared" si="0"/>
        <v>9</v>
      </c>
      <c r="D14" s="481" t="s">
        <v>2576</v>
      </c>
      <c r="E14" s="1261">
        <f>E8/E12</f>
        <v>5.7082021475887673E-2</v>
      </c>
      <c r="F14" s="568" t="s">
        <v>2534</v>
      </c>
    </row>
    <row r="15" spans="1:6">
      <c r="A15" s="580"/>
    </row>
    <row r="16" spans="1:6">
      <c r="A16" s="580"/>
      <c r="B16" s="1" t="s">
        <v>2577</v>
      </c>
    </row>
    <row r="17" spans="1:12">
      <c r="A17" s="580"/>
    </row>
    <row r="18" spans="1:12">
      <c r="A18" s="580"/>
      <c r="B18" s="84" t="s">
        <v>363</v>
      </c>
      <c r="C18" s="84" t="s">
        <v>347</v>
      </c>
      <c r="D18" s="84" t="s">
        <v>348</v>
      </c>
      <c r="E18" s="84" t="s">
        <v>349</v>
      </c>
      <c r="F18" s="84" t="s">
        <v>350</v>
      </c>
      <c r="G18" s="84" t="s">
        <v>351</v>
      </c>
      <c r="H18" s="84" t="s">
        <v>352</v>
      </c>
      <c r="I18" s="84" t="s">
        <v>544</v>
      </c>
      <c r="J18" s="84" t="s">
        <v>961</v>
      </c>
      <c r="K18" s="84"/>
    </row>
    <row r="19" spans="1:12">
      <c r="A19" s="580"/>
      <c r="B19" s="953" t="s">
        <v>2578</v>
      </c>
      <c r="C19" s="953" t="s">
        <v>33</v>
      </c>
      <c r="D19" s="953" t="s">
        <v>2578</v>
      </c>
      <c r="E19" s="953" t="s">
        <v>2579</v>
      </c>
      <c r="F19" s="953" t="s">
        <v>2580</v>
      </c>
      <c r="G19" s="953" t="s">
        <v>2581</v>
      </c>
      <c r="H19" s="953" t="s">
        <v>2582</v>
      </c>
      <c r="I19" s="953" t="s">
        <v>2583</v>
      </c>
      <c r="J19" s="953" t="s">
        <v>2584</v>
      </c>
      <c r="K19" s="84"/>
    </row>
    <row r="20" spans="1:12" ht="13.5" thickBot="1"/>
    <row r="21" spans="1:12" ht="55.15" customHeight="1" thickBot="1">
      <c r="A21" s="51" t="s">
        <v>332</v>
      </c>
      <c r="B21" s="1289" t="s">
        <v>27</v>
      </c>
      <c r="C21" s="1290" t="s">
        <v>2585</v>
      </c>
      <c r="D21" s="1283" t="s">
        <v>2586</v>
      </c>
      <c r="E21" s="1291" t="s">
        <v>2587</v>
      </c>
      <c r="F21" s="1283" t="s">
        <v>2588</v>
      </c>
      <c r="G21" s="1292" t="s">
        <v>2589</v>
      </c>
      <c r="H21" s="1283" t="s">
        <v>2590</v>
      </c>
      <c r="I21" s="1283" t="s">
        <v>2591</v>
      </c>
      <c r="J21" s="1293" t="s">
        <v>2592</v>
      </c>
      <c r="K21" s="1265" t="s">
        <v>168</v>
      </c>
    </row>
    <row r="22" spans="1:12">
      <c r="A22" s="580">
        <v>101</v>
      </c>
      <c r="B22" s="535" t="s">
        <v>2716</v>
      </c>
      <c r="C22" s="1294">
        <v>17295</v>
      </c>
      <c r="D22" s="1295">
        <v>4.3200000000000002E-2</v>
      </c>
      <c r="E22" s="1296">
        <v>41335.724999999999</v>
      </c>
      <c r="F22" s="63">
        <f>C41</f>
        <v>-763</v>
      </c>
      <c r="G22" s="1297">
        <f>E22-F22</f>
        <v>42098.724999999999</v>
      </c>
      <c r="H22" s="1298">
        <f>G22/E22</f>
        <v>1.0184586093506283</v>
      </c>
      <c r="I22" s="1261">
        <f>(E22/G22)*D22</f>
        <v>4.2417040421057886E-2</v>
      </c>
      <c r="J22" s="1297">
        <f t="shared" ref="J22:J31" si="1">E22*I22</f>
        <v>1753.3391181587328</v>
      </c>
      <c r="K22" s="97"/>
      <c r="L22" s="1299"/>
    </row>
    <row r="23" spans="1:12">
      <c r="A23" s="580">
        <f>A22+1</f>
        <v>102</v>
      </c>
      <c r="B23" s="535" t="s">
        <v>2717</v>
      </c>
      <c r="C23" s="1300">
        <v>18402</v>
      </c>
      <c r="D23" s="1295">
        <v>4.0800000000000003E-2</v>
      </c>
      <c r="E23" s="1296">
        <v>16250</v>
      </c>
      <c r="F23" s="63">
        <f t="shared" ref="F23:F31" si="2">C42</f>
        <v>-40</v>
      </c>
      <c r="G23" s="1297">
        <f t="shared" ref="G23:G31" si="3">E23-F23</f>
        <v>16290</v>
      </c>
      <c r="H23" s="1298">
        <f t="shared" ref="H23:H31" si="4">G23/E23</f>
        <v>1.0024615384615385</v>
      </c>
      <c r="I23" s="1261">
        <f>(E23/G23)*D23</f>
        <v>4.0699815837937386E-2</v>
      </c>
      <c r="J23" s="1297">
        <f t="shared" si="1"/>
        <v>661.37200736648253</v>
      </c>
      <c r="K23" s="97"/>
      <c r="L23" s="1299"/>
    </row>
    <row r="24" spans="1:12">
      <c r="A24" s="580">
        <f t="shared" ref="A24:A33" si="5">A23+1</f>
        <v>103</v>
      </c>
      <c r="B24" s="535" t="s">
        <v>2718</v>
      </c>
      <c r="C24" s="1300">
        <v>20500</v>
      </c>
      <c r="D24" s="1295">
        <v>4.24E-2</v>
      </c>
      <c r="E24" s="1296">
        <v>30000</v>
      </c>
      <c r="F24" s="63">
        <f t="shared" si="2"/>
        <v>-84</v>
      </c>
      <c r="G24" s="1297">
        <f t="shared" si="3"/>
        <v>30084</v>
      </c>
      <c r="H24" s="1298">
        <f t="shared" si="4"/>
        <v>1.0027999999999999</v>
      </c>
      <c r="I24" s="1261">
        <f>(E24/G24)*D24</f>
        <v>4.2281611487834062E-2</v>
      </c>
      <c r="J24" s="1297">
        <f t="shared" si="1"/>
        <v>1268.4483446350218</v>
      </c>
      <c r="K24" s="97"/>
      <c r="L24" s="1299"/>
    </row>
    <row r="25" spans="1:12">
      <c r="A25" s="580">
        <f t="shared" si="5"/>
        <v>104</v>
      </c>
      <c r="B25" s="535" t="s">
        <v>2719</v>
      </c>
      <c r="C25" s="1300">
        <v>21226</v>
      </c>
      <c r="D25" s="1295">
        <v>4.7800000000000002E-2</v>
      </c>
      <c r="E25" s="1296">
        <v>32419.224999999999</v>
      </c>
      <c r="F25" s="63">
        <f t="shared" si="2"/>
        <v>-50</v>
      </c>
      <c r="G25" s="1297">
        <f t="shared" si="3"/>
        <v>32469.224999999999</v>
      </c>
      <c r="H25" s="1298">
        <f t="shared" si="4"/>
        <v>1.001542294734066</v>
      </c>
      <c r="I25" s="1261">
        <f>(E25/G25)*D25</f>
        <v>4.772639183719353E-2</v>
      </c>
      <c r="J25" s="1297">
        <f t="shared" si="1"/>
        <v>1547.2526354081403</v>
      </c>
      <c r="K25" s="97"/>
      <c r="L25" s="1299"/>
    </row>
    <row r="26" spans="1:12">
      <c r="A26" s="580">
        <f t="shared" si="5"/>
        <v>105</v>
      </c>
      <c r="B26" s="535" t="s">
        <v>2720</v>
      </c>
      <c r="C26" s="1300">
        <v>40925</v>
      </c>
      <c r="D26" s="1295">
        <v>6.25E-2</v>
      </c>
      <c r="E26" s="1301">
        <v>350000</v>
      </c>
      <c r="F26" s="63">
        <f t="shared" si="2"/>
        <v>5957.2889999999998</v>
      </c>
      <c r="G26" s="1297">
        <f t="shared" si="3"/>
        <v>344042.71100000001</v>
      </c>
      <c r="H26" s="1298">
        <f t="shared" si="4"/>
        <v>0.98297917428571435</v>
      </c>
      <c r="I26" s="1261">
        <f>+RATE(E45*4,-(D26*E26)/4,G26,-E26)*4</f>
        <v>6.4826262465199791E-2</v>
      </c>
      <c r="J26" s="1297">
        <f t="shared" si="1"/>
        <v>22689.191862819927</v>
      </c>
      <c r="K26" s="97"/>
      <c r="L26" s="1299"/>
    </row>
    <row r="27" spans="1:12">
      <c r="A27" s="580">
        <f t="shared" si="5"/>
        <v>106</v>
      </c>
      <c r="B27" s="535" t="s">
        <v>2721</v>
      </c>
      <c r="C27" s="1300">
        <v>41303</v>
      </c>
      <c r="D27" s="1295">
        <v>5.0999999999999997E-2</v>
      </c>
      <c r="E27" s="1301">
        <v>400010</v>
      </c>
      <c r="F27" s="63">
        <f t="shared" si="2"/>
        <v>12972.286</v>
      </c>
      <c r="G27" s="1297">
        <f t="shared" si="3"/>
        <v>387037.71399999998</v>
      </c>
      <c r="H27" s="1298">
        <f t="shared" si="4"/>
        <v>0.96757009574760622</v>
      </c>
      <c r="I27" s="1261">
        <f t="shared" ref="I27:I31" si="6">+RATE(E46*4,-(D27*E27)/4,G27,-E27)*4</f>
        <v>5.3168989814364298E-2</v>
      </c>
      <c r="J27" s="1297">
        <f t="shared" si="1"/>
        <v>21268.127615643862</v>
      </c>
      <c r="K27" s="97"/>
      <c r="L27" s="1299"/>
    </row>
    <row r="28" spans="1:12">
      <c r="A28" s="580">
        <f t="shared" si="5"/>
        <v>107</v>
      </c>
      <c r="B28" s="535" t="s">
        <v>2722</v>
      </c>
      <c r="C28" s="1300">
        <v>41704</v>
      </c>
      <c r="D28" s="1295">
        <v>5.7500000000000002E-2</v>
      </c>
      <c r="E28" s="1301">
        <v>275010</v>
      </c>
      <c r="F28" s="63">
        <f t="shared" si="2"/>
        <v>6272.3580000000002</v>
      </c>
      <c r="G28" s="1297">
        <f t="shared" si="3"/>
        <v>268737.64199999999</v>
      </c>
      <c r="H28" s="1298">
        <f t="shared" si="4"/>
        <v>0.97719225482709715</v>
      </c>
      <c r="I28" s="1261">
        <f t="shared" si="6"/>
        <v>6.0557349317951155E-2</v>
      </c>
      <c r="J28" s="1297">
        <f t="shared" si="1"/>
        <v>16653.876635929748</v>
      </c>
      <c r="K28" s="97"/>
      <c r="L28" s="1299"/>
    </row>
    <row r="29" spans="1:12">
      <c r="A29" s="580">
        <f t="shared" si="5"/>
        <v>108</v>
      </c>
      <c r="B29" s="535" t="s">
        <v>2723</v>
      </c>
      <c r="C29" s="1300">
        <v>42240</v>
      </c>
      <c r="D29" s="1295">
        <v>5.3749999999999999E-2</v>
      </c>
      <c r="E29" s="1301">
        <v>325010</v>
      </c>
      <c r="F29" s="63">
        <f t="shared" si="2"/>
        <v>6419.5780000000004</v>
      </c>
      <c r="G29" s="1297">
        <f t="shared" si="3"/>
        <v>318590.42200000002</v>
      </c>
      <c r="H29" s="1298">
        <f t="shared" si="4"/>
        <v>0.98024806005969056</v>
      </c>
      <c r="I29" s="1261">
        <f t="shared" si="6"/>
        <v>5.6347183692221123E-2</v>
      </c>
      <c r="J29" s="1297">
        <f t="shared" si="1"/>
        <v>18313.398171808789</v>
      </c>
      <c r="K29" s="97"/>
      <c r="L29" s="1299"/>
    </row>
    <row r="30" spans="1:12">
      <c r="A30" s="580">
        <f t="shared" si="5"/>
        <v>109</v>
      </c>
      <c r="B30" s="1302" t="s">
        <v>2724</v>
      </c>
      <c r="C30" s="1303">
        <v>42437</v>
      </c>
      <c r="D30" s="1304">
        <v>5.45E-2</v>
      </c>
      <c r="E30" s="1301">
        <v>300010</v>
      </c>
      <c r="F30" s="63">
        <f t="shared" si="2"/>
        <v>6959.81</v>
      </c>
      <c r="G30" s="1297">
        <f t="shared" si="3"/>
        <v>293050.19</v>
      </c>
      <c r="H30" s="1298">
        <f t="shared" si="4"/>
        <v>0.97680140661977932</v>
      </c>
      <c r="I30" s="1261">
        <f t="shared" si="6"/>
        <v>5.7567522761067455E-2</v>
      </c>
      <c r="J30" s="1297">
        <f t="shared" si="1"/>
        <v>17270.832503547848</v>
      </c>
      <c r="K30" s="97"/>
      <c r="L30" s="1299"/>
    </row>
    <row r="31" spans="1:12">
      <c r="A31" s="580">
        <f t="shared" si="5"/>
        <v>110</v>
      </c>
      <c r="B31" s="1302" t="s">
        <v>2727</v>
      </c>
      <c r="C31" s="1303">
        <v>42912</v>
      </c>
      <c r="D31" s="1304">
        <v>0.05</v>
      </c>
      <c r="E31" s="1301">
        <v>475010</v>
      </c>
      <c r="F31" s="63">
        <f t="shared" si="2"/>
        <v>12800.62</v>
      </c>
      <c r="G31" s="1297">
        <f t="shared" si="3"/>
        <v>462209.38</v>
      </c>
      <c r="H31" s="1298">
        <f t="shared" si="4"/>
        <v>0.9730518936443443</v>
      </c>
      <c r="I31" s="1261">
        <f t="shared" si="6"/>
        <v>5.1774373559252816E-2</v>
      </c>
      <c r="J31" s="1297">
        <f t="shared" si="1"/>
        <v>24593.34518438068</v>
      </c>
      <c r="K31" s="97"/>
      <c r="L31" s="1299"/>
    </row>
    <row r="32" spans="1:12">
      <c r="A32" s="580">
        <f t="shared" si="5"/>
        <v>111</v>
      </c>
      <c r="B32" s="1047" t="s">
        <v>513</v>
      </c>
      <c r="C32" s="97"/>
      <c r="D32" s="97"/>
      <c r="E32" s="97"/>
      <c r="F32" s="63"/>
      <c r="K32" s="97"/>
    </row>
    <row r="33" spans="1:10">
      <c r="A33" s="580">
        <f t="shared" si="5"/>
        <v>112</v>
      </c>
      <c r="D33" s="68" t="s">
        <v>2593</v>
      </c>
      <c r="E33" s="1297">
        <f>SUM(E22:E32)*1000</f>
        <v>2245054950</v>
      </c>
      <c r="I33" s="68" t="s">
        <v>2558</v>
      </c>
      <c r="J33" s="1297">
        <f>SUM(J22:J32)*1000</f>
        <v>126019184.07969923</v>
      </c>
    </row>
    <row r="35" spans="1:10">
      <c r="B35" s="1" t="s">
        <v>2594</v>
      </c>
    </row>
    <row r="36" spans="1:10">
      <c r="B36" s="1"/>
    </row>
    <row r="37" spans="1:10">
      <c r="B37" s="84" t="s">
        <v>363</v>
      </c>
      <c r="C37" s="84" t="s">
        <v>347</v>
      </c>
      <c r="D37" s="84" t="s">
        <v>348</v>
      </c>
      <c r="E37" s="84" t="s">
        <v>349</v>
      </c>
      <c r="F37" s="84" t="s">
        <v>350</v>
      </c>
    </row>
    <row r="38" spans="1:10">
      <c r="A38" s="14"/>
      <c r="B38" s="111" t="s">
        <v>2595</v>
      </c>
      <c r="C38" s="111" t="s">
        <v>33</v>
      </c>
      <c r="D38" s="111" t="s">
        <v>33</v>
      </c>
      <c r="E38" s="111" t="s">
        <v>33</v>
      </c>
    </row>
    <row r="39" spans="1:10" ht="13.5" thickBot="1"/>
    <row r="40" spans="1:10" ht="55.15" customHeight="1" thickBot="1">
      <c r="A40" s="51" t="s">
        <v>332</v>
      </c>
      <c r="B40" s="1289" t="s">
        <v>27</v>
      </c>
      <c r="C40" s="1305" t="s">
        <v>2588</v>
      </c>
      <c r="D40" s="1306" t="s">
        <v>2596</v>
      </c>
      <c r="E40" s="1283" t="s">
        <v>2597</v>
      </c>
      <c r="F40" s="1382" t="s">
        <v>168</v>
      </c>
      <c r="G40" s="1383"/>
    </row>
    <row r="41" spans="1:10">
      <c r="A41" s="580">
        <v>201</v>
      </c>
      <c r="B41" s="535" t="s">
        <v>2716</v>
      </c>
      <c r="C41" s="1307">
        <v>-763</v>
      </c>
      <c r="D41" s="548" t="s">
        <v>76</v>
      </c>
      <c r="E41" s="151">
        <v>30</v>
      </c>
      <c r="F41" s="1308" t="s">
        <v>2741</v>
      </c>
      <c r="G41" s="97"/>
    </row>
    <row r="42" spans="1:10">
      <c r="A42" s="580">
        <f>A41+1</f>
        <v>202</v>
      </c>
      <c r="B42" s="535" t="s">
        <v>2717</v>
      </c>
      <c r="C42" s="1307">
        <v>-40</v>
      </c>
      <c r="D42" s="548" t="s">
        <v>76</v>
      </c>
      <c r="E42" s="151">
        <v>30</v>
      </c>
      <c r="F42" s="1302" t="s">
        <v>2741</v>
      </c>
      <c r="G42" s="97"/>
    </row>
    <row r="43" spans="1:10">
      <c r="A43" s="580">
        <f t="shared" ref="A43:A51" si="7">A42+1</f>
        <v>203</v>
      </c>
      <c r="B43" s="535" t="s">
        <v>2718</v>
      </c>
      <c r="C43" s="1307">
        <v>-84</v>
      </c>
      <c r="D43" s="548" t="s">
        <v>76</v>
      </c>
      <c r="E43" s="151">
        <v>30</v>
      </c>
      <c r="F43" s="1302" t="s">
        <v>2741</v>
      </c>
      <c r="G43" s="97"/>
    </row>
    <row r="44" spans="1:10">
      <c r="A44" s="580">
        <f t="shared" si="7"/>
        <v>204</v>
      </c>
      <c r="B44" s="535" t="s">
        <v>2719</v>
      </c>
      <c r="C44" s="1307">
        <v>-50</v>
      </c>
      <c r="D44" s="548" t="s">
        <v>76</v>
      </c>
      <c r="E44" s="151">
        <v>30</v>
      </c>
      <c r="F44" s="1302" t="s">
        <v>2741</v>
      </c>
      <c r="G44" s="97"/>
    </row>
    <row r="45" spans="1:10">
      <c r="A45" s="580">
        <f t="shared" si="7"/>
        <v>205</v>
      </c>
      <c r="B45" s="535" t="s">
        <v>2720</v>
      </c>
      <c r="C45" s="1307">
        <v>5957.2889999999998</v>
      </c>
      <c r="D45" s="1307">
        <v>2432.5596749999886</v>
      </c>
      <c r="E45" s="151">
        <v>10</v>
      </c>
      <c r="F45" s="1302"/>
      <c r="G45" s="97"/>
    </row>
    <row r="46" spans="1:10">
      <c r="A46" s="580">
        <f t="shared" si="7"/>
        <v>206</v>
      </c>
      <c r="B46" s="535" t="s">
        <v>2721</v>
      </c>
      <c r="C46" s="1307">
        <v>12972.286</v>
      </c>
      <c r="D46" s="1307">
        <v>10846.273297222211</v>
      </c>
      <c r="E46" s="151">
        <v>30</v>
      </c>
      <c r="F46" s="1302" t="s">
        <v>2742</v>
      </c>
      <c r="G46" s="97"/>
    </row>
    <row r="47" spans="1:10">
      <c r="A47" s="580">
        <f t="shared" si="7"/>
        <v>207</v>
      </c>
      <c r="B47" s="535" t="s">
        <v>2722</v>
      </c>
      <c r="C47" s="1307">
        <v>6272.3580000000002</v>
      </c>
      <c r="D47" s="1307">
        <v>3920.2237499999919</v>
      </c>
      <c r="E47" s="151">
        <v>10</v>
      </c>
      <c r="F47" s="1302"/>
      <c r="G47" s="97"/>
    </row>
    <row r="48" spans="1:10">
      <c r="A48" s="580">
        <f t="shared" si="7"/>
        <v>208</v>
      </c>
      <c r="B48" s="535" t="s">
        <v>2723</v>
      </c>
      <c r="C48" s="1307">
        <v>6419.5780000000004</v>
      </c>
      <c r="D48" s="1307">
        <v>4921.6764666666668</v>
      </c>
      <c r="E48" s="151">
        <v>10</v>
      </c>
      <c r="F48" s="1302"/>
      <c r="G48" s="97"/>
    </row>
    <row r="49" spans="1:12">
      <c r="A49" s="580">
        <f t="shared" si="7"/>
        <v>209</v>
      </c>
      <c r="B49" s="535" t="s">
        <v>2724</v>
      </c>
      <c r="C49" s="1307">
        <v>6959.81</v>
      </c>
      <c r="D49" s="1307">
        <v>5741.8432500000072</v>
      </c>
      <c r="E49" s="151">
        <v>10</v>
      </c>
      <c r="F49" s="1302" t="s">
        <v>2743</v>
      </c>
      <c r="G49" s="97"/>
    </row>
    <row r="50" spans="1:12">
      <c r="A50" s="580">
        <f t="shared" si="7"/>
        <v>210</v>
      </c>
      <c r="B50" s="1302" t="s">
        <v>2727</v>
      </c>
      <c r="C50" s="1307">
        <v>12800.62</v>
      </c>
      <c r="D50" s="1307">
        <v>12422.46229166667</v>
      </c>
      <c r="E50" s="151">
        <v>30</v>
      </c>
      <c r="F50" s="1302"/>
      <c r="G50" s="97"/>
    </row>
    <row r="51" spans="1:12">
      <c r="A51" s="580">
        <f t="shared" si="7"/>
        <v>211</v>
      </c>
      <c r="B51" s="1047" t="s">
        <v>513</v>
      </c>
      <c r="C51" s="97"/>
      <c r="D51" s="97"/>
      <c r="E51" s="97"/>
      <c r="F51" s="97"/>
      <c r="G51" s="97"/>
    </row>
    <row r="54" spans="1:12">
      <c r="B54" s="1" t="s">
        <v>2598</v>
      </c>
    </row>
    <row r="55" spans="1:12">
      <c r="B55" s="1"/>
    </row>
    <row r="56" spans="1:12">
      <c r="B56" s="84" t="s">
        <v>363</v>
      </c>
      <c r="C56" s="84" t="s">
        <v>347</v>
      </c>
      <c r="D56" s="84" t="s">
        <v>348</v>
      </c>
      <c r="E56" s="84" t="s">
        <v>349</v>
      </c>
      <c r="F56" s="84" t="s">
        <v>350</v>
      </c>
      <c r="G56" s="84" t="s">
        <v>351</v>
      </c>
    </row>
    <row r="57" spans="1:12">
      <c r="B57" s="111" t="s">
        <v>33</v>
      </c>
      <c r="C57" s="111" t="s">
        <v>33</v>
      </c>
      <c r="D57" s="111" t="s">
        <v>33</v>
      </c>
      <c r="E57" s="111" t="s">
        <v>33</v>
      </c>
      <c r="F57" s="111" t="s">
        <v>33</v>
      </c>
      <c r="G57" s="111" t="s">
        <v>33</v>
      </c>
    </row>
    <row r="58" spans="1:12" ht="13.5" thickBot="1"/>
    <row r="59" spans="1:12" ht="39" thickBot="1">
      <c r="A59" s="51" t="s">
        <v>332</v>
      </c>
      <c r="B59" s="1289" t="s">
        <v>27</v>
      </c>
      <c r="C59" s="1290" t="s">
        <v>2599</v>
      </c>
      <c r="D59" s="1306" t="s">
        <v>2600</v>
      </c>
      <c r="E59" s="1306" t="s">
        <v>2596</v>
      </c>
      <c r="F59" s="1306" t="s">
        <v>2601</v>
      </c>
      <c r="G59" s="1306" t="s">
        <v>2602</v>
      </c>
      <c r="H59" s="1382" t="s">
        <v>168</v>
      </c>
      <c r="I59" s="1383"/>
    </row>
    <row r="60" spans="1:12">
      <c r="A60" s="580">
        <v>301</v>
      </c>
      <c r="B60" s="1309" t="s">
        <v>2744</v>
      </c>
      <c r="C60" s="1271">
        <v>31352</v>
      </c>
      <c r="D60" s="1099">
        <v>-286.60000000000002</v>
      </c>
      <c r="E60" s="1099">
        <v>-15.453921568627436</v>
      </c>
      <c r="F60" s="707">
        <v>34</v>
      </c>
      <c r="G60" s="1099">
        <v>-8.4294117647058826</v>
      </c>
      <c r="H60" s="535" t="s">
        <v>2745</v>
      </c>
      <c r="I60" s="97"/>
      <c r="J60" s="97"/>
      <c r="K60" s="97"/>
      <c r="L60" s="97"/>
    </row>
    <row r="61" spans="1:12">
      <c r="A61" s="580">
        <f>A60+1</f>
        <v>302</v>
      </c>
      <c r="B61" s="1309" t="s">
        <v>2746</v>
      </c>
      <c r="C61" s="1271">
        <v>31444</v>
      </c>
      <c r="D61" s="1099">
        <v>6247.5</v>
      </c>
      <c r="E61" s="1099">
        <v>382.8125</v>
      </c>
      <c r="F61" s="707">
        <v>34</v>
      </c>
      <c r="G61" s="1099">
        <v>183.75</v>
      </c>
      <c r="H61" s="535" t="s">
        <v>2747</v>
      </c>
      <c r="I61" s="97"/>
      <c r="J61" s="97"/>
      <c r="K61" s="97"/>
      <c r="L61" s="97"/>
    </row>
    <row r="62" spans="1:12">
      <c r="A62" s="580">
        <f t="shared" ref="A62:A71" si="8">A61+1</f>
        <v>303</v>
      </c>
      <c r="B62" s="1309" t="s">
        <v>2746</v>
      </c>
      <c r="C62" s="1271">
        <v>31444</v>
      </c>
      <c r="D62" s="1099">
        <v>1025</v>
      </c>
      <c r="E62" s="1099">
        <v>62.80637254901967</v>
      </c>
      <c r="F62" s="707">
        <v>34</v>
      </c>
      <c r="G62" s="1099">
        <v>30.147058823529413</v>
      </c>
      <c r="H62" s="535" t="s">
        <v>2748</v>
      </c>
      <c r="I62" s="97"/>
      <c r="J62" s="97"/>
      <c r="K62" s="97"/>
      <c r="L62" s="97"/>
    </row>
    <row r="63" spans="1:12">
      <c r="A63" s="580">
        <f t="shared" si="8"/>
        <v>304</v>
      </c>
      <c r="B63" s="535" t="s">
        <v>2749</v>
      </c>
      <c r="C63" s="1271">
        <v>41076</v>
      </c>
      <c r="D63" s="1099">
        <v>0</v>
      </c>
      <c r="E63" s="1099">
        <v>0</v>
      </c>
      <c r="F63" s="707">
        <v>5</v>
      </c>
      <c r="G63" s="1099">
        <v>0</v>
      </c>
      <c r="H63" s="535" t="s">
        <v>2741</v>
      </c>
      <c r="I63" s="97"/>
      <c r="J63" s="97"/>
      <c r="K63" s="97"/>
      <c r="L63" s="97"/>
    </row>
    <row r="64" spans="1:12">
      <c r="A64" s="580">
        <f t="shared" si="8"/>
        <v>305</v>
      </c>
      <c r="B64" s="535" t="s">
        <v>2750</v>
      </c>
      <c r="C64" s="1271">
        <v>41333</v>
      </c>
      <c r="D64" s="1099">
        <v>2586.35098055555</v>
      </c>
      <c r="E64" s="1099">
        <v>2169.6611003549338</v>
      </c>
      <c r="F64" s="707">
        <v>30</v>
      </c>
      <c r="G64" s="1099">
        <v>86.211699351851664</v>
      </c>
      <c r="H64" s="535" t="s">
        <v>2751</v>
      </c>
      <c r="I64" s="97"/>
      <c r="J64" s="97"/>
      <c r="K64" s="97"/>
      <c r="L64" s="97"/>
    </row>
    <row r="65" spans="1:12">
      <c r="A65" s="580">
        <f t="shared" si="8"/>
        <v>306</v>
      </c>
      <c r="B65" s="535" t="s">
        <v>2752</v>
      </c>
      <c r="C65" s="1271">
        <v>41333</v>
      </c>
      <c r="D65" s="1099">
        <v>2886.8659722222401</v>
      </c>
      <c r="E65" s="1099">
        <v>2421.7597878086572</v>
      </c>
      <c r="F65" s="707">
        <v>30</v>
      </c>
      <c r="G65" s="1099">
        <v>96.228865740741341</v>
      </c>
      <c r="H65" s="535" t="s">
        <v>2751</v>
      </c>
      <c r="I65" s="97"/>
      <c r="J65" s="97"/>
      <c r="K65" s="97"/>
      <c r="L65" s="97"/>
    </row>
    <row r="66" spans="1:12">
      <c r="A66" s="580">
        <f t="shared" si="8"/>
        <v>307</v>
      </c>
      <c r="B66" s="535" t="s">
        <v>2753</v>
      </c>
      <c r="C66" s="1271">
        <v>42460</v>
      </c>
      <c r="D66" s="1099">
        <v>2147.8025000000098</v>
      </c>
      <c r="E66" s="1099">
        <v>1771.9370625000092</v>
      </c>
      <c r="F66" s="707">
        <v>10</v>
      </c>
      <c r="G66" s="1099">
        <v>214.78025000000099</v>
      </c>
      <c r="H66" s="535" t="s">
        <v>2754</v>
      </c>
      <c r="I66" s="97"/>
      <c r="J66" s="97"/>
      <c r="K66" s="97"/>
      <c r="L66" s="97"/>
    </row>
    <row r="67" spans="1:12">
      <c r="A67" s="580">
        <f t="shared" si="8"/>
        <v>308</v>
      </c>
      <c r="B67" s="535" t="s">
        <v>2755</v>
      </c>
      <c r="C67" s="1271">
        <v>42935</v>
      </c>
      <c r="D67" s="1099">
        <v>12749.1833444445</v>
      </c>
      <c r="E67" s="1099">
        <v>12572.111353549401</v>
      </c>
      <c r="F67" s="707">
        <v>30</v>
      </c>
      <c r="G67" s="1099">
        <v>424.97277814814998</v>
      </c>
      <c r="H67" s="385" t="s">
        <v>2756</v>
      </c>
      <c r="I67" s="97"/>
      <c r="J67" s="97"/>
      <c r="K67" s="97"/>
      <c r="L67" s="97"/>
    </row>
    <row r="68" spans="1:12">
      <c r="A68" s="580">
        <f t="shared" si="8"/>
        <v>309</v>
      </c>
      <c r="B68" s="97"/>
      <c r="C68" s="1271"/>
      <c r="D68" s="1099"/>
      <c r="E68" s="1099"/>
      <c r="F68" s="97"/>
      <c r="G68" s="1099"/>
      <c r="H68" s="385"/>
      <c r="I68" s="97"/>
      <c r="J68" s="97"/>
      <c r="K68" s="97"/>
      <c r="L68" s="97"/>
    </row>
    <row r="69" spans="1:12">
      <c r="A69" s="580">
        <f t="shared" si="8"/>
        <v>310</v>
      </c>
      <c r="B69" s="97"/>
      <c r="C69" s="1271"/>
      <c r="D69" s="1099"/>
      <c r="E69" s="1099"/>
      <c r="F69" s="97"/>
      <c r="G69" s="1099"/>
      <c r="H69" s="385"/>
      <c r="I69" s="97"/>
      <c r="J69" s="97"/>
      <c r="K69" s="97"/>
      <c r="L69" s="97"/>
    </row>
    <row r="70" spans="1:12">
      <c r="A70" s="580">
        <f t="shared" si="8"/>
        <v>311</v>
      </c>
      <c r="B70" s="1047" t="s">
        <v>513</v>
      </c>
      <c r="C70" s="1271"/>
      <c r="D70" s="1099"/>
      <c r="E70" s="1099"/>
      <c r="F70" s="97"/>
      <c r="G70" s="97"/>
      <c r="H70" s="388"/>
      <c r="I70" s="97"/>
      <c r="J70" s="97"/>
      <c r="K70" s="97"/>
      <c r="L70" s="97"/>
    </row>
    <row r="71" spans="1:12">
      <c r="A71" s="580">
        <f t="shared" si="8"/>
        <v>312</v>
      </c>
      <c r="D71" s="68" t="s">
        <v>2558</v>
      </c>
      <c r="E71" s="7">
        <f>SUM(E60:E70)*1000</f>
        <v>19365634.255193394</v>
      </c>
      <c r="G71" s="7">
        <f>SUM(G60:G70)*1000</f>
        <v>1027661.2402995675</v>
      </c>
    </row>
    <row r="74" spans="1:12">
      <c r="B74" s="1"/>
    </row>
    <row r="75" spans="1:12">
      <c r="B75" s="483"/>
    </row>
    <row r="76" spans="1:12">
      <c r="B76" s="483"/>
    </row>
    <row r="78" spans="1:12">
      <c r="B78" s="485"/>
    </row>
  </sheetData>
  <mergeCells count="2">
    <mergeCell ref="F40:G40"/>
    <mergeCell ref="H59:I59"/>
  </mergeCells>
  <pageMargins left="0.7" right="0.7" top="0.75" bottom="0.75" header="0.3" footer="0.3"/>
  <pageSetup scale="70" orientation="landscape" r:id="rId1"/>
  <headerFooter>
    <oddHeader>&amp;CSchedule 5 ROR-4
Return and Capitalization&amp;RTO2019 Draft Annual Update 
Attachment1</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35"/>
  <sheetViews>
    <sheetView zoomScaleNormal="100" workbookViewId="0"/>
  </sheetViews>
  <sheetFormatPr defaultColWidth="8.85546875" defaultRowHeight="12.75"/>
  <cols>
    <col min="1" max="1" width="4.7109375" style="1075" customWidth="1"/>
    <col min="2" max="2" width="10.7109375" style="1075" customWidth="1"/>
    <col min="3" max="6" width="13.7109375" style="1075" customWidth="1"/>
    <col min="7" max="7" width="14.42578125" style="1075" customWidth="1"/>
    <col min="8" max="12" width="13.7109375" style="1075" customWidth="1"/>
    <col min="13" max="13" width="15.7109375" style="1075" customWidth="1"/>
    <col min="14" max="14" width="8.85546875" style="1075"/>
    <col min="15" max="15" width="14.42578125" style="1075" customWidth="1"/>
    <col min="16" max="16" width="15.140625" style="1075" customWidth="1"/>
    <col min="17" max="16384" width="8.85546875" style="1075"/>
  </cols>
  <sheetData>
    <row r="1" spans="1:13">
      <c r="A1" s="398" t="s">
        <v>1201</v>
      </c>
      <c r="B1" s="232"/>
      <c r="C1" s="232"/>
      <c r="D1" s="232"/>
      <c r="E1" s="232"/>
      <c r="F1" s="232"/>
      <c r="G1" s="232"/>
      <c r="H1" s="232"/>
      <c r="I1" s="1081" t="s">
        <v>17</v>
      </c>
      <c r="J1" s="1078"/>
      <c r="K1" s="232"/>
      <c r="L1" s="232"/>
    </row>
    <row r="2" spans="1:13">
      <c r="A2" s="398"/>
      <c r="B2" s="232"/>
      <c r="C2" s="232"/>
      <c r="D2" s="232"/>
      <c r="E2" s="232"/>
      <c r="F2" s="232"/>
      <c r="G2" s="232"/>
      <c r="H2" s="232"/>
      <c r="I2" s="232"/>
      <c r="J2" s="232"/>
      <c r="K2" s="232"/>
      <c r="L2" s="232"/>
    </row>
    <row r="3" spans="1:13">
      <c r="A3" s="398"/>
      <c r="B3" s="398" t="s">
        <v>323</v>
      </c>
      <c r="C3" s="232"/>
      <c r="D3" s="232"/>
      <c r="E3" s="232"/>
      <c r="F3" s="232"/>
      <c r="G3" s="232"/>
      <c r="H3" s="232"/>
      <c r="I3" s="232"/>
      <c r="J3" s="232"/>
      <c r="K3" s="232"/>
      <c r="L3" s="232"/>
    </row>
    <row r="4" spans="1:13">
      <c r="A4" s="398"/>
      <c r="B4" s="398"/>
      <c r="C4" s="232"/>
      <c r="D4" s="232"/>
      <c r="E4" s="232"/>
      <c r="F4" s="232"/>
      <c r="G4" s="232"/>
      <c r="H4" s="232"/>
      <c r="I4" s="232"/>
      <c r="J4" s="232"/>
      <c r="K4" s="232"/>
      <c r="L4" s="232"/>
    </row>
    <row r="5" spans="1:13">
      <c r="A5" s="398"/>
      <c r="B5" s="483" t="s">
        <v>1548</v>
      </c>
      <c r="C5" s="232"/>
      <c r="D5" s="232"/>
      <c r="E5" s="232"/>
      <c r="F5" s="232"/>
      <c r="G5" s="232"/>
      <c r="H5" s="483"/>
      <c r="I5" s="958" t="s">
        <v>1744</v>
      </c>
      <c r="J5" s="957">
        <v>2017</v>
      </c>
      <c r="K5" s="232"/>
      <c r="L5" s="232"/>
    </row>
    <row r="6" spans="1:13">
      <c r="A6" s="398"/>
      <c r="B6" s="483"/>
      <c r="C6" s="232"/>
      <c r="D6" s="232"/>
      <c r="E6" s="232"/>
      <c r="F6" s="232"/>
      <c r="G6" s="232"/>
      <c r="H6" s="232"/>
      <c r="I6" s="232"/>
      <c r="J6" s="232"/>
      <c r="K6" s="232"/>
      <c r="L6" s="232"/>
    </row>
    <row r="7" spans="1:13">
      <c r="A7" s="398"/>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456"/>
      <c r="C8" s="232"/>
      <c r="D8" s="232"/>
      <c r="E8" s="232"/>
      <c r="F8" s="232"/>
      <c r="G8" s="232"/>
      <c r="H8" s="232"/>
      <c r="I8" s="232"/>
      <c r="J8" s="232"/>
      <c r="K8" s="232"/>
      <c r="M8" s="249" t="s">
        <v>1237</v>
      </c>
    </row>
    <row r="9" spans="1:13">
      <c r="A9" s="232"/>
      <c r="B9" s="111"/>
      <c r="C9" s="84"/>
      <c r="D9" s="84"/>
      <c r="E9" s="232"/>
      <c r="F9" s="232"/>
      <c r="G9" s="232"/>
      <c r="H9" s="232"/>
      <c r="I9" s="232"/>
      <c r="J9" s="232"/>
      <c r="K9" s="232"/>
      <c r="L9" s="232"/>
    </row>
    <row r="10" spans="1:13">
      <c r="A10" s="51" t="s">
        <v>332</v>
      </c>
      <c r="B10" s="125" t="s">
        <v>1780</v>
      </c>
      <c r="C10" s="84">
        <v>350.1</v>
      </c>
      <c r="D10" s="84">
        <v>350.2</v>
      </c>
      <c r="E10" s="84">
        <v>352</v>
      </c>
      <c r="F10" s="84">
        <v>353</v>
      </c>
      <c r="G10" s="84">
        <v>354</v>
      </c>
      <c r="H10" s="84">
        <v>355</v>
      </c>
      <c r="I10" s="84">
        <v>356</v>
      </c>
      <c r="J10" s="84">
        <v>357</v>
      </c>
      <c r="K10" s="84">
        <v>358</v>
      </c>
      <c r="L10" s="84">
        <v>359</v>
      </c>
      <c r="M10" s="3" t="s">
        <v>196</v>
      </c>
    </row>
    <row r="11" spans="1:13">
      <c r="A11" s="580">
        <v>1</v>
      </c>
      <c r="B11" s="1040" t="s">
        <v>2428</v>
      </c>
      <c r="C11" s="517">
        <v>86845703.104480609</v>
      </c>
      <c r="D11" s="577">
        <v>165326927.27681193</v>
      </c>
      <c r="E11" s="1083">
        <v>531582610.83188766</v>
      </c>
      <c r="F11" s="517">
        <v>3249175448.8296032</v>
      </c>
      <c r="G11" s="517">
        <v>2233991232.1950097</v>
      </c>
      <c r="H11" s="517">
        <v>324258227.83465576</v>
      </c>
      <c r="I11" s="517">
        <v>1235903790.5887618</v>
      </c>
      <c r="J11" s="517">
        <v>185508196.51440176</v>
      </c>
      <c r="K11" s="517">
        <v>81951071.953655437</v>
      </c>
      <c r="L11" s="517">
        <v>182027085.56504503</v>
      </c>
      <c r="M11" s="234">
        <f t="shared" ref="M11:M23" si="0">SUM(C11:L11)</f>
        <v>8276570294.694313</v>
      </c>
    </row>
    <row r="12" spans="1:13">
      <c r="A12" s="580">
        <f>A11+1</f>
        <v>2</v>
      </c>
      <c r="B12" s="741" t="s">
        <v>2682</v>
      </c>
      <c r="C12" s="236">
        <f>C130+C197 +C11</f>
        <v>81997511.329591066</v>
      </c>
      <c r="D12" s="236">
        <f>D130+D197 +D11</f>
        <v>165330397.22681195</v>
      </c>
      <c r="E12" s="236">
        <f t="shared" ref="E12:L12" si="1">E130+E197 +E11</f>
        <v>528854082.94456756</v>
      </c>
      <c r="F12" s="236">
        <f t="shared" si="1"/>
        <v>3250037231.0578914</v>
      </c>
      <c r="G12" s="236">
        <f t="shared" si="1"/>
        <v>2231001014.4046226</v>
      </c>
      <c r="H12" s="236">
        <f t="shared" si="1"/>
        <v>335699493.46825069</v>
      </c>
      <c r="I12" s="236">
        <f t="shared" si="1"/>
        <v>1232564516.1714423</v>
      </c>
      <c r="J12" s="236">
        <f t="shared" si="1"/>
        <v>185656754.46065056</v>
      </c>
      <c r="K12" s="236">
        <f t="shared" si="1"/>
        <v>81997920.308720946</v>
      </c>
      <c r="L12" s="236">
        <f t="shared" si="1"/>
        <v>160125967.75832444</v>
      </c>
      <c r="M12" s="234">
        <f t="shared" si="0"/>
        <v>8253264889.1308718</v>
      </c>
    </row>
    <row r="13" spans="1:13">
      <c r="A13" s="580">
        <f t="shared" ref="A13:A24" si="2">A12+1</f>
        <v>3</v>
      </c>
      <c r="B13" s="740" t="s">
        <v>2683</v>
      </c>
      <c r="C13" s="236">
        <f t="shared" ref="C13:D22" si="3">C131+C198 +C12</f>
        <v>82013020.485065579</v>
      </c>
      <c r="D13" s="236">
        <f t="shared" si="3"/>
        <v>165784066.13681194</v>
      </c>
      <c r="E13" s="236">
        <f t="shared" ref="E13:E22" si="4">E131+E198 +E12</f>
        <v>534882417.92989409</v>
      </c>
      <c r="F13" s="236">
        <f t="shared" ref="F13:F22" si="5">F131+F198 +F12</f>
        <v>3256654353.0725117</v>
      </c>
      <c r="G13" s="236">
        <f t="shared" ref="G13:G22" si="6">G131+G198 +G12</f>
        <v>2213130982.1333771</v>
      </c>
      <c r="H13" s="236">
        <f t="shared" ref="H13:H22" si="7">H131+H198 +H12</f>
        <v>339965913.33329707</v>
      </c>
      <c r="I13" s="236">
        <f t="shared" ref="I13:I22" si="8">I131+I198 +I12</f>
        <v>1235030893.795954</v>
      </c>
      <c r="J13" s="236">
        <f t="shared" ref="J13:J22" si="9">J131+J198 +J12</f>
        <v>186119194.09506792</v>
      </c>
      <c r="K13" s="236">
        <f t="shared" ref="K13:K22" si="10">K131+K198 +K12</f>
        <v>82775424.321385443</v>
      </c>
      <c r="L13" s="236">
        <f t="shared" ref="L13:L22" si="11">L131+L198 +L12</f>
        <v>161709714.73974848</v>
      </c>
      <c r="M13" s="234">
        <f t="shared" si="0"/>
        <v>8258065980.0431118</v>
      </c>
    </row>
    <row r="14" spans="1:13">
      <c r="A14" s="580">
        <f t="shared" si="2"/>
        <v>4</v>
      </c>
      <c r="B14" s="740" t="s">
        <v>2684</v>
      </c>
      <c r="C14" s="236">
        <f t="shared" si="3"/>
        <v>82413676.780734852</v>
      </c>
      <c r="D14" s="236">
        <f t="shared" si="3"/>
        <v>165733853.1359542</v>
      </c>
      <c r="E14" s="236">
        <f t="shared" si="4"/>
        <v>532806953.88800937</v>
      </c>
      <c r="F14" s="236">
        <f t="shared" si="5"/>
        <v>3260114606.4719715</v>
      </c>
      <c r="G14" s="236">
        <f t="shared" si="6"/>
        <v>2225922423.015646</v>
      </c>
      <c r="H14" s="236">
        <f t="shared" si="7"/>
        <v>342740513.52006418</v>
      </c>
      <c r="I14" s="236">
        <f t="shared" si="8"/>
        <v>1241178224.9469056</v>
      </c>
      <c r="J14" s="236">
        <f t="shared" si="9"/>
        <v>186361376.5458791</v>
      </c>
      <c r="K14" s="236">
        <f t="shared" si="10"/>
        <v>83455650.891343445</v>
      </c>
      <c r="L14" s="236">
        <f t="shared" si="11"/>
        <v>161453728.52818018</v>
      </c>
      <c r="M14" s="234">
        <f t="shared" si="0"/>
        <v>8282181007.7246895</v>
      </c>
    </row>
    <row r="15" spans="1:13">
      <c r="A15" s="580">
        <f t="shared" si="2"/>
        <v>5</v>
      </c>
      <c r="B15" s="741" t="s">
        <v>2685</v>
      </c>
      <c r="C15" s="236">
        <f t="shared" si="3"/>
        <v>82424960.000734851</v>
      </c>
      <c r="D15" s="236">
        <f t="shared" si="3"/>
        <v>165734428.73346913</v>
      </c>
      <c r="E15" s="236">
        <f t="shared" si="4"/>
        <v>540340484.50312638</v>
      </c>
      <c r="F15" s="236">
        <f t="shared" si="5"/>
        <v>3290596931.5240779</v>
      </c>
      <c r="G15" s="236">
        <f t="shared" si="6"/>
        <v>2251979964.6914034</v>
      </c>
      <c r="H15" s="236">
        <f t="shared" si="7"/>
        <v>344598338.85794425</v>
      </c>
      <c r="I15" s="236">
        <f t="shared" si="8"/>
        <v>1244265047.7625117</v>
      </c>
      <c r="J15" s="236">
        <f t="shared" si="9"/>
        <v>186611561.35820594</v>
      </c>
      <c r="K15" s="236">
        <f t="shared" si="10"/>
        <v>83540944.255076736</v>
      </c>
      <c r="L15" s="236">
        <f t="shared" si="11"/>
        <v>161600158.1218653</v>
      </c>
      <c r="M15" s="234">
        <f t="shared" si="0"/>
        <v>8351692819.8084164</v>
      </c>
    </row>
    <row r="16" spans="1:13">
      <c r="A16" s="580">
        <f t="shared" si="2"/>
        <v>6</v>
      </c>
      <c r="B16" s="740" t="s">
        <v>2686</v>
      </c>
      <c r="C16" s="236">
        <f t="shared" si="3"/>
        <v>82438879.958219945</v>
      </c>
      <c r="D16" s="236">
        <f t="shared" si="3"/>
        <v>165704350.73919225</v>
      </c>
      <c r="E16" s="236">
        <f t="shared" si="4"/>
        <v>548767497.36873901</v>
      </c>
      <c r="F16" s="236">
        <f t="shared" si="5"/>
        <v>3303060549.2557364</v>
      </c>
      <c r="G16" s="236">
        <f t="shared" si="6"/>
        <v>2258078708.9137988</v>
      </c>
      <c r="H16" s="236">
        <f t="shared" si="7"/>
        <v>345368677.19838327</v>
      </c>
      <c r="I16" s="236">
        <f t="shared" si="8"/>
        <v>1242476528.4366479</v>
      </c>
      <c r="J16" s="236">
        <f t="shared" si="9"/>
        <v>187117539.03635201</v>
      </c>
      <c r="K16" s="236">
        <f t="shared" si="10"/>
        <v>83717688.500994444</v>
      </c>
      <c r="L16" s="236">
        <f t="shared" si="11"/>
        <v>168349231.71443564</v>
      </c>
      <c r="M16" s="234">
        <f t="shared" si="0"/>
        <v>8385079651.1225004</v>
      </c>
    </row>
    <row r="17" spans="1:15">
      <c r="A17" s="580">
        <f t="shared" si="2"/>
        <v>7</v>
      </c>
      <c r="B17" s="740" t="s">
        <v>2687</v>
      </c>
      <c r="C17" s="236">
        <f t="shared" si="3"/>
        <v>81409531.041870818</v>
      </c>
      <c r="D17" s="236">
        <f t="shared" si="3"/>
        <v>165534488.25595289</v>
      </c>
      <c r="E17" s="236">
        <f t="shared" si="4"/>
        <v>552041269.8048203</v>
      </c>
      <c r="F17" s="236">
        <f t="shared" si="5"/>
        <v>3313909561.1628776</v>
      </c>
      <c r="G17" s="236">
        <f t="shared" si="6"/>
        <v>2261350618.4544725</v>
      </c>
      <c r="H17" s="236">
        <f t="shared" si="7"/>
        <v>347377533.8652634</v>
      </c>
      <c r="I17" s="236">
        <f t="shared" si="8"/>
        <v>1244803717.1369219</v>
      </c>
      <c r="J17" s="236">
        <f t="shared" si="9"/>
        <v>188491606.57570153</v>
      </c>
      <c r="K17" s="236">
        <f t="shared" si="10"/>
        <v>84190542.091635212</v>
      </c>
      <c r="L17" s="236">
        <f t="shared" si="11"/>
        <v>167806375.11891511</v>
      </c>
      <c r="M17" s="234">
        <f t="shared" si="0"/>
        <v>8406915243.5084305</v>
      </c>
    </row>
    <row r="18" spans="1:15">
      <c r="A18" s="580">
        <f t="shared" si="2"/>
        <v>8</v>
      </c>
      <c r="B18" s="741" t="s">
        <v>2688</v>
      </c>
      <c r="C18" s="236">
        <f t="shared" si="3"/>
        <v>81421876.403887019</v>
      </c>
      <c r="D18" s="236">
        <f t="shared" si="3"/>
        <v>165199674.61073655</v>
      </c>
      <c r="E18" s="236">
        <f t="shared" si="4"/>
        <v>554107048.7279923</v>
      </c>
      <c r="F18" s="236">
        <f t="shared" si="5"/>
        <v>3321544470.6075063</v>
      </c>
      <c r="G18" s="236">
        <f t="shared" si="6"/>
        <v>2263663367.962369</v>
      </c>
      <c r="H18" s="236">
        <f t="shared" si="7"/>
        <v>350109484.59682691</v>
      </c>
      <c r="I18" s="236">
        <f t="shared" si="8"/>
        <v>1244039915.8336692</v>
      </c>
      <c r="J18" s="236">
        <f t="shared" si="9"/>
        <v>188624718.09472644</v>
      </c>
      <c r="K18" s="236">
        <f t="shared" si="10"/>
        <v>84257049.666369125</v>
      </c>
      <c r="L18" s="236">
        <f t="shared" si="11"/>
        <v>167839950.27240404</v>
      </c>
      <c r="M18" s="234">
        <f t="shared" si="0"/>
        <v>8420807556.7764864</v>
      </c>
    </row>
    <row r="19" spans="1:15">
      <c r="A19" s="580">
        <f t="shared" si="2"/>
        <v>9</v>
      </c>
      <c r="B19" s="740" t="s">
        <v>2689</v>
      </c>
      <c r="C19" s="236">
        <f t="shared" si="3"/>
        <v>81875010.633887053</v>
      </c>
      <c r="D19" s="236">
        <f t="shared" si="3"/>
        <v>164728138.38125554</v>
      </c>
      <c r="E19" s="236">
        <f t="shared" si="4"/>
        <v>558293841.55568182</v>
      </c>
      <c r="F19" s="236">
        <f t="shared" si="5"/>
        <v>3350799128.8351703</v>
      </c>
      <c r="G19" s="236">
        <f t="shared" si="6"/>
        <v>2265082996.3457894</v>
      </c>
      <c r="H19" s="236">
        <f t="shared" si="7"/>
        <v>350778177.54014826</v>
      </c>
      <c r="I19" s="236">
        <f t="shared" si="8"/>
        <v>1246103080.4025316</v>
      </c>
      <c r="J19" s="236">
        <f t="shared" si="9"/>
        <v>188962876.00330049</v>
      </c>
      <c r="K19" s="236">
        <f t="shared" si="10"/>
        <v>84383655.945058659</v>
      </c>
      <c r="L19" s="236">
        <f t="shared" si="11"/>
        <v>168194578.75962457</v>
      </c>
      <c r="M19" s="234">
        <f t="shared" si="0"/>
        <v>8459201484.4024467</v>
      </c>
    </row>
    <row r="20" spans="1:15">
      <c r="A20" s="580">
        <f t="shared" si="2"/>
        <v>10</v>
      </c>
      <c r="B20" s="740" t="s">
        <v>2690</v>
      </c>
      <c r="C20" s="236">
        <f t="shared" si="3"/>
        <v>81886831.423887074</v>
      </c>
      <c r="D20" s="236">
        <f t="shared" si="3"/>
        <v>164709519.96722952</v>
      </c>
      <c r="E20" s="236">
        <f t="shared" si="4"/>
        <v>560085940.2329005</v>
      </c>
      <c r="F20" s="236">
        <f t="shared" si="5"/>
        <v>3354129788.6444764</v>
      </c>
      <c r="G20" s="236">
        <f t="shared" si="6"/>
        <v>2263017843.9178081</v>
      </c>
      <c r="H20" s="236">
        <f t="shared" si="7"/>
        <v>354174066.57641131</v>
      </c>
      <c r="I20" s="236">
        <f t="shared" si="8"/>
        <v>1247812336.6400785</v>
      </c>
      <c r="J20" s="236">
        <f t="shared" si="9"/>
        <v>189290135.91687733</v>
      </c>
      <c r="K20" s="236">
        <f t="shared" si="10"/>
        <v>84485994.066605121</v>
      </c>
      <c r="L20" s="236">
        <f t="shared" si="11"/>
        <v>168808262.22314706</v>
      </c>
      <c r="M20" s="234">
        <f t="shared" si="0"/>
        <v>8468400719.6094227</v>
      </c>
    </row>
    <row r="21" spans="1:15">
      <c r="A21" s="580">
        <f t="shared" si="2"/>
        <v>11</v>
      </c>
      <c r="B21" s="741" t="s">
        <v>2691</v>
      </c>
      <c r="C21" s="236">
        <f t="shared" si="3"/>
        <v>81898670.463887021</v>
      </c>
      <c r="D21" s="236">
        <f t="shared" si="3"/>
        <v>164708798.40418896</v>
      </c>
      <c r="E21" s="236">
        <f t="shared" si="4"/>
        <v>557690364.6600107</v>
      </c>
      <c r="F21" s="236">
        <f t="shared" si="5"/>
        <v>3337803869.7518563</v>
      </c>
      <c r="G21" s="236">
        <f t="shared" si="6"/>
        <v>2267000465.6816745</v>
      </c>
      <c r="H21" s="236">
        <f t="shared" si="7"/>
        <v>357358231.11677372</v>
      </c>
      <c r="I21" s="236">
        <f t="shared" si="8"/>
        <v>1247335361.2178495</v>
      </c>
      <c r="J21" s="236">
        <f t="shared" si="9"/>
        <v>189937864.06722775</v>
      </c>
      <c r="K21" s="236">
        <f t="shared" si="10"/>
        <v>84808332.546487942</v>
      </c>
      <c r="L21" s="236">
        <f t="shared" si="11"/>
        <v>169009659.89762434</v>
      </c>
      <c r="M21" s="234">
        <f t="shared" si="0"/>
        <v>8457551617.80758</v>
      </c>
    </row>
    <row r="22" spans="1:15">
      <c r="A22" s="580">
        <f t="shared" si="2"/>
        <v>12</v>
      </c>
      <c r="B22" s="741" t="s">
        <v>2692</v>
      </c>
      <c r="C22" s="236">
        <f t="shared" si="3"/>
        <v>87866111.14856644</v>
      </c>
      <c r="D22" s="236">
        <f t="shared" si="3"/>
        <v>164907956.70031324</v>
      </c>
      <c r="E22" s="236">
        <f t="shared" si="4"/>
        <v>559289848.66007018</v>
      </c>
      <c r="F22" s="236">
        <f t="shared" si="5"/>
        <v>3340005248.8568726</v>
      </c>
      <c r="G22" s="236">
        <f t="shared" si="6"/>
        <v>2268750108.1658549</v>
      </c>
      <c r="H22" s="236">
        <f t="shared" si="7"/>
        <v>362445560.88366669</v>
      </c>
      <c r="I22" s="236">
        <f t="shared" si="8"/>
        <v>1244772135.9283471</v>
      </c>
      <c r="J22" s="236">
        <f t="shared" si="9"/>
        <v>190107795.93953431</v>
      </c>
      <c r="K22" s="236">
        <f t="shared" si="10"/>
        <v>84849890.172531247</v>
      </c>
      <c r="L22" s="236">
        <f t="shared" si="11"/>
        <v>171154663.06990889</v>
      </c>
      <c r="M22" s="234">
        <f t="shared" si="0"/>
        <v>8474149319.5256653</v>
      </c>
    </row>
    <row r="23" spans="1:15">
      <c r="A23" s="580">
        <f t="shared" si="2"/>
        <v>13</v>
      </c>
      <c r="B23" s="740" t="s">
        <v>2693</v>
      </c>
      <c r="C23" s="117">
        <v>87876203.008566424</v>
      </c>
      <c r="D23" s="117">
        <v>164901118.05652422</v>
      </c>
      <c r="E23" s="463">
        <f>'7-PlantStudy'!E10</f>
        <v>569698022.82553017</v>
      </c>
      <c r="F23" s="463">
        <f>'7-PlantStudy'!E11</f>
        <v>3409447773.6593328</v>
      </c>
      <c r="G23" s="463">
        <f>'7-PlantStudy'!E20</f>
        <v>2283380921.6603918</v>
      </c>
      <c r="H23" s="463">
        <f>'7-PlantStudy'!E21</f>
        <v>364424080.39844126</v>
      </c>
      <c r="I23" s="463">
        <f>'7-PlantStudy'!E22</f>
        <v>1245933686.1010468</v>
      </c>
      <c r="J23" s="463">
        <f>'7-PlantStudy'!E23</f>
        <v>190222488.72271055</v>
      </c>
      <c r="K23" s="463">
        <f>'7-PlantStudy'!E24</f>
        <v>84920373.966592565</v>
      </c>
      <c r="L23" s="463">
        <f>'7-PlantStudy'!E25</f>
        <v>172640884.93140152</v>
      </c>
      <c r="M23" s="369">
        <f t="shared" si="0"/>
        <v>8573445553.3305378</v>
      </c>
      <c r="O23" s="1"/>
    </row>
    <row r="24" spans="1:15">
      <c r="A24" s="580">
        <f t="shared" si="2"/>
        <v>14</v>
      </c>
      <c r="B24" s="1201" t="s">
        <v>1202</v>
      </c>
      <c r="C24" s="234">
        <f t="shared" ref="C24:M24" si="12">AVERAGE(C11:C23)</f>
        <v>83259075.829490662</v>
      </c>
      <c r="D24" s="234">
        <f t="shared" si="12"/>
        <v>165254132.12501943</v>
      </c>
      <c r="E24" s="234">
        <f t="shared" si="12"/>
        <v>548341567.99486387</v>
      </c>
      <c r="F24" s="234">
        <f t="shared" si="12"/>
        <v>3310559920.1330676</v>
      </c>
      <c r="G24" s="234">
        <f t="shared" si="12"/>
        <v>2252796203.657094</v>
      </c>
      <c r="H24" s="234">
        <f t="shared" si="12"/>
        <v>347638330.70693278</v>
      </c>
      <c r="I24" s="234">
        <f t="shared" si="12"/>
        <v>1242478402.6894362</v>
      </c>
      <c r="J24" s="234">
        <f t="shared" si="12"/>
        <v>187924008.25620276</v>
      </c>
      <c r="K24" s="234">
        <f t="shared" si="12"/>
        <v>83794964.5143428</v>
      </c>
      <c r="L24" s="234">
        <f t="shared" si="12"/>
        <v>167747712.36158651</v>
      </c>
      <c r="M24" s="234">
        <f t="shared" si="12"/>
        <v>8389794318.2680359</v>
      </c>
    </row>
    <row r="25" spans="1:15">
      <c r="A25" s="483"/>
      <c r="B25" s="483"/>
      <c r="C25" s="483"/>
      <c r="D25" s="483"/>
      <c r="E25" s="483"/>
      <c r="F25" s="483"/>
      <c r="G25" s="483"/>
      <c r="H25" s="483"/>
      <c r="I25" s="483"/>
      <c r="J25" s="483"/>
      <c r="K25" s="483"/>
      <c r="L25" s="483"/>
    </row>
    <row r="26" spans="1:15">
      <c r="A26" s="483"/>
      <c r="B26" s="398" t="s">
        <v>324</v>
      </c>
      <c r="C26" s="483"/>
      <c r="D26" s="483"/>
      <c r="E26" s="483"/>
      <c r="F26" s="483"/>
      <c r="G26" s="483"/>
      <c r="H26" s="483"/>
      <c r="I26" s="483"/>
      <c r="J26" s="483"/>
      <c r="K26" s="483"/>
      <c r="L26" s="483"/>
    </row>
    <row r="27" spans="1:15">
      <c r="A27" s="483"/>
      <c r="B27" s="398"/>
      <c r="C27" s="483"/>
      <c r="D27" s="483"/>
      <c r="E27" s="483"/>
      <c r="F27" s="483"/>
      <c r="G27" s="483"/>
      <c r="H27" s="483"/>
      <c r="I27" s="483"/>
      <c r="J27" s="483"/>
      <c r="K27" s="483"/>
      <c r="L27" s="483"/>
    </row>
    <row r="28" spans="1:15">
      <c r="A28" s="483"/>
      <c r="B28" s="241" t="s">
        <v>1745</v>
      </c>
      <c r="C28" s="485"/>
      <c r="D28" s="485"/>
      <c r="E28" s="485"/>
      <c r="F28" s="485"/>
      <c r="G28" s="485"/>
      <c r="H28" s="485"/>
      <c r="I28" s="483"/>
      <c r="J28" s="483"/>
      <c r="K28" s="483"/>
      <c r="L28" s="483"/>
    </row>
    <row r="29" spans="1:15">
      <c r="A29" s="483"/>
      <c r="B29" s="398"/>
      <c r="C29" s="483"/>
      <c r="D29" s="483"/>
      <c r="E29" s="483"/>
      <c r="F29" s="483"/>
      <c r="G29" s="483"/>
      <c r="H29" s="483"/>
      <c r="I29" s="483"/>
      <c r="J29" s="483"/>
      <c r="K29" s="483"/>
      <c r="L29" s="483"/>
    </row>
    <row r="30" spans="1:15">
      <c r="A30" s="398"/>
      <c r="B30" s="84" t="s">
        <v>363</v>
      </c>
      <c r="C30" s="84" t="s">
        <v>347</v>
      </c>
      <c r="D30" s="84" t="s">
        <v>348</v>
      </c>
      <c r="E30" s="84" t="s">
        <v>349</v>
      </c>
      <c r="F30" s="84" t="s">
        <v>350</v>
      </c>
      <c r="G30" s="483"/>
      <c r="H30" s="483"/>
      <c r="I30" s="483"/>
      <c r="J30" s="483"/>
      <c r="K30" s="483"/>
      <c r="L30" s="483"/>
    </row>
    <row r="31" spans="1:15">
      <c r="A31" s="232"/>
      <c r="B31" s="249"/>
      <c r="C31" s="232"/>
      <c r="D31" s="232"/>
      <c r="E31" s="232"/>
      <c r="F31" s="249" t="s">
        <v>1203</v>
      </c>
      <c r="G31" s="483"/>
      <c r="H31" s="483"/>
      <c r="K31" s="483"/>
      <c r="L31" s="483"/>
    </row>
    <row r="32" spans="1:15">
      <c r="A32" s="232"/>
      <c r="B32" s="111"/>
      <c r="C32" s="84"/>
      <c r="D32" s="84"/>
      <c r="E32" s="232"/>
      <c r="F32" s="232"/>
      <c r="G32" s="483"/>
      <c r="H32" s="483"/>
      <c r="K32" s="483"/>
      <c r="L32" s="483"/>
    </row>
    <row r="33" spans="1:12" ht="12.75" customHeight="1">
      <c r="A33" s="51" t="s">
        <v>332</v>
      </c>
      <c r="B33" s="125" t="s">
        <v>1780</v>
      </c>
      <c r="C33" s="370">
        <v>360</v>
      </c>
      <c r="D33" s="370">
        <v>361</v>
      </c>
      <c r="E33" s="370">
        <v>362</v>
      </c>
      <c r="F33" s="3" t="s">
        <v>196</v>
      </c>
      <c r="G33" s="483"/>
      <c r="H33" s="483"/>
      <c r="K33" s="483"/>
      <c r="L33" s="483"/>
    </row>
    <row r="34" spans="1:12" ht="12.75" customHeight="1">
      <c r="A34" s="580">
        <f>A24+1</f>
        <v>15</v>
      </c>
      <c r="B34" s="740" t="s">
        <v>2428</v>
      </c>
      <c r="C34" s="1083">
        <v>0</v>
      </c>
      <c r="D34" s="1083">
        <v>0</v>
      </c>
      <c r="E34" s="1083">
        <v>0</v>
      </c>
      <c r="F34" s="234">
        <f>SUM(C34:E34)</f>
        <v>0</v>
      </c>
      <c r="G34" s="483"/>
      <c r="H34" s="483"/>
      <c r="K34" s="483"/>
      <c r="L34" s="483"/>
    </row>
    <row r="35" spans="1:12" ht="12.75" customHeight="1">
      <c r="A35" s="580">
        <f>A34+1</f>
        <v>16</v>
      </c>
      <c r="B35" s="740" t="s">
        <v>2693</v>
      </c>
      <c r="C35" s="400">
        <v>0</v>
      </c>
      <c r="D35" s="400">
        <v>0</v>
      </c>
      <c r="E35" s="400">
        <v>0</v>
      </c>
      <c r="F35" s="369">
        <f>SUM(C35:E35)</f>
        <v>0</v>
      </c>
      <c r="G35" s="483"/>
      <c r="H35" s="483"/>
      <c r="K35" s="483"/>
      <c r="L35" s="483"/>
    </row>
    <row r="36" spans="1:12" ht="12.75" customHeight="1">
      <c r="A36" s="580">
        <f>A35+1</f>
        <v>17</v>
      </c>
      <c r="B36" s="1201" t="s">
        <v>1204</v>
      </c>
      <c r="C36" s="234">
        <f>AVERAGE(C34:C35)</f>
        <v>0</v>
      </c>
      <c r="D36" s="234">
        <f>AVERAGE(D34:D35)</f>
        <v>0</v>
      </c>
      <c r="E36" s="234">
        <f>AVERAGE(E34:E35)</f>
        <v>0</v>
      </c>
      <c r="F36" s="234">
        <f>AVERAGE(F34:F35)</f>
        <v>0</v>
      </c>
      <c r="G36" s="483"/>
      <c r="H36" s="483"/>
      <c r="K36" s="483"/>
      <c r="L36" s="483"/>
    </row>
    <row r="37" spans="1:12" ht="12.75" customHeight="1">
      <c r="A37" s="483"/>
      <c r="B37" s="483"/>
      <c r="C37" s="483"/>
      <c r="D37" s="483"/>
      <c r="E37" s="483"/>
      <c r="F37" s="483"/>
      <c r="G37" s="483"/>
      <c r="H37" s="483"/>
      <c r="K37" s="483"/>
      <c r="L37" s="483"/>
    </row>
    <row r="38" spans="1:12">
      <c r="A38" s="483"/>
      <c r="B38" s="1" t="s">
        <v>1057</v>
      </c>
      <c r="C38" s="648"/>
      <c r="D38" s="648"/>
      <c r="E38" s="1202"/>
      <c r="F38" s="1203"/>
      <c r="G38" s="1204"/>
      <c r="H38" s="483"/>
      <c r="K38" s="483"/>
      <c r="L38" s="483"/>
    </row>
    <row r="39" spans="1:12">
      <c r="A39" s="483"/>
      <c r="B39" s="483" t="s">
        <v>1058</v>
      </c>
      <c r="C39" s="648"/>
      <c r="D39" s="648"/>
      <c r="E39" s="1202"/>
      <c r="F39" s="1203"/>
      <c r="G39" s="1204"/>
      <c r="H39" s="483"/>
      <c r="K39" s="483"/>
      <c r="L39" s="483"/>
    </row>
    <row r="40" spans="1:12">
      <c r="A40" s="483"/>
      <c r="B40" s="483"/>
      <c r="C40" s="648"/>
      <c r="D40" s="648"/>
      <c r="E40" s="1202"/>
      <c r="F40" s="1203"/>
      <c r="G40" s="1204"/>
      <c r="H40" s="483"/>
      <c r="K40" s="483"/>
      <c r="L40" s="483"/>
    </row>
    <row r="41" spans="1:12">
      <c r="A41" s="483"/>
      <c r="B41" s="483"/>
      <c r="C41" s="648"/>
      <c r="D41" s="1205" t="s">
        <v>175</v>
      </c>
      <c r="E41" s="1206" t="s">
        <v>179</v>
      </c>
      <c r="F41" s="1203"/>
      <c r="G41" s="1204"/>
      <c r="H41" s="483"/>
      <c r="K41" s="483"/>
      <c r="L41" s="483"/>
    </row>
    <row r="42" spans="1:12">
      <c r="A42" s="580">
        <f>A36+1</f>
        <v>18</v>
      </c>
      <c r="B42" s="483"/>
      <c r="C42" s="1202" t="s">
        <v>325</v>
      </c>
      <c r="D42" s="1203">
        <f>M24+F36</f>
        <v>8389794318.2680359</v>
      </c>
      <c r="E42" s="1207" t="str">
        <f>"Sum of Line "&amp;A24&amp;", "&amp;M7&amp;" and Line "&amp;A36&amp;", "&amp;F30&amp;""</f>
        <v>Sum of Line 14, Col 12 and Line 17, Col 5</v>
      </c>
      <c r="F42" s="483"/>
      <c r="G42" s="483"/>
      <c r="H42" s="483"/>
      <c r="K42" s="483"/>
      <c r="L42" s="483"/>
    </row>
    <row r="43" spans="1:12">
      <c r="A43" s="580">
        <f>A42+1</f>
        <v>19</v>
      </c>
      <c r="B43" s="483"/>
      <c r="C43" s="1202" t="s">
        <v>156</v>
      </c>
      <c r="D43" s="1203">
        <f>M23+F35</f>
        <v>8573445553.3305378</v>
      </c>
      <c r="E43" s="1207" t="str">
        <f>"Sum of Line "&amp;A23&amp;", "&amp;M7&amp;" and Line "&amp;A35&amp;", "&amp;F30&amp;""</f>
        <v>Sum of Line 13, Col 12 and Line 16, Col 5</v>
      </c>
      <c r="F43" s="483"/>
      <c r="G43" s="483"/>
      <c r="H43" s="483"/>
      <c r="I43" s="483"/>
      <c r="J43" s="483"/>
      <c r="K43" s="483"/>
      <c r="L43" s="483"/>
    </row>
    <row r="44" spans="1:12">
      <c r="A44" s="483"/>
      <c r="B44" s="483"/>
      <c r="C44" s="648"/>
      <c r="D44" s="648"/>
      <c r="E44" s="1208"/>
      <c r="F44" s="1209"/>
      <c r="G44" s="1210"/>
      <c r="H44" s="483"/>
      <c r="I44" s="483"/>
      <c r="J44" s="483"/>
      <c r="K44" s="483"/>
      <c r="L44" s="483"/>
    </row>
    <row r="45" spans="1:12">
      <c r="A45" s="483"/>
      <c r="B45" s="1" t="s">
        <v>1746</v>
      </c>
      <c r="C45" s="483"/>
      <c r="D45" s="483"/>
      <c r="E45" s="1208"/>
      <c r="F45" s="1209"/>
      <c r="G45" s="1210"/>
      <c r="H45" s="483"/>
      <c r="I45" s="483"/>
      <c r="J45" s="483"/>
      <c r="K45" s="483"/>
      <c r="L45" s="483"/>
    </row>
    <row r="46" spans="1:12">
      <c r="A46" s="483"/>
      <c r="B46" s="487" t="s">
        <v>306</v>
      </c>
      <c r="C46" s="483"/>
      <c r="D46" s="483"/>
      <c r="E46" s="1208"/>
      <c r="F46" s="1209"/>
      <c r="G46" s="1210"/>
      <c r="H46" s="483"/>
      <c r="I46" s="483"/>
      <c r="J46" s="483"/>
      <c r="K46" s="483"/>
      <c r="L46" s="483"/>
    </row>
    <row r="47" spans="1:12" ht="12.75" customHeight="1">
      <c r="A47" s="483"/>
      <c r="B47" s="487"/>
      <c r="C47" s="483"/>
      <c r="D47" s="483"/>
      <c r="E47" s="1208"/>
      <c r="F47" s="1209"/>
      <c r="G47" s="1210"/>
      <c r="H47" s="483"/>
      <c r="I47" s="483"/>
      <c r="J47" s="483"/>
      <c r="K47" s="483"/>
      <c r="L47" s="483"/>
    </row>
    <row r="48" spans="1:12">
      <c r="A48" s="483"/>
      <c r="B48" s="1"/>
      <c r="C48" s="249" t="s">
        <v>364</v>
      </c>
      <c r="D48" s="483"/>
      <c r="E48" s="1208"/>
      <c r="F48" s="84" t="s">
        <v>363</v>
      </c>
      <c r="G48" s="84" t="s">
        <v>347</v>
      </c>
      <c r="H48" s="84" t="s">
        <v>348</v>
      </c>
      <c r="I48" s="483"/>
      <c r="J48" s="483"/>
      <c r="K48" s="483"/>
      <c r="L48" s="483"/>
    </row>
    <row r="49" spans="1:12">
      <c r="A49" s="483"/>
      <c r="B49" s="1"/>
      <c r="C49" s="580" t="s">
        <v>407</v>
      </c>
      <c r="D49" s="1208"/>
      <c r="F49" s="580" t="s">
        <v>1223</v>
      </c>
      <c r="G49" s="580" t="s">
        <v>1224</v>
      </c>
      <c r="H49" s="1187" t="s">
        <v>196</v>
      </c>
      <c r="I49" s="1210"/>
      <c r="J49" s="483"/>
      <c r="K49" s="483"/>
      <c r="L49" s="483"/>
    </row>
    <row r="50" spans="1:12">
      <c r="A50" s="483"/>
      <c r="B50" s="483"/>
      <c r="C50" s="580" t="s">
        <v>193</v>
      </c>
      <c r="D50" s="656" t="s">
        <v>194</v>
      </c>
      <c r="F50" s="656" t="s">
        <v>376</v>
      </c>
      <c r="G50" s="656" t="s">
        <v>376</v>
      </c>
      <c r="H50" s="656" t="s">
        <v>1205</v>
      </c>
      <c r="I50" s="656"/>
      <c r="J50" s="483"/>
      <c r="K50" s="483"/>
      <c r="L50" s="483"/>
    </row>
    <row r="51" spans="1:12">
      <c r="A51" s="483"/>
      <c r="B51" s="483"/>
      <c r="C51" s="3" t="s">
        <v>192</v>
      </c>
      <c r="D51" s="639" t="s">
        <v>179</v>
      </c>
      <c r="F51" s="652" t="s">
        <v>2</v>
      </c>
      <c r="G51" s="652" t="s">
        <v>2</v>
      </c>
      <c r="H51" s="652" t="s">
        <v>2</v>
      </c>
      <c r="I51" s="1211" t="s">
        <v>168</v>
      </c>
      <c r="J51" s="483"/>
      <c r="K51" s="483"/>
      <c r="L51" s="483"/>
    </row>
    <row r="52" spans="1:12">
      <c r="A52" s="580">
        <f>A43+1</f>
        <v>20</v>
      </c>
      <c r="B52" s="483"/>
      <c r="C52" s="636" t="s">
        <v>180</v>
      </c>
      <c r="D52" s="1186" t="s">
        <v>1225</v>
      </c>
      <c r="F52" s="1099">
        <v>2941903413</v>
      </c>
      <c r="G52" s="517">
        <v>1588136353</v>
      </c>
      <c r="H52" s="1203">
        <f>SUM(F52:G52)</f>
        <v>4530039766</v>
      </c>
      <c r="I52" s="1186" t="s">
        <v>1747</v>
      </c>
      <c r="J52" s="485"/>
      <c r="K52" s="483"/>
      <c r="L52" s="483"/>
    </row>
    <row r="53" spans="1:12" ht="12.75" customHeight="1">
      <c r="A53" s="580">
        <f>A52+1</f>
        <v>21</v>
      </c>
      <c r="B53" s="483"/>
      <c r="C53" s="643" t="s">
        <v>180</v>
      </c>
      <c r="D53" s="1186" t="s">
        <v>1775</v>
      </c>
      <c r="E53" s="14"/>
      <c r="F53" s="1099">
        <v>3102162333</v>
      </c>
      <c r="G53" s="517">
        <v>1324870316</v>
      </c>
      <c r="H53" s="1203">
        <f>SUM(F53:G53)</f>
        <v>4427032649</v>
      </c>
      <c r="I53" s="482" t="s">
        <v>1748</v>
      </c>
      <c r="J53" s="485"/>
      <c r="K53" s="483"/>
      <c r="L53" s="483"/>
    </row>
    <row r="54" spans="1:12" ht="12.75" customHeight="1">
      <c r="A54" s="483"/>
      <c r="B54" s="483"/>
      <c r="C54" s="643"/>
      <c r="D54" s="1212"/>
      <c r="E54" s="1213"/>
      <c r="F54" s="1203"/>
      <c r="G54" s="487"/>
      <c r="H54" s="483"/>
      <c r="I54" s="483"/>
      <c r="J54" s="483"/>
      <c r="K54" s="483"/>
      <c r="L54" s="483"/>
    </row>
    <row r="55" spans="1:12" ht="12.75" customHeight="1">
      <c r="A55" s="483"/>
      <c r="B55" s="483"/>
      <c r="C55" s="648" t="s">
        <v>1227</v>
      </c>
      <c r="D55" s="648"/>
      <c r="E55" s="1208"/>
      <c r="F55" s="1206" t="s">
        <v>175</v>
      </c>
      <c r="G55" s="1214" t="s">
        <v>179</v>
      </c>
      <c r="H55" s="483"/>
      <c r="I55" s="483"/>
      <c r="J55" s="483"/>
      <c r="K55" s="483"/>
      <c r="L55" s="483"/>
    </row>
    <row r="56" spans="1:12">
      <c r="A56" s="580">
        <f>A53+1</f>
        <v>22</v>
      </c>
      <c r="B56" s="483"/>
      <c r="C56" s="648"/>
      <c r="D56" s="648"/>
      <c r="E56" s="1202" t="s">
        <v>84</v>
      </c>
      <c r="F56" s="1203">
        <f>(H52+H53)/2</f>
        <v>4478536207.5</v>
      </c>
      <c r="G56" s="523" t="str">
        <f>"Average of Line "&amp;A52&amp;" and "&amp;A53&amp;"."</f>
        <v>Average of Line 20 and 21.</v>
      </c>
      <c r="H56" s="483"/>
      <c r="I56" s="483"/>
      <c r="J56" s="483"/>
      <c r="K56" s="483"/>
      <c r="L56" s="483"/>
    </row>
    <row r="57" spans="1:12">
      <c r="A57" s="580">
        <f>A56+1</f>
        <v>23</v>
      </c>
      <c r="B57" s="483"/>
      <c r="C57" s="648"/>
      <c r="D57" s="648"/>
      <c r="E57" s="617" t="s">
        <v>241</v>
      </c>
      <c r="F57" s="1215">
        <f>'27-Allocators'!G14</f>
        <v>6.0143362776597958E-2</v>
      </c>
      <c r="G57" s="523" t="str">
        <f>"27-Allocators, Line "&amp;'27-Allocators'!A14&amp;""</f>
        <v>27-Allocators, Line 9</v>
      </c>
      <c r="H57" s="483"/>
      <c r="I57" s="483"/>
      <c r="J57" s="483"/>
      <c r="K57" s="483"/>
      <c r="L57" s="483"/>
    </row>
    <row r="58" spans="1:12">
      <c r="A58" s="580">
        <f>A57+1</f>
        <v>24</v>
      </c>
      <c r="B58" s="483"/>
      <c r="C58" s="648"/>
      <c r="D58" s="648"/>
      <c r="E58" s="617" t="s">
        <v>307</v>
      </c>
      <c r="F58" s="1203">
        <f>F56*F57</f>
        <v>269354227.83580166</v>
      </c>
      <c r="G58" s="523" t="str">
        <f>"Line "&amp;A56&amp;" * Line "&amp;A57&amp;"."</f>
        <v>Line 22 * Line 23.</v>
      </c>
      <c r="H58" s="483"/>
      <c r="I58" s="483"/>
      <c r="J58" s="483"/>
      <c r="K58" s="483"/>
      <c r="L58" s="483"/>
    </row>
    <row r="59" spans="1:12">
      <c r="A59" s="483"/>
      <c r="B59" s="483"/>
      <c r="C59" s="648"/>
      <c r="D59" s="648"/>
      <c r="E59" s="617"/>
      <c r="F59" s="1203"/>
      <c r="G59" s="1204"/>
      <c r="H59" s="483"/>
      <c r="I59" s="483"/>
      <c r="J59" s="483"/>
      <c r="K59" s="483"/>
      <c r="L59" s="483"/>
    </row>
    <row r="60" spans="1:12">
      <c r="A60" s="483"/>
      <c r="B60" s="483"/>
      <c r="C60" s="648" t="s">
        <v>1226</v>
      </c>
      <c r="D60" s="648"/>
      <c r="E60" s="1208"/>
      <c r="F60" s="1206" t="s">
        <v>175</v>
      </c>
      <c r="G60" s="1214" t="s">
        <v>179</v>
      </c>
      <c r="H60" s="483"/>
      <c r="I60" s="483"/>
      <c r="J60" s="483"/>
      <c r="K60" s="483"/>
      <c r="L60" s="483"/>
    </row>
    <row r="61" spans="1:12">
      <c r="A61" s="580">
        <f>A58+1</f>
        <v>25</v>
      </c>
      <c r="B61" s="483"/>
      <c r="C61" s="648"/>
      <c r="D61" s="648"/>
      <c r="E61" s="1202" t="s">
        <v>156</v>
      </c>
      <c r="F61" s="1203">
        <f>H53</f>
        <v>4427032649</v>
      </c>
      <c r="G61" s="523" t="str">
        <f>"Line "&amp;A53&amp;"."</f>
        <v>Line 21.</v>
      </c>
      <c r="H61" s="483"/>
      <c r="I61" s="483"/>
      <c r="J61" s="483"/>
      <c r="K61" s="483"/>
      <c r="L61" s="483"/>
    </row>
    <row r="62" spans="1:12">
      <c r="A62" s="580">
        <f>A61+1</f>
        <v>26</v>
      </c>
      <c r="B62" s="483"/>
      <c r="C62" s="648"/>
      <c r="D62" s="648"/>
      <c r="E62" s="617" t="s">
        <v>241</v>
      </c>
      <c r="F62" s="1215">
        <f>'27-Allocators'!G14</f>
        <v>6.0143362776597958E-2</v>
      </c>
      <c r="G62" s="523" t="str">
        <f>"27-Allocators, Line "&amp;'27-Allocators'!A14&amp;""</f>
        <v>27-Allocators, Line 9</v>
      </c>
      <c r="H62" s="483"/>
      <c r="I62" s="483"/>
      <c r="J62" s="483"/>
      <c r="K62" s="483"/>
      <c r="L62" s="483"/>
    </row>
    <row r="63" spans="1:12">
      <c r="A63" s="580">
        <f>A62+1</f>
        <v>27</v>
      </c>
      <c r="B63" s="483"/>
      <c r="C63" s="648"/>
      <c r="D63" s="648"/>
      <c r="E63" s="617" t="s">
        <v>307</v>
      </c>
      <c r="F63" s="1203">
        <f>F61*F62</f>
        <v>266256630.63265046</v>
      </c>
      <c r="G63" s="523" t="str">
        <f>"Line "&amp;A61&amp;" * Line "&amp;A62&amp;"."</f>
        <v>Line 25 * Line 26.</v>
      </c>
      <c r="H63" s="483"/>
      <c r="I63" s="483"/>
      <c r="J63" s="483"/>
      <c r="K63" s="483"/>
      <c r="L63" s="483"/>
    </row>
    <row r="64" spans="1:12">
      <c r="A64" s="483"/>
      <c r="B64" s="483"/>
      <c r="C64" s="483"/>
      <c r="D64" s="483"/>
      <c r="E64" s="483"/>
      <c r="F64" s="483"/>
      <c r="G64" s="483"/>
      <c r="H64" s="483"/>
      <c r="I64" s="483"/>
      <c r="J64" s="483"/>
      <c r="K64" s="483"/>
      <c r="L64" s="483"/>
    </row>
    <row r="65" spans="1:13">
      <c r="A65" s="483"/>
      <c r="B65" s="483"/>
      <c r="C65" s="483"/>
      <c r="D65" s="483"/>
      <c r="E65" s="483"/>
      <c r="F65" s="483"/>
      <c r="G65" s="483"/>
      <c r="H65" s="483"/>
      <c r="I65" s="483"/>
      <c r="J65" s="483"/>
      <c r="K65" s="483"/>
      <c r="L65" s="483"/>
    </row>
    <row r="66" spans="1:13">
      <c r="A66" s="483"/>
      <c r="B66" s="1" t="s">
        <v>1549</v>
      </c>
      <c r="C66" s="483"/>
      <c r="D66" s="483"/>
      <c r="E66" s="483"/>
      <c r="F66" s="483"/>
      <c r="G66" s="483"/>
      <c r="H66" s="483"/>
      <c r="I66" s="483"/>
      <c r="J66" s="483"/>
      <c r="K66" s="483"/>
      <c r="L66" s="483"/>
    </row>
    <row r="67" spans="1:13">
      <c r="A67" s="483"/>
      <c r="C67" s="483"/>
      <c r="D67" s="483"/>
      <c r="E67" s="483"/>
      <c r="F67" s="483"/>
      <c r="G67" s="483"/>
      <c r="H67" s="483"/>
      <c r="I67" s="483"/>
      <c r="J67" s="483"/>
      <c r="K67" s="483"/>
      <c r="L67" s="483"/>
    </row>
    <row r="68" spans="1:13">
      <c r="B68" s="1" t="s">
        <v>2429</v>
      </c>
      <c r="C68" s="483"/>
      <c r="D68" s="483"/>
      <c r="E68" s="483"/>
      <c r="F68" s="483"/>
      <c r="G68" s="483"/>
      <c r="H68" s="483"/>
      <c r="I68" s="483"/>
      <c r="J68" s="483"/>
      <c r="K68" s="483"/>
      <c r="L68" s="483"/>
    </row>
    <row r="69" spans="1:13">
      <c r="A69" s="483"/>
      <c r="C69" s="483"/>
      <c r="D69" s="483"/>
      <c r="E69" s="483"/>
      <c r="F69" s="483"/>
      <c r="G69" s="483"/>
      <c r="H69" s="483"/>
      <c r="I69" s="483"/>
      <c r="J69" s="483"/>
      <c r="K69" s="483"/>
      <c r="L69" s="483"/>
    </row>
    <row r="70" spans="1:13">
      <c r="A70" s="398"/>
      <c r="B70" s="84" t="s">
        <v>363</v>
      </c>
      <c r="C70" s="84" t="s">
        <v>347</v>
      </c>
      <c r="D70" s="84" t="s">
        <v>348</v>
      </c>
      <c r="E70" s="84" t="s">
        <v>349</v>
      </c>
      <c r="F70" s="84" t="s">
        <v>350</v>
      </c>
      <c r="G70" s="84" t="s">
        <v>351</v>
      </c>
      <c r="H70" s="84" t="s">
        <v>352</v>
      </c>
      <c r="I70" s="84" t="s">
        <v>544</v>
      </c>
      <c r="J70" s="84" t="s">
        <v>961</v>
      </c>
      <c r="K70" s="84" t="s">
        <v>974</v>
      </c>
      <c r="L70" s="84" t="s">
        <v>977</v>
      </c>
      <c r="M70" s="84" t="s">
        <v>995</v>
      </c>
    </row>
    <row r="71" spans="1:13">
      <c r="A71" s="232"/>
      <c r="B71" s="249"/>
      <c r="C71" s="232"/>
      <c r="D71" s="232"/>
      <c r="E71" s="232"/>
      <c r="F71" s="232"/>
      <c r="G71" s="232"/>
      <c r="H71" s="232"/>
      <c r="I71" s="232"/>
      <c r="J71" s="232"/>
      <c r="K71" s="232"/>
      <c r="M71" s="249" t="s">
        <v>1237</v>
      </c>
    </row>
    <row r="72" spans="1:13">
      <c r="A72" s="51"/>
      <c r="B72" s="125" t="s">
        <v>1780</v>
      </c>
      <c r="C72" s="84">
        <v>350.1</v>
      </c>
      <c r="D72" s="84">
        <v>350.2</v>
      </c>
      <c r="E72" s="84">
        <v>352</v>
      </c>
      <c r="F72" s="84">
        <v>353</v>
      </c>
      <c r="G72" s="84">
        <v>354</v>
      </c>
      <c r="H72" s="84">
        <v>355</v>
      </c>
      <c r="I72" s="84">
        <v>356</v>
      </c>
      <c r="J72" s="84">
        <v>357</v>
      </c>
      <c r="K72" s="84">
        <v>358</v>
      </c>
      <c r="L72" s="84">
        <v>359</v>
      </c>
      <c r="M72" s="3" t="s">
        <v>196</v>
      </c>
    </row>
    <row r="73" spans="1:13">
      <c r="A73" s="580">
        <f>A63+1</f>
        <v>28</v>
      </c>
      <c r="B73" s="1040" t="s">
        <v>2428</v>
      </c>
      <c r="C73" s="517">
        <v>129517154.04000002</v>
      </c>
      <c r="D73" s="517">
        <v>209428812.60000002</v>
      </c>
      <c r="E73" s="1083">
        <v>825778508.24000001</v>
      </c>
      <c r="F73" s="1083">
        <v>5586246879.5699997</v>
      </c>
      <c r="G73" s="1083">
        <v>2305498226.4400005</v>
      </c>
      <c r="H73" s="1083">
        <v>1158164968.4300003</v>
      </c>
      <c r="I73" s="1083">
        <v>1499811259.55</v>
      </c>
      <c r="J73" s="1083">
        <v>253220290.41</v>
      </c>
      <c r="K73" s="1083">
        <v>368734328.63</v>
      </c>
      <c r="L73" s="1083">
        <v>200535234.44999999</v>
      </c>
      <c r="M73" s="234">
        <f t="shared" ref="M73:M84" si="13">SUM(C73:L73)</f>
        <v>12536935662.359999</v>
      </c>
    </row>
    <row r="74" spans="1:13">
      <c r="A74" s="580">
        <f t="shared" ref="A74:A85" si="14">A73+1</f>
        <v>29</v>
      </c>
      <c r="B74" s="741" t="s">
        <v>2682</v>
      </c>
      <c r="C74" s="517">
        <v>131378834.44999999</v>
      </c>
      <c r="D74" s="517">
        <v>209432282.55000001</v>
      </c>
      <c r="E74" s="1083">
        <v>821581817.11000013</v>
      </c>
      <c r="F74" s="1083">
        <v>5587843439.6599989</v>
      </c>
      <c r="G74" s="1083">
        <v>2303288694.5999999</v>
      </c>
      <c r="H74" s="1083">
        <v>1198334409.4800003</v>
      </c>
      <c r="I74" s="1083">
        <v>1489256987.23</v>
      </c>
      <c r="J74" s="1083">
        <v>253416854.25999999</v>
      </c>
      <c r="K74" s="1083">
        <v>367637510.72000003</v>
      </c>
      <c r="L74" s="1083">
        <v>181870487.78</v>
      </c>
      <c r="M74" s="234">
        <f t="shared" si="13"/>
        <v>12544041317.839998</v>
      </c>
    </row>
    <row r="75" spans="1:13">
      <c r="A75" s="580">
        <f t="shared" si="14"/>
        <v>30</v>
      </c>
      <c r="B75" s="740" t="s">
        <v>2683</v>
      </c>
      <c r="C75" s="517">
        <v>131394149.10000002</v>
      </c>
      <c r="D75" s="517">
        <v>209885951.46000004</v>
      </c>
      <c r="E75" s="1083">
        <v>830639898.80000007</v>
      </c>
      <c r="F75" s="1083">
        <v>5601903855.8400011</v>
      </c>
      <c r="G75" s="1083">
        <v>2290647334.4299998</v>
      </c>
      <c r="H75" s="1083">
        <v>1213024812.6700001</v>
      </c>
      <c r="I75" s="1083">
        <v>1496353589.9000001</v>
      </c>
      <c r="J75" s="1083">
        <v>253857398.16</v>
      </c>
      <c r="K75" s="1083">
        <v>370873865.63999999</v>
      </c>
      <c r="L75" s="1083">
        <v>183453262.98999998</v>
      </c>
      <c r="M75" s="234">
        <f t="shared" si="13"/>
        <v>12582034118.99</v>
      </c>
    </row>
    <row r="76" spans="1:13">
      <c r="A76" s="580">
        <f t="shared" si="14"/>
        <v>31</v>
      </c>
      <c r="B76" s="740" t="s">
        <v>2684</v>
      </c>
      <c r="C76" s="517">
        <v>131237780.74000001</v>
      </c>
      <c r="D76" s="517">
        <v>209952218.04000002</v>
      </c>
      <c r="E76" s="1083">
        <v>827239561.38999999</v>
      </c>
      <c r="F76" s="1083">
        <v>5610673606.6500006</v>
      </c>
      <c r="G76" s="1083">
        <v>2300102273.7600002</v>
      </c>
      <c r="H76" s="1083">
        <v>1221317310.8199999</v>
      </c>
      <c r="I76" s="1083">
        <v>1506732163.1400001</v>
      </c>
      <c r="J76" s="1083">
        <v>253855831.97</v>
      </c>
      <c r="K76" s="1083">
        <v>370602080.31999999</v>
      </c>
      <c r="L76" s="1083">
        <v>183167786.39000002</v>
      </c>
      <c r="M76" s="234">
        <f t="shared" si="13"/>
        <v>12614880613.219999</v>
      </c>
    </row>
    <row r="77" spans="1:13">
      <c r="A77" s="580">
        <f t="shared" si="14"/>
        <v>32</v>
      </c>
      <c r="B77" s="741" t="s">
        <v>2685</v>
      </c>
      <c r="C77" s="517">
        <v>131249063.96000001</v>
      </c>
      <c r="D77" s="517">
        <v>209952774.83000001</v>
      </c>
      <c r="E77" s="1083">
        <v>838658329.56000006</v>
      </c>
      <c r="F77" s="1083">
        <v>5638495922.1400013</v>
      </c>
      <c r="G77" s="1083">
        <v>2319350718.6600003</v>
      </c>
      <c r="H77" s="1083">
        <v>1228634537.8099999</v>
      </c>
      <c r="I77" s="1083">
        <v>1514411785.8100002</v>
      </c>
      <c r="J77" s="1083">
        <v>253429387.49000001</v>
      </c>
      <c r="K77" s="1083">
        <v>372129606.30000001</v>
      </c>
      <c r="L77" s="1083">
        <v>183311693.40000001</v>
      </c>
      <c r="M77" s="234">
        <f t="shared" si="13"/>
        <v>12689623819.959999</v>
      </c>
    </row>
    <row r="78" spans="1:13">
      <c r="A78" s="580">
        <f t="shared" si="14"/>
        <v>33</v>
      </c>
      <c r="B78" s="740" t="s">
        <v>2686</v>
      </c>
      <c r="C78" s="517">
        <v>131262629.39000002</v>
      </c>
      <c r="D78" s="517">
        <v>210021494.91000003</v>
      </c>
      <c r="E78" s="1083">
        <v>847569487.17000008</v>
      </c>
      <c r="F78" s="1083">
        <v>5656987999.9299994</v>
      </c>
      <c r="G78" s="1083">
        <v>2324305485.04</v>
      </c>
      <c r="H78" s="1083">
        <v>1231820325.4200001</v>
      </c>
      <c r="I78" s="1083">
        <v>1513503677.6800001</v>
      </c>
      <c r="J78" s="1083">
        <v>253935044.16</v>
      </c>
      <c r="K78" s="1083">
        <v>372276466.06999999</v>
      </c>
      <c r="L78" s="1083">
        <v>190014214.03</v>
      </c>
      <c r="M78" s="234">
        <f t="shared" si="13"/>
        <v>12731696823.799999</v>
      </c>
    </row>
    <row r="79" spans="1:13">
      <c r="A79" s="580">
        <f t="shared" si="14"/>
        <v>34</v>
      </c>
      <c r="B79" s="740" t="s">
        <v>2687</v>
      </c>
      <c r="C79" s="517">
        <v>131656979.69</v>
      </c>
      <c r="D79" s="517">
        <v>210412890.44000003</v>
      </c>
      <c r="E79" s="1083">
        <v>852493265.84000003</v>
      </c>
      <c r="F79" s="1083">
        <v>5682316528.960001</v>
      </c>
      <c r="G79" s="1083">
        <v>2326687641.0300002</v>
      </c>
      <c r="H79" s="1083">
        <v>1238729355.6100001</v>
      </c>
      <c r="I79" s="1083">
        <v>1517863406.0600002</v>
      </c>
      <c r="J79" s="1083">
        <v>255114081.19</v>
      </c>
      <c r="K79" s="1083">
        <v>371791118.30000001</v>
      </c>
      <c r="L79" s="1083">
        <v>189504963.67000002</v>
      </c>
      <c r="M79" s="234">
        <f t="shared" si="13"/>
        <v>12776570230.790001</v>
      </c>
    </row>
    <row r="80" spans="1:13">
      <c r="A80" s="580">
        <f t="shared" si="14"/>
        <v>35</v>
      </c>
      <c r="B80" s="741" t="s">
        <v>2688</v>
      </c>
      <c r="C80" s="517">
        <v>131669331.61000001</v>
      </c>
      <c r="D80" s="517">
        <v>211181934.89000002</v>
      </c>
      <c r="E80" s="1083">
        <v>855677898.75999999</v>
      </c>
      <c r="F80" s="1083">
        <v>5699938077.2799997</v>
      </c>
      <c r="G80" s="1083">
        <v>2328487000.4100003</v>
      </c>
      <c r="H80" s="1083">
        <v>1248163748.5900002</v>
      </c>
      <c r="I80" s="1083">
        <v>1515097590.28</v>
      </c>
      <c r="J80" s="1083">
        <v>257612022.34999999</v>
      </c>
      <c r="K80" s="1083">
        <v>369992617.23000002</v>
      </c>
      <c r="L80" s="1083">
        <v>189561686.74000001</v>
      </c>
      <c r="M80" s="234">
        <f t="shared" si="13"/>
        <v>12807381908.140001</v>
      </c>
    </row>
    <row r="81" spans="1:13">
      <c r="A81" s="580">
        <f t="shared" si="14"/>
        <v>36</v>
      </c>
      <c r="B81" s="740" t="s">
        <v>2689</v>
      </c>
      <c r="C81" s="517">
        <v>132122465.84</v>
      </c>
      <c r="D81" s="517">
        <v>210772635.17000002</v>
      </c>
      <c r="E81" s="1083">
        <v>862262673.79999995</v>
      </c>
      <c r="F81" s="1083">
        <v>5767479991.9000006</v>
      </c>
      <c r="G81" s="1083">
        <v>2329659077.5999999</v>
      </c>
      <c r="H81" s="1083">
        <v>1250309323.49</v>
      </c>
      <c r="I81" s="1083">
        <v>1520655990.5600002</v>
      </c>
      <c r="J81" s="1083">
        <v>257719916.97</v>
      </c>
      <c r="K81" s="1083">
        <v>373462879.52999997</v>
      </c>
      <c r="L81" s="1083">
        <v>189881476.38000003</v>
      </c>
      <c r="M81" s="234">
        <f t="shared" si="13"/>
        <v>12894326431.24</v>
      </c>
    </row>
    <row r="82" spans="1:13">
      <c r="A82" s="580">
        <f t="shared" si="14"/>
        <v>37</v>
      </c>
      <c r="B82" s="740" t="s">
        <v>2690</v>
      </c>
      <c r="C82" s="517">
        <v>132134286.63</v>
      </c>
      <c r="D82" s="517">
        <v>210811380.28000003</v>
      </c>
      <c r="E82" s="1083">
        <v>865002125.90999997</v>
      </c>
      <c r="F82" s="1083">
        <v>5775192265.8500004</v>
      </c>
      <c r="G82" s="1083">
        <v>2327714920.5</v>
      </c>
      <c r="H82" s="1083">
        <v>1257773378.9400001</v>
      </c>
      <c r="I82" s="1083">
        <v>1524633562.3700001</v>
      </c>
      <c r="J82" s="1083">
        <v>258054612.93000001</v>
      </c>
      <c r="K82" s="1083">
        <v>372183869.41000003</v>
      </c>
      <c r="L82" s="1083">
        <v>190427673.80000001</v>
      </c>
      <c r="M82" s="234">
        <f t="shared" si="13"/>
        <v>12913928076.620001</v>
      </c>
    </row>
    <row r="83" spans="1:13">
      <c r="A83" s="580">
        <f t="shared" si="14"/>
        <v>38</v>
      </c>
      <c r="B83" s="741" t="s">
        <v>2691</v>
      </c>
      <c r="C83" s="517">
        <v>132146125.67000002</v>
      </c>
      <c r="D83" s="517">
        <v>210811077.08000001</v>
      </c>
      <c r="E83" s="1083">
        <v>861261427.49000001</v>
      </c>
      <c r="F83" s="1083">
        <v>5736314270.3400002</v>
      </c>
      <c r="G83" s="1083">
        <v>2330813154.0700002</v>
      </c>
      <c r="H83" s="1083">
        <v>1268202518.3700001</v>
      </c>
      <c r="I83" s="1083">
        <v>1523176664.5500002</v>
      </c>
      <c r="J83" s="1083">
        <v>258218973.43000001</v>
      </c>
      <c r="K83" s="1083">
        <v>374081690.02999997</v>
      </c>
      <c r="L83" s="1083">
        <v>190628198.46000001</v>
      </c>
      <c r="M83" s="234">
        <f t="shared" si="13"/>
        <v>12885654099.49</v>
      </c>
    </row>
    <row r="84" spans="1:13">
      <c r="A84" s="580">
        <f t="shared" si="14"/>
        <v>39</v>
      </c>
      <c r="B84" s="741" t="s">
        <v>2692</v>
      </c>
      <c r="C84" s="517">
        <v>132141953.22</v>
      </c>
      <c r="D84" s="517">
        <v>211027939.90000004</v>
      </c>
      <c r="E84" s="1083">
        <v>863692706</v>
      </c>
      <c r="F84" s="1083">
        <v>5741418351.5599995</v>
      </c>
      <c r="G84" s="1083">
        <v>2332193517.2200003</v>
      </c>
      <c r="H84" s="1083">
        <v>1285954661.1800001</v>
      </c>
      <c r="I84" s="1083">
        <v>1521698252.1200001</v>
      </c>
      <c r="J84" s="1083">
        <v>256220577.09</v>
      </c>
      <c r="K84" s="1083">
        <v>374087950.02999997</v>
      </c>
      <c r="L84" s="1083">
        <v>192477732.14000002</v>
      </c>
      <c r="M84" s="369">
        <f t="shared" si="13"/>
        <v>12910913640.460001</v>
      </c>
    </row>
    <row r="85" spans="1:13">
      <c r="A85" s="580">
        <f t="shared" si="14"/>
        <v>40</v>
      </c>
      <c r="B85" s="740" t="s">
        <v>2693</v>
      </c>
      <c r="C85" s="517">
        <v>132152045.08</v>
      </c>
      <c r="D85" s="517">
        <v>211042975.33000001</v>
      </c>
      <c r="E85" s="497">
        <f>'7-PlantStudy'!C10</f>
        <v>879621910</v>
      </c>
      <c r="F85" s="497">
        <f>'7-PlantStudy'!C11</f>
        <v>5902949228</v>
      </c>
      <c r="G85" s="497">
        <f>'7-PlantStudy'!C20</f>
        <v>2343145352</v>
      </c>
      <c r="H85" s="497">
        <f>'7-PlantStudy'!C21</f>
        <v>1292702467</v>
      </c>
      <c r="I85" s="497">
        <f>'7-PlantStudy'!C22</f>
        <v>1524531167</v>
      </c>
      <c r="J85" s="497">
        <f>'7-PlantStudy'!C23</f>
        <v>256348021</v>
      </c>
      <c r="K85" s="497">
        <f>'7-PlantStudy'!C24</f>
        <v>376710004</v>
      </c>
      <c r="L85" s="497">
        <f>'7-PlantStudy'!C25</f>
        <v>193773411</v>
      </c>
      <c r="M85" s="234">
        <f>SUM(C85:L85)</f>
        <v>13112976580.41</v>
      </c>
    </row>
    <row r="87" spans="1:13">
      <c r="B87" s="44" t="s">
        <v>2430</v>
      </c>
      <c r="C87" s="14"/>
      <c r="D87" s="14"/>
      <c r="E87" s="14"/>
    </row>
    <row r="88" spans="1:13">
      <c r="B88" s="14"/>
      <c r="C88" s="14"/>
      <c r="D88" s="14"/>
    </row>
    <row r="89" spans="1:13">
      <c r="A89" s="398"/>
      <c r="B89" s="360" t="s">
        <v>363</v>
      </c>
      <c r="C89" s="360" t="s">
        <v>347</v>
      </c>
      <c r="D89" s="360" t="s">
        <v>348</v>
      </c>
      <c r="E89" s="84" t="s">
        <v>349</v>
      </c>
      <c r="F89" s="84" t="s">
        <v>350</v>
      </c>
      <c r="G89" s="84" t="s">
        <v>351</v>
      </c>
      <c r="H89" s="84" t="s">
        <v>352</v>
      </c>
      <c r="I89" s="84" t="s">
        <v>544</v>
      </c>
      <c r="J89" s="84" t="s">
        <v>961</v>
      </c>
      <c r="K89" s="84" t="s">
        <v>974</v>
      </c>
      <c r="L89" s="84" t="s">
        <v>977</v>
      </c>
      <c r="M89" s="84" t="s">
        <v>995</v>
      </c>
    </row>
    <row r="90" spans="1:13">
      <c r="A90" s="232"/>
      <c r="B90" s="458"/>
      <c r="C90" s="241"/>
      <c r="D90" s="241"/>
      <c r="E90" s="232"/>
      <c r="F90" s="232"/>
      <c r="G90" s="232"/>
      <c r="H90" s="232"/>
      <c r="I90" s="232"/>
      <c r="J90" s="232"/>
      <c r="K90" s="232"/>
      <c r="M90" s="249" t="s">
        <v>1237</v>
      </c>
    </row>
    <row r="91" spans="1:13">
      <c r="A91" s="51"/>
      <c r="B91" s="125" t="s">
        <v>1780</v>
      </c>
      <c r="C91" s="360">
        <v>350.1</v>
      </c>
      <c r="D91" s="360">
        <v>350.2</v>
      </c>
      <c r="E91" s="84">
        <v>352</v>
      </c>
      <c r="F91" s="84">
        <v>353</v>
      </c>
      <c r="G91" s="84">
        <v>354</v>
      </c>
      <c r="H91" s="84">
        <v>355</v>
      </c>
      <c r="I91" s="84">
        <v>356</v>
      </c>
      <c r="J91" s="84">
        <v>357</v>
      </c>
      <c r="K91" s="84">
        <v>358</v>
      </c>
      <c r="L91" s="84">
        <v>359</v>
      </c>
      <c r="M91" s="3" t="s">
        <v>196</v>
      </c>
    </row>
    <row r="92" spans="1:13">
      <c r="A92" s="580">
        <f>A85+1</f>
        <v>41</v>
      </c>
      <c r="B92" s="741" t="s">
        <v>2682</v>
      </c>
      <c r="C92" s="497">
        <f>C74-C73</f>
        <v>1861680.4099999666</v>
      </c>
      <c r="D92" s="497">
        <f>D74-D73</f>
        <v>3469.9499999880791</v>
      </c>
      <c r="E92" s="497">
        <f t="shared" ref="E92:L92" si="15">E74-E73</f>
        <v>-4196691.129999876</v>
      </c>
      <c r="F92" s="497">
        <f t="shared" si="15"/>
        <v>1596560.0899991989</v>
      </c>
      <c r="G92" s="497">
        <f t="shared" si="15"/>
        <v>-2209531.8400006294</v>
      </c>
      <c r="H92" s="497">
        <f t="shared" si="15"/>
        <v>40169441.049999952</v>
      </c>
      <c r="I92" s="497">
        <f t="shared" si="15"/>
        <v>-10554272.319999933</v>
      </c>
      <c r="J92" s="497">
        <f t="shared" si="15"/>
        <v>196563.84999999404</v>
      </c>
      <c r="K92" s="497">
        <f t="shared" si="15"/>
        <v>-1096817.9099999666</v>
      </c>
      <c r="L92" s="497">
        <f t="shared" si="15"/>
        <v>-18664746.669999987</v>
      </c>
      <c r="M92" s="234">
        <f t="shared" ref="M92:M103" si="16">SUM(C92:L92)</f>
        <v>7105655.4799987078</v>
      </c>
    </row>
    <row r="93" spans="1:13">
      <c r="A93" s="580">
        <f t="shared" ref="A93:A104" si="17">A92+1</f>
        <v>42</v>
      </c>
      <c r="B93" s="740" t="s">
        <v>2683</v>
      </c>
      <c r="C93" s="497">
        <f t="shared" ref="C93:L103" si="18">C75-C74</f>
        <v>15314.650000035763</v>
      </c>
      <c r="D93" s="497">
        <f t="shared" si="18"/>
        <v>453668.91000002623</v>
      </c>
      <c r="E93" s="497">
        <f t="shared" si="18"/>
        <v>9058081.689999938</v>
      </c>
      <c r="F93" s="497">
        <f t="shared" si="18"/>
        <v>14060416.180002213</v>
      </c>
      <c r="G93" s="497">
        <f t="shared" si="18"/>
        <v>-12641360.170000076</v>
      </c>
      <c r="H93" s="497">
        <f t="shared" si="18"/>
        <v>14690403.189999819</v>
      </c>
      <c r="I93" s="497">
        <f t="shared" si="18"/>
        <v>7096602.6700000763</v>
      </c>
      <c r="J93" s="497">
        <f t="shared" si="18"/>
        <v>440543.90000000596</v>
      </c>
      <c r="K93" s="497">
        <f t="shared" si="18"/>
        <v>3236354.9199999571</v>
      </c>
      <c r="L93" s="497">
        <f t="shared" si="18"/>
        <v>1582775.2099999785</v>
      </c>
      <c r="M93" s="234">
        <f t="shared" si="16"/>
        <v>37992801.150001973</v>
      </c>
    </row>
    <row r="94" spans="1:13">
      <c r="A94" s="580">
        <f t="shared" si="17"/>
        <v>43</v>
      </c>
      <c r="B94" s="740" t="s">
        <v>2684</v>
      </c>
      <c r="C94" s="497">
        <f t="shared" si="18"/>
        <v>-156368.36000001431</v>
      </c>
      <c r="D94" s="497">
        <f t="shared" si="18"/>
        <v>66266.579999983311</v>
      </c>
      <c r="E94" s="497">
        <f t="shared" si="18"/>
        <v>-3400337.4100000858</v>
      </c>
      <c r="F94" s="497">
        <f t="shared" si="18"/>
        <v>8769750.8099994659</v>
      </c>
      <c r="G94" s="497">
        <f t="shared" si="18"/>
        <v>9454939.3300004005</v>
      </c>
      <c r="H94" s="497">
        <f t="shared" si="18"/>
        <v>8292498.1499998569</v>
      </c>
      <c r="I94" s="497">
        <f t="shared" si="18"/>
        <v>10378573.24000001</v>
      </c>
      <c r="J94" s="497">
        <f t="shared" si="18"/>
        <v>-1566.1899999976158</v>
      </c>
      <c r="K94" s="497">
        <f t="shared" si="18"/>
        <v>-271785.31999999285</v>
      </c>
      <c r="L94" s="497">
        <f t="shared" si="18"/>
        <v>-285476.59999996424</v>
      </c>
      <c r="M94" s="234">
        <f t="shared" si="16"/>
        <v>32846494.229999661</v>
      </c>
    </row>
    <row r="95" spans="1:13">
      <c r="A95" s="580">
        <f t="shared" si="17"/>
        <v>44</v>
      </c>
      <c r="B95" s="741" t="s">
        <v>2685</v>
      </c>
      <c r="C95" s="497">
        <f t="shared" si="18"/>
        <v>11283.219999998808</v>
      </c>
      <c r="D95" s="497">
        <f t="shared" si="18"/>
        <v>556.78999999165535</v>
      </c>
      <c r="E95" s="497">
        <f t="shared" si="18"/>
        <v>11418768.170000076</v>
      </c>
      <c r="F95" s="497">
        <f t="shared" si="18"/>
        <v>27822315.490000725</v>
      </c>
      <c r="G95" s="497">
        <f t="shared" si="18"/>
        <v>19248444.900000095</v>
      </c>
      <c r="H95" s="497">
        <f t="shared" si="18"/>
        <v>7317226.9900000095</v>
      </c>
      <c r="I95" s="497">
        <f t="shared" si="18"/>
        <v>7679622.6700000763</v>
      </c>
      <c r="J95" s="497">
        <f t="shared" si="18"/>
        <v>-426444.47999998927</v>
      </c>
      <c r="K95" s="497">
        <f t="shared" si="18"/>
        <v>1527525.9800000191</v>
      </c>
      <c r="L95" s="497">
        <f t="shared" si="18"/>
        <v>143907.00999999046</v>
      </c>
      <c r="M95" s="234">
        <f t="shared" si="16"/>
        <v>74743206.740000993</v>
      </c>
    </row>
    <row r="96" spans="1:13">
      <c r="A96" s="580">
        <f t="shared" si="17"/>
        <v>45</v>
      </c>
      <c r="B96" s="740" t="s">
        <v>2686</v>
      </c>
      <c r="C96" s="497">
        <f t="shared" si="18"/>
        <v>13565.430000007153</v>
      </c>
      <c r="D96" s="497">
        <f t="shared" si="18"/>
        <v>68720.080000013113</v>
      </c>
      <c r="E96" s="497">
        <f t="shared" si="18"/>
        <v>8911157.6100000143</v>
      </c>
      <c r="F96" s="497">
        <f t="shared" si="18"/>
        <v>18492077.789998055</v>
      </c>
      <c r="G96" s="497">
        <f t="shared" si="18"/>
        <v>4954766.3799996376</v>
      </c>
      <c r="H96" s="497">
        <f t="shared" si="18"/>
        <v>3185787.6100001335</v>
      </c>
      <c r="I96" s="497">
        <f t="shared" si="18"/>
        <v>-908108.13000011444</v>
      </c>
      <c r="J96" s="497">
        <f t="shared" si="18"/>
        <v>505656.66999998689</v>
      </c>
      <c r="K96" s="497">
        <f t="shared" si="18"/>
        <v>146859.76999998093</v>
      </c>
      <c r="L96" s="497">
        <f t="shared" si="18"/>
        <v>6702520.6299999952</v>
      </c>
      <c r="M96" s="234">
        <f t="shared" si="16"/>
        <v>42073003.839997709</v>
      </c>
    </row>
    <row r="97" spans="1:13">
      <c r="A97" s="580">
        <f t="shared" si="17"/>
        <v>46</v>
      </c>
      <c r="B97" s="740" t="s">
        <v>2687</v>
      </c>
      <c r="C97" s="497">
        <f t="shared" si="18"/>
        <v>394350.29999998212</v>
      </c>
      <c r="D97" s="497">
        <f t="shared" si="18"/>
        <v>391395.53000000119</v>
      </c>
      <c r="E97" s="497">
        <f t="shared" si="18"/>
        <v>4923778.6699999571</v>
      </c>
      <c r="F97" s="497">
        <f t="shared" si="18"/>
        <v>25328529.03000164</v>
      </c>
      <c r="G97" s="497">
        <f t="shared" si="18"/>
        <v>2382155.990000248</v>
      </c>
      <c r="H97" s="497">
        <f t="shared" si="18"/>
        <v>6909030.1900000572</v>
      </c>
      <c r="I97" s="497">
        <f t="shared" si="18"/>
        <v>4359728.3800001144</v>
      </c>
      <c r="J97" s="497">
        <f t="shared" si="18"/>
        <v>1179037.0300000012</v>
      </c>
      <c r="K97" s="497">
        <f t="shared" si="18"/>
        <v>-485347.76999998093</v>
      </c>
      <c r="L97" s="497">
        <f t="shared" si="18"/>
        <v>-509250.3599999845</v>
      </c>
      <c r="M97" s="234">
        <f t="shared" si="16"/>
        <v>44873406.990002036</v>
      </c>
    </row>
    <row r="98" spans="1:13">
      <c r="A98" s="580">
        <f t="shared" si="17"/>
        <v>47</v>
      </c>
      <c r="B98" s="741" t="s">
        <v>2688</v>
      </c>
      <c r="C98" s="497">
        <f t="shared" si="18"/>
        <v>12351.920000016689</v>
      </c>
      <c r="D98" s="497">
        <f t="shared" si="18"/>
        <v>769044.44999998808</v>
      </c>
      <c r="E98" s="497">
        <f t="shared" si="18"/>
        <v>3184632.9199999571</v>
      </c>
      <c r="F98" s="497">
        <f t="shared" si="18"/>
        <v>17621548.319998741</v>
      </c>
      <c r="G98" s="497">
        <f t="shared" si="18"/>
        <v>1799359.3800001144</v>
      </c>
      <c r="H98" s="497">
        <f t="shared" si="18"/>
        <v>9434392.9800000191</v>
      </c>
      <c r="I98" s="497">
        <f t="shared" si="18"/>
        <v>-2765815.7800002098</v>
      </c>
      <c r="J98" s="497">
        <f t="shared" si="18"/>
        <v>2497941.1599999964</v>
      </c>
      <c r="K98" s="497">
        <f t="shared" si="18"/>
        <v>-1798501.0699999928</v>
      </c>
      <c r="L98" s="497">
        <f t="shared" si="18"/>
        <v>56723.069999992847</v>
      </c>
      <c r="M98" s="234">
        <f t="shared" si="16"/>
        <v>30811677.349998623</v>
      </c>
    </row>
    <row r="99" spans="1:13">
      <c r="A99" s="580">
        <f t="shared" si="17"/>
        <v>48</v>
      </c>
      <c r="B99" s="740" t="s">
        <v>2689</v>
      </c>
      <c r="C99" s="497">
        <f t="shared" si="18"/>
        <v>453134.22999998927</v>
      </c>
      <c r="D99" s="497">
        <f t="shared" si="18"/>
        <v>-409299.71999999881</v>
      </c>
      <c r="E99" s="497">
        <f t="shared" si="18"/>
        <v>6584775.0399999619</v>
      </c>
      <c r="F99" s="497">
        <f t="shared" si="18"/>
        <v>67541914.620000839</v>
      </c>
      <c r="G99" s="497">
        <f t="shared" si="18"/>
        <v>1172077.1899995804</v>
      </c>
      <c r="H99" s="497">
        <f t="shared" si="18"/>
        <v>2145574.8999998569</v>
      </c>
      <c r="I99" s="497">
        <f t="shared" si="18"/>
        <v>5558400.2800002098</v>
      </c>
      <c r="J99" s="497">
        <f t="shared" si="18"/>
        <v>107894.62000000477</v>
      </c>
      <c r="K99" s="497">
        <f t="shared" si="18"/>
        <v>3470262.2999999523</v>
      </c>
      <c r="L99" s="497">
        <f t="shared" si="18"/>
        <v>319789.6400000155</v>
      </c>
      <c r="M99" s="234">
        <f t="shared" si="16"/>
        <v>86944523.100000411</v>
      </c>
    </row>
    <row r="100" spans="1:13">
      <c r="A100" s="580">
        <f t="shared" si="17"/>
        <v>49</v>
      </c>
      <c r="B100" s="740" t="s">
        <v>2690</v>
      </c>
      <c r="C100" s="497">
        <f t="shared" si="18"/>
        <v>11820.789999991655</v>
      </c>
      <c r="D100" s="497">
        <f t="shared" si="18"/>
        <v>38745.110000014305</v>
      </c>
      <c r="E100" s="497">
        <f t="shared" si="18"/>
        <v>2739452.1100000143</v>
      </c>
      <c r="F100" s="497">
        <f t="shared" si="18"/>
        <v>7712273.9499998093</v>
      </c>
      <c r="G100" s="497">
        <f t="shared" si="18"/>
        <v>-1944157.0999999046</v>
      </c>
      <c r="H100" s="497">
        <f t="shared" si="18"/>
        <v>7464055.4500000477</v>
      </c>
      <c r="I100" s="497">
        <f t="shared" si="18"/>
        <v>3977571.8099999428</v>
      </c>
      <c r="J100" s="497">
        <f t="shared" si="18"/>
        <v>334695.96000000834</v>
      </c>
      <c r="K100" s="497">
        <f t="shared" si="18"/>
        <v>-1279010.1199999452</v>
      </c>
      <c r="L100" s="497">
        <f t="shared" si="18"/>
        <v>546197.41999998689</v>
      </c>
      <c r="M100" s="234">
        <f t="shared" si="16"/>
        <v>19601645.379999965</v>
      </c>
    </row>
    <row r="101" spans="1:13">
      <c r="A101" s="580">
        <f t="shared" si="17"/>
        <v>50</v>
      </c>
      <c r="B101" s="741" t="s">
        <v>2691</v>
      </c>
      <c r="C101" s="497">
        <f t="shared" si="18"/>
        <v>11839.040000021458</v>
      </c>
      <c r="D101" s="497">
        <f t="shared" si="18"/>
        <v>-303.20000001788139</v>
      </c>
      <c r="E101" s="497">
        <f t="shared" si="18"/>
        <v>-3740698.4199999571</v>
      </c>
      <c r="F101" s="497">
        <f t="shared" si="18"/>
        <v>-38877995.510000229</v>
      </c>
      <c r="G101" s="497">
        <f t="shared" si="18"/>
        <v>3098233.5700001717</v>
      </c>
      <c r="H101" s="497">
        <f t="shared" si="18"/>
        <v>10429139.430000067</v>
      </c>
      <c r="I101" s="497">
        <f t="shared" si="18"/>
        <v>-1456897.8199999332</v>
      </c>
      <c r="J101" s="497">
        <f t="shared" si="18"/>
        <v>164360.5</v>
      </c>
      <c r="K101" s="497">
        <f t="shared" si="18"/>
        <v>1897820.6199999452</v>
      </c>
      <c r="L101" s="497">
        <f t="shared" si="18"/>
        <v>200524.65999999642</v>
      </c>
      <c r="M101" s="234">
        <f t="shared" si="16"/>
        <v>-28273977.129999936</v>
      </c>
    </row>
    <row r="102" spans="1:13">
      <c r="A102" s="580">
        <f t="shared" si="17"/>
        <v>51</v>
      </c>
      <c r="B102" s="741" t="s">
        <v>2692</v>
      </c>
      <c r="C102" s="497">
        <f t="shared" si="18"/>
        <v>-4172.4500000178814</v>
      </c>
      <c r="D102" s="497">
        <f t="shared" si="18"/>
        <v>216862.82000002265</v>
      </c>
      <c r="E102" s="497">
        <f t="shared" si="18"/>
        <v>2431278.5099999905</v>
      </c>
      <c r="F102" s="497">
        <f t="shared" si="18"/>
        <v>5104081.2199993134</v>
      </c>
      <c r="G102" s="497">
        <f t="shared" si="18"/>
        <v>1380363.1500000954</v>
      </c>
      <c r="H102" s="497">
        <f t="shared" si="18"/>
        <v>17752142.809999943</v>
      </c>
      <c r="I102" s="497">
        <f t="shared" si="18"/>
        <v>-1478412.4300000668</v>
      </c>
      <c r="J102" s="497">
        <f t="shared" si="18"/>
        <v>-1998396.3400000036</v>
      </c>
      <c r="K102" s="497">
        <f t="shared" si="18"/>
        <v>6260</v>
      </c>
      <c r="L102" s="497">
        <f t="shared" si="18"/>
        <v>1849533.6800000072</v>
      </c>
      <c r="M102" s="234">
        <f t="shared" si="16"/>
        <v>25259540.969999284</v>
      </c>
    </row>
    <row r="103" spans="1:13">
      <c r="A103" s="580">
        <f t="shared" si="17"/>
        <v>52</v>
      </c>
      <c r="B103" s="740" t="s">
        <v>2693</v>
      </c>
      <c r="C103" s="497">
        <f t="shared" si="18"/>
        <v>10091.859999999404</v>
      </c>
      <c r="D103" s="497">
        <f t="shared" si="18"/>
        <v>15035.42999997735</v>
      </c>
      <c r="E103" s="497">
        <f t="shared" si="18"/>
        <v>15929204</v>
      </c>
      <c r="F103" s="497">
        <f t="shared" si="18"/>
        <v>161530876.44000053</v>
      </c>
      <c r="G103" s="497">
        <f t="shared" si="18"/>
        <v>10951834.779999733</v>
      </c>
      <c r="H103" s="497">
        <f t="shared" si="18"/>
        <v>6747805.8199999332</v>
      </c>
      <c r="I103" s="497">
        <f t="shared" si="18"/>
        <v>2832914.879999876</v>
      </c>
      <c r="J103" s="497">
        <f t="shared" si="18"/>
        <v>127443.90999999642</v>
      </c>
      <c r="K103" s="497">
        <f t="shared" si="18"/>
        <v>2622053.9700000286</v>
      </c>
      <c r="L103" s="497">
        <f t="shared" si="18"/>
        <v>1295678.8599999845</v>
      </c>
      <c r="M103" s="369">
        <f t="shared" si="16"/>
        <v>202062939.95000005</v>
      </c>
    </row>
    <row r="104" spans="1:13">
      <c r="A104" s="580">
        <f t="shared" si="17"/>
        <v>53</v>
      </c>
      <c r="B104" s="1201" t="s">
        <v>4</v>
      </c>
      <c r="C104" s="234">
        <f>SUM(C92:C103)</f>
        <v>2634891.0399999768</v>
      </c>
      <c r="D104" s="234">
        <f t="shared" ref="D104:L104" si="19">SUM(D92:D103)</f>
        <v>1614162.7299999893</v>
      </c>
      <c r="E104" s="234">
        <f t="shared" si="19"/>
        <v>53843401.75999999</v>
      </c>
      <c r="F104" s="234">
        <f t="shared" si="19"/>
        <v>316702348.43000031</v>
      </c>
      <c r="G104" s="234">
        <f t="shared" si="19"/>
        <v>37647125.559999466</v>
      </c>
      <c r="H104" s="234">
        <f t="shared" si="19"/>
        <v>134537498.56999969</v>
      </c>
      <c r="I104" s="234">
        <f t="shared" si="19"/>
        <v>24719907.450000048</v>
      </c>
      <c r="J104" s="234">
        <f t="shared" si="19"/>
        <v>3127730.5900000036</v>
      </c>
      <c r="K104" s="234">
        <f t="shared" si="19"/>
        <v>7975675.3700000048</v>
      </c>
      <c r="L104" s="234">
        <f t="shared" si="19"/>
        <v>-6761823.4499999881</v>
      </c>
      <c r="M104" s="234">
        <f>SUM(C104:L104)</f>
        <v>576040918.04999948</v>
      </c>
    </row>
    <row r="105" spans="1:13">
      <c r="A105" s="580"/>
      <c r="B105" s="1201"/>
      <c r="C105" s="234"/>
      <c r="D105" s="234"/>
      <c r="E105" s="234"/>
      <c r="F105" s="234"/>
      <c r="G105" s="234"/>
      <c r="H105" s="234"/>
      <c r="I105" s="234"/>
      <c r="J105" s="234"/>
      <c r="K105" s="234"/>
      <c r="L105" s="234"/>
      <c r="M105" s="234"/>
    </row>
    <row r="106" spans="1:13">
      <c r="B106" s="44" t="s">
        <v>2431</v>
      </c>
      <c r="C106" s="14"/>
      <c r="D106" s="14"/>
      <c r="E106" s="14"/>
    </row>
    <row r="107" spans="1:13">
      <c r="B107" s="14"/>
      <c r="C107" s="14"/>
      <c r="D107" s="14"/>
    </row>
    <row r="108" spans="1:13">
      <c r="A108" s="398"/>
      <c r="B108" s="360" t="s">
        <v>363</v>
      </c>
      <c r="C108" s="360" t="s">
        <v>347</v>
      </c>
      <c r="D108" s="360" t="s">
        <v>348</v>
      </c>
      <c r="E108" s="84" t="s">
        <v>349</v>
      </c>
      <c r="F108" s="84" t="s">
        <v>350</v>
      </c>
      <c r="G108" s="84" t="s">
        <v>351</v>
      </c>
      <c r="H108" s="84" t="s">
        <v>352</v>
      </c>
      <c r="I108" s="84" t="s">
        <v>544</v>
      </c>
      <c r="J108" s="84" t="s">
        <v>961</v>
      </c>
      <c r="K108" s="84" t="s">
        <v>974</v>
      </c>
      <c r="L108" s="84" t="s">
        <v>977</v>
      </c>
      <c r="M108" s="84" t="s">
        <v>995</v>
      </c>
    </row>
    <row r="109" spans="1:13">
      <c r="A109" s="232"/>
      <c r="B109" s="458"/>
      <c r="C109" s="241"/>
      <c r="D109" s="241"/>
      <c r="E109" s="232"/>
      <c r="F109" s="232"/>
      <c r="G109" s="232"/>
      <c r="H109" s="232"/>
      <c r="I109" s="232"/>
      <c r="J109" s="232"/>
      <c r="K109" s="232"/>
      <c r="M109" s="249" t="s">
        <v>1237</v>
      </c>
    </row>
    <row r="110" spans="1:13">
      <c r="A110" s="51"/>
      <c r="B110" s="125" t="s">
        <v>1780</v>
      </c>
      <c r="C110" s="360">
        <v>350.1</v>
      </c>
      <c r="D110" s="360">
        <v>350.2</v>
      </c>
      <c r="E110" s="84">
        <v>352</v>
      </c>
      <c r="F110" s="84">
        <v>353</v>
      </c>
      <c r="G110" s="84">
        <v>354</v>
      </c>
      <c r="H110" s="84">
        <v>355</v>
      </c>
      <c r="I110" s="84">
        <v>356</v>
      </c>
      <c r="J110" s="84">
        <v>357</v>
      </c>
      <c r="K110" s="84">
        <v>358</v>
      </c>
      <c r="L110" s="84">
        <v>359</v>
      </c>
      <c r="M110" s="3" t="s">
        <v>196</v>
      </c>
    </row>
    <row r="111" spans="1:13">
      <c r="A111" s="580">
        <f>A104+1</f>
        <v>54</v>
      </c>
      <c r="B111" s="1040" t="s">
        <v>2428</v>
      </c>
      <c r="C111" s="1222">
        <v>18676990.549999997</v>
      </c>
      <c r="D111" s="1222">
        <v>94873059.930000007</v>
      </c>
      <c r="E111" s="1222">
        <v>264612612.76285636</v>
      </c>
      <c r="F111" s="1222">
        <v>1133695494.8447433</v>
      </c>
      <c r="G111" s="1222">
        <v>1757159286.4618266</v>
      </c>
      <c r="H111" s="1222">
        <v>151903902.76000002</v>
      </c>
      <c r="I111" s="1222">
        <v>815549135.04719687</v>
      </c>
      <c r="J111" s="1222">
        <v>185286762.54000002</v>
      </c>
      <c r="K111" s="1222">
        <v>79876648.5</v>
      </c>
      <c r="L111" s="1222">
        <v>138148965.33059186</v>
      </c>
      <c r="M111" s="1216">
        <f>SUM(C111:L111)</f>
        <v>4639782858.7272158</v>
      </c>
    </row>
    <row r="112" spans="1:13">
      <c r="A112" s="580">
        <f t="shared" ref="A112:A123" si="20">A111+1</f>
        <v>55</v>
      </c>
      <c r="B112" s="741" t="s">
        <v>2682</v>
      </c>
      <c r="C112" s="1222">
        <v>18676518.229999997</v>
      </c>
      <c r="D112" s="1222">
        <v>94876529.88000001</v>
      </c>
      <c r="E112" s="1222">
        <v>264645104.75285637</v>
      </c>
      <c r="F112" s="1222">
        <v>1134003514.0547433</v>
      </c>
      <c r="G112" s="1222">
        <v>1757105733.4118266</v>
      </c>
      <c r="H112" s="1222">
        <v>151893376.45000002</v>
      </c>
      <c r="I112" s="1222">
        <v>815800030.82719707</v>
      </c>
      <c r="J112" s="1222">
        <v>185437235.91000003</v>
      </c>
      <c r="K112" s="1222">
        <v>79929256.200000003</v>
      </c>
      <c r="L112" s="1222">
        <v>138052636.47059187</v>
      </c>
      <c r="M112" s="1216">
        <f t="shared" ref="M112:M123" si="21">SUM(C112:L112)</f>
        <v>4640419936.1872149</v>
      </c>
    </row>
    <row r="113" spans="1:13">
      <c r="A113" s="580">
        <f t="shared" si="20"/>
        <v>56</v>
      </c>
      <c r="B113" s="740" t="s">
        <v>2683</v>
      </c>
      <c r="C113" s="1222">
        <v>18691886.859999996</v>
      </c>
      <c r="D113" s="1222">
        <v>95330198.790000007</v>
      </c>
      <c r="E113" s="1222">
        <v>264975714.42285633</v>
      </c>
      <c r="F113" s="1222">
        <v>1135011020.8947434</v>
      </c>
      <c r="G113" s="1222">
        <v>1758904118.3718266</v>
      </c>
      <c r="H113" s="1222">
        <v>152004527.61000001</v>
      </c>
      <c r="I113" s="1222">
        <v>815962416.657197</v>
      </c>
      <c r="J113" s="1222">
        <v>185898801.91000003</v>
      </c>
      <c r="K113" s="1222">
        <v>80694377.780000001</v>
      </c>
      <c r="L113" s="1222">
        <v>139629836.22059187</v>
      </c>
      <c r="M113" s="1216">
        <f t="shared" si="21"/>
        <v>4647102899.5172148</v>
      </c>
    </row>
    <row r="114" spans="1:13">
      <c r="A114" s="580">
        <f t="shared" si="20"/>
        <v>57</v>
      </c>
      <c r="B114" s="740" t="s">
        <v>2684</v>
      </c>
      <c r="C114" s="1222">
        <v>18690106.389999997</v>
      </c>
      <c r="D114" s="1222">
        <v>95315395.770000011</v>
      </c>
      <c r="E114" s="1222">
        <v>265391800.09285629</v>
      </c>
      <c r="F114" s="1222">
        <v>1134469788.3147433</v>
      </c>
      <c r="G114" s="1222">
        <v>1759144819.1518266</v>
      </c>
      <c r="H114" s="1222">
        <v>152579551.30000001</v>
      </c>
      <c r="I114" s="1222">
        <v>820004289.22719705</v>
      </c>
      <c r="J114" s="1222">
        <v>186131258.85000002</v>
      </c>
      <c r="K114" s="1222">
        <v>81379398.549999997</v>
      </c>
      <c r="L114" s="1222">
        <v>139175160.90059188</v>
      </c>
      <c r="M114" s="1216">
        <f t="shared" si="21"/>
        <v>4652281568.5472155</v>
      </c>
    </row>
    <row r="115" spans="1:13">
      <c r="A115" s="580">
        <f t="shared" si="20"/>
        <v>58</v>
      </c>
      <c r="B115" s="741" t="s">
        <v>2685</v>
      </c>
      <c r="C115" s="1222">
        <v>18701389.609999996</v>
      </c>
      <c r="D115" s="1222">
        <v>95315965.650000006</v>
      </c>
      <c r="E115" s="1222">
        <v>265618773.91285637</v>
      </c>
      <c r="F115" s="1222">
        <v>1166956821.1847432</v>
      </c>
      <c r="G115" s="1222">
        <v>1759588944.3118267</v>
      </c>
      <c r="H115" s="1222">
        <v>152261118.28</v>
      </c>
      <c r="I115" s="1222">
        <v>820805742.95719707</v>
      </c>
      <c r="J115" s="1222">
        <v>186354446.32000002</v>
      </c>
      <c r="K115" s="1222">
        <v>81457429.030000001</v>
      </c>
      <c r="L115" s="1222">
        <v>139304594.79059187</v>
      </c>
      <c r="M115" s="1216">
        <f t="shared" si="21"/>
        <v>4686365226.0472155</v>
      </c>
    </row>
    <row r="116" spans="1:13">
      <c r="A116" s="580">
        <f t="shared" si="20"/>
        <v>59</v>
      </c>
      <c r="B116" s="740" t="s">
        <v>2686</v>
      </c>
      <c r="C116" s="1222">
        <v>18715053.429999996</v>
      </c>
      <c r="D116" s="1222">
        <v>95315922.430000007</v>
      </c>
      <c r="E116" s="1222">
        <v>273135306.78285635</v>
      </c>
      <c r="F116" s="1222">
        <v>1174877109.0047431</v>
      </c>
      <c r="G116" s="1222">
        <v>1761384448.0418267</v>
      </c>
      <c r="H116" s="1222">
        <v>152068596.22</v>
      </c>
      <c r="I116" s="1222">
        <v>818579132.57719707</v>
      </c>
      <c r="J116" s="1222">
        <v>186860411.19000003</v>
      </c>
      <c r="K116" s="1222">
        <v>81634323.769999996</v>
      </c>
      <c r="L116" s="1222">
        <v>145740021.56059188</v>
      </c>
      <c r="M116" s="1216">
        <f t="shared" si="21"/>
        <v>4708310325.0072155</v>
      </c>
    </row>
    <row r="117" spans="1:13">
      <c r="A117" s="580">
        <f t="shared" si="20"/>
        <v>60</v>
      </c>
      <c r="B117" s="740" t="s">
        <v>2687</v>
      </c>
      <c r="C117" s="1222">
        <v>18714292.569999997</v>
      </c>
      <c r="D117" s="1222">
        <v>95316683.290000007</v>
      </c>
      <c r="E117" s="1222">
        <v>273306086.3928563</v>
      </c>
      <c r="F117" s="1222">
        <v>1174813678.4947431</v>
      </c>
      <c r="G117" s="1222">
        <v>1761309419.0618267</v>
      </c>
      <c r="H117" s="1222">
        <v>152124117.28999999</v>
      </c>
      <c r="I117" s="1222">
        <v>819894933.12719703</v>
      </c>
      <c r="J117" s="1222">
        <v>188226697.06000003</v>
      </c>
      <c r="K117" s="1222">
        <v>82112002.729999989</v>
      </c>
      <c r="L117" s="1222">
        <v>145423584.26059189</v>
      </c>
      <c r="M117" s="1216">
        <f t="shared" si="21"/>
        <v>4711241494.277215</v>
      </c>
    </row>
    <row r="118" spans="1:13">
      <c r="A118" s="580">
        <f t="shared" si="20"/>
        <v>61</v>
      </c>
      <c r="B118" s="741" t="s">
        <v>2688</v>
      </c>
      <c r="C118" s="1222">
        <v>18726642.669999998</v>
      </c>
      <c r="D118" s="1222">
        <v>95317444.290000007</v>
      </c>
      <c r="E118" s="1222">
        <v>273267754.52285635</v>
      </c>
      <c r="F118" s="1222">
        <v>1174922189.0447431</v>
      </c>
      <c r="G118" s="1222">
        <v>1761690976.2818267</v>
      </c>
      <c r="H118" s="1222">
        <v>152184301.60999998</v>
      </c>
      <c r="I118" s="1222">
        <v>820127330.68719709</v>
      </c>
      <c r="J118" s="1222">
        <v>188454164.70000002</v>
      </c>
      <c r="K118" s="1222">
        <v>82187902.229999989</v>
      </c>
      <c r="L118" s="1222">
        <v>145613116.6305919</v>
      </c>
      <c r="M118" s="1216">
        <f t="shared" si="21"/>
        <v>4712491822.6672153</v>
      </c>
    </row>
    <row r="119" spans="1:13">
      <c r="A119" s="580">
        <f t="shared" si="20"/>
        <v>62</v>
      </c>
      <c r="B119" s="740" t="s">
        <v>2689</v>
      </c>
      <c r="C119" s="1222">
        <v>19179776.899999999</v>
      </c>
      <c r="D119" s="1222">
        <v>94864828.060000002</v>
      </c>
      <c r="E119" s="1222">
        <v>272944914.93285632</v>
      </c>
      <c r="F119" s="1222">
        <v>1175321777.2347434</v>
      </c>
      <c r="G119" s="1222">
        <v>1762179404.5318267</v>
      </c>
      <c r="H119" s="1222">
        <v>152264271.29999998</v>
      </c>
      <c r="I119" s="1222">
        <v>820451272.14719713</v>
      </c>
      <c r="J119" s="1222">
        <v>188783135.16000003</v>
      </c>
      <c r="K119" s="1222">
        <v>82297670.319999993</v>
      </c>
      <c r="L119" s="1222">
        <v>145733021.20059189</v>
      </c>
      <c r="M119" s="1216">
        <f t="shared" si="21"/>
        <v>4714020071.7872152</v>
      </c>
    </row>
    <row r="120" spans="1:13">
      <c r="A120" s="580">
        <f t="shared" si="20"/>
        <v>63</v>
      </c>
      <c r="B120" s="740" t="s">
        <v>2690</v>
      </c>
      <c r="C120" s="1222">
        <v>19191597.689999998</v>
      </c>
      <c r="D120" s="1222">
        <v>94863648.25</v>
      </c>
      <c r="E120" s="1222">
        <v>272955425.8528564</v>
      </c>
      <c r="F120" s="1222">
        <v>1175350247.3647432</v>
      </c>
      <c r="G120" s="1222">
        <v>1760569393.7818265</v>
      </c>
      <c r="H120" s="1222">
        <v>154038484.23999998</v>
      </c>
      <c r="I120" s="1222">
        <v>821031818.56719708</v>
      </c>
      <c r="J120" s="1222">
        <v>189110691.77000004</v>
      </c>
      <c r="K120" s="1222">
        <v>82406964.719999999</v>
      </c>
      <c r="L120" s="1222">
        <v>145892022.90059191</v>
      </c>
      <c r="M120" s="1216">
        <f t="shared" si="21"/>
        <v>4715410295.1372156</v>
      </c>
    </row>
    <row r="121" spans="1:13">
      <c r="A121" s="580">
        <f t="shared" si="20"/>
        <v>64</v>
      </c>
      <c r="B121" s="741" t="s">
        <v>2691</v>
      </c>
      <c r="C121" s="1222">
        <v>19203436.729999997</v>
      </c>
      <c r="D121" s="1222">
        <v>94863053.870000005</v>
      </c>
      <c r="E121" s="1222">
        <v>273089481.05285633</v>
      </c>
      <c r="F121" s="1222">
        <v>1176020629.894743</v>
      </c>
      <c r="G121" s="1222">
        <v>1761225259.6018264</v>
      </c>
      <c r="H121" s="1222">
        <v>154334614.85999998</v>
      </c>
      <c r="I121" s="1222">
        <v>821042450.7971971</v>
      </c>
      <c r="J121" s="1222">
        <v>189739133.67000005</v>
      </c>
      <c r="K121" s="1222">
        <v>82721369.289999992</v>
      </c>
      <c r="L121" s="1222">
        <v>146087538.71059191</v>
      </c>
      <c r="M121" s="1216">
        <f t="shared" si="21"/>
        <v>4718326968.4772148</v>
      </c>
    </row>
    <row r="122" spans="1:13">
      <c r="A122" s="580">
        <f t="shared" si="20"/>
        <v>65</v>
      </c>
      <c r="B122" s="741" t="s">
        <v>2692</v>
      </c>
      <c r="C122" s="1222">
        <v>20856532.167499997</v>
      </c>
      <c r="D122" s="1222">
        <v>95067594.370000005</v>
      </c>
      <c r="E122" s="1222">
        <v>273124696.78285635</v>
      </c>
      <c r="F122" s="1222">
        <v>1176034396.7047431</v>
      </c>
      <c r="G122" s="1222">
        <v>1761585803.6918268</v>
      </c>
      <c r="H122" s="1222">
        <v>154373423.38</v>
      </c>
      <c r="I122" s="1222">
        <v>817939424.5471971</v>
      </c>
      <c r="J122" s="1222">
        <v>189822549.78000006</v>
      </c>
      <c r="K122" s="1222">
        <v>82763104.669999987</v>
      </c>
      <c r="L122" s="1222">
        <v>146241840.06059191</v>
      </c>
      <c r="M122" s="1216">
        <f t="shared" si="21"/>
        <v>4717809366.1547155</v>
      </c>
    </row>
    <row r="123" spans="1:13">
      <c r="A123" s="580">
        <f t="shared" si="20"/>
        <v>66</v>
      </c>
      <c r="B123" s="740" t="s">
        <v>2693</v>
      </c>
      <c r="C123" s="1222">
        <v>20866624.027499996</v>
      </c>
      <c r="D123" s="1222">
        <v>95067405.480000004</v>
      </c>
      <c r="E123" s="1222">
        <v>273150052.0128563</v>
      </c>
      <c r="F123" s="1222">
        <v>1176074825.7047431</v>
      </c>
      <c r="G123" s="1222">
        <v>1762377598.9918268</v>
      </c>
      <c r="H123" s="1222">
        <v>154450782.31999999</v>
      </c>
      <c r="I123" s="1222">
        <v>818269306.59719729</v>
      </c>
      <c r="J123" s="1222">
        <v>189937751.33000007</v>
      </c>
      <c r="K123" s="1222">
        <v>82820739.109999985</v>
      </c>
      <c r="L123" s="1222">
        <v>146444293.85059193</v>
      </c>
      <c r="M123" s="1216">
        <f t="shared" si="21"/>
        <v>4719459379.424715</v>
      </c>
    </row>
    <row r="124" spans="1:13">
      <c r="A124" s="580"/>
      <c r="B124" s="1201"/>
      <c r="C124" s="234"/>
      <c r="D124" s="234"/>
      <c r="E124" s="234"/>
      <c r="F124" s="234"/>
      <c r="G124" s="234"/>
      <c r="H124" s="234"/>
      <c r="I124" s="234"/>
      <c r="J124" s="234"/>
      <c r="K124" s="234"/>
      <c r="L124" s="234"/>
      <c r="M124" s="234"/>
    </row>
    <row r="125" spans="1:13">
      <c r="B125" s="44" t="s">
        <v>2432</v>
      </c>
      <c r="C125" s="14"/>
      <c r="D125" s="14"/>
      <c r="E125" s="14"/>
      <c r="F125" s="14"/>
      <c r="G125" s="14"/>
    </row>
    <row r="126" spans="1:13">
      <c r="B126" s="14"/>
      <c r="C126" s="14"/>
      <c r="D126" s="14"/>
      <c r="E126" s="14"/>
      <c r="F126" s="14"/>
      <c r="G126" s="14"/>
    </row>
    <row r="127" spans="1:13">
      <c r="A127" s="398"/>
      <c r="B127" s="360" t="s">
        <v>363</v>
      </c>
      <c r="C127" s="360" t="s">
        <v>347</v>
      </c>
      <c r="D127" s="360" t="s">
        <v>348</v>
      </c>
      <c r="E127" s="360" t="s">
        <v>349</v>
      </c>
      <c r="F127" s="360" t="s">
        <v>350</v>
      </c>
      <c r="G127" s="360" t="s">
        <v>351</v>
      </c>
      <c r="H127" s="84" t="s">
        <v>352</v>
      </c>
      <c r="I127" s="84" t="s">
        <v>544</v>
      </c>
      <c r="J127" s="84" t="s">
        <v>961</v>
      </c>
      <c r="K127" s="84" t="s">
        <v>974</v>
      </c>
      <c r="L127" s="84" t="s">
        <v>977</v>
      </c>
      <c r="M127" s="84" t="s">
        <v>995</v>
      </c>
    </row>
    <row r="128" spans="1:13">
      <c r="A128" s="232"/>
      <c r="B128" s="458"/>
      <c r="C128" s="241"/>
      <c r="D128" s="241"/>
      <c r="E128" s="241"/>
      <c r="F128" s="241"/>
      <c r="G128" s="241"/>
      <c r="H128" s="232"/>
      <c r="I128" s="232"/>
      <c r="J128" s="232"/>
      <c r="K128" s="232"/>
      <c r="M128" s="249" t="s">
        <v>1237</v>
      </c>
    </row>
    <row r="129" spans="1:16">
      <c r="A129" s="51"/>
      <c r="B129" s="125" t="s">
        <v>1780</v>
      </c>
      <c r="C129" s="360">
        <v>350.1</v>
      </c>
      <c r="D129" s="360">
        <v>350.2</v>
      </c>
      <c r="E129" s="360">
        <v>352</v>
      </c>
      <c r="F129" s="360">
        <v>353</v>
      </c>
      <c r="G129" s="360">
        <v>354</v>
      </c>
      <c r="H129" s="84">
        <v>355</v>
      </c>
      <c r="I129" s="84">
        <v>356</v>
      </c>
      <c r="J129" s="84">
        <v>357</v>
      </c>
      <c r="K129" s="84">
        <v>358</v>
      </c>
      <c r="L129" s="84">
        <v>359</v>
      </c>
      <c r="M129" s="3" t="s">
        <v>196</v>
      </c>
    </row>
    <row r="130" spans="1:16">
      <c r="A130" s="580">
        <f>A123+1</f>
        <v>67</v>
      </c>
      <c r="B130" s="741" t="s">
        <v>2682</v>
      </c>
      <c r="C130" s="1217">
        <f>C112-C111</f>
        <v>-472.32000000029802</v>
      </c>
      <c r="D130" s="1217">
        <f t="shared" ref="D130:L130" si="22">D112-D111</f>
        <v>3469.9500000029802</v>
      </c>
      <c r="E130" s="1217">
        <f t="shared" si="22"/>
        <v>32491.990000009537</v>
      </c>
      <c r="F130" s="1217">
        <f t="shared" si="22"/>
        <v>308019.21000003815</v>
      </c>
      <c r="G130" s="1217">
        <f t="shared" si="22"/>
        <v>-53553.049999952316</v>
      </c>
      <c r="H130" s="1217">
        <f t="shared" si="22"/>
        <v>-10526.310000002384</v>
      </c>
      <c r="I130" s="1217">
        <f t="shared" si="22"/>
        <v>250895.78000020981</v>
      </c>
      <c r="J130" s="1217">
        <f t="shared" si="22"/>
        <v>150473.37000000477</v>
      </c>
      <c r="K130" s="1217">
        <f t="shared" si="22"/>
        <v>52607.70000000298</v>
      </c>
      <c r="L130" s="1217">
        <f t="shared" si="22"/>
        <v>-96328.859999984503</v>
      </c>
      <c r="M130" s="1217">
        <f>SUM(C130:L130)</f>
        <v>637077.46000032872</v>
      </c>
      <c r="P130" s="7"/>
    </row>
    <row r="131" spans="1:16">
      <c r="A131" s="580">
        <f t="shared" ref="A131:A142" si="23">A130+1</f>
        <v>68</v>
      </c>
      <c r="B131" s="740" t="s">
        <v>2683</v>
      </c>
      <c r="C131" s="1217">
        <f t="shared" ref="C131:L141" si="24">C113-C112</f>
        <v>15368.629999998957</v>
      </c>
      <c r="D131" s="1217">
        <f t="shared" si="24"/>
        <v>453668.90999999642</v>
      </c>
      <c r="E131" s="1217">
        <f t="shared" si="24"/>
        <v>330609.66999995708</v>
      </c>
      <c r="F131" s="1217">
        <f t="shared" si="24"/>
        <v>1007506.8400001526</v>
      </c>
      <c r="G131" s="1217">
        <f t="shared" si="24"/>
        <v>1798384.9600000381</v>
      </c>
      <c r="H131" s="1217">
        <f t="shared" si="24"/>
        <v>111151.15999999642</v>
      </c>
      <c r="I131" s="1217">
        <f t="shared" si="24"/>
        <v>162385.82999992371</v>
      </c>
      <c r="J131" s="1217">
        <f t="shared" si="24"/>
        <v>461566</v>
      </c>
      <c r="K131" s="1217">
        <f t="shared" si="24"/>
        <v>765121.57999999821</v>
      </c>
      <c r="L131" s="1217">
        <f t="shared" si="24"/>
        <v>1577199.75</v>
      </c>
      <c r="M131" s="1217">
        <f t="shared" ref="M131:M141" si="25">SUM(C131:L131)</f>
        <v>6682963.3300000615</v>
      </c>
      <c r="P131" s="7"/>
    </row>
    <row r="132" spans="1:16">
      <c r="A132" s="580">
        <f t="shared" si="23"/>
        <v>69</v>
      </c>
      <c r="B132" s="740" t="s">
        <v>2684</v>
      </c>
      <c r="C132" s="1217">
        <f t="shared" si="24"/>
        <v>-1780.4699999988079</v>
      </c>
      <c r="D132" s="1217">
        <f t="shared" si="24"/>
        <v>-14803.019999995828</v>
      </c>
      <c r="E132" s="1217">
        <f t="shared" si="24"/>
        <v>416085.66999995708</v>
      </c>
      <c r="F132" s="1217">
        <f t="shared" si="24"/>
        <v>-541232.58000016212</v>
      </c>
      <c r="G132" s="1217">
        <f t="shared" si="24"/>
        <v>240700.77999997139</v>
      </c>
      <c r="H132" s="1217">
        <f t="shared" si="24"/>
        <v>575023.68999999762</v>
      </c>
      <c r="I132" s="1217">
        <f t="shared" si="24"/>
        <v>4041872.5700000525</v>
      </c>
      <c r="J132" s="1217">
        <f t="shared" si="24"/>
        <v>232456.93999999762</v>
      </c>
      <c r="K132" s="1217">
        <f t="shared" si="24"/>
        <v>685020.76999999583</v>
      </c>
      <c r="L132" s="1217">
        <f t="shared" si="24"/>
        <v>-454675.31999999285</v>
      </c>
      <c r="M132" s="1217">
        <f t="shared" si="25"/>
        <v>5178669.0299998224</v>
      </c>
      <c r="P132" s="7"/>
    </row>
    <row r="133" spans="1:16">
      <c r="A133" s="580">
        <f t="shared" si="23"/>
        <v>70</v>
      </c>
      <c r="B133" s="741" t="s">
        <v>2685</v>
      </c>
      <c r="C133" s="1217">
        <f t="shared" si="24"/>
        <v>11283.219999998808</v>
      </c>
      <c r="D133" s="1217">
        <f t="shared" si="24"/>
        <v>569.87999999523163</v>
      </c>
      <c r="E133" s="1217">
        <f t="shared" si="24"/>
        <v>226973.82000008225</v>
      </c>
      <c r="F133" s="1217">
        <f t="shared" si="24"/>
        <v>32487032.869999886</v>
      </c>
      <c r="G133" s="1217">
        <f t="shared" si="24"/>
        <v>444125.16000008583</v>
      </c>
      <c r="H133" s="1217">
        <f t="shared" si="24"/>
        <v>-318433.02000001073</v>
      </c>
      <c r="I133" s="1217">
        <f t="shared" si="24"/>
        <v>801453.73000001907</v>
      </c>
      <c r="J133" s="1217">
        <f t="shared" si="24"/>
        <v>223187.46999999881</v>
      </c>
      <c r="K133" s="1217">
        <f t="shared" si="24"/>
        <v>78030.480000004172</v>
      </c>
      <c r="L133" s="1217">
        <f t="shared" si="24"/>
        <v>129433.88999998569</v>
      </c>
      <c r="M133" s="1217">
        <f t="shared" si="25"/>
        <v>34083657.500000045</v>
      </c>
      <c r="P133" s="7"/>
    </row>
    <row r="134" spans="1:16">
      <c r="A134" s="580">
        <f t="shared" si="23"/>
        <v>71</v>
      </c>
      <c r="B134" s="740" t="s">
        <v>2686</v>
      </c>
      <c r="C134" s="1217">
        <f t="shared" si="24"/>
        <v>13663.820000000298</v>
      </c>
      <c r="D134" s="1217">
        <f t="shared" si="24"/>
        <v>-43.219999998807907</v>
      </c>
      <c r="E134" s="1217">
        <f t="shared" si="24"/>
        <v>7516532.869999975</v>
      </c>
      <c r="F134" s="1217">
        <f t="shared" si="24"/>
        <v>7920287.8199999332</v>
      </c>
      <c r="G134" s="1217">
        <f t="shared" si="24"/>
        <v>1795503.7300000191</v>
      </c>
      <c r="H134" s="1217">
        <f t="shared" si="24"/>
        <v>-192522.06000000238</v>
      </c>
      <c r="I134" s="1217">
        <f t="shared" si="24"/>
        <v>-2226610.3799999952</v>
      </c>
      <c r="J134" s="1217">
        <f t="shared" si="24"/>
        <v>505964.87000000477</v>
      </c>
      <c r="K134" s="1217">
        <f t="shared" si="24"/>
        <v>176894.73999999464</v>
      </c>
      <c r="L134" s="1217">
        <f t="shared" si="24"/>
        <v>6435426.7700000107</v>
      </c>
      <c r="M134" s="1217">
        <f t="shared" si="25"/>
        <v>21945098.959999941</v>
      </c>
      <c r="P134" s="7"/>
    </row>
    <row r="135" spans="1:16">
      <c r="A135" s="580">
        <f t="shared" si="23"/>
        <v>72</v>
      </c>
      <c r="B135" s="740" t="s">
        <v>2687</v>
      </c>
      <c r="C135" s="1217">
        <f t="shared" si="24"/>
        <v>-760.85999999940395</v>
      </c>
      <c r="D135" s="1217">
        <f t="shared" si="24"/>
        <v>760.85999999940395</v>
      </c>
      <c r="E135" s="1217">
        <f t="shared" si="24"/>
        <v>170779.6099999547</v>
      </c>
      <c r="F135" s="1217">
        <f t="shared" si="24"/>
        <v>-63430.509999990463</v>
      </c>
      <c r="G135" s="1217">
        <f t="shared" si="24"/>
        <v>-75028.980000019073</v>
      </c>
      <c r="H135" s="1217">
        <f t="shared" si="24"/>
        <v>55521.069999992847</v>
      </c>
      <c r="I135" s="1217">
        <f t="shared" si="24"/>
        <v>1315800.5499999523</v>
      </c>
      <c r="J135" s="1217">
        <f t="shared" si="24"/>
        <v>1366285.8700000048</v>
      </c>
      <c r="K135" s="1217">
        <f t="shared" si="24"/>
        <v>477678.95999999344</v>
      </c>
      <c r="L135" s="1217">
        <f t="shared" si="24"/>
        <v>-316437.29999998212</v>
      </c>
      <c r="M135" s="1217">
        <f t="shared" si="25"/>
        <v>2931169.2699999064</v>
      </c>
      <c r="P135" s="7"/>
    </row>
    <row r="136" spans="1:16">
      <c r="A136" s="580">
        <f t="shared" si="23"/>
        <v>73</v>
      </c>
      <c r="B136" s="741" t="s">
        <v>2688</v>
      </c>
      <c r="C136" s="1217">
        <f t="shared" si="24"/>
        <v>12350.10000000149</v>
      </c>
      <c r="D136" s="1217">
        <f t="shared" si="24"/>
        <v>761</v>
      </c>
      <c r="E136" s="1217">
        <f t="shared" si="24"/>
        <v>-38331.869999945164</v>
      </c>
      <c r="F136" s="1217">
        <f t="shared" si="24"/>
        <v>108510.54999995232</v>
      </c>
      <c r="G136" s="1217">
        <f t="shared" si="24"/>
        <v>381557.22000002861</v>
      </c>
      <c r="H136" s="1217">
        <f t="shared" si="24"/>
        <v>60184.319999992847</v>
      </c>
      <c r="I136" s="1217">
        <f t="shared" si="24"/>
        <v>232397.56000006199</v>
      </c>
      <c r="J136" s="1217">
        <f t="shared" si="24"/>
        <v>227467.63999998569</v>
      </c>
      <c r="K136" s="1217">
        <f t="shared" si="24"/>
        <v>75899.5</v>
      </c>
      <c r="L136" s="1217">
        <f t="shared" si="24"/>
        <v>189532.37000000477</v>
      </c>
      <c r="M136" s="1217">
        <f t="shared" si="25"/>
        <v>1250328.3900000826</v>
      </c>
      <c r="P136" s="7"/>
    </row>
    <row r="137" spans="1:16">
      <c r="A137" s="580">
        <f t="shared" si="23"/>
        <v>74</v>
      </c>
      <c r="B137" s="740" t="s">
        <v>2689</v>
      </c>
      <c r="C137" s="1217">
        <f t="shared" si="24"/>
        <v>453134.23000000045</v>
      </c>
      <c r="D137" s="1217">
        <f t="shared" si="24"/>
        <v>-452616.23000000417</v>
      </c>
      <c r="E137" s="1217">
        <f t="shared" si="24"/>
        <v>-322839.59000003338</v>
      </c>
      <c r="F137" s="1217">
        <f t="shared" si="24"/>
        <v>399588.19000029564</v>
      </c>
      <c r="G137" s="1217">
        <f t="shared" si="24"/>
        <v>488428.25</v>
      </c>
      <c r="H137" s="1217">
        <f t="shared" si="24"/>
        <v>79969.689999997616</v>
      </c>
      <c r="I137" s="1217">
        <f t="shared" si="24"/>
        <v>323941.46000003815</v>
      </c>
      <c r="J137" s="1217">
        <f t="shared" si="24"/>
        <v>328970.46000000834</v>
      </c>
      <c r="K137" s="1217">
        <f t="shared" si="24"/>
        <v>109768.09000000358</v>
      </c>
      <c r="L137" s="1217">
        <f t="shared" si="24"/>
        <v>119904.56999999285</v>
      </c>
      <c r="M137" s="1217">
        <f t="shared" si="25"/>
        <v>1528249.1200002991</v>
      </c>
      <c r="P137" s="7"/>
    </row>
    <row r="138" spans="1:16">
      <c r="A138" s="580">
        <f t="shared" si="23"/>
        <v>75</v>
      </c>
      <c r="B138" s="740" t="s">
        <v>2690</v>
      </c>
      <c r="C138" s="1217">
        <f t="shared" si="24"/>
        <v>11820.789999999106</v>
      </c>
      <c r="D138" s="1217">
        <f t="shared" si="24"/>
        <v>-1179.8100000023842</v>
      </c>
      <c r="E138" s="1217">
        <f t="shared" si="24"/>
        <v>10510.920000076294</v>
      </c>
      <c r="F138" s="1217">
        <f t="shared" si="24"/>
        <v>28470.129999876022</v>
      </c>
      <c r="G138" s="1217">
        <f t="shared" si="24"/>
        <v>-1610010.7500002384</v>
      </c>
      <c r="H138" s="1217">
        <f t="shared" si="24"/>
        <v>1774212.9399999976</v>
      </c>
      <c r="I138" s="1217">
        <f t="shared" si="24"/>
        <v>580546.41999995708</v>
      </c>
      <c r="J138" s="1217">
        <f t="shared" si="24"/>
        <v>327556.61000001431</v>
      </c>
      <c r="K138" s="1217">
        <f t="shared" si="24"/>
        <v>109294.40000000596</v>
      </c>
      <c r="L138" s="1217">
        <f t="shared" si="24"/>
        <v>159001.70000001788</v>
      </c>
      <c r="M138" s="1217">
        <f t="shared" si="25"/>
        <v>1390223.3499997035</v>
      </c>
      <c r="P138" s="7"/>
    </row>
    <row r="139" spans="1:16">
      <c r="A139" s="580">
        <f t="shared" si="23"/>
        <v>76</v>
      </c>
      <c r="B139" s="741" t="s">
        <v>2691</v>
      </c>
      <c r="C139" s="1217">
        <f t="shared" si="24"/>
        <v>11839.039999999106</v>
      </c>
      <c r="D139" s="1217">
        <f t="shared" si="24"/>
        <v>-594.37999999523163</v>
      </c>
      <c r="E139" s="1217">
        <f t="shared" si="24"/>
        <v>134055.19999992847</v>
      </c>
      <c r="F139" s="1217">
        <f t="shared" si="24"/>
        <v>670382.52999973297</v>
      </c>
      <c r="G139" s="1217">
        <f t="shared" si="24"/>
        <v>655865.81999993324</v>
      </c>
      <c r="H139" s="1217">
        <f t="shared" si="24"/>
        <v>296130.62000000477</v>
      </c>
      <c r="I139" s="1217">
        <f t="shared" si="24"/>
        <v>10632.230000019073</v>
      </c>
      <c r="J139" s="1217">
        <f t="shared" si="24"/>
        <v>628441.90000000596</v>
      </c>
      <c r="K139" s="1217">
        <f t="shared" si="24"/>
        <v>314404.56999999285</v>
      </c>
      <c r="L139" s="1217">
        <f t="shared" si="24"/>
        <v>195515.81000000238</v>
      </c>
      <c r="M139" s="1217">
        <f t="shared" si="25"/>
        <v>2916673.3399996236</v>
      </c>
      <c r="P139" s="7"/>
    </row>
    <row r="140" spans="1:16">
      <c r="A140" s="580">
        <f t="shared" si="23"/>
        <v>77</v>
      </c>
      <c r="B140" s="741" t="s">
        <v>2692</v>
      </c>
      <c r="C140" s="1217">
        <f t="shared" si="24"/>
        <v>1653095.4375</v>
      </c>
      <c r="D140" s="1217">
        <f t="shared" si="24"/>
        <v>204540.5</v>
      </c>
      <c r="E140" s="1217">
        <f t="shared" si="24"/>
        <v>35215.730000019073</v>
      </c>
      <c r="F140" s="1217">
        <f t="shared" si="24"/>
        <v>13766.810000181198</v>
      </c>
      <c r="G140" s="1217">
        <f t="shared" si="24"/>
        <v>360544.09000039101</v>
      </c>
      <c r="H140" s="1217">
        <f t="shared" si="24"/>
        <v>38808.520000010729</v>
      </c>
      <c r="I140" s="1217">
        <f t="shared" si="24"/>
        <v>-3103026.25</v>
      </c>
      <c r="J140" s="1217">
        <f t="shared" si="24"/>
        <v>83416.110000014305</v>
      </c>
      <c r="K140" s="1217">
        <f t="shared" si="24"/>
        <v>41735.379999995232</v>
      </c>
      <c r="L140" s="1217">
        <f t="shared" si="24"/>
        <v>154301.34999999404</v>
      </c>
      <c r="M140" s="1217">
        <f t="shared" si="25"/>
        <v>-517602.32249939442</v>
      </c>
      <c r="P140" s="7"/>
    </row>
    <row r="141" spans="1:16">
      <c r="A141" s="580">
        <f t="shared" si="23"/>
        <v>78</v>
      </c>
      <c r="B141" s="740" t="s">
        <v>2693</v>
      </c>
      <c r="C141" s="1218">
        <f t="shared" si="24"/>
        <v>10091.859999999404</v>
      </c>
      <c r="D141" s="1218">
        <f t="shared" si="24"/>
        <v>-188.89000000059605</v>
      </c>
      <c r="E141" s="1218">
        <f t="shared" si="24"/>
        <v>25355.229999959469</v>
      </c>
      <c r="F141" s="1218">
        <f t="shared" si="24"/>
        <v>40429</v>
      </c>
      <c r="G141" s="1218">
        <f t="shared" si="24"/>
        <v>791795.29999995232</v>
      </c>
      <c r="H141" s="1218">
        <f t="shared" si="24"/>
        <v>77358.939999997616</v>
      </c>
      <c r="I141" s="1218">
        <f t="shared" si="24"/>
        <v>329882.05000019073</v>
      </c>
      <c r="J141" s="1218">
        <f t="shared" si="24"/>
        <v>115201.55000001192</v>
      </c>
      <c r="K141" s="1218">
        <f t="shared" si="24"/>
        <v>57634.439999997616</v>
      </c>
      <c r="L141" s="1218">
        <f t="shared" si="24"/>
        <v>202453.79000002146</v>
      </c>
      <c r="M141" s="1218">
        <f t="shared" si="25"/>
        <v>1650013.2700001299</v>
      </c>
      <c r="P141" s="7"/>
    </row>
    <row r="142" spans="1:16">
      <c r="A142" s="580">
        <f t="shared" si="23"/>
        <v>79</v>
      </c>
      <c r="B142" s="1201" t="s">
        <v>4</v>
      </c>
      <c r="C142" s="1217">
        <f>SUM(C130:C141)</f>
        <v>2189633.4774999991</v>
      </c>
      <c r="D142" s="1217">
        <f t="shared" ref="D142:M142" si="26">SUM(D130:D141)</f>
        <v>194345.54999999702</v>
      </c>
      <c r="E142" s="1217">
        <f t="shared" si="26"/>
        <v>8537439.2499999404</v>
      </c>
      <c r="F142" s="1217">
        <f t="shared" si="26"/>
        <v>42379330.859999895</v>
      </c>
      <c r="G142" s="1217">
        <f t="shared" si="26"/>
        <v>5218312.5300002098</v>
      </c>
      <c r="H142" s="1217">
        <f t="shared" si="26"/>
        <v>2546879.5599999726</v>
      </c>
      <c r="I142" s="1217">
        <f t="shared" si="26"/>
        <v>2720171.5500004292</v>
      </c>
      <c r="J142" s="1217">
        <f t="shared" si="26"/>
        <v>4650988.7900000513</v>
      </c>
      <c r="K142" s="1217">
        <f t="shared" si="26"/>
        <v>2944090.6099999845</v>
      </c>
      <c r="L142" s="1217">
        <f t="shared" si="26"/>
        <v>8295328.5200000703</v>
      </c>
      <c r="M142" s="1217">
        <f t="shared" si="26"/>
        <v>79676520.697500557</v>
      </c>
      <c r="P142" s="7"/>
    </row>
    <row r="143" spans="1:16">
      <c r="A143" s="580"/>
      <c r="B143" s="1201"/>
      <c r="C143" s="1216"/>
      <c r="D143" s="1216"/>
      <c r="E143" s="1216"/>
      <c r="F143" s="1216"/>
      <c r="G143" s="1216"/>
      <c r="H143" s="1216"/>
      <c r="I143" s="1216"/>
      <c r="J143" s="1216"/>
      <c r="K143" s="1216"/>
      <c r="L143" s="1216"/>
      <c r="M143" s="1216"/>
    </row>
    <row r="144" spans="1:16">
      <c r="B144" s="1219" t="s">
        <v>2433</v>
      </c>
      <c r="C144" s="14"/>
      <c r="D144" s="14"/>
      <c r="E144" s="14"/>
      <c r="F144" s="14"/>
      <c r="G144" s="14"/>
    </row>
    <row r="145" spans="1:13">
      <c r="B145" s="14"/>
      <c r="C145" s="14"/>
      <c r="D145" s="14"/>
      <c r="E145" s="14"/>
      <c r="F145" s="14"/>
      <c r="G145" s="14"/>
    </row>
    <row r="146" spans="1:13">
      <c r="A146" s="398"/>
      <c r="B146" s="360" t="s">
        <v>363</v>
      </c>
      <c r="C146" s="360" t="s">
        <v>347</v>
      </c>
      <c r="D146" s="360" t="s">
        <v>348</v>
      </c>
      <c r="E146" s="360" t="s">
        <v>349</v>
      </c>
      <c r="F146" s="360" t="s">
        <v>350</v>
      </c>
      <c r="G146" s="360" t="s">
        <v>351</v>
      </c>
      <c r="H146" s="84" t="s">
        <v>352</v>
      </c>
      <c r="I146" s="84" t="s">
        <v>544</v>
      </c>
      <c r="J146" s="84" t="s">
        <v>961</v>
      </c>
      <c r="K146" s="84" t="s">
        <v>974</v>
      </c>
      <c r="L146" s="84" t="s">
        <v>977</v>
      </c>
      <c r="M146" s="84" t="s">
        <v>995</v>
      </c>
    </row>
    <row r="147" spans="1:13">
      <c r="A147" s="232"/>
      <c r="B147" s="458"/>
      <c r="C147" s="241"/>
      <c r="D147" s="241"/>
      <c r="E147" s="241"/>
      <c r="F147" s="241"/>
      <c r="G147" s="241"/>
      <c r="H147" s="232"/>
      <c r="I147" s="232"/>
      <c r="J147" s="232"/>
      <c r="K147" s="232"/>
      <c r="M147" s="249" t="s">
        <v>1237</v>
      </c>
    </row>
    <row r="148" spans="1:13">
      <c r="A148" s="51"/>
      <c r="B148" s="125" t="s">
        <v>1780</v>
      </c>
      <c r="C148" s="360">
        <v>350.1</v>
      </c>
      <c r="D148" s="360">
        <v>350.2</v>
      </c>
      <c r="E148" s="360">
        <v>352</v>
      </c>
      <c r="F148" s="360">
        <v>353</v>
      </c>
      <c r="G148" s="360">
        <v>354</v>
      </c>
      <c r="H148" s="84">
        <v>355</v>
      </c>
      <c r="I148" s="84">
        <v>356</v>
      </c>
      <c r="J148" s="84">
        <v>357</v>
      </c>
      <c r="K148" s="84">
        <v>358</v>
      </c>
      <c r="L148" s="84">
        <v>359</v>
      </c>
      <c r="M148" s="3" t="s">
        <v>196</v>
      </c>
    </row>
    <row r="149" spans="1:13">
      <c r="A149" s="580">
        <f>A142+1</f>
        <v>80</v>
      </c>
      <c r="B149" s="741" t="s">
        <v>2682</v>
      </c>
      <c r="C149" s="1178">
        <f>C92-C130</f>
        <v>1862152.7299999669</v>
      </c>
      <c r="D149" s="1178">
        <f t="shared" ref="D149:L160" si="27">D92-D130</f>
        <v>-1.4901161193847656E-8</v>
      </c>
      <c r="E149" s="1178">
        <f t="shared" si="27"/>
        <v>-4229183.1199998856</v>
      </c>
      <c r="F149" s="1178">
        <f t="shared" si="27"/>
        <v>1288540.8799991608</v>
      </c>
      <c r="G149" s="1178">
        <f t="shared" si="27"/>
        <v>-2155978.7900006771</v>
      </c>
      <c r="H149" s="1178">
        <f t="shared" si="27"/>
        <v>40179967.359999955</v>
      </c>
      <c r="I149" s="1178">
        <f t="shared" si="27"/>
        <v>-10805168.100000143</v>
      </c>
      <c r="J149" s="1178">
        <f t="shared" si="27"/>
        <v>46090.479999989271</v>
      </c>
      <c r="K149" s="1178">
        <f t="shared" si="27"/>
        <v>-1149425.6099999696</v>
      </c>
      <c r="L149" s="1178">
        <f t="shared" si="27"/>
        <v>-18568417.810000002</v>
      </c>
      <c r="M149" s="1178">
        <f>SUM(C149:L149)</f>
        <v>6468578.0199983791</v>
      </c>
    </row>
    <row r="150" spans="1:13">
      <c r="A150" s="580">
        <f t="shared" ref="A150:A161" si="28">A149+1</f>
        <v>81</v>
      </c>
      <c r="B150" s="740" t="s">
        <v>2683</v>
      </c>
      <c r="C150" s="1178">
        <f t="shared" ref="C150:C160" si="29">C93-C131</f>
        <v>-53.979999963194132</v>
      </c>
      <c r="D150" s="1178">
        <f t="shared" si="27"/>
        <v>2.9802322387695313E-8</v>
      </c>
      <c r="E150" s="1178">
        <f t="shared" si="27"/>
        <v>8727472.0199999809</v>
      </c>
      <c r="F150" s="1178">
        <f t="shared" si="27"/>
        <v>13052909.34000206</v>
      </c>
      <c r="G150" s="1178">
        <f t="shared" si="27"/>
        <v>-14439745.130000114</v>
      </c>
      <c r="H150" s="1178">
        <f t="shared" si="27"/>
        <v>14579252.029999822</v>
      </c>
      <c r="I150" s="1178">
        <f t="shared" si="27"/>
        <v>6934216.8400001526</v>
      </c>
      <c r="J150" s="1178">
        <f t="shared" si="27"/>
        <v>-21022.09999999404</v>
      </c>
      <c r="K150" s="1178">
        <f t="shared" si="27"/>
        <v>2471233.3399999589</v>
      </c>
      <c r="L150" s="1178">
        <f t="shared" si="27"/>
        <v>5575.4599999785423</v>
      </c>
      <c r="M150" s="1178">
        <f t="shared" ref="M150:M160" si="30">SUM(C150:L150)</f>
        <v>31309837.820001911</v>
      </c>
    </row>
    <row r="151" spans="1:13">
      <c r="A151" s="580">
        <f t="shared" si="28"/>
        <v>82</v>
      </c>
      <c r="B151" s="740" t="s">
        <v>2684</v>
      </c>
      <c r="C151" s="1178">
        <f t="shared" si="29"/>
        <v>-154587.8900000155</v>
      </c>
      <c r="D151" s="1178">
        <f t="shared" si="27"/>
        <v>81069.599999979138</v>
      </c>
      <c r="E151" s="1178">
        <f t="shared" si="27"/>
        <v>-3816423.0800000429</v>
      </c>
      <c r="F151" s="1178">
        <f t="shared" si="27"/>
        <v>9310983.3899996281</v>
      </c>
      <c r="G151" s="1178">
        <f t="shared" si="27"/>
        <v>9214238.5500004292</v>
      </c>
      <c r="H151" s="1178">
        <f t="shared" si="27"/>
        <v>7717474.4599998593</v>
      </c>
      <c r="I151" s="1178">
        <f t="shared" si="27"/>
        <v>6336700.6699999571</v>
      </c>
      <c r="J151" s="1178">
        <f t="shared" si="27"/>
        <v>-234023.12999999523</v>
      </c>
      <c r="K151" s="1178">
        <f t="shared" si="27"/>
        <v>-956806.08999998868</v>
      </c>
      <c r="L151" s="1178">
        <f t="shared" si="27"/>
        <v>169198.72000002861</v>
      </c>
      <c r="M151" s="1178">
        <f t="shared" si="30"/>
        <v>27667825.199999839</v>
      </c>
    </row>
    <row r="152" spans="1:13">
      <c r="A152" s="580">
        <f t="shared" si="28"/>
        <v>83</v>
      </c>
      <c r="B152" s="741" t="s">
        <v>2685</v>
      </c>
      <c r="C152" s="1178">
        <f t="shared" si="29"/>
        <v>0</v>
      </c>
      <c r="D152" s="1178">
        <f t="shared" si="27"/>
        <v>-13.090000003576279</v>
      </c>
      <c r="E152" s="1178">
        <f t="shared" si="27"/>
        <v>11191794.349999994</v>
      </c>
      <c r="F152" s="1178">
        <f t="shared" si="27"/>
        <v>-4664717.3799991608</v>
      </c>
      <c r="G152" s="1178">
        <f t="shared" si="27"/>
        <v>18804319.74000001</v>
      </c>
      <c r="H152" s="1178">
        <f t="shared" si="27"/>
        <v>7635660.0100000203</v>
      </c>
      <c r="I152" s="1178">
        <f t="shared" si="27"/>
        <v>6878168.9400000572</v>
      </c>
      <c r="J152" s="1178">
        <f t="shared" si="27"/>
        <v>-649631.94999998808</v>
      </c>
      <c r="K152" s="1178">
        <f t="shared" si="27"/>
        <v>1449495.5000000149</v>
      </c>
      <c r="L152" s="1178">
        <f t="shared" si="27"/>
        <v>14473.120000004768</v>
      </c>
      <c r="M152" s="1178">
        <f t="shared" si="30"/>
        <v>40659549.240000948</v>
      </c>
    </row>
    <row r="153" spans="1:13">
      <c r="A153" s="580">
        <f t="shared" si="28"/>
        <v>84</v>
      </c>
      <c r="B153" s="740" t="s">
        <v>2686</v>
      </c>
      <c r="C153" s="1178">
        <f t="shared" si="29"/>
        <v>-98.389999993145466</v>
      </c>
      <c r="D153" s="1178">
        <f t="shared" si="27"/>
        <v>68763.300000011921</v>
      </c>
      <c r="E153" s="1178">
        <f t="shared" si="27"/>
        <v>1394624.7400000393</v>
      </c>
      <c r="F153" s="1178">
        <f t="shared" si="27"/>
        <v>10571789.969998121</v>
      </c>
      <c r="G153" s="1178">
        <f t="shared" si="27"/>
        <v>3159262.6499996185</v>
      </c>
      <c r="H153" s="1178">
        <f t="shared" si="27"/>
        <v>3378309.6700001359</v>
      </c>
      <c r="I153" s="1178">
        <f t="shared" si="27"/>
        <v>1318502.2499998808</v>
      </c>
      <c r="J153" s="1178">
        <f t="shared" si="27"/>
        <v>-308.20000001788139</v>
      </c>
      <c r="K153" s="1178">
        <f t="shared" si="27"/>
        <v>-30034.970000013709</v>
      </c>
      <c r="L153" s="1178">
        <f t="shared" si="27"/>
        <v>267093.8599999845</v>
      </c>
      <c r="M153" s="1178">
        <f t="shared" si="30"/>
        <v>20127904.879997768</v>
      </c>
    </row>
    <row r="154" spans="1:13">
      <c r="A154" s="580">
        <f t="shared" si="28"/>
        <v>85</v>
      </c>
      <c r="B154" s="740" t="s">
        <v>2687</v>
      </c>
      <c r="C154" s="1178">
        <f t="shared" si="29"/>
        <v>395111.15999998152</v>
      </c>
      <c r="D154" s="1178">
        <f t="shared" si="27"/>
        <v>390634.67000000179</v>
      </c>
      <c r="E154" s="1178">
        <f t="shared" si="27"/>
        <v>4752999.0600000024</v>
      </c>
      <c r="F154" s="1178">
        <f t="shared" si="27"/>
        <v>25391959.540001631</v>
      </c>
      <c r="G154" s="1178">
        <f t="shared" si="27"/>
        <v>2457184.970000267</v>
      </c>
      <c r="H154" s="1178">
        <f t="shared" si="27"/>
        <v>6853509.1200000644</v>
      </c>
      <c r="I154" s="1178">
        <f t="shared" si="27"/>
        <v>3043927.8300001621</v>
      </c>
      <c r="J154" s="1178">
        <f t="shared" si="27"/>
        <v>-187248.84000000358</v>
      </c>
      <c r="K154" s="1178">
        <f t="shared" si="27"/>
        <v>-963026.72999997437</v>
      </c>
      <c r="L154" s="1178">
        <f t="shared" si="27"/>
        <v>-192813.06000000238</v>
      </c>
      <c r="M154" s="1178">
        <f t="shared" si="30"/>
        <v>41942237.72000213</v>
      </c>
    </row>
    <row r="155" spans="1:13">
      <c r="A155" s="580">
        <f t="shared" si="28"/>
        <v>86</v>
      </c>
      <c r="B155" s="741" t="s">
        <v>2688</v>
      </c>
      <c r="C155" s="1178">
        <f t="shared" si="29"/>
        <v>1.8200000151991844</v>
      </c>
      <c r="D155" s="1178">
        <f t="shared" si="27"/>
        <v>768283.44999998808</v>
      </c>
      <c r="E155" s="1178">
        <f t="shared" si="27"/>
        <v>3222964.7899999022</v>
      </c>
      <c r="F155" s="1178">
        <f t="shared" si="27"/>
        <v>17513037.769998789</v>
      </c>
      <c r="G155" s="1178">
        <f t="shared" si="27"/>
        <v>1417802.1600000858</v>
      </c>
      <c r="H155" s="1178">
        <f t="shared" si="27"/>
        <v>9374208.6600000262</v>
      </c>
      <c r="I155" s="1178">
        <f t="shared" si="27"/>
        <v>-2998213.3400002718</v>
      </c>
      <c r="J155" s="1178">
        <f t="shared" si="27"/>
        <v>2270473.5200000107</v>
      </c>
      <c r="K155" s="1178">
        <f t="shared" si="27"/>
        <v>-1874400.5699999928</v>
      </c>
      <c r="L155" s="1178">
        <f t="shared" si="27"/>
        <v>-132809.30000001192</v>
      </c>
      <c r="M155" s="1178">
        <f t="shared" si="30"/>
        <v>29561348.959998541</v>
      </c>
    </row>
    <row r="156" spans="1:13">
      <c r="A156" s="580">
        <f t="shared" si="28"/>
        <v>87</v>
      </c>
      <c r="B156" s="740" t="s">
        <v>2689</v>
      </c>
      <c r="C156" s="1178">
        <f t="shared" si="29"/>
        <v>-1.1175870895385742E-8</v>
      </c>
      <c r="D156" s="1178">
        <f t="shared" si="27"/>
        <v>43316.510000005364</v>
      </c>
      <c r="E156" s="1178">
        <f t="shared" si="27"/>
        <v>6907614.6299999952</v>
      </c>
      <c r="F156" s="1178">
        <f t="shared" si="27"/>
        <v>67142326.430000544</v>
      </c>
      <c r="G156" s="1178">
        <f t="shared" si="27"/>
        <v>683648.93999958038</v>
      </c>
      <c r="H156" s="1178">
        <f t="shared" si="27"/>
        <v>2065605.2099998593</v>
      </c>
      <c r="I156" s="1178">
        <f t="shared" si="27"/>
        <v>5234458.8200001717</v>
      </c>
      <c r="J156" s="1178">
        <f t="shared" si="27"/>
        <v>-221075.84000000358</v>
      </c>
      <c r="K156" s="1178">
        <f t="shared" si="27"/>
        <v>3360494.2099999487</v>
      </c>
      <c r="L156" s="1178">
        <f t="shared" si="27"/>
        <v>199885.07000002265</v>
      </c>
      <c r="M156" s="1178">
        <f t="shared" si="30"/>
        <v>85416273.980000108</v>
      </c>
    </row>
    <row r="157" spans="1:13">
      <c r="A157" s="580">
        <f t="shared" si="28"/>
        <v>88</v>
      </c>
      <c r="B157" s="740" t="s">
        <v>2690</v>
      </c>
      <c r="C157" s="1178">
        <f t="shared" si="29"/>
        <v>-7.4505805969238281E-9</v>
      </c>
      <c r="D157" s="1178">
        <f t="shared" si="27"/>
        <v>39924.920000016689</v>
      </c>
      <c r="E157" s="1178">
        <f t="shared" si="27"/>
        <v>2728941.189999938</v>
      </c>
      <c r="F157" s="1178">
        <f t="shared" si="27"/>
        <v>7683803.8199999332</v>
      </c>
      <c r="G157" s="1178">
        <f t="shared" si="27"/>
        <v>-334146.34999966621</v>
      </c>
      <c r="H157" s="1178">
        <f t="shared" si="27"/>
        <v>5689842.5100000501</v>
      </c>
      <c r="I157" s="1178">
        <f t="shared" si="27"/>
        <v>3397025.3899999857</v>
      </c>
      <c r="J157" s="1178">
        <f t="shared" si="27"/>
        <v>7139.3499999940395</v>
      </c>
      <c r="K157" s="1178">
        <f t="shared" si="27"/>
        <v>-1388304.5199999511</v>
      </c>
      <c r="L157" s="1178">
        <f t="shared" si="27"/>
        <v>387195.71999996901</v>
      </c>
      <c r="M157" s="1178">
        <f t="shared" si="30"/>
        <v>18211422.030000262</v>
      </c>
    </row>
    <row r="158" spans="1:13">
      <c r="A158" s="580">
        <f t="shared" si="28"/>
        <v>89</v>
      </c>
      <c r="B158" s="741" t="s">
        <v>2691</v>
      </c>
      <c r="C158" s="1178">
        <f t="shared" si="29"/>
        <v>2.2351741790771484E-8</v>
      </c>
      <c r="D158" s="1178">
        <f t="shared" si="27"/>
        <v>291.17999997735023</v>
      </c>
      <c r="E158" s="1178">
        <f t="shared" si="27"/>
        <v>-3874753.6199998856</v>
      </c>
      <c r="F158" s="1178">
        <f t="shared" si="27"/>
        <v>-39548378.039999962</v>
      </c>
      <c r="G158" s="1178">
        <f t="shared" si="27"/>
        <v>2442367.7500002384</v>
      </c>
      <c r="H158" s="1178">
        <f t="shared" si="27"/>
        <v>10133008.810000062</v>
      </c>
      <c r="I158" s="1178">
        <f t="shared" si="27"/>
        <v>-1467530.0499999523</v>
      </c>
      <c r="J158" s="1178">
        <f t="shared" si="27"/>
        <v>-464081.40000000596</v>
      </c>
      <c r="K158" s="1178">
        <f t="shared" si="27"/>
        <v>1583416.0499999523</v>
      </c>
      <c r="L158" s="1178">
        <f t="shared" si="27"/>
        <v>5008.8499999940395</v>
      </c>
      <c r="M158" s="1178">
        <f t="shared" si="30"/>
        <v>-31190650.469999559</v>
      </c>
    </row>
    <row r="159" spans="1:13">
      <c r="A159" s="580">
        <f t="shared" si="28"/>
        <v>90</v>
      </c>
      <c r="B159" s="741" t="s">
        <v>2692</v>
      </c>
      <c r="C159" s="1178">
        <f t="shared" si="29"/>
        <v>-1657267.8875000179</v>
      </c>
      <c r="D159" s="1178">
        <f t="shared" si="27"/>
        <v>12322.32000002265</v>
      </c>
      <c r="E159" s="1178">
        <f t="shared" si="27"/>
        <v>2396062.7799999714</v>
      </c>
      <c r="F159" s="1178">
        <f t="shared" si="27"/>
        <v>5090314.4099991322</v>
      </c>
      <c r="G159" s="1178">
        <f t="shared" si="27"/>
        <v>1019819.0599997044</v>
      </c>
      <c r="H159" s="1178">
        <f t="shared" si="27"/>
        <v>17713334.289999932</v>
      </c>
      <c r="I159" s="1178">
        <f t="shared" si="27"/>
        <v>1624613.8199999332</v>
      </c>
      <c r="J159" s="1178">
        <f t="shared" si="27"/>
        <v>-2081812.4500000179</v>
      </c>
      <c r="K159" s="1178">
        <f t="shared" si="27"/>
        <v>-35475.379999995232</v>
      </c>
      <c r="L159" s="1178">
        <f t="shared" si="27"/>
        <v>1695232.3300000131</v>
      </c>
      <c r="M159" s="1178">
        <f t="shared" si="30"/>
        <v>25777143.292498678</v>
      </c>
    </row>
    <row r="160" spans="1:13">
      <c r="A160" s="580">
        <f t="shared" si="28"/>
        <v>91</v>
      </c>
      <c r="B160" s="740" t="s">
        <v>2693</v>
      </c>
      <c r="C160" s="1220">
        <f t="shared" si="29"/>
        <v>0</v>
      </c>
      <c r="D160" s="1220">
        <f t="shared" si="27"/>
        <v>15224.319999977946</v>
      </c>
      <c r="E160" s="1220">
        <f t="shared" si="27"/>
        <v>15903848.770000041</v>
      </c>
      <c r="F160" s="1220">
        <f t="shared" si="27"/>
        <v>161490447.44000053</v>
      </c>
      <c r="G160" s="1220">
        <f t="shared" si="27"/>
        <v>10160039.479999781</v>
      </c>
      <c r="H160" s="1220">
        <f t="shared" si="27"/>
        <v>6670446.8799999356</v>
      </c>
      <c r="I160" s="1220">
        <f t="shared" si="27"/>
        <v>2503032.8299996853</v>
      </c>
      <c r="J160" s="1220">
        <f t="shared" si="27"/>
        <v>12242.359999984503</v>
      </c>
      <c r="K160" s="1220">
        <f t="shared" si="27"/>
        <v>2564419.530000031</v>
      </c>
      <c r="L160" s="1220">
        <f t="shared" si="27"/>
        <v>1093225.069999963</v>
      </c>
      <c r="M160" s="1220">
        <f t="shared" si="30"/>
        <v>200412926.67999995</v>
      </c>
    </row>
    <row r="161" spans="1:13">
      <c r="A161" s="580">
        <f t="shared" si="28"/>
        <v>92</v>
      </c>
      <c r="B161" s="1201" t="s">
        <v>4</v>
      </c>
      <c r="C161" s="1178">
        <f>SUM(C149:C160)</f>
        <v>445257.56249997765</v>
      </c>
      <c r="D161" s="1178">
        <f t="shared" ref="D161:M161" si="31">SUM(D149:D160)</f>
        <v>1419817.1799999923</v>
      </c>
      <c r="E161" s="1178">
        <f t="shared" si="31"/>
        <v>45305962.51000005</v>
      </c>
      <c r="F161" s="1178">
        <f t="shared" si="31"/>
        <v>274323017.57000041</v>
      </c>
      <c r="G161" s="1178">
        <f t="shared" si="31"/>
        <v>32428813.029999256</v>
      </c>
      <c r="H161" s="1178">
        <f t="shared" si="31"/>
        <v>131990619.00999972</v>
      </c>
      <c r="I161" s="1178">
        <f t="shared" si="31"/>
        <v>21999735.899999619</v>
      </c>
      <c r="J161" s="1178">
        <f t="shared" si="31"/>
        <v>-1523258.2000000477</v>
      </c>
      <c r="K161" s="1178">
        <f t="shared" si="31"/>
        <v>5031584.7600000203</v>
      </c>
      <c r="L161" s="1178">
        <f t="shared" si="31"/>
        <v>-15057151.970000058</v>
      </c>
      <c r="M161" s="1178">
        <f t="shared" si="31"/>
        <v>496364397.35249889</v>
      </c>
    </row>
    <row r="162" spans="1:13">
      <c r="A162" s="580"/>
      <c r="B162" s="1201"/>
      <c r="C162" s="1216"/>
      <c r="D162" s="1216"/>
      <c r="E162" s="1216"/>
      <c r="F162" s="1216"/>
      <c r="G162" s="1216"/>
      <c r="H162" s="1216"/>
      <c r="I162" s="1216"/>
      <c r="J162" s="1216"/>
      <c r="K162" s="1216"/>
      <c r="L162" s="1216"/>
      <c r="M162" s="1216"/>
    </row>
    <row r="163" spans="1:13" s="483" customFormat="1">
      <c r="B163" s="44" t="s">
        <v>2434</v>
      </c>
      <c r="M163" s="1216"/>
    </row>
    <row r="164" spans="1:13" s="483" customFormat="1">
      <c r="M164" s="1216"/>
    </row>
    <row r="165" spans="1:13" s="483" customFormat="1">
      <c r="B165" s="111" t="s">
        <v>1780</v>
      </c>
      <c r="C165" s="953">
        <v>350.1</v>
      </c>
      <c r="D165" s="953">
        <v>350.2</v>
      </c>
      <c r="E165" s="953">
        <v>352</v>
      </c>
      <c r="F165" s="953">
        <v>353</v>
      </c>
      <c r="G165" s="953">
        <v>354</v>
      </c>
      <c r="H165" s="4">
        <v>355</v>
      </c>
      <c r="I165" s="4">
        <v>356</v>
      </c>
      <c r="J165" s="4">
        <v>357</v>
      </c>
      <c r="K165" s="4">
        <v>358</v>
      </c>
      <c r="L165" s="4">
        <v>359</v>
      </c>
      <c r="M165" s="1216"/>
    </row>
    <row r="166" spans="1:13" s="483" customFormat="1">
      <c r="A166" s="580">
        <f>A161+1</f>
        <v>93</v>
      </c>
      <c r="B166" s="741" t="s">
        <v>2682</v>
      </c>
      <c r="C166" s="1223">
        <f>C149/C$161</f>
        <v>4.1821922564202607</v>
      </c>
      <c r="D166" s="1223">
        <f t="shared" ref="D166:L166" si="32">D149/D$161</f>
        <v>-1.0495126699233022E-14</v>
      </c>
      <c r="E166" s="1223">
        <f t="shared" si="32"/>
        <v>-9.3347164163357296E-2</v>
      </c>
      <c r="F166" s="1223">
        <f t="shared" si="32"/>
        <v>4.6971664697088612E-3</v>
      </c>
      <c r="G166" s="1223">
        <f t="shared" si="32"/>
        <v>-6.6483432125814271E-2</v>
      </c>
      <c r="H166" s="1223">
        <f t="shared" si="32"/>
        <v>0.30441532634191137</v>
      </c>
      <c r="I166" s="1223">
        <f t="shared" si="32"/>
        <v>-0.49114990057677604</v>
      </c>
      <c r="J166" s="1223">
        <f t="shared" si="32"/>
        <v>-3.0257824970177628E-2</v>
      </c>
      <c r="K166" s="1223">
        <f t="shared" si="32"/>
        <v>-0.2284420644441186</v>
      </c>
      <c r="L166" s="1223">
        <f t="shared" si="32"/>
        <v>1.2331958823950111</v>
      </c>
      <c r="M166" s="1216"/>
    </row>
    <row r="167" spans="1:13" s="483" customFormat="1">
      <c r="A167" s="580">
        <f t="shared" ref="A167:A177" si="33">A166+1</f>
        <v>94</v>
      </c>
      <c r="B167" s="740" t="s">
        <v>2683</v>
      </c>
      <c r="C167" s="1223">
        <f t="shared" ref="C167:L177" si="34">C150/C$161</f>
        <v>-1.212332018800845E-4</v>
      </c>
      <c r="D167" s="1223">
        <f t="shared" si="34"/>
        <v>2.0990253398466043E-14</v>
      </c>
      <c r="E167" s="1223">
        <f t="shared" si="34"/>
        <v>0.19263407146628064</v>
      </c>
      <c r="F167" s="1223">
        <f t="shared" si="34"/>
        <v>4.7582260707201798E-2</v>
      </c>
      <c r="G167" s="1223">
        <f t="shared" si="34"/>
        <v>-0.44527516676734946</v>
      </c>
      <c r="H167" s="1223">
        <f t="shared" si="34"/>
        <v>0.11045672896567964</v>
      </c>
      <c r="I167" s="1223">
        <f t="shared" si="34"/>
        <v>0.31519545832367346</v>
      </c>
      <c r="J167" s="1223">
        <f t="shared" si="34"/>
        <v>1.3800746321269356E-2</v>
      </c>
      <c r="K167" s="1223">
        <f t="shared" si="34"/>
        <v>0.49114413407992535</v>
      </c>
      <c r="L167" s="1223">
        <f t="shared" si="34"/>
        <v>-3.7028649316199475E-4</v>
      </c>
      <c r="M167" s="1216"/>
    </row>
    <row r="168" spans="1:13" s="483" customFormat="1">
      <c r="A168" s="580">
        <f t="shared" si="33"/>
        <v>95</v>
      </c>
      <c r="B168" s="740" t="s">
        <v>2684</v>
      </c>
      <c r="C168" s="1223">
        <f t="shared" si="34"/>
        <v>-0.34718756742065049</v>
      </c>
      <c r="D168" s="1223">
        <f t="shared" si="34"/>
        <v>5.7098618851745109E-2</v>
      </c>
      <c r="E168" s="1223">
        <f t="shared" si="34"/>
        <v>-8.4236662650256505E-2</v>
      </c>
      <c r="F168" s="1223">
        <f t="shared" si="34"/>
        <v>3.3941677488378084E-2</v>
      </c>
      <c r="G168" s="1223">
        <f t="shared" si="34"/>
        <v>0.28413739785901254</v>
      </c>
      <c r="H168" s="1223">
        <f t="shared" si="34"/>
        <v>5.8469870949049624E-2</v>
      </c>
      <c r="I168" s="1223">
        <f t="shared" si="34"/>
        <v>0.28803530636929453</v>
      </c>
      <c r="J168" s="1223">
        <f t="shared" si="34"/>
        <v>0.15363326453780973</v>
      </c>
      <c r="K168" s="1223">
        <f t="shared" si="34"/>
        <v>-0.19015998649300003</v>
      </c>
      <c r="L168" s="1223">
        <f t="shared" si="34"/>
        <v>-1.1237099840470558E-2</v>
      </c>
      <c r="M168" s="1216"/>
    </row>
    <row r="169" spans="1:13" s="483" customFormat="1">
      <c r="A169" s="580">
        <f t="shared" si="33"/>
        <v>96</v>
      </c>
      <c r="B169" s="741" t="s">
        <v>2685</v>
      </c>
      <c r="C169" s="1223">
        <f t="shared" si="34"/>
        <v>0</v>
      </c>
      <c r="D169" s="1223">
        <f t="shared" si="34"/>
        <v>-9.2194968394285458E-6</v>
      </c>
      <c r="E169" s="1223">
        <f t="shared" si="34"/>
        <v>0.24702696355981207</v>
      </c>
      <c r="F169" s="1223">
        <f t="shared" si="34"/>
        <v>-1.7004469480250015E-2</v>
      </c>
      <c r="G169" s="1223">
        <f t="shared" si="34"/>
        <v>0.57986457051648799</v>
      </c>
      <c r="H169" s="1223">
        <f t="shared" si="34"/>
        <v>5.7850020458056463E-2</v>
      </c>
      <c r="I169" s="1223">
        <f t="shared" si="34"/>
        <v>0.31264779592195818</v>
      </c>
      <c r="J169" s="1223">
        <f t="shared" si="34"/>
        <v>0.42647526860513058</v>
      </c>
      <c r="K169" s="1223">
        <f t="shared" si="34"/>
        <v>0.28807931678368648</v>
      </c>
      <c r="L169" s="1223">
        <f t="shared" si="34"/>
        <v>-9.6121232148291269E-4</v>
      </c>
      <c r="M169" s="1216"/>
    </row>
    <row r="170" spans="1:13" s="483" customFormat="1">
      <c r="A170" s="580">
        <f t="shared" si="33"/>
        <v>97</v>
      </c>
      <c r="B170" s="740" t="s">
        <v>2686</v>
      </c>
      <c r="C170" s="1223">
        <f t="shared" si="34"/>
        <v>-2.2097322601488751E-4</v>
      </c>
      <c r="D170" s="1223">
        <f t="shared" si="34"/>
        <v>4.843109448782152E-2</v>
      </c>
      <c r="E170" s="1223">
        <f t="shared" si="34"/>
        <v>3.078236644221418E-2</v>
      </c>
      <c r="F170" s="1223">
        <f t="shared" si="34"/>
        <v>3.8537743072545719E-2</v>
      </c>
      <c r="G170" s="1223">
        <f t="shared" si="34"/>
        <v>9.7421470439792129E-2</v>
      </c>
      <c r="H170" s="1223">
        <f t="shared" si="34"/>
        <v>2.5595074069197237E-2</v>
      </c>
      <c r="I170" s="1223">
        <f t="shared" si="34"/>
        <v>5.9932639918641187E-2</v>
      </c>
      <c r="J170" s="1223">
        <f t="shared" si="34"/>
        <v>2.0232945407277095E-4</v>
      </c>
      <c r="K170" s="1223">
        <f t="shared" si="34"/>
        <v>-5.9692863049401537E-3</v>
      </c>
      <c r="L170" s="1223">
        <f t="shared" si="34"/>
        <v>-1.7738670668406852E-2</v>
      </c>
      <c r="M170" s="1216"/>
    </row>
    <row r="171" spans="1:13" s="483" customFormat="1">
      <c r="A171" s="580">
        <f t="shared" si="33"/>
        <v>98</v>
      </c>
      <c r="B171" s="740" t="s">
        <v>2687</v>
      </c>
      <c r="C171" s="1223">
        <f t="shared" si="34"/>
        <v>0.88737664057081878</v>
      </c>
      <c r="D171" s="1223">
        <f t="shared" si="34"/>
        <v>0.2751302600803886</v>
      </c>
      <c r="E171" s="1223">
        <f t="shared" si="34"/>
        <v>0.10490890815863162</v>
      </c>
      <c r="F171" s="1223">
        <f t="shared" si="34"/>
        <v>9.2562263877555354E-2</v>
      </c>
      <c r="G171" s="1223">
        <f t="shared" si="34"/>
        <v>7.5771659225614379E-2</v>
      </c>
      <c r="H171" s="1223">
        <f t="shared" si="34"/>
        <v>5.1924213791897107E-2</v>
      </c>
      <c r="I171" s="1223">
        <f t="shared" si="34"/>
        <v>0.13836201688222152</v>
      </c>
      <c r="J171" s="1223">
        <f t="shared" si="34"/>
        <v>0.12292652683569845</v>
      </c>
      <c r="K171" s="1223">
        <f t="shared" si="34"/>
        <v>-0.19139630473003708</v>
      </c>
      <c r="L171" s="1223">
        <f t="shared" si="34"/>
        <v>1.2805413692055711E-2</v>
      </c>
      <c r="M171" s="1216"/>
    </row>
    <row r="172" spans="1:13" s="483" customFormat="1">
      <c r="A172" s="580">
        <f t="shared" si="33"/>
        <v>99</v>
      </c>
      <c r="B172" s="741" t="s">
        <v>2688</v>
      </c>
      <c r="C172" s="1223">
        <f t="shared" si="34"/>
        <v>4.0875218491078987E-6</v>
      </c>
      <c r="D172" s="1223">
        <f t="shared" si="34"/>
        <v>0.54111434966577332</v>
      </c>
      <c r="E172" s="1223">
        <f t="shared" si="34"/>
        <v>7.1137762260067225E-2</v>
      </c>
      <c r="F172" s="1223">
        <f t="shared" si="34"/>
        <v>6.3840934403289348E-2</v>
      </c>
      <c r="G172" s="1223">
        <f t="shared" si="34"/>
        <v>4.372044572487143E-2</v>
      </c>
      <c r="H172" s="1223">
        <f t="shared" si="34"/>
        <v>7.1021779656096837E-2</v>
      </c>
      <c r="I172" s="1223">
        <f t="shared" si="34"/>
        <v>-0.13628406057366915</v>
      </c>
      <c r="J172" s="1223">
        <f t="shared" si="34"/>
        <v>-1.4905375332953663</v>
      </c>
      <c r="K172" s="1223">
        <f t="shared" si="34"/>
        <v>-0.37252687958296171</v>
      </c>
      <c r="L172" s="1223">
        <f t="shared" si="34"/>
        <v>8.8203466541761557E-3</v>
      </c>
      <c r="M172" s="1216"/>
    </row>
    <row r="173" spans="1:13" s="483" customFormat="1">
      <c r="A173" s="580">
        <f t="shared" si="33"/>
        <v>100</v>
      </c>
      <c r="B173" s="740" t="s">
        <v>2689</v>
      </c>
      <c r="C173" s="1223">
        <f t="shared" si="34"/>
        <v>-2.5099789058352721E-14</v>
      </c>
      <c r="D173" s="1223">
        <f t="shared" si="34"/>
        <v>3.0508512370589571E-2</v>
      </c>
      <c r="E173" s="1223">
        <f t="shared" si="34"/>
        <v>0.15246590619226616</v>
      </c>
      <c r="F173" s="1223">
        <f t="shared" si="34"/>
        <v>0.24475644451843159</v>
      </c>
      <c r="G173" s="1223">
        <f t="shared" si="34"/>
        <v>2.1081528311478751E-2</v>
      </c>
      <c r="H173" s="1223">
        <f t="shared" si="34"/>
        <v>1.564963650820796E-2</v>
      </c>
      <c r="I173" s="1223">
        <f t="shared" si="34"/>
        <v>0.23793280263879268</v>
      </c>
      <c r="J173" s="1223">
        <f t="shared" si="34"/>
        <v>0.14513353021831535</v>
      </c>
      <c r="K173" s="1223">
        <f t="shared" si="34"/>
        <v>0.66787987687599548</v>
      </c>
      <c r="L173" s="1223">
        <f t="shared" si="34"/>
        <v>-1.3275091491290957E-2</v>
      </c>
      <c r="M173" s="1216"/>
    </row>
    <row r="174" spans="1:13" s="483" customFormat="1">
      <c r="A174" s="580">
        <f t="shared" si="33"/>
        <v>101</v>
      </c>
      <c r="B174" s="740" t="s">
        <v>2690</v>
      </c>
      <c r="C174" s="1223">
        <f t="shared" si="34"/>
        <v>-1.6733192705568482E-14</v>
      </c>
      <c r="D174" s="1223">
        <f t="shared" si="34"/>
        <v>2.811976116531912E-2</v>
      </c>
      <c r="E174" s="1223">
        <f t="shared" si="34"/>
        <v>6.0233599261854308E-2</v>
      </c>
      <c r="F174" s="1223">
        <f t="shared" si="34"/>
        <v>2.8010058682149112E-2</v>
      </c>
      <c r="G174" s="1223">
        <f t="shared" si="34"/>
        <v>-1.0303995699458812E-2</v>
      </c>
      <c r="H174" s="1223">
        <f t="shared" si="34"/>
        <v>4.3107931099019871E-2</v>
      </c>
      <c r="I174" s="1223">
        <f t="shared" si="34"/>
        <v>0.15441209864705896</v>
      </c>
      <c r="J174" s="1223">
        <f t="shared" si="34"/>
        <v>-4.6868941851052016E-3</v>
      </c>
      <c r="K174" s="1223">
        <f t="shared" si="34"/>
        <v>-0.27591794359436478</v>
      </c>
      <c r="L174" s="1223">
        <f t="shared" si="34"/>
        <v>-2.571507020526987E-2</v>
      </c>
      <c r="M174" s="1216"/>
    </row>
    <row r="175" spans="1:13" s="483" customFormat="1">
      <c r="A175" s="580">
        <f t="shared" si="33"/>
        <v>102</v>
      </c>
      <c r="B175" s="741" t="s">
        <v>2691</v>
      </c>
      <c r="C175" s="1223">
        <f t="shared" si="34"/>
        <v>5.0199578116705443E-14</v>
      </c>
      <c r="D175" s="1223">
        <f t="shared" si="34"/>
        <v>2.0508274169309026E-4</v>
      </c>
      <c r="E175" s="1223">
        <f t="shared" si="34"/>
        <v>-8.5524143078179612E-2</v>
      </c>
      <c r="F175" s="1223">
        <f t="shared" si="34"/>
        <v>-0.14416718797542463</v>
      </c>
      <c r="G175" s="1223">
        <f t="shared" si="34"/>
        <v>7.5314743951338955E-2</v>
      </c>
      <c r="H175" s="1223">
        <f t="shared" si="34"/>
        <v>7.6770674203993056E-2</v>
      </c>
      <c r="I175" s="1223">
        <f t="shared" si="34"/>
        <v>-6.6706712147393446E-2</v>
      </c>
      <c r="J175" s="1223">
        <f t="shared" si="34"/>
        <v>0.30466364796197482</v>
      </c>
      <c r="K175" s="1223">
        <f t="shared" si="34"/>
        <v>0.31469529492730752</v>
      </c>
      <c r="L175" s="1223">
        <f t="shared" si="34"/>
        <v>-3.3265587077647193E-4</v>
      </c>
      <c r="M175" s="1216"/>
    </row>
    <row r="176" spans="1:13" s="483" customFormat="1">
      <c r="A176" s="580">
        <f t="shared" si="33"/>
        <v>103</v>
      </c>
      <c r="B176" s="741" t="s">
        <v>2692</v>
      </c>
      <c r="C176" s="1223">
        <f t="shared" si="34"/>
        <v>-3.7220432106643919</v>
      </c>
      <c r="D176" s="1223">
        <f t="shared" si="34"/>
        <v>8.6788075067683827E-3</v>
      </c>
      <c r="E176" s="1223">
        <f t="shared" si="34"/>
        <v>5.2886257067623413E-2</v>
      </c>
      <c r="F176" s="1223">
        <f t="shared" si="34"/>
        <v>1.8555914319877333E-2</v>
      </c>
      <c r="G176" s="1223">
        <f t="shared" si="34"/>
        <v>3.1447930550411757E-2</v>
      </c>
      <c r="H176" s="1223">
        <f t="shared" si="34"/>
        <v>0.13420146388326246</v>
      </c>
      <c r="I176" s="1223">
        <f t="shared" si="34"/>
        <v>7.3846969226569734E-2</v>
      </c>
      <c r="J176" s="1223">
        <f t="shared" si="34"/>
        <v>1.366683895087486</v>
      </c>
      <c r="K176" s="1223">
        <f t="shared" si="34"/>
        <v>-7.0505380893146454E-3</v>
      </c>
      <c r="L176" s="1223">
        <f t="shared" si="34"/>
        <v>-0.11258651924199226</v>
      </c>
      <c r="M176" s="1216"/>
    </row>
    <row r="177" spans="1:13" s="483" customFormat="1">
      <c r="A177" s="580">
        <f t="shared" si="33"/>
        <v>104</v>
      </c>
      <c r="B177" s="740" t="s">
        <v>2693</v>
      </c>
      <c r="C177" s="1223">
        <f t="shared" si="34"/>
        <v>0</v>
      </c>
      <c r="D177" s="1223">
        <f t="shared" si="34"/>
        <v>1.0722732626730175E-2</v>
      </c>
      <c r="E177" s="1223">
        <f t="shared" si="34"/>
        <v>0.35103213548304379</v>
      </c>
      <c r="F177" s="1223">
        <f t="shared" si="34"/>
        <v>0.58868719391653745</v>
      </c>
      <c r="G177" s="1223">
        <f t="shared" si="34"/>
        <v>0.31330284801361458</v>
      </c>
      <c r="H177" s="1223">
        <f t="shared" si="34"/>
        <v>5.0537280073628392E-2</v>
      </c>
      <c r="I177" s="1223">
        <f t="shared" si="34"/>
        <v>0.1137755853696284</v>
      </c>
      <c r="J177" s="1223">
        <f t="shared" si="34"/>
        <v>-8.0369565711079834E-3</v>
      </c>
      <c r="K177" s="1223">
        <f t="shared" si="34"/>
        <v>0.50966438057182217</v>
      </c>
      <c r="L177" s="1223">
        <f t="shared" si="34"/>
        <v>-7.2605036608391141E-2</v>
      </c>
      <c r="M177" s="1216"/>
    </row>
    <row r="179" spans="1:13">
      <c r="B179" s="1" t="s">
        <v>1550</v>
      </c>
    </row>
    <row r="180" spans="1:13">
      <c r="B180" s="487" t="s">
        <v>2435</v>
      </c>
    </row>
    <row r="181" spans="1:13">
      <c r="B181" s="16"/>
      <c r="C181" s="84">
        <v>350.1</v>
      </c>
      <c r="D181" s="84">
        <v>350.2</v>
      </c>
      <c r="E181" s="84">
        <v>352</v>
      </c>
      <c r="F181" s="84">
        <v>353</v>
      </c>
      <c r="G181" s="84">
        <v>354</v>
      </c>
      <c r="H181" s="84">
        <v>355</v>
      </c>
      <c r="I181" s="84">
        <v>356</v>
      </c>
      <c r="J181" s="84">
        <v>357</v>
      </c>
      <c r="K181" s="84">
        <v>358</v>
      </c>
      <c r="L181" s="84">
        <v>359</v>
      </c>
      <c r="M181" s="3" t="s">
        <v>196</v>
      </c>
    </row>
    <row r="182" spans="1:13">
      <c r="A182" s="580">
        <f>A177+1</f>
        <v>105</v>
      </c>
      <c r="B182" s="16"/>
      <c r="C182" s="7">
        <f t="shared" ref="C182:M182" si="35">C23-C11</f>
        <v>1030499.904085815</v>
      </c>
      <c r="D182" s="7">
        <f t="shared" si="35"/>
        <v>-425809.22028771043</v>
      </c>
      <c r="E182" s="7">
        <f t="shared" si="35"/>
        <v>38115411.993642509</v>
      </c>
      <c r="F182" s="7">
        <f t="shared" si="35"/>
        <v>160272324.82972956</v>
      </c>
      <c r="G182" s="7">
        <f t="shared" si="35"/>
        <v>49389689.465382099</v>
      </c>
      <c r="H182" s="7">
        <f t="shared" si="35"/>
        <v>40165852.563785493</v>
      </c>
      <c r="I182" s="7">
        <f t="shared" si="35"/>
        <v>10029895.512284994</v>
      </c>
      <c r="J182" s="7">
        <f t="shared" si="35"/>
        <v>4714292.2083087862</v>
      </c>
      <c r="K182" s="7">
        <f t="shared" si="35"/>
        <v>2969302.0129371285</v>
      </c>
      <c r="L182" s="7">
        <f t="shared" si="35"/>
        <v>-9386200.633643508</v>
      </c>
      <c r="M182" s="7">
        <f t="shared" si="35"/>
        <v>296875258.63622475</v>
      </c>
    </row>
    <row r="183" spans="1:13">
      <c r="B183" s="16"/>
      <c r="C183" s="7"/>
      <c r="D183" s="7"/>
      <c r="E183" s="7"/>
      <c r="F183" s="7"/>
      <c r="G183" s="7"/>
      <c r="H183" s="7"/>
      <c r="I183" s="7"/>
      <c r="J183" s="7"/>
      <c r="K183" s="7"/>
      <c r="L183" s="7"/>
      <c r="M183" s="7"/>
    </row>
    <row r="184" spans="1:13">
      <c r="B184" s="487" t="s">
        <v>2436</v>
      </c>
      <c r="C184" s="7"/>
      <c r="D184" s="7"/>
      <c r="E184" s="7"/>
      <c r="F184" s="7"/>
      <c r="G184" s="7"/>
      <c r="H184" s="7"/>
      <c r="I184" s="7"/>
      <c r="J184" s="7"/>
      <c r="K184" s="7"/>
      <c r="L184" s="7"/>
      <c r="M184" s="7"/>
    </row>
    <row r="185" spans="1:13">
      <c r="B185" s="16"/>
      <c r="C185" s="84">
        <v>350.1</v>
      </c>
      <c r="D185" s="84">
        <v>350.2</v>
      </c>
      <c r="E185" s="84">
        <v>352</v>
      </c>
      <c r="F185" s="84">
        <v>353</v>
      </c>
      <c r="G185" s="84">
        <v>354</v>
      </c>
      <c r="H185" s="84">
        <v>355</v>
      </c>
      <c r="I185" s="84">
        <v>356</v>
      </c>
      <c r="J185" s="84">
        <v>357</v>
      </c>
      <c r="K185" s="84">
        <v>358</v>
      </c>
      <c r="L185" s="84">
        <v>359</v>
      </c>
      <c r="M185" s="3" t="s">
        <v>196</v>
      </c>
    </row>
    <row r="186" spans="1:13">
      <c r="A186" s="580">
        <f>A182+1</f>
        <v>106</v>
      </c>
      <c r="B186" s="16"/>
      <c r="C186" s="7">
        <f>C142</f>
        <v>2189633.4774999991</v>
      </c>
      <c r="D186" s="7">
        <f t="shared" ref="D186:M186" si="36">D142</f>
        <v>194345.54999999702</v>
      </c>
      <c r="E186" s="7">
        <f t="shared" si="36"/>
        <v>8537439.2499999404</v>
      </c>
      <c r="F186" s="7">
        <f t="shared" si="36"/>
        <v>42379330.859999895</v>
      </c>
      <c r="G186" s="7">
        <f t="shared" si="36"/>
        <v>5218312.5300002098</v>
      </c>
      <c r="H186" s="7">
        <f t="shared" si="36"/>
        <v>2546879.5599999726</v>
      </c>
      <c r="I186" s="7">
        <f t="shared" si="36"/>
        <v>2720171.5500004292</v>
      </c>
      <c r="J186" s="7">
        <f t="shared" si="36"/>
        <v>4650988.7900000513</v>
      </c>
      <c r="K186" s="7">
        <f t="shared" si="36"/>
        <v>2944090.6099999845</v>
      </c>
      <c r="L186" s="7">
        <f t="shared" si="36"/>
        <v>8295328.5200000703</v>
      </c>
      <c r="M186" s="7">
        <f t="shared" si="36"/>
        <v>79676520.697500557</v>
      </c>
    </row>
    <row r="187" spans="1:13">
      <c r="B187" s="16"/>
      <c r="C187" s="7"/>
      <c r="D187" s="7"/>
      <c r="E187" s="7"/>
      <c r="F187" s="7"/>
      <c r="G187" s="7"/>
      <c r="H187" s="7"/>
      <c r="I187" s="7"/>
      <c r="J187" s="7"/>
      <c r="K187" s="7"/>
      <c r="L187" s="7"/>
      <c r="M187" s="7"/>
    </row>
    <row r="188" spans="1:13">
      <c r="B188" s="487" t="s">
        <v>2437</v>
      </c>
      <c r="C188" s="7"/>
      <c r="D188" s="7"/>
      <c r="E188" s="7"/>
      <c r="F188" s="7"/>
      <c r="G188" s="7"/>
      <c r="H188" s="7"/>
      <c r="I188" s="7"/>
      <c r="J188" s="7"/>
      <c r="K188" s="7"/>
      <c r="L188" s="7"/>
      <c r="M188" s="7"/>
    </row>
    <row r="189" spans="1:13">
      <c r="C189" s="84">
        <v>350.1</v>
      </c>
      <c r="D189" s="84">
        <v>350.2</v>
      </c>
      <c r="E189" s="84">
        <v>352</v>
      </c>
      <c r="F189" s="84">
        <v>353</v>
      </c>
      <c r="G189" s="84">
        <v>354</v>
      </c>
      <c r="H189" s="84">
        <v>355</v>
      </c>
      <c r="I189" s="84">
        <v>356</v>
      </c>
      <c r="J189" s="84">
        <v>357</v>
      </c>
      <c r="K189" s="84">
        <v>358</v>
      </c>
      <c r="L189" s="84">
        <v>359</v>
      </c>
      <c r="M189" s="3" t="s">
        <v>196</v>
      </c>
    </row>
    <row r="190" spans="1:13">
      <c r="A190" s="580">
        <f>A186+1</f>
        <v>107</v>
      </c>
      <c r="C190" s="7">
        <f>C182-C186</f>
        <v>-1159133.5734141842</v>
      </c>
      <c r="D190" s="7">
        <f t="shared" ref="D190:M190" si="37">D182-D186</f>
        <v>-620154.77028770745</v>
      </c>
      <c r="E190" s="7">
        <f t="shared" si="37"/>
        <v>29577972.743642569</v>
      </c>
      <c r="F190" s="7">
        <f t="shared" si="37"/>
        <v>117892993.96972966</v>
      </c>
      <c r="G190" s="7">
        <f t="shared" si="37"/>
        <v>44171376.935381889</v>
      </c>
      <c r="H190" s="7">
        <f t="shared" si="37"/>
        <v>37618973.003785521</v>
      </c>
      <c r="I190" s="7">
        <f t="shared" si="37"/>
        <v>7309723.962284565</v>
      </c>
      <c r="J190" s="7">
        <f t="shared" si="37"/>
        <v>63303.418308734894</v>
      </c>
      <c r="K190" s="7">
        <f t="shared" si="37"/>
        <v>25211.402937144041</v>
      </c>
      <c r="L190" s="7">
        <f t="shared" si="37"/>
        <v>-17681529.153643578</v>
      </c>
      <c r="M190" s="7">
        <f t="shared" si="37"/>
        <v>217198737.93872419</v>
      </c>
    </row>
    <row r="192" spans="1:13">
      <c r="B192" s="44" t="s">
        <v>2438</v>
      </c>
      <c r="C192" s="14"/>
      <c r="D192" s="14"/>
      <c r="E192" s="14"/>
      <c r="F192" s="14"/>
      <c r="G192" s="14"/>
    </row>
    <row r="193" spans="1:13">
      <c r="A193" s="398"/>
      <c r="B193" s="360" t="s">
        <v>363</v>
      </c>
      <c r="C193" s="360" t="s">
        <v>347</v>
      </c>
      <c r="D193" s="360" t="s">
        <v>348</v>
      </c>
      <c r="E193" s="360" t="s">
        <v>349</v>
      </c>
      <c r="F193" s="360" t="s">
        <v>350</v>
      </c>
      <c r="G193" s="360" t="s">
        <v>351</v>
      </c>
      <c r="H193" s="84" t="s">
        <v>352</v>
      </c>
      <c r="I193" s="84" t="s">
        <v>544</v>
      </c>
      <c r="J193" s="84" t="s">
        <v>961</v>
      </c>
      <c r="K193" s="84" t="s">
        <v>974</v>
      </c>
      <c r="L193" s="84" t="s">
        <v>977</v>
      </c>
      <c r="M193" s="84" t="s">
        <v>995</v>
      </c>
    </row>
    <row r="194" spans="1:13">
      <c r="A194" s="232"/>
      <c r="B194" s="456"/>
      <c r="C194" s="241"/>
      <c r="D194" s="241"/>
      <c r="E194" s="241"/>
      <c r="F194" s="524"/>
      <c r="G194" s="241"/>
      <c r="H194" s="232"/>
      <c r="I194" s="232"/>
      <c r="J194" s="232"/>
      <c r="K194" s="232"/>
      <c r="L194" s="232"/>
      <c r="M194" s="249" t="s">
        <v>1237</v>
      </c>
    </row>
    <row r="195" spans="1:13">
      <c r="A195" s="232"/>
      <c r="B195" s="111"/>
      <c r="C195" s="360"/>
      <c r="D195" s="360"/>
      <c r="E195" s="241"/>
      <c r="F195" s="241"/>
      <c r="G195" s="241"/>
      <c r="H195" s="232"/>
      <c r="I195" s="232"/>
      <c r="J195" s="232"/>
      <c r="K195" s="232"/>
      <c r="L195" s="232"/>
    </row>
    <row r="196" spans="1:13">
      <c r="A196" s="51"/>
      <c r="B196" s="125" t="s">
        <v>1780</v>
      </c>
      <c r="C196" s="360">
        <v>350.1</v>
      </c>
      <c r="D196" s="360">
        <v>350.2</v>
      </c>
      <c r="E196" s="360">
        <v>352</v>
      </c>
      <c r="F196" s="360">
        <v>353</v>
      </c>
      <c r="G196" s="360">
        <v>354</v>
      </c>
      <c r="H196" s="84">
        <v>355</v>
      </c>
      <c r="I196" s="84">
        <v>356</v>
      </c>
      <c r="J196" s="84">
        <v>357</v>
      </c>
      <c r="K196" s="84">
        <v>358</v>
      </c>
      <c r="L196" s="84">
        <v>359</v>
      </c>
      <c r="M196" s="3" t="s">
        <v>196</v>
      </c>
    </row>
    <row r="197" spans="1:13">
      <c r="A197" s="580">
        <f>A190+1</f>
        <v>108</v>
      </c>
      <c r="B197" s="741" t="s">
        <v>2682</v>
      </c>
      <c r="C197" s="497">
        <f>C$190*C166</f>
        <v>-4847719.4548895471</v>
      </c>
      <c r="D197" s="497">
        <f t="shared" ref="D197:L197" si="38">D$190*D166</f>
        <v>6.5086028873032397E-9</v>
      </c>
      <c r="E197" s="497">
        <f t="shared" si="38"/>
        <v>-2761019.8773201103</v>
      </c>
      <c r="F197" s="497">
        <f t="shared" si="38"/>
        <v>553763.01828820317</v>
      </c>
      <c r="G197" s="497">
        <f t="shared" si="38"/>
        <v>-2936664.7403872199</v>
      </c>
      <c r="H197" s="497">
        <f t="shared" si="38"/>
        <v>11451791.943594923</v>
      </c>
      <c r="I197" s="497">
        <f t="shared" si="38"/>
        <v>-3590170.1973197414</v>
      </c>
      <c r="J197" s="497">
        <f t="shared" si="38"/>
        <v>-1915.4237511996382</v>
      </c>
      <c r="K197" s="497">
        <f t="shared" si="38"/>
        <v>-5759.3449344936998</v>
      </c>
      <c r="L197" s="497">
        <f t="shared" si="38"/>
        <v>-21804788.946720608</v>
      </c>
      <c r="M197" s="497">
        <f>SUM(C197:L197)</f>
        <v>-23942483.023439787</v>
      </c>
    </row>
    <row r="198" spans="1:13">
      <c r="A198" s="580">
        <f t="shared" ref="A198:A209" si="39">A197+1</f>
        <v>109</v>
      </c>
      <c r="B198" s="740" t="s">
        <v>2683</v>
      </c>
      <c r="C198" s="497">
        <f t="shared" ref="C198:L208" si="40">C$190*C167</f>
        <v>140.52547451170554</v>
      </c>
      <c r="D198" s="497">
        <f t="shared" si="40"/>
        <v>-1.3017205774606479E-8</v>
      </c>
      <c r="E198" s="497">
        <f t="shared" si="40"/>
        <v>5697725.3153265435</v>
      </c>
      <c r="F198" s="497">
        <f t="shared" si="40"/>
        <v>5609615.1746202465</v>
      </c>
      <c r="G198" s="497">
        <f t="shared" si="40"/>
        <v>-19668417.231245626</v>
      </c>
      <c r="H198" s="497">
        <f t="shared" si="40"/>
        <v>4155268.7050463567</v>
      </c>
      <c r="I198" s="497">
        <f t="shared" si="40"/>
        <v>2303991.7945118221</v>
      </c>
      <c r="J198" s="497">
        <f t="shared" si="40"/>
        <v>873.63441734804826</v>
      </c>
      <c r="K198" s="497">
        <f t="shared" si="40"/>
        <v>12382.432664503696</v>
      </c>
      <c r="L198" s="497">
        <f t="shared" si="40"/>
        <v>6547.2314240442538</v>
      </c>
      <c r="M198" s="497">
        <f t="shared" ref="M198:M209" si="41">SUM(C198:L198)</f>
        <v>-1881872.4177602609</v>
      </c>
    </row>
    <row r="199" spans="1:13">
      <c r="A199" s="580">
        <f t="shared" si="39"/>
        <v>110</v>
      </c>
      <c r="B199" s="740" t="s">
        <v>2684</v>
      </c>
      <c r="C199" s="497">
        <f t="shared" si="40"/>
        <v>402436.76566927659</v>
      </c>
      <c r="D199" s="497">
        <f t="shared" si="40"/>
        <v>-35409.980857749353</v>
      </c>
      <c r="E199" s="497">
        <f t="shared" si="40"/>
        <v>-2491549.7118847007</v>
      </c>
      <c r="F199" s="497">
        <f t="shared" si="40"/>
        <v>4001485.9794598664</v>
      </c>
      <c r="G199" s="497">
        <f t="shared" si="40"/>
        <v>12550740.102269014</v>
      </c>
      <c r="H199" s="497">
        <f t="shared" si="40"/>
        <v>2199576.4967671209</v>
      </c>
      <c r="I199" s="497">
        <f t="shared" si="40"/>
        <v>2105458.5809516083</v>
      </c>
      <c r="J199" s="497">
        <f t="shared" si="40"/>
        <v>9725.5108111734953</v>
      </c>
      <c r="K199" s="497">
        <f t="shared" si="40"/>
        <v>-4794.2000419968927</v>
      </c>
      <c r="L199" s="497">
        <f t="shared" si="40"/>
        <v>198689.10843168377</v>
      </c>
      <c r="M199" s="497">
        <f t="shared" si="41"/>
        <v>18936358.651575293</v>
      </c>
    </row>
    <row r="200" spans="1:13">
      <c r="A200" s="580">
        <f t="shared" si="39"/>
        <v>111</v>
      </c>
      <c r="B200" s="741" t="s">
        <v>2685</v>
      </c>
      <c r="C200" s="497">
        <f t="shared" si="40"/>
        <v>0</v>
      </c>
      <c r="D200" s="497">
        <f t="shared" si="40"/>
        <v>5.717514944624055</v>
      </c>
      <c r="E200" s="497">
        <f t="shared" si="40"/>
        <v>7306556.7951169079</v>
      </c>
      <c r="F200" s="497">
        <f t="shared" si="40"/>
        <v>-2004707.817893567</v>
      </c>
      <c r="G200" s="497">
        <f t="shared" si="40"/>
        <v>25613416.515757121</v>
      </c>
      <c r="H200" s="497">
        <f t="shared" si="40"/>
        <v>2176258.3578800661</v>
      </c>
      <c r="I200" s="497">
        <f t="shared" si="40"/>
        <v>2285369.0856061922</v>
      </c>
      <c r="J200" s="497">
        <f t="shared" si="40"/>
        <v>26997.342326840655</v>
      </c>
      <c r="K200" s="497">
        <f t="shared" si="40"/>
        <v>7262.8837332906824</v>
      </c>
      <c r="L200" s="497">
        <f t="shared" si="40"/>
        <v>16995.703685141543</v>
      </c>
      <c r="M200" s="497">
        <f t="shared" si="41"/>
        <v>35428154.583726935</v>
      </c>
    </row>
    <row r="201" spans="1:13">
      <c r="A201" s="580">
        <f t="shared" si="39"/>
        <v>112</v>
      </c>
      <c r="B201" s="740" t="s">
        <v>2686</v>
      </c>
      <c r="C201" s="497">
        <f t="shared" si="40"/>
        <v>256.1374850994967</v>
      </c>
      <c r="D201" s="497">
        <f t="shared" si="40"/>
        <v>-30034.774276877208</v>
      </c>
      <c r="E201" s="497">
        <f t="shared" si="40"/>
        <v>910479.99561262864</v>
      </c>
      <c r="F201" s="497">
        <f t="shared" si="40"/>
        <v>4543329.9116586233</v>
      </c>
      <c r="G201" s="497">
        <f t="shared" si="40"/>
        <v>4303240.4923952222</v>
      </c>
      <c r="H201" s="497">
        <f t="shared" si="40"/>
        <v>962860.40043902164</v>
      </c>
      <c r="I201" s="497">
        <f t="shared" si="40"/>
        <v>438091.05413626396</v>
      </c>
      <c r="J201" s="497">
        <f t="shared" si="40"/>
        <v>12.808146067346584</v>
      </c>
      <c r="K201" s="497">
        <f t="shared" si="40"/>
        <v>-150.49408228102189</v>
      </c>
      <c r="L201" s="497">
        <f t="shared" si="40"/>
        <v>313646.82257031795</v>
      </c>
      <c r="M201" s="497">
        <f t="shared" si="41"/>
        <v>11441732.354084086</v>
      </c>
    </row>
    <row r="202" spans="1:13">
      <c r="A202" s="580">
        <f t="shared" si="39"/>
        <v>113</v>
      </c>
      <c r="B202" s="740" t="s">
        <v>2687</v>
      </c>
      <c r="C202" s="497">
        <f t="shared" si="40"/>
        <v>-1028588.0563491273</v>
      </c>
      <c r="D202" s="497">
        <f t="shared" si="40"/>
        <v>-170623.34323935059</v>
      </c>
      <c r="E202" s="497">
        <f t="shared" si="40"/>
        <v>3102992.8260813076</v>
      </c>
      <c r="F202" s="497">
        <f t="shared" si="40"/>
        <v>10912442.417141158</v>
      </c>
      <c r="G202" s="497">
        <f t="shared" si="40"/>
        <v>3346938.5206739195</v>
      </c>
      <c r="H202" s="497">
        <f t="shared" si="40"/>
        <v>1953335.5968801652</v>
      </c>
      <c r="I202" s="497">
        <f t="shared" si="40"/>
        <v>1011388.1502739962</v>
      </c>
      <c r="J202" s="497">
        <f t="shared" si="40"/>
        <v>7781.6693495201444</v>
      </c>
      <c r="K202" s="497">
        <f t="shared" si="40"/>
        <v>-4825.369359229373</v>
      </c>
      <c r="L202" s="497">
        <f t="shared" si="40"/>
        <v>-226419.2955205497</v>
      </c>
      <c r="M202" s="497">
        <f t="shared" si="41"/>
        <v>18904423.115931809</v>
      </c>
    </row>
    <row r="203" spans="1:13">
      <c r="A203" s="580">
        <f t="shared" si="39"/>
        <v>114</v>
      </c>
      <c r="B203" s="741" t="s">
        <v>2688</v>
      </c>
      <c r="C203" s="497">
        <f t="shared" si="40"/>
        <v>-4.7379838073649925</v>
      </c>
      <c r="D203" s="497">
        <f t="shared" si="40"/>
        <v>-335574.64521635987</v>
      </c>
      <c r="E203" s="497">
        <f t="shared" si="40"/>
        <v>2104110.7931719935</v>
      </c>
      <c r="F203" s="497">
        <f t="shared" si="40"/>
        <v>7526398.8946288982</v>
      </c>
      <c r="G203" s="497">
        <f t="shared" si="40"/>
        <v>1931192.2878962017</v>
      </c>
      <c r="H203" s="497">
        <f t="shared" si="40"/>
        <v>2671766.4115635105</v>
      </c>
      <c r="I203" s="497">
        <f t="shared" si="40"/>
        <v>-996198.86325279053</v>
      </c>
      <c r="J203" s="497">
        <f t="shared" si="40"/>
        <v>-94356.120975066442</v>
      </c>
      <c r="K203" s="497">
        <f t="shared" si="40"/>
        <v>-9391.9252660829861</v>
      </c>
      <c r="L203" s="497">
        <f t="shared" si="40"/>
        <v>-155957.2165110583</v>
      </c>
      <c r="M203" s="497">
        <f t="shared" si="41"/>
        <v>12641984.878055438</v>
      </c>
    </row>
    <row r="204" spans="1:13">
      <c r="A204" s="580">
        <f t="shared" si="39"/>
        <v>115</v>
      </c>
      <c r="B204" s="740" t="s">
        <v>2689</v>
      </c>
      <c r="C204" s="497">
        <f t="shared" si="40"/>
        <v>2.909400818315063E-8</v>
      </c>
      <c r="D204" s="497">
        <f t="shared" si="40"/>
        <v>-18919.999481002655</v>
      </c>
      <c r="E204" s="497">
        <f t="shared" si="40"/>
        <v>4509632.4176896131</v>
      </c>
      <c r="F204" s="497">
        <f t="shared" si="40"/>
        <v>28855070.037663929</v>
      </c>
      <c r="G204" s="497">
        <f t="shared" si="40"/>
        <v>931200.13342025282</v>
      </c>
      <c r="H204" s="497">
        <f t="shared" si="40"/>
        <v>588723.25332133158</v>
      </c>
      <c r="I204" s="497">
        <f t="shared" si="40"/>
        <v>1739223.1088623072</v>
      </c>
      <c r="J204" s="497">
        <f t="shared" si="40"/>
        <v>9187.448574033433</v>
      </c>
      <c r="K204" s="497">
        <f t="shared" si="40"/>
        <v>16838.188689530874</v>
      </c>
      <c r="L204" s="497">
        <f t="shared" si="40"/>
        <v>234723.91722054686</v>
      </c>
      <c r="M204" s="497">
        <f t="shared" si="41"/>
        <v>36865678.505960584</v>
      </c>
    </row>
    <row r="205" spans="1:13">
      <c r="A205" s="580">
        <f t="shared" si="39"/>
        <v>116</v>
      </c>
      <c r="B205" s="740" t="s">
        <v>2690</v>
      </c>
      <c r="C205" s="497">
        <f t="shared" si="40"/>
        <v>1.9396005455433756E-8</v>
      </c>
      <c r="D205" s="497">
        <f t="shared" si="40"/>
        <v>-17438.604026023677</v>
      </c>
      <c r="E205" s="497">
        <f t="shared" si="40"/>
        <v>1781587.7572186159</v>
      </c>
      <c r="F205" s="497">
        <f t="shared" si="40"/>
        <v>3302189.6793063791</v>
      </c>
      <c r="G205" s="497">
        <f t="shared" si="40"/>
        <v>-455141.67798134912</v>
      </c>
      <c r="H205" s="497">
        <f t="shared" si="40"/>
        <v>1621676.0962630748</v>
      </c>
      <c r="I205" s="497">
        <f t="shared" si="40"/>
        <v>1128709.817547055</v>
      </c>
      <c r="J205" s="497">
        <f t="shared" si="40"/>
        <v>-296.69642316849172</v>
      </c>
      <c r="K205" s="497">
        <f t="shared" si="40"/>
        <v>-6956.2784535457122</v>
      </c>
      <c r="L205" s="497">
        <f t="shared" si="40"/>
        <v>454681.76352247054</v>
      </c>
      <c r="M205" s="497">
        <f t="shared" si="41"/>
        <v>7809011.8569735279</v>
      </c>
    </row>
    <row r="206" spans="1:13">
      <c r="A206" s="580">
        <f t="shared" si="39"/>
        <v>117</v>
      </c>
      <c r="B206" s="741" t="s">
        <v>2691</v>
      </c>
      <c r="C206" s="497">
        <f t="shared" si="40"/>
        <v>-5.8188016366301261E-8</v>
      </c>
      <c r="D206" s="497">
        <f t="shared" si="40"/>
        <v>-127.18304056465163</v>
      </c>
      <c r="E206" s="497">
        <f t="shared" si="40"/>
        <v>-2529630.7728897836</v>
      </c>
      <c r="F206" s="497">
        <f t="shared" si="40"/>
        <v>-16996301.422619618</v>
      </c>
      <c r="G206" s="497">
        <f t="shared" si="40"/>
        <v>3326755.9438663661</v>
      </c>
      <c r="H206" s="497">
        <f t="shared" si="40"/>
        <v>2888033.9203624283</v>
      </c>
      <c r="I206" s="497">
        <f t="shared" si="40"/>
        <v>-487607.65222902072</v>
      </c>
      <c r="J206" s="497">
        <f t="shared" si="40"/>
        <v>19286.250350402039</v>
      </c>
      <c r="K206" s="497">
        <f t="shared" si="40"/>
        <v>7933.909882835731</v>
      </c>
      <c r="L206" s="497">
        <f t="shared" si="40"/>
        <v>5881.8644772648795</v>
      </c>
      <c r="M206" s="497">
        <f t="shared" si="41"/>
        <v>-13765775.141839745</v>
      </c>
    </row>
    <row r="207" spans="1:13">
      <c r="A207" s="580">
        <f t="shared" si="39"/>
        <v>118</v>
      </c>
      <c r="B207" s="741" t="s">
        <v>2692</v>
      </c>
      <c r="C207" s="497">
        <f t="shared" si="40"/>
        <v>4314345.2471794197</v>
      </c>
      <c r="D207" s="497">
        <f t="shared" si="40"/>
        <v>-5382.2038757311775</v>
      </c>
      <c r="E207" s="497">
        <f t="shared" si="40"/>
        <v>1564268.2700594394</v>
      </c>
      <c r="F207" s="497">
        <f t="shared" si="40"/>
        <v>2187612.2950161188</v>
      </c>
      <c r="G207" s="497">
        <f t="shared" si="40"/>
        <v>1389098.3941799493</v>
      </c>
      <c r="H207" s="497">
        <f t="shared" si="40"/>
        <v>5048521.2468929477</v>
      </c>
      <c r="I207" s="497">
        <f t="shared" si="40"/>
        <v>539800.96049754764</v>
      </c>
      <c r="J207" s="497">
        <f t="shared" si="40"/>
        <v>86515.762306534278</v>
      </c>
      <c r="K207" s="497">
        <f t="shared" si="40"/>
        <v>-177.75395669339318</v>
      </c>
      <c r="L207" s="497">
        <f t="shared" si="40"/>
        <v>1990701.8222845397</v>
      </c>
      <c r="M207" s="497">
        <f t="shared" si="41"/>
        <v>17115304.040584069</v>
      </c>
    </row>
    <row r="208" spans="1:13">
      <c r="A208" s="580">
        <f t="shared" si="39"/>
        <v>119</v>
      </c>
      <c r="B208" s="740" t="s">
        <v>2693</v>
      </c>
      <c r="C208" s="112">
        <f t="shared" si="40"/>
        <v>0</v>
      </c>
      <c r="D208" s="112">
        <f t="shared" si="40"/>
        <v>-6649.7537889863579</v>
      </c>
      <c r="E208" s="112">
        <f t="shared" si="40"/>
        <v>10382818.935460115</v>
      </c>
      <c r="F208" s="112">
        <f t="shared" si="40"/>
        <v>69402095.802459434</v>
      </c>
      <c r="G208" s="112">
        <f t="shared" si="40"/>
        <v>13839018.194538033</v>
      </c>
      <c r="H208" s="112">
        <f t="shared" si="40"/>
        <v>1901160.5747745745</v>
      </c>
      <c r="I208" s="112">
        <f t="shared" si="40"/>
        <v>831668.1226993259</v>
      </c>
      <c r="J208" s="112">
        <f t="shared" si="40"/>
        <v>-508.76682374998433</v>
      </c>
      <c r="K208" s="112">
        <f t="shared" si="40"/>
        <v>12849.354061306136</v>
      </c>
      <c r="L208" s="112">
        <f t="shared" si="40"/>
        <v>1283768.0714926273</v>
      </c>
      <c r="M208" s="112">
        <f t="shared" si="41"/>
        <v>97646220.534872666</v>
      </c>
    </row>
    <row r="209" spans="1:44">
      <c r="A209" s="580">
        <f t="shared" si="39"/>
        <v>120</v>
      </c>
      <c r="B209" s="1201" t="s">
        <v>4</v>
      </c>
      <c r="C209" s="234">
        <f>SUM(C197:C208)</f>
        <v>-1159133.5734141823</v>
      </c>
      <c r="D209" s="234">
        <f t="shared" ref="D209:L209" si="42">SUM(D197:D208)</f>
        <v>-620154.77028770745</v>
      </c>
      <c r="E209" s="234">
        <f t="shared" si="42"/>
        <v>29577972.743642569</v>
      </c>
      <c r="F209" s="234">
        <f t="shared" si="42"/>
        <v>117892993.96972966</v>
      </c>
      <c r="G209" s="234">
        <f t="shared" si="42"/>
        <v>44171376.935381882</v>
      </c>
      <c r="H209" s="234">
        <f t="shared" si="42"/>
        <v>37618973.003785521</v>
      </c>
      <c r="I209" s="234">
        <f t="shared" si="42"/>
        <v>7309723.9622845659</v>
      </c>
      <c r="J209" s="234">
        <f t="shared" si="42"/>
        <v>63303.418308734901</v>
      </c>
      <c r="K209" s="234">
        <f t="shared" si="42"/>
        <v>25211.402937144041</v>
      </c>
      <c r="L209" s="234">
        <f t="shared" si="42"/>
        <v>-17681529.153643582</v>
      </c>
      <c r="M209" s="497">
        <f t="shared" si="41"/>
        <v>217198737.93872461</v>
      </c>
    </row>
    <row r="211" spans="1:44">
      <c r="B211" s="401" t="s">
        <v>232</v>
      </c>
    </row>
    <row r="212" spans="1:44">
      <c r="B212" s="485" t="s">
        <v>1878</v>
      </c>
      <c r="C212" s="14"/>
      <c r="D212" s="14"/>
      <c r="E212" s="14"/>
      <c r="F212" s="14"/>
      <c r="G212" s="14"/>
      <c r="H212" s="14"/>
      <c r="I212" s="14"/>
      <c r="J212" s="14"/>
      <c r="K212" s="14"/>
      <c r="L212" s="14"/>
    </row>
    <row r="213" spans="1:44">
      <c r="B213" s="959" t="s">
        <v>1901</v>
      </c>
      <c r="C213" s="485"/>
      <c r="D213" s="485"/>
      <c r="E213" s="485"/>
      <c r="F213" s="485"/>
      <c r="G213" s="485"/>
      <c r="H213" s="485"/>
      <c r="I213" s="14"/>
      <c r="J213" s="485"/>
      <c r="K213" s="485"/>
      <c r="L213" s="485"/>
      <c r="M213" s="485"/>
      <c r="N213" s="483"/>
      <c r="O213" s="483"/>
      <c r="P213" s="483"/>
      <c r="Q213" s="483"/>
      <c r="R213" s="483"/>
      <c r="S213" s="483"/>
      <c r="T213" s="483"/>
      <c r="U213" s="483"/>
      <c r="V213" s="483"/>
      <c r="W213" s="483"/>
      <c r="X213" s="483"/>
      <c r="Y213" s="483"/>
      <c r="Z213" s="483"/>
      <c r="AA213" s="483"/>
      <c r="AB213" s="483"/>
      <c r="AC213" s="483"/>
      <c r="AD213" s="483"/>
      <c r="AE213" s="483"/>
      <c r="AF213" s="483"/>
      <c r="AG213" s="483"/>
      <c r="AH213" s="483"/>
      <c r="AI213" s="483"/>
      <c r="AJ213" s="483"/>
      <c r="AK213" s="483"/>
      <c r="AL213" s="483"/>
      <c r="AM213" s="483"/>
      <c r="AN213" s="483"/>
      <c r="AO213" s="483"/>
      <c r="AP213" s="483"/>
      <c r="AQ213" s="483"/>
      <c r="AR213" s="483"/>
    </row>
    <row r="214" spans="1:44">
      <c r="B214" s="1196" t="s">
        <v>1879</v>
      </c>
      <c r="C214" s="14"/>
      <c r="D214" s="14"/>
      <c r="E214" s="14"/>
      <c r="F214" s="14"/>
      <c r="G214" s="14"/>
      <c r="H214" s="14"/>
      <c r="I214" s="14"/>
      <c r="J214" s="14"/>
      <c r="K214" s="14"/>
      <c r="L214" s="14"/>
      <c r="M214" s="14"/>
    </row>
    <row r="215" spans="1:44">
      <c r="B215" s="482" t="s">
        <v>2439</v>
      </c>
      <c r="C215" s="14"/>
      <c r="D215" s="14"/>
      <c r="E215" s="14"/>
      <c r="F215" s="14"/>
      <c r="G215" s="14"/>
      <c r="H215" s="14"/>
      <c r="I215" s="14"/>
      <c r="J215" s="14"/>
      <c r="K215" s="14"/>
      <c r="L215" s="14"/>
      <c r="M215" s="14"/>
    </row>
    <row r="216" spans="1:44">
      <c r="B216" s="482" t="s">
        <v>2440</v>
      </c>
      <c r="C216" s="14"/>
      <c r="D216" s="14"/>
      <c r="E216" s="14"/>
      <c r="F216" s="14"/>
      <c r="G216" s="14"/>
      <c r="H216" s="14"/>
      <c r="I216" s="14"/>
      <c r="J216" s="14"/>
      <c r="K216" s="14"/>
      <c r="L216" s="14"/>
      <c r="M216" s="14"/>
    </row>
    <row r="217" spans="1:44">
      <c r="B217" s="114" t="s">
        <v>1880</v>
      </c>
      <c r="C217" s="14"/>
      <c r="D217" s="14"/>
      <c r="E217" s="14"/>
      <c r="F217" s="14"/>
      <c r="G217" s="14"/>
      <c r="H217" s="14"/>
      <c r="I217" s="14"/>
      <c r="J217" s="14"/>
      <c r="K217" s="14"/>
      <c r="L217" s="14"/>
      <c r="M217" s="14"/>
    </row>
    <row r="218" spans="1:44">
      <c r="B218" s="485" t="s">
        <v>1881</v>
      </c>
      <c r="C218" s="14"/>
      <c r="D218" s="14"/>
      <c r="E218" s="14"/>
      <c r="F218" s="14"/>
      <c r="G218" s="14"/>
      <c r="H218" s="14"/>
      <c r="I218" s="14"/>
      <c r="J218" s="14"/>
      <c r="K218" s="14"/>
      <c r="L218" s="14"/>
      <c r="M218" s="14"/>
    </row>
    <row r="219" spans="1:44">
      <c r="B219" s="482" t="s">
        <v>2441</v>
      </c>
      <c r="C219" s="14"/>
      <c r="D219" s="14"/>
      <c r="E219" s="14"/>
      <c r="F219" s="14"/>
      <c r="G219" s="14"/>
      <c r="H219" s="14"/>
      <c r="I219" s="14"/>
      <c r="J219" s="14"/>
      <c r="K219" s="14"/>
      <c r="L219" s="14"/>
      <c r="M219" s="14"/>
    </row>
    <row r="220" spans="1:44">
      <c r="B220" s="482" t="s">
        <v>2442</v>
      </c>
      <c r="C220" s="14"/>
      <c r="D220" s="14"/>
      <c r="E220" s="14"/>
      <c r="F220" s="14"/>
      <c r="G220" s="14"/>
      <c r="H220" s="14"/>
      <c r="I220" s="14"/>
      <c r="J220" s="14"/>
      <c r="K220" s="14"/>
      <c r="L220" s="14"/>
      <c r="M220" s="14"/>
    </row>
    <row r="221" spans="1:44">
      <c r="B221" s="482" t="s">
        <v>2443</v>
      </c>
      <c r="C221" s="14"/>
      <c r="D221" s="14"/>
      <c r="E221" s="14"/>
      <c r="F221" s="14"/>
      <c r="G221" s="14"/>
      <c r="H221" s="14"/>
      <c r="I221" s="14"/>
      <c r="J221" s="14"/>
      <c r="K221" s="14"/>
      <c r="L221" s="14"/>
      <c r="M221" s="14"/>
    </row>
    <row r="222" spans="1:44">
      <c r="B222" s="485"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82"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221" t="s">
        <v>2444</v>
      </c>
      <c r="C224" s="14"/>
      <c r="D224" s="14"/>
      <c r="E224" s="14"/>
      <c r="F224" s="14"/>
      <c r="G224" s="14"/>
      <c r="H224" s="14"/>
      <c r="I224" s="14"/>
      <c r="J224" s="14"/>
      <c r="K224" s="14"/>
      <c r="L224" s="14"/>
    </row>
    <row r="225" spans="2:12">
      <c r="B225" s="485" t="s">
        <v>2445</v>
      </c>
      <c r="C225" s="14"/>
      <c r="D225" s="14"/>
      <c r="E225" s="14"/>
      <c r="F225" s="14"/>
      <c r="G225" s="14"/>
      <c r="H225" s="14"/>
      <c r="I225" s="14"/>
      <c r="J225" s="14"/>
      <c r="K225" s="14"/>
      <c r="L225" s="14"/>
    </row>
    <row r="226" spans="2:12">
      <c r="B226" s="485" t="s">
        <v>2446</v>
      </c>
      <c r="C226" s="14"/>
      <c r="D226" s="14"/>
      <c r="E226" s="14"/>
      <c r="F226" s="14"/>
      <c r="G226" s="14"/>
      <c r="H226" s="14"/>
      <c r="I226" s="14"/>
      <c r="J226" s="14"/>
      <c r="K226" s="14"/>
      <c r="L226" s="14"/>
    </row>
    <row r="227" spans="2:12">
      <c r="B227" s="14" t="s">
        <v>2652</v>
      </c>
      <c r="C227" s="14"/>
      <c r="D227" s="14"/>
      <c r="E227" s="14"/>
      <c r="F227" s="14"/>
      <c r="G227" s="14"/>
      <c r="H227" s="14"/>
      <c r="I227" s="14"/>
      <c r="J227" s="14"/>
      <c r="L227" s="14"/>
    </row>
    <row r="228" spans="2:12">
      <c r="B228" s="483" t="s">
        <v>2447</v>
      </c>
      <c r="C228" s="14"/>
      <c r="D228" s="14"/>
      <c r="E228" s="14"/>
      <c r="F228" s="14"/>
      <c r="G228" s="14"/>
      <c r="H228" s="14"/>
      <c r="I228" s="14"/>
      <c r="J228" s="14"/>
      <c r="K228" s="14"/>
      <c r="L228" s="14"/>
    </row>
    <row r="229" spans="2:12">
      <c r="B229" s="483" t="s">
        <v>2448</v>
      </c>
      <c r="C229" s="14"/>
      <c r="D229" s="14"/>
      <c r="E229" s="14"/>
      <c r="F229" s="14"/>
      <c r="G229" s="14"/>
      <c r="H229" s="14"/>
      <c r="I229" s="14"/>
      <c r="J229" s="14"/>
      <c r="K229" s="14"/>
      <c r="L229" s="14"/>
    </row>
    <row r="230" spans="2:12">
      <c r="B230" s="1075"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75" t="str">
        <f>"10) Line "&amp;A142&amp;""</f>
        <v>10) Line 79</v>
      </c>
      <c r="C231" s="14"/>
      <c r="D231" s="14"/>
      <c r="E231" s="14"/>
      <c r="F231" s="14"/>
      <c r="G231" s="14"/>
      <c r="H231" s="14"/>
      <c r="I231" s="14"/>
      <c r="J231" s="14"/>
      <c r="K231" s="14"/>
      <c r="L231" s="14"/>
    </row>
    <row r="232" spans="2:12">
      <c r="B232" s="1075"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85" t="str">
        <f>"12) For each column (FERC Account) divide Line "&amp;A190&amp;" by Line "&amp;A161&amp;" to arrive at a ratio for each column."</f>
        <v>12) For each column (FERC Account) divide Line 107 by Line 92 to arrive at a ratio for each column.</v>
      </c>
    </row>
    <row r="234" spans="2:12">
      <c r="B234" s="482" t="str">
        <f>"Apply the ratio of each column to each monthly value from Lines "&amp;A149&amp;"-"&amp;A160&amp;" to calculate the values for"</f>
        <v>Apply the ratio of each column to each monthly value from Lines 80-91 to calculate the values for</v>
      </c>
    </row>
    <row r="235" spans="2:12">
      <c r="B235" s="482" t="str">
        <f>"the corresponsing months listed in Lines "&amp;A197&amp;"-"&amp;A208&amp;"."</f>
        <v>the corresponsing months listed in Lines 108-119.</v>
      </c>
    </row>
  </sheetData>
  <phoneticPr fontId="22" type="noConversion"/>
  <pageMargins left="0.75" right="0.75" top="1" bottom="1" header="0.5" footer="0.5"/>
  <pageSetup scale="65" orientation="landscape" cellComments="asDisplayed" r:id="rId1"/>
  <headerFooter alignWithMargins="0">
    <oddHeader>&amp;CSchedule 6
Plant In Service
&amp;RTO2019 Draft Annual Update 
Attachment1</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27" customWidth="1"/>
    <col min="3" max="5" width="15.7109375" style="127" customWidth="1"/>
    <col min="6" max="6" width="12.28515625" style="127" customWidth="1"/>
    <col min="8" max="8" width="15.5703125" customWidth="1"/>
  </cols>
  <sheetData>
    <row r="1" spans="1:8">
      <c r="A1" s="1" t="s">
        <v>434</v>
      </c>
      <c r="B1" s="172"/>
      <c r="C1" s="172"/>
      <c r="D1" s="172"/>
      <c r="E1" s="173" t="s">
        <v>454</v>
      </c>
      <c r="F1" s="186"/>
      <c r="G1" s="12"/>
    </row>
    <row r="2" spans="1:8">
      <c r="B2" s="172"/>
      <c r="C2" s="172"/>
      <c r="G2" s="12"/>
    </row>
    <row r="3" spans="1:8">
      <c r="A3" s="960" t="s">
        <v>1749</v>
      </c>
      <c r="B3" s="961"/>
      <c r="C3" s="961"/>
      <c r="D3" s="961"/>
      <c r="E3" s="962" t="s">
        <v>1744</v>
      </c>
      <c r="F3" s="173">
        <v>2017</v>
      </c>
      <c r="G3" s="12"/>
    </row>
    <row r="4" spans="1:8">
      <c r="A4" s="170"/>
      <c r="B4" s="172"/>
      <c r="C4" s="172"/>
      <c r="D4" s="172"/>
      <c r="E4" s="172"/>
      <c r="F4" s="172"/>
      <c r="G4" s="12"/>
    </row>
    <row r="5" spans="1:8">
      <c r="B5" s="170"/>
      <c r="C5" s="84" t="s">
        <v>363</v>
      </c>
      <c r="E5" s="84" t="s">
        <v>347</v>
      </c>
      <c r="F5" s="84" t="s">
        <v>348</v>
      </c>
      <c r="G5" s="12"/>
    </row>
    <row r="6" spans="1:8">
      <c r="B6" s="170"/>
      <c r="C6" s="84"/>
      <c r="E6" s="84"/>
      <c r="F6" s="84"/>
      <c r="G6" s="12"/>
    </row>
    <row r="7" spans="1:8">
      <c r="A7" s="51" t="s">
        <v>332</v>
      </c>
      <c r="B7" s="170"/>
      <c r="C7" s="171" t="s">
        <v>196</v>
      </c>
      <c r="D7" s="171"/>
      <c r="E7" s="171" t="s">
        <v>1138</v>
      </c>
      <c r="F7" s="171" t="s">
        <v>436</v>
      </c>
      <c r="G7" s="12"/>
    </row>
    <row r="8" spans="1:8">
      <c r="A8" s="2">
        <v>1</v>
      </c>
      <c r="B8" s="163" t="s">
        <v>99</v>
      </c>
      <c r="C8" s="163" t="s">
        <v>376</v>
      </c>
      <c r="D8" s="163" t="s">
        <v>440</v>
      </c>
      <c r="E8" s="163" t="s">
        <v>1139</v>
      </c>
      <c r="F8" s="163" t="s">
        <v>437</v>
      </c>
      <c r="G8" s="174" t="s">
        <v>168</v>
      </c>
    </row>
    <row r="9" spans="1:8" ht="12.75" customHeight="1">
      <c r="A9" s="2">
        <f>A8+1</f>
        <v>2</v>
      </c>
      <c r="B9" s="164" t="s">
        <v>430</v>
      </c>
      <c r="C9" s="175"/>
      <c r="D9" s="175"/>
      <c r="E9" s="175"/>
      <c r="F9" s="176"/>
      <c r="G9" s="12"/>
    </row>
    <row r="10" spans="1:8">
      <c r="A10" s="2">
        <f t="shared" ref="A10:A28" si="0">A9+1</f>
        <v>3</v>
      </c>
      <c r="B10" s="165">
        <v>352</v>
      </c>
      <c r="C10" s="517">
        <v>879621910</v>
      </c>
      <c r="D10" s="157" t="s">
        <v>441</v>
      </c>
      <c r="E10" s="1053">
        <v>569698022.82553017</v>
      </c>
      <c r="F10" s="159">
        <f>E10/C10</f>
        <v>0.64766238351831207</v>
      </c>
      <c r="G10" s="12"/>
      <c r="H10" s="1052"/>
    </row>
    <row r="11" spans="1:8">
      <c r="A11" s="2">
        <f t="shared" si="0"/>
        <v>4</v>
      </c>
      <c r="B11" s="165">
        <v>353</v>
      </c>
      <c r="C11" s="117">
        <v>5902949228</v>
      </c>
      <c r="D11" s="157" t="s">
        <v>442</v>
      </c>
      <c r="E11" s="117">
        <v>3409447773.6593328</v>
      </c>
      <c r="F11" s="160">
        <f>E11/C11</f>
        <v>0.57758378769158081</v>
      </c>
      <c r="G11" s="12"/>
      <c r="H11" s="483"/>
    </row>
    <row r="12" spans="1:8">
      <c r="A12" s="2">
        <f t="shared" si="0"/>
        <v>5</v>
      </c>
      <c r="B12" s="167" t="s">
        <v>425</v>
      </c>
      <c r="C12" s="155">
        <f>SUM(C10:C11)</f>
        <v>6782571138</v>
      </c>
      <c r="D12" s="13" t="str">
        <f>"L "&amp;A10&amp;" + L "&amp;A11&amp;""</f>
        <v>L 3 + L 4</v>
      </c>
      <c r="E12" s="155">
        <f>SUM(E10:E11)</f>
        <v>3979145796.4848628</v>
      </c>
      <c r="F12" s="159">
        <f>E12/C12</f>
        <v>0.58667218013996492</v>
      </c>
      <c r="G12" s="12"/>
    </row>
    <row r="13" spans="1:8">
      <c r="A13" s="2">
        <f t="shared" si="0"/>
        <v>6</v>
      </c>
      <c r="B13" s="177"/>
      <c r="C13" s="178"/>
      <c r="D13" s="178"/>
      <c r="E13" s="178"/>
      <c r="F13" s="159"/>
      <c r="G13" s="12"/>
    </row>
    <row r="14" spans="1:8">
      <c r="A14" s="2">
        <f t="shared" si="0"/>
        <v>7</v>
      </c>
      <c r="B14" s="166" t="s">
        <v>426</v>
      </c>
      <c r="C14" s="179"/>
      <c r="D14" s="179"/>
      <c r="E14" s="179"/>
      <c r="F14" s="180"/>
      <c r="G14" s="12"/>
    </row>
    <row r="15" spans="1:8">
      <c r="A15" s="2">
        <f t="shared" si="0"/>
        <v>8</v>
      </c>
      <c r="B15" s="165">
        <v>350</v>
      </c>
      <c r="C15" s="736">
        <v>343195020</v>
      </c>
      <c r="D15" s="157" t="s">
        <v>443</v>
      </c>
      <c r="E15" s="736">
        <v>252777320.81821257</v>
      </c>
      <c r="F15" s="159">
        <f>E15/C15</f>
        <v>0.73654134264014837</v>
      </c>
      <c r="G15" s="12"/>
      <c r="H15" s="483"/>
    </row>
    <row r="16" spans="1:8">
      <c r="A16" s="2">
        <f t="shared" si="0"/>
        <v>9</v>
      </c>
      <c r="B16" s="165"/>
      <c r="C16" s="155"/>
      <c r="D16" s="155"/>
      <c r="E16" s="155"/>
      <c r="F16" s="159"/>
      <c r="G16" s="12"/>
    </row>
    <row r="17" spans="1:8">
      <c r="A17" s="2">
        <f t="shared" si="0"/>
        <v>10</v>
      </c>
      <c r="B17" s="166" t="s">
        <v>427</v>
      </c>
      <c r="C17" s="155">
        <f>C12+C15</f>
        <v>7125766158</v>
      </c>
      <c r="D17" s="13" t="str">
        <f>"L "&amp;A12&amp;" + L "&amp;A15&amp;""</f>
        <v>L 5 + L 8</v>
      </c>
      <c r="E17" s="155">
        <f>E12+E15</f>
        <v>4231923117.3030753</v>
      </c>
      <c r="F17" s="159">
        <f>E17/C17</f>
        <v>0.59389026014444124</v>
      </c>
      <c r="G17" s="12"/>
    </row>
    <row r="18" spans="1:8">
      <c r="A18" s="2">
        <f t="shared" si="0"/>
        <v>11</v>
      </c>
      <c r="B18" s="177"/>
      <c r="C18" s="178"/>
      <c r="D18" s="178"/>
      <c r="E18" s="178"/>
      <c r="F18" s="159"/>
      <c r="G18" s="12"/>
    </row>
    <row r="19" spans="1:8">
      <c r="A19" s="2">
        <f t="shared" si="0"/>
        <v>12</v>
      </c>
      <c r="B19" s="166" t="s">
        <v>428</v>
      </c>
      <c r="C19" s="178"/>
      <c r="D19" s="178"/>
      <c r="E19" s="178"/>
      <c r="F19" s="159"/>
      <c r="G19" s="12"/>
    </row>
    <row r="20" spans="1:8">
      <c r="A20" s="2">
        <f t="shared" si="0"/>
        <v>13</v>
      </c>
      <c r="B20" s="165">
        <v>354</v>
      </c>
      <c r="C20" s="745">
        <v>2343145352</v>
      </c>
      <c r="D20" s="157" t="s">
        <v>444</v>
      </c>
      <c r="E20" s="745">
        <v>2283380921.6603918</v>
      </c>
      <c r="F20" s="181">
        <f>E20/C20</f>
        <v>0.97449392958546255</v>
      </c>
      <c r="G20" s="12"/>
      <c r="H20" s="483"/>
    </row>
    <row r="21" spans="1:8">
      <c r="A21" s="2">
        <f t="shared" si="0"/>
        <v>14</v>
      </c>
      <c r="B21" s="165">
        <v>355</v>
      </c>
      <c r="C21" s="745">
        <v>1292702467</v>
      </c>
      <c r="D21" s="157" t="s">
        <v>445</v>
      </c>
      <c r="E21" s="745">
        <v>364424080.39844126</v>
      </c>
      <c r="F21" s="181">
        <f t="shared" ref="F21:F26" si="1">E21/C21</f>
        <v>0.28190870652870909</v>
      </c>
      <c r="G21" s="12"/>
      <c r="H21" s="483"/>
    </row>
    <row r="22" spans="1:8">
      <c r="A22" s="2">
        <f t="shared" si="0"/>
        <v>15</v>
      </c>
      <c r="B22" s="165">
        <v>356</v>
      </c>
      <c r="C22" s="745">
        <v>1524531167</v>
      </c>
      <c r="D22" s="157" t="s">
        <v>446</v>
      </c>
      <c r="E22" s="745">
        <v>1245933686.1010468</v>
      </c>
      <c r="F22" s="181">
        <f t="shared" si="1"/>
        <v>0.81725694631275903</v>
      </c>
      <c r="G22" s="12"/>
      <c r="H22" s="483"/>
    </row>
    <row r="23" spans="1:8">
      <c r="A23" s="2">
        <f t="shared" si="0"/>
        <v>16</v>
      </c>
      <c r="B23" s="165">
        <v>357</v>
      </c>
      <c r="C23" s="745">
        <v>256348021</v>
      </c>
      <c r="D23" s="157" t="s">
        <v>447</v>
      </c>
      <c r="E23" s="745">
        <v>190222488.72271055</v>
      </c>
      <c r="F23" s="181">
        <f t="shared" si="1"/>
        <v>0.74204781445420465</v>
      </c>
      <c r="G23" s="12"/>
      <c r="H23" s="483"/>
    </row>
    <row r="24" spans="1:8">
      <c r="A24" s="2">
        <f t="shared" si="0"/>
        <v>17</v>
      </c>
      <c r="B24" s="165">
        <v>358</v>
      </c>
      <c r="C24" s="745">
        <v>376710004</v>
      </c>
      <c r="D24" s="157" t="s">
        <v>448</v>
      </c>
      <c r="E24" s="745">
        <v>84920373.966592565</v>
      </c>
      <c r="F24" s="181">
        <f t="shared" si="1"/>
        <v>0.22542638386261854</v>
      </c>
      <c r="G24" s="12"/>
      <c r="H24" s="483"/>
    </row>
    <row r="25" spans="1:8">
      <c r="A25" s="2">
        <f t="shared" si="0"/>
        <v>18</v>
      </c>
      <c r="B25" s="165">
        <v>359</v>
      </c>
      <c r="C25" s="182">
        <v>193773411</v>
      </c>
      <c r="D25" s="157" t="s">
        <v>449</v>
      </c>
      <c r="E25" s="182">
        <v>172640884.93140152</v>
      </c>
      <c r="F25" s="183">
        <f t="shared" si="1"/>
        <v>0.89094207528504266</v>
      </c>
      <c r="G25" s="12"/>
      <c r="H25" s="483"/>
    </row>
    <row r="26" spans="1:8">
      <c r="A26" s="2">
        <f t="shared" si="0"/>
        <v>19</v>
      </c>
      <c r="B26" s="167" t="s">
        <v>429</v>
      </c>
      <c r="C26" s="155">
        <f>SUM(C20:C25)</f>
        <v>5987210422</v>
      </c>
      <c r="D26" s="158" t="str">
        <f>"Sum L"&amp;A20&amp;" to L"&amp;A25&amp;""</f>
        <v>Sum L13 to L18</v>
      </c>
      <c r="E26" s="155">
        <f>SUM(E20:E25)</f>
        <v>4341522435.7805843</v>
      </c>
      <c r="F26" s="159">
        <f t="shared" si="1"/>
        <v>0.72513276296882156</v>
      </c>
      <c r="G26" s="12"/>
    </row>
    <row r="27" spans="1:8">
      <c r="A27" s="2">
        <f t="shared" si="0"/>
        <v>20</v>
      </c>
      <c r="B27" s="184"/>
      <c r="C27" s="155"/>
      <c r="D27" s="155"/>
      <c r="E27" s="155"/>
      <c r="F27" s="159"/>
      <c r="G27" s="12"/>
    </row>
    <row r="28" spans="1:8">
      <c r="A28" s="2">
        <f t="shared" si="0"/>
        <v>21</v>
      </c>
      <c r="B28" s="185" t="s">
        <v>439</v>
      </c>
      <c r="C28" s="161">
        <f>C17+C26</f>
        <v>13112976580</v>
      </c>
      <c r="D28" s="13" t="str">
        <f>"L "&amp;A17&amp;" + L "&amp;A26&amp;""</f>
        <v>L 10 + L 19</v>
      </c>
      <c r="E28" s="161">
        <f>E17+E26</f>
        <v>8573445553.0836601</v>
      </c>
      <c r="F28" s="162">
        <f>E28/C28</f>
        <v>0.65381383858794784</v>
      </c>
      <c r="G28" s="12" t="s">
        <v>364</v>
      </c>
    </row>
    <row r="29" spans="1:8">
      <c r="A29" s="2"/>
      <c r="B29" s="132"/>
      <c r="C29" s="128"/>
      <c r="D29" s="128"/>
      <c r="E29" s="128"/>
      <c r="F29" s="131"/>
    </row>
    <row r="30" spans="1:8">
      <c r="A30" s="2"/>
      <c r="B30" s="129"/>
      <c r="C30" s="130"/>
      <c r="D30" s="130"/>
      <c r="E30" s="597"/>
      <c r="F30" s="130"/>
    </row>
    <row r="31" spans="1:8">
      <c r="A31" s="170" t="s">
        <v>438</v>
      </c>
      <c r="C31" s="130"/>
      <c r="D31" s="130"/>
      <c r="E31" s="130"/>
      <c r="F31" s="130"/>
    </row>
    <row r="32" spans="1:8">
      <c r="A32" s="2"/>
      <c r="B32" s="135"/>
      <c r="C32" s="130"/>
      <c r="D32" s="130"/>
      <c r="E32" s="130"/>
      <c r="F32" s="130"/>
    </row>
    <row r="33" spans="1:9">
      <c r="A33" s="51" t="s">
        <v>332</v>
      </c>
      <c r="B33" s="170"/>
      <c r="C33" s="171" t="s">
        <v>196</v>
      </c>
      <c r="D33" s="171"/>
      <c r="E33" s="171" t="s">
        <v>308</v>
      </c>
      <c r="F33" s="171" t="s">
        <v>436</v>
      </c>
    </row>
    <row r="34" spans="1:9">
      <c r="A34" s="2">
        <f>A28+1</f>
        <v>22</v>
      </c>
      <c r="B34" s="163" t="s">
        <v>99</v>
      </c>
      <c r="C34" s="163" t="s">
        <v>376</v>
      </c>
      <c r="D34" s="163" t="s">
        <v>440</v>
      </c>
      <c r="E34" s="163" t="s">
        <v>1139</v>
      </c>
      <c r="F34" s="163" t="s">
        <v>437</v>
      </c>
    </row>
    <row r="35" spans="1:9">
      <c r="A35" s="2">
        <f t="shared" ref="A35:A42" si="2">A34+1</f>
        <v>23</v>
      </c>
      <c r="B35" s="164" t="s">
        <v>431</v>
      </c>
      <c r="C35" s="128"/>
      <c r="D35" s="128"/>
      <c r="E35" s="128"/>
      <c r="F35" s="131"/>
    </row>
    <row r="36" spans="1:9">
      <c r="A36" s="2">
        <f t="shared" si="2"/>
        <v>24</v>
      </c>
      <c r="B36" s="165">
        <v>360</v>
      </c>
      <c r="C36" s="736">
        <v>125242449</v>
      </c>
      <c r="D36" s="157" t="s">
        <v>450</v>
      </c>
      <c r="E36" s="1054">
        <v>0</v>
      </c>
      <c r="F36" s="159">
        <f>E36/C36</f>
        <v>0</v>
      </c>
      <c r="H36" s="483"/>
    </row>
    <row r="37" spans="1:9">
      <c r="A37" s="2">
        <f t="shared" si="2"/>
        <v>25</v>
      </c>
      <c r="B37" s="166" t="s">
        <v>432</v>
      </c>
      <c r="C37" s="155"/>
      <c r="D37" s="155"/>
      <c r="E37" s="155"/>
      <c r="F37" s="159"/>
    </row>
    <row r="38" spans="1:9">
      <c r="A38" s="2">
        <f t="shared" si="2"/>
        <v>26</v>
      </c>
      <c r="B38" s="165">
        <v>361</v>
      </c>
      <c r="C38" s="736">
        <v>644469720</v>
      </c>
      <c r="D38" s="157" t="s">
        <v>451</v>
      </c>
      <c r="E38" s="154">
        <v>0</v>
      </c>
      <c r="F38" s="159">
        <f>E38/C38</f>
        <v>0</v>
      </c>
      <c r="H38" s="483"/>
    </row>
    <row r="39" spans="1:9">
      <c r="A39" s="2">
        <f t="shared" si="2"/>
        <v>27</v>
      </c>
      <c r="B39" s="165">
        <v>362</v>
      </c>
      <c r="C39" s="156">
        <v>2539477720</v>
      </c>
      <c r="D39" s="157" t="s">
        <v>452</v>
      </c>
      <c r="E39" s="156">
        <v>0</v>
      </c>
      <c r="F39" s="160">
        <f>E39/C39</f>
        <v>0</v>
      </c>
      <c r="H39" s="483"/>
    </row>
    <row r="40" spans="1:9">
      <c r="A40" s="2">
        <f t="shared" si="2"/>
        <v>28</v>
      </c>
      <c r="B40" s="167" t="s">
        <v>433</v>
      </c>
      <c r="C40" s="155">
        <f>SUM(C38:C39)</f>
        <v>3183947440</v>
      </c>
      <c r="D40" s="13" t="str">
        <f>"L "&amp;A38&amp;" + L "&amp;A39&amp;""</f>
        <v>L 26 + L 27</v>
      </c>
      <c r="E40" s="155">
        <f>SUM(E38:E39)</f>
        <v>0</v>
      </c>
      <c r="F40" s="159">
        <f>E40/C40</f>
        <v>0</v>
      </c>
    </row>
    <row r="41" spans="1:9">
      <c r="A41" s="2">
        <f t="shared" si="2"/>
        <v>29</v>
      </c>
      <c r="B41" s="168"/>
      <c r="C41" s="139"/>
      <c r="D41" s="155"/>
      <c r="E41" s="155"/>
      <c r="F41" s="159"/>
    </row>
    <row r="42" spans="1:9">
      <c r="A42" s="2">
        <f t="shared" si="2"/>
        <v>30</v>
      </c>
      <c r="B42" s="169" t="s">
        <v>1238</v>
      </c>
      <c r="C42" s="161">
        <f>C36+C40</f>
        <v>3309189889</v>
      </c>
      <c r="D42" s="13" t="str">
        <f>"L "&amp;A36&amp;" + L "&amp;A40&amp;""</f>
        <v>L 24 + L 28</v>
      </c>
      <c r="E42" s="161">
        <f>E36+E40</f>
        <v>0</v>
      </c>
      <c r="F42" s="162">
        <f>E42/C42</f>
        <v>0</v>
      </c>
      <c r="G42" s="12" t="s">
        <v>365</v>
      </c>
      <c r="H42" s="12"/>
    </row>
    <row r="43" spans="1:9">
      <c r="A43" s="2"/>
      <c r="B43" s="136"/>
      <c r="C43" s="137"/>
      <c r="D43" s="137"/>
      <c r="E43" s="137"/>
      <c r="F43" s="138"/>
      <c r="H43" s="140"/>
      <c r="I43" s="12"/>
    </row>
    <row r="44" spans="1:9">
      <c r="A44" s="61"/>
      <c r="E44" s="133"/>
    </row>
    <row r="45" spans="1:9">
      <c r="A45" s="83" t="s">
        <v>232</v>
      </c>
    </row>
    <row r="46" spans="1:9">
      <c r="A46" s="13" t="s">
        <v>453</v>
      </c>
      <c r="E46" s="133"/>
    </row>
    <row r="47" spans="1:9">
      <c r="A47" s="13" t="s">
        <v>458</v>
      </c>
    </row>
    <row r="48" spans="1:9">
      <c r="A48" s="13" t="s">
        <v>455</v>
      </c>
      <c r="C48" s="133"/>
      <c r="D48" s="133"/>
    </row>
    <row r="49" spans="1:4">
      <c r="A49" s="13" t="s">
        <v>457</v>
      </c>
      <c r="C49" s="134"/>
      <c r="D49" s="134"/>
    </row>
    <row r="50" spans="1:4">
      <c r="A50" s="61"/>
      <c r="C50" s="133"/>
      <c r="D50" s="133"/>
    </row>
    <row r="51" spans="1:4">
      <c r="A51" s="83" t="s">
        <v>382</v>
      </c>
    </row>
    <row r="52" spans="1:4">
      <c r="A52" s="13" t="s">
        <v>456</v>
      </c>
    </row>
    <row r="53" spans="1:4">
      <c r="A53" s="13" t="s">
        <v>1442</v>
      </c>
    </row>
    <row r="54" spans="1:4">
      <c r="A54" s="487" t="s">
        <v>2049</v>
      </c>
    </row>
  </sheetData>
  <pageMargins left="0.7" right="0.7" top="0.75" bottom="0.75" header="0.3" footer="0.3"/>
  <pageSetup scale="90" orientation="portrait" cellComments="asDisplayed" r:id="rId1"/>
  <headerFooter>
    <oddHeader>&amp;CSchedule 7
Transmission Plant Study Summary
&amp;RTO2019 Draft Annual Update 
Attachment1</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topLeftCell="A60" zoomScaleNormal="100" workbookViewId="0">
      <selection activeCell="G99" sqref="G99"/>
    </sheetView>
  </sheetViews>
  <sheetFormatPr defaultColWidth="8.85546875" defaultRowHeight="12.75"/>
  <cols>
    <col min="1" max="1" width="4.7109375" style="1075" customWidth="1"/>
    <col min="2" max="2" width="7.7109375" style="1075" customWidth="1"/>
    <col min="3" max="3" width="10.7109375" style="1075" customWidth="1"/>
    <col min="4" max="4" width="13.7109375" style="1075" customWidth="1"/>
    <col min="5" max="6" width="14.7109375" style="1075" customWidth="1"/>
    <col min="7" max="10" width="13.7109375" style="1075" customWidth="1"/>
    <col min="11" max="12" width="11.7109375" style="1075" customWidth="1"/>
    <col min="13" max="13" width="13.7109375" style="1075" customWidth="1"/>
    <col min="14" max="14" width="14.7109375" style="1075" customWidth="1"/>
    <col min="15" max="15" width="13.7109375" style="14" customWidth="1"/>
    <col min="16" max="23" width="8.85546875" style="14"/>
    <col min="24" max="16384" width="8.85546875" style="1075"/>
  </cols>
  <sheetData>
    <row r="1" spans="1:18">
      <c r="A1" s="1" t="s">
        <v>163</v>
      </c>
      <c r="B1" s="1"/>
      <c r="C1" s="232"/>
      <c r="D1" s="232"/>
      <c r="E1" s="232"/>
      <c r="F1" s="232"/>
      <c r="G1" s="232"/>
      <c r="H1" s="232"/>
      <c r="I1" s="232"/>
      <c r="J1" s="525" t="s">
        <v>454</v>
      </c>
      <c r="K1" s="186"/>
      <c r="L1" s="232"/>
      <c r="M1" s="232"/>
      <c r="N1" s="232"/>
      <c r="O1" s="241"/>
      <c r="P1" s="241"/>
      <c r="Q1" s="241"/>
      <c r="R1" s="241"/>
    </row>
    <row r="2" spans="1:18">
      <c r="A2" s="232"/>
      <c r="B2" s="232"/>
      <c r="C2" s="232"/>
      <c r="D2" s="232"/>
      <c r="E2" s="232"/>
      <c r="F2" s="232"/>
      <c r="G2" s="232"/>
      <c r="H2" s="232"/>
      <c r="I2" s="232"/>
      <c r="L2" s="232"/>
      <c r="M2" s="232"/>
      <c r="N2" s="232"/>
      <c r="O2" s="241"/>
      <c r="P2" s="241"/>
      <c r="Q2" s="241"/>
      <c r="R2" s="241"/>
    </row>
    <row r="3" spans="1:18">
      <c r="A3" s="232"/>
      <c r="B3" s="1" t="s">
        <v>330</v>
      </c>
      <c r="C3" s="232"/>
      <c r="D3" s="232"/>
      <c r="E3" s="232"/>
      <c r="F3" s="232"/>
      <c r="G3" s="958" t="s">
        <v>1744</v>
      </c>
      <c r="H3" s="1078">
        <v>2017</v>
      </c>
      <c r="I3" s="232"/>
      <c r="J3" s="232"/>
      <c r="K3" s="232"/>
      <c r="L3" s="232"/>
      <c r="M3" s="232"/>
      <c r="N3" s="232"/>
      <c r="O3" s="241"/>
      <c r="P3" s="241"/>
      <c r="Q3" s="241"/>
      <c r="R3" s="241"/>
    </row>
    <row r="4" spans="1:18">
      <c r="A4" s="232"/>
      <c r="B4" s="232"/>
      <c r="C4" s="232"/>
      <c r="D4" s="232"/>
      <c r="E4" s="232"/>
      <c r="F4" s="232"/>
      <c r="G4" s="232"/>
      <c r="H4" s="232"/>
      <c r="I4" s="232"/>
      <c r="J4" s="232"/>
      <c r="K4" s="232"/>
      <c r="L4" s="232"/>
      <c r="M4" s="232"/>
      <c r="N4" s="232"/>
      <c r="O4" s="241"/>
      <c r="P4" s="241"/>
      <c r="Q4" s="241"/>
      <c r="R4" s="241"/>
    </row>
    <row r="5" spans="1:18">
      <c r="A5" s="232"/>
      <c r="B5" s="232"/>
      <c r="C5" s="483" t="s">
        <v>1553</v>
      </c>
      <c r="D5" s="232"/>
      <c r="E5" s="232"/>
      <c r="F5" s="232"/>
      <c r="G5" s="232"/>
      <c r="H5" s="232"/>
      <c r="I5" s="232"/>
      <c r="J5" s="483"/>
      <c r="K5" s="232"/>
      <c r="L5" s="232"/>
      <c r="M5" s="232"/>
      <c r="N5" s="232"/>
      <c r="O5" s="241"/>
      <c r="P5" s="241"/>
      <c r="Q5" s="241"/>
      <c r="R5" s="241"/>
    </row>
    <row r="6" spans="1:18">
      <c r="A6" s="232"/>
      <c r="B6" s="232"/>
      <c r="C6" s="232"/>
      <c r="D6" s="232"/>
      <c r="E6" s="232"/>
      <c r="F6" s="232"/>
      <c r="G6" s="232"/>
      <c r="H6" s="232"/>
      <c r="I6" s="232"/>
      <c r="J6" s="232"/>
      <c r="K6" s="232"/>
      <c r="L6" s="232"/>
      <c r="M6" s="232"/>
      <c r="N6" s="232"/>
      <c r="O6" s="241"/>
      <c r="P6" s="241"/>
      <c r="Q6" s="241"/>
      <c r="R6" s="241"/>
    </row>
    <row r="7" spans="1:18">
      <c r="A7" s="232"/>
      <c r="B7" s="232"/>
      <c r="C7" s="84" t="s">
        <v>363</v>
      </c>
      <c r="D7" s="84" t="s">
        <v>347</v>
      </c>
      <c r="E7" s="84" t="s">
        <v>348</v>
      </c>
      <c r="F7" s="84" t="s">
        <v>349</v>
      </c>
      <c r="G7" s="84" t="s">
        <v>350</v>
      </c>
      <c r="H7" s="84" t="s">
        <v>351</v>
      </c>
      <c r="I7" s="84" t="s">
        <v>352</v>
      </c>
      <c r="J7" s="84" t="s">
        <v>544</v>
      </c>
      <c r="K7" s="84" t="s">
        <v>961</v>
      </c>
      <c r="L7" s="84" t="s">
        <v>974</v>
      </c>
      <c r="M7" s="84" t="s">
        <v>977</v>
      </c>
      <c r="N7" s="84" t="s">
        <v>995</v>
      </c>
      <c r="O7" s="241"/>
      <c r="P7" s="241"/>
      <c r="Q7" s="241"/>
      <c r="R7" s="241"/>
    </row>
    <row r="8" spans="1:18">
      <c r="A8" s="232"/>
      <c r="B8" s="232"/>
      <c r="C8" s="249"/>
      <c r="D8" s="232"/>
      <c r="E8" s="232"/>
      <c r="F8" s="232"/>
      <c r="G8" s="232"/>
      <c r="H8" s="232"/>
      <c r="I8" s="232"/>
      <c r="J8" s="232"/>
      <c r="K8" s="232"/>
      <c r="L8" s="232"/>
      <c r="M8" s="232"/>
      <c r="N8" s="464" t="s">
        <v>1671</v>
      </c>
      <c r="O8" s="241"/>
      <c r="P8" s="241"/>
      <c r="Q8" s="241"/>
      <c r="R8" s="241"/>
    </row>
    <row r="9" spans="1:18">
      <c r="A9" s="232"/>
      <c r="B9" s="232"/>
      <c r="C9" s="456"/>
      <c r="D9" s="526" t="s">
        <v>12</v>
      </c>
      <c r="E9" s="232"/>
      <c r="F9" s="232"/>
      <c r="G9" s="232"/>
      <c r="H9" s="232"/>
      <c r="I9" s="232"/>
      <c r="J9" s="232"/>
      <c r="K9" s="232"/>
      <c r="L9" s="232"/>
      <c r="M9" s="232"/>
      <c r="N9" s="232"/>
      <c r="O9" s="241"/>
      <c r="P9" s="241"/>
      <c r="Q9" s="241"/>
      <c r="R9" s="241"/>
    </row>
    <row r="10" spans="1:18">
      <c r="A10" s="232"/>
      <c r="B10" s="232"/>
      <c r="C10" s="111"/>
      <c r="D10" s="526" t="s">
        <v>975</v>
      </c>
      <c r="E10" s="232"/>
      <c r="F10" s="232"/>
      <c r="G10" s="232"/>
      <c r="H10" s="232"/>
      <c r="I10" s="232"/>
      <c r="J10" s="232"/>
      <c r="K10" s="232"/>
      <c r="L10" s="232"/>
      <c r="M10" s="232"/>
      <c r="N10" s="232"/>
      <c r="O10" s="241"/>
      <c r="P10" s="241"/>
      <c r="Q10" s="241"/>
      <c r="R10" s="241"/>
    </row>
    <row r="11" spans="1:18" ht="12.75" customHeight="1">
      <c r="A11" s="51" t="s">
        <v>332</v>
      </c>
      <c r="B11" s="51"/>
      <c r="C11" s="125" t="s">
        <v>1780</v>
      </c>
      <c r="D11" s="84">
        <v>350.1</v>
      </c>
      <c r="E11" s="84">
        <v>350.2</v>
      </c>
      <c r="F11" s="84">
        <v>352</v>
      </c>
      <c r="G11" s="84">
        <v>353</v>
      </c>
      <c r="H11" s="84">
        <v>354</v>
      </c>
      <c r="I11" s="84">
        <v>355</v>
      </c>
      <c r="J11" s="84">
        <v>356</v>
      </c>
      <c r="K11" s="84">
        <v>357</v>
      </c>
      <c r="L11" s="84">
        <v>358</v>
      </c>
      <c r="M11" s="84">
        <v>359</v>
      </c>
      <c r="N11" s="3" t="s">
        <v>196</v>
      </c>
      <c r="O11" s="241"/>
      <c r="P11" s="241"/>
      <c r="Q11" s="241"/>
      <c r="R11" s="241"/>
    </row>
    <row r="12" spans="1:18" ht="12.75" customHeight="1">
      <c r="A12" s="580">
        <v>1</v>
      </c>
      <c r="B12" s="580"/>
      <c r="C12" s="1040" t="s">
        <v>2428</v>
      </c>
      <c r="D12" s="517">
        <v>0</v>
      </c>
      <c r="E12" s="517">
        <v>18079938.998426363</v>
      </c>
      <c r="F12" s="517">
        <v>72260282.663679585</v>
      </c>
      <c r="G12" s="517">
        <v>439653027.79319572</v>
      </c>
      <c r="H12" s="517">
        <v>465353601.53802383</v>
      </c>
      <c r="I12" s="517">
        <v>46058792.048423626</v>
      </c>
      <c r="J12" s="517">
        <v>407738326.31860054</v>
      </c>
      <c r="K12" s="517">
        <v>839658.64846191066</v>
      </c>
      <c r="L12" s="517">
        <v>2896107.6429296676</v>
      </c>
      <c r="M12" s="517">
        <v>14910822.350216078</v>
      </c>
      <c r="N12" s="234">
        <f>SUM(D12:M12)</f>
        <v>1467790558.0019572</v>
      </c>
      <c r="O12" s="241"/>
      <c r="P12" s="241"/>
      <c r="Q12" s="241"/>
      <c r="R12" s="241"/>
    </row>
    <row r="13" spans="1:18" ht="12.75" customHeight="1">
      <c r="A13" s="580">
        <f>A12+1</f>
        <v>2</v>
      </c>
      <c r="B13" s="580"/>
      <c r="C13" s="741" t="s">
        <v>2682</v>
      </c>
      <c r="D13" s="236">
        <f>D12+D70+D119</f>
        <v>0</v>
      </c>
      <c r="E13" s="236">
        <f>E12+E70+E119</f>
        <v>18308641.247825958</v>
      </c>
      <c r="F13" s="236">
        <f t="shared" ref="F13:M23" si="0">F12+F70+F119</f>
        <v>72968804.244017243</v>
      </c>
      <c r="G13" s="236">
        <f t="shared" si="0"/>
        <v>446340018.72784311</v>
      </c>
      <c r="H13" s="236">
        <f t="shared" si="0"/>
        <v>470658390.43021107</v>
      </c>
      <c r="I13" s="236">
        <f t="shared" si="0"/>
        <v>43293011.345410295</v>
      </c>
      <c r="J13" s="236">
        <f t="shared" si="0"/>
        <v>424670241.37882358</v>
      </c>
      <c r="K13" s="236">
        <f t="shared" si="0"/>
        <v>1097967.7757830168</v>
      </c>
      <c r="L13" s="236">
        <f t="shared" si="0"/>
        <v>2966994.1553756823</v>
      </c>
      <c r="M13" s="236">
        <f t="shared" si="0"/>
        <v>15230980.215377729</v>
      </c>
      <c r="N13" s="234">
        <f t="shared" ref="N13:N25" si="1">SUM(D13:M13)</f>
        <v>1495535049.5206678</v>
      </c>
      <c r="O13" s="241"/>
      <c r="P13" s="241"/>
      <c r="Q13" s="241"/>
      <c r="R13" s="241"/>
    </row>
    <row r="14" spans="1:18" ht="12.75" customHeight="1">
      <c r="A14" s="580">
        <f t="shared" ref="A14:A25" si="2">A13+1</f>
        <v>3</v>
      </c>
      <c r="B14" s="580"/>
      <c r="C14" s="740" t="s">
        <v>2683</v>
      </c>
      <c r="D14" s="236">
        <f t="shared" ref="D14:E23" si="3">D13+D71+D120</f>
        <v>0</v>
      </c>
      <c r="E14" s="236">
        <f t="shared" si="3"/>
        <v>18537348.297323044</v>
      </c>
      <c r="F14" s="236">
        <f t="shared" si="0"/>
        <v>74988693.844718993</v>
      </c>
      <c r="G14" s="236">
        <f t="shared" si="0"/>
        <v>453020610.35094732</v>
      </c>
      <c r="H14" s="236">
        <f t="shared" si="0"/>
        <v>480300558.95883393</v>
      </c>
      <c r="I14" s="236">
        <f t="shared" si="0"/>
        <v>42956298.737676308</v>
      </c>
      <c r="J14" s="236">
        <f t="shared" si="0"/>
        <v>418952853.46026802</v>
      </c>
      <c r="K14" s="236">
        <f t="shared" si="0"/>
        <v>1351770.1504963308</v>
      </c>
      <c r="L14" s="236">
        <f t="shared" si="0"/>
        <v>3647254.3542192318</v>
      </c>
      <c r="M14" s="236">
        <f t="shared" si="0"/>
        <v>15439118.894470777</v>
      </c>
      <c r="N14" s="234">
        <f t="shared" si="1"/>
        <v>1509194507.0489535</v>
      </c>
      <c r="O14" s="241"/>
      <c r="P14" s="241"/>
      <c r="Q14" s="241"/>
      <c r="R14" s="241"/>
    </row>
    <row r="15" spans="1:18" ht="12.75" customHeight="1">
      <c r="A15" s="580">
        <f t="shared" si="2"/>
        <v>4</v>
      </c>
      <c r="B15" s="580"/>
      <c r="C15" s="740" t="s">
        <v>2684</v>
      </c>
      <c r="D15" s="236">
        <f t="shared" si="3"/>
        <v>0</v>
      </c>
      <c r="E15" s="236">
        <f t="shared" si="3"/>
        <v>18752244.128077272</v>
      </c>
      <c r="F15" s="236">
        <f t="shared" si="0"/>
        <v>75746244.909942716</v>
      </c>
      <c r="G15" s="236">
        <f t="shared" si="0"/>
        <v>459717421.87273008</v>
      </c>
      <c r="H15" s="236">
        <f t="shared" si="0"/>
        <v>481542497.23768032</v>
      </c>
      <c r="I15" s="236">
        <f t="shared" si="0"/>
        <v>43274320.361517444</v>
      </c>
      <c r="J15" s="236">
        <f t="shared" si="0"/>
        <v>414004345.44137681</v>
      </c>
      <c r="K15" s="236">
        <f t="shared" si="0"/>
        <v>1591256.606636734</v>
      </c>
      <c r="L15" s="236">
        <f t="shared" si="0"/>
        <v>3753210.1234456752</v>
      </c>
      <c r="M15" s="236">
        <f t="shared" si="0"/>
        <v>15648580.450380001</v>
      </c>
      <c r="N15" s="234">
        <f t="shared" si="1"/>
        <v>1514030121.1317871</v>
      </c>
      <c r="O15" s="241"/>
      <c r="P15" s="241"/>
      <c r="Q15" s="241"/>
      <c r="R15" s="241"/>
    </row>
    <row r="16" spans="1:18" ht="12.75" customHeight="1">
      <c r="A16" s="580">
        <f t="shared" si="2"/>
        <v>5</v>
      </c>
      <c r="B16" s="580"/>
      <c r="C16" s="741" t="s">
        <v>2685</v>
      </c>
      <c r="D16" s="236">
        <f t="shared" si="3"/>
        <v>0</v>
      </c>
      <c r="E16" s="236">
        <f t="shared" si="3"/>
        <v>18981511.622959178</v>
      </c>
      <c r="F16" s="236">
        <f t="shared" si="0"/>
        <v>78025130.488813192</v>
      </c>
      <c r="G16" s="236">
        <f t="shared" si="0"/>
        <v>466431065.19129223</v>
      </c>
      <c r="H16" s="236">
        <f t="shared" si="0"/>
        <v>479419454.55270314</v>
      </c>
      <c r="I16" s="236">
        <f t="shared" si="0"/>
        <v>43608478.598969497</v>
      </c>
      <c r="J16" s="236">
        <f t="shared" si="0"/>
        <v>408380384.75620097</v>
      </c>
      <c r="K16" s="236">
        <f t="shared" si="0"/>
        <v>1801902.0790769379</v>
      </c>
      <c r="L16" s="236">
        <f t="shared" si="0"/>
        <v>4266250.9241917273</v>
      </c>
      <c r="M16" s="236">
        <f t="shared" si="0"/>
        <v>15858405.195883648</v>
      </c>
      <c r="N16" s="234">
        <f t="shared" si="1"/>
        <v>1516772583.4100907</v>
      </c>
      <c r="O16" s="241"/>
      <c r="P16" s="241"/>
      <c r="Q16" s="241"/>
      <c r="R16" s="241"/>
    </row>
    <row r="17" spans="1:18" ht="12.75" customHeight="1">
      <c r="A17" s="580">
        <f t="shared" si="2"/>
        <v>6</v>
      </c>
      <c r="B17" s="580"/>
      <c r="C17" s="740" t="s">
        <v>2686</v>
      </c>
      <c r="D17" s="236">
        <f t="shared" si="3"/>
        <v>0</v>
      </c>
      <c r="E17" s="236">
        <f t="shared" si="3"/>
        <v>19198530.585951746</v>
      </c>
      <c r="F17" s="236">
        <f t="shared" si="0"/>
        <v>79324141.340459436</v>
      </c>
      <c r="G17" s="236">
        <f t="shared" si="0"/>
        <v>473196865.92424947</v>
      </c>
      <c r="H17" s="236">
        <f t="shared" si="0"/>
        <v>482881385.79127371</v>
      </c>
      <c r="I17" s="236">
        <f t="shared" si="0"/>
        <v>44346449.125898607</v>
      </c>
      <c r="J17" s="236">
        <f t="shared" si="0"/>
        <v>409860084.45766383</v>
      </c>
      <c r="K17" s="236">
        <f t="shared" si="0"/>
        <v>2058471.3416056111</v>
      </c>
      <c r="L17" s="236">
        <f t="shared" si="0"/>
        <v>4530616.6980482507</v>
      </c>
      <c r="M17" s="236">
        <f t="shared" si="0"/>
        <v>16067283.985776877</v>
      </c>
      <c r="N17" s="234">
        <f t="shared" si="1"/>
        <v>1531463829.2509277</v>
      </c>
      <c r="O17" s="241"/>
      <c r="P17" s="241"/>
      <c r="Q17" s="241"/>
      <c r="R17" s="241"/>
    </row>
    <row r="18" spans="1:18" ht="12.75" customHeight="1">
      <c r="A18" s="580">
        <f t="shared" si="2"/>
        <v>7</v>
      </c>
      <c r="B18" s="580"/>
      <c r="C18" s="740" t="s">
        <v>2687</v>
      </c>
      <c r="D18" s="236">
        <f t="shared" si="3"/>
        <v>0</v>
      </c>
      <c r="E18" s="236">
        <f t="shared" si="3"/>
        <v>19358181.465678804</v>
      </c>
      <c r="F18" s="236">
        <f t="shared" si="0"/>
        <v>80982622.242188051</v>
      </c>
      <c r="G18" s="236">
        <f t="shared" si="0"/>
        <v>479978024.81112278</v>
      </c>
      <c r="H18" s="236">
        <f t="shared" si="0"/>
        <v>486603967.9031952</v>
      </c>
      <c r="I18" s="236">
        <f t="shared" si="0"/>
        <v>44761788.798674032</v>
      </c>
      <c r="J18" s="236">
        <f t="shared" si="0"/>
        <v>409133073.91139984</v>
      </c>
      <c r="K18" s="236">
        <f t="shared" si="0"/>
        <v>2302613.8797292132</v>
      </c>
      <c r="L18" s="236">
        <f t="shared" si="0"/>
        <v>4638564.5662836712</v>
      </c>
      <c r="M18" s="236">
        <f t="shared" si="0"/>
        <v>16287005.279989235</v>
      </c>
      <c r="N18" s="234">
        <f t="shared" si="1"/>
        <v>1544045842.8582609</v>
      </c>
      <c r="O18" s="241"/>
      <c r="P18" s="241"/>
      <c r="Q18" s="241"/>
      <c r="R18" s="241"/>
    </row>
    <row r="19" spans="1:18" ht="12.75" customHeight="1">
      <c r="A19" s="580">
        <f t="shared" si="2"/>
        <v>8</v>
      </c>
      <c r="B19" s="580"/>
      <c r="C19" s="741" t="s">
        <v>2688</v>
      </c>
      <c r="D19" s="236">
        <f t="shared" si="3"/>
        <v>0</v>
      </c>
      <c r="E19" s="236">
        <f t="shared" si="3"/>
        <v>19450336.731634524</v>
      </c>
      <c r="F19" s="236">
        <f t="shared" si="0"/>
        <v>82492566.69533962</v>
      </c>
      <c r="G19" s="236">
        <f t="shared" si="0"/>
        <v>486786988.36237866</v>
      </c>
      <c r="H19" s="236">
        <f t="shared" si="0"/>
        <v>490700721.88762051</v>
      </c>
      <c r="I19" s="236">
        <f t="shared" si="0"/>
        <v>44947546.447541058</v>
      </c>
      <c r="J19" s="236">
        <f t="shared" si="0"/>
        <v>416123576.24528956</v>
      </c>
      <c r="K19" s="236">
        <f t="shared" si="0"/>
        <v>2721167.4945174302</v>
      </c>
      <c r="L19" s="236">
        <f t="shared" si="0"/>
        <v>4594686.9755988168</v>
      </c>
      <c r="M19" s="236">
        <f t="shared" si="0"/>
        <v>16505750.957540784</v>
      </c>
      <c r="N19" s="234">
        <f t="shared" si="1"/>
        <v>1564323341.7974608</v>
      </c>
      <c r="O19" s="241"/>
      <c r="P19" s="241"/>
      <c r="Q19" s="241"/>
      <c r="R19" s="241"/>
    </row>
    <row r="20" spans="1:18" ht="12.75" customHeight="1">
      <c r="A20" s="580">
        <f t="shared" si="2"/>
        <v>9</v>
      </c>
      <c r="B20" s="580"/>
      <c r="C20" s="740" t="s">
        <v>2689</v>
      </c>
      <c r="D20" s="236">
        <f t="shared" si="3"/>
        <v>0</v>
      </c>
      <c r="E20" s="236">
        <f t="shared" si="3"/>
        <v>19671148.118358452</v>
      </c>
      <c r="F20" s="236">
        <f t="shared" si="0"/>
        <v>84381527.683574036</v>
      </c>
      <c r="G20" s="236">
        <f t="shared" si="0"/>
        <v>493577187.77980876</v>
      </c>
      <c r="H20" s="236">
        <f t="shared" si="0"/>
        <v>495061770.25810796</v>
      </c>
      <c r="I20" s="236">
        <f t="shared" si="0"/>
        <v>45825130.785796314</v>
      </c>
      <c r="J20" s="236">
        <f t="shared" si="0"/>
        <v>412604759.83255315</v>
      </c>
      <c r="K20" s="236">
        <f t="shared" si="0"/>
        <v>2965007.8912552227</v>
      </c>
      <c r="L20" s="236">
        <f t="shared" si="0"/>
        <v>5431862.4857546166</v>
      </c>
      <c r="M20" s="236">
        <f t="shared" si="0"/>
        <v>16723043.789282655</v>
      </c>
      <c r="N20" s="234">
        <f t="shared" si="1"/>
        <v>1576241438.6244912</v>
      </c>
      <c r="O20" s="241"/>
      <c r="P20" s="241"/>
      <c r="Q20" s="241"/>
      <c r="R20" s="241"/>
    </row>
    <row r="21" spans="1:18" ht="12.75" customHeight="1">
      <c r="A21" s="580">
        <f t="shared" si="2"/>
        <v>10</v>
      </c>
      <c r="B21" s="580"/>
      <c r="C21" s="740" t="s">
        <v>2690</v>
      </c>
      <c r="D21" s="236">
        <f t="shared" si="3"/>
        <v>0</v>
      </c>
      <c r="E21" s="236">
        <f t="shared" si="3"/>
        <v>19891911.267957151</v>
      </c>
      <c r="F21" s="236">
        <f t="shared" si="0"/>
        <v>85854639.171012044</v>
      </c>
      <c r="G21" s="236">
        <f t="shared" si="0"/>
        <v>500468911.09418929</v>
      </c>
      <c r="H21" s="236">
        <f t="shared" si="0"/>
        <v>499785590.98965532</v>
      </c>
      <c r="I21" s="236">
        <f t="shared" si="0"/>
        <v>46365835.978503279</v>
      </c>
      <c r="J21" s="236">
        <f t="shared" si="0"/>
        <v>411436307.5872435</v>
      </c>
      <c r="K21" s="236">
        <f t="shared" si="0"/>
        <v>3225332.9979892545</v>
      </c>
      <c r="L21" s="236">
        <f t="shared" si="0"/>
        <v>5470399.6217375118</v>
      </c>
      <c r="M21" s="236">
        <f t="shared" si="0"/>
        <v>16939955.09548068</v>
      </c>
      <c r="N21" s="234">
        <f t="shared" si="1"/>
        <v>1589438883.8037679</v>
      </c>
      <c r="O21" s="241"/>
      <c r="P21" s="241"/>
      <c r="Q21" s="241"/>
      <c r="R21" s="241"/>
    </row>
    <row r="22" spans="1:18" ht="12.75" customHeight="1">
      <c r="A22" s="580">
        <f t="shared" si="2"/>
        <v>11</v>
      </c>
      <c r="B22" s="580"/>
      <c r="C22" s="741" t="s">
        <v>2691</v>
      </c>
      <c r="D22" s="236">
        <f t="shared" si="3"/>
        <v>0</v>
      </c>
      <c r="E22" s="236">
        <f t="shared" si="3"/>
        <v>20119707.577015713</v>
      </c>
      <c r="F22" s="236">
        <f t="shared" si="0"/>
        <v>86660237.7258109</v>
      </c>
      <c r="G22" s="236">
        <f t="shared" si="0"/>
        <v>507400303.97938997</v>
      </c>
      <c r="H22" s="236">
        <f t="shared" si="0"/>
        <v>503523455.28187233</v>
      </c>
      <c r="I22" s="236">
        <f t="shared" si="0"/>
        <v>46501419.723334789</v>
      </c>
      <c r="J22" s="236">
        <f t="shared" si="0"/>
        <v>416480842.41036952</v>
      </c>
      <c r="K22" s="236">
        <f t="shared" si="0"/>
        <v>3453030.3798277061</v>
      </c>
      <c r="L22" s="236">
        <f t="shared" si="0"/>
        <v>6009297.1402837941</v>
      </c>
      <c r="M22" s="236">
        <f t="shared" si="0"/>
        <v>17159383.30604808</v>
      </c>
      <c r="N22" s="234">
        <f t="shared" si="1"/>
        <v>1607307677.5239527</v>
      </c>
      <c r="O22" s="241"/>
      <c r="P22" s="241"/>
      <c r="Q22" s="241"/>
      <c r="R22" s="241"/>
    </row>
    <row r="23" spans="1:18" ht="12.75" customHeight="1">
      <c r="A23" s="580">
        <f t="shared" si="2"/>
        <v>12</v>
      </c>
      <c r="B23" s="580"/>
      <c r="C23" s="741" t="s">
        <v>2692</v>
      </c>
      <c r="D23" s="236">
        <f t="shared" si="3"/>
        <v>0</v>
      </c>
      <c r="E23" s="236">
        <f t="shared" si="3"/>
        <v>20345360.097607587</v>
      </c>
      <c r="F23" s="236">
        <f t="shared" si="0"/>
        <v>88098215.370012209</v>
      </c>
      <c r="G23" s="236">
        <f t="shared" si="0"/>
        <v>514267080.51288569</v>
      </c>
      <c r="H23" s="236">
        <f t="shared" si="0"/>
        <v>507772421.52019131</v>
      </c>
      <c r="I23" s="236">
        <f t="shared" si="0"/>
        <v>45937859.869753093</v>
      </c>
      <c r="J23" s="236">
        <f t="shared" si="0"/>
        <v>417577654.96133363</v>
      </c>
      <c r="K23" s="236">
        <f t="shared" si="0"/>
        <v>3568060.4978088252</v>
      </c>
      <c r="L23" s="236">
        <f t="shared" si="0"/>
        <v>6276834.8221778441</v>
      </c>
      <c r="M23" s="236">
        <f t="shared" si="0"/>
        <v>17371470.534461863</v>
      </c>
      <c r="N23" s="234">
        <f t="shared" si="1"/>
        <v>1621214958.1862321</v>
      </c>
      <c r="O23" s="241"/>
      <c r="P23" s="241"/>
      <c r="Q23" s="241"/>
      <c r="R23" s="241"/>
    </row>
    <row r="24" spans="1:18">
      <c r="A24" s="580">
        <f t="shared" si="2"/>
        <v>13</v>
      </c>
      <c r="B24" s="580"/>
      <c r="C24" s="740" t="s">
        <v>2693</v>
      </c>
      <c r="D24" s="117">
        <v>0</v>
      </c>
      <c r="E24" s="117">
        <v>20570771.263630729</v>
      </c>
      <c r="F24" s="117">
        <v>90912859.774352491</v>
      </c>
      <c r="G24" s="117">
        <v>521029731.19827735</v>
      </c>
      <c r="H24" s="117">
        <v>508793022.97525769</v>
      </c>
      <c r="I24" s="117">
        <v>46422545.596403174</v>
      </c>
      <c r="J24" s="117">
        <v>417546824.55132133</v>
      </c>
      <c r="K24" s="117">
        <v>3830318.0792135773</v>
      </c>
      <c r="L24" s="117">
        <v>6981972.4030607948</v>
      </c>
      <c r="M24" s="117">
        <v>17589054.157599293</v>
      </c>
      <c r="N24" s="369">
        <f t="shared" si="1"/>
        <v>1633677099.9991164</v>
      </c>
      <c r="O24" s="241"/>
      <c r="P24" s="241"/>
      <c r="Q24" s="241"/>
      <c r="R24" s="241"/>
    </row>
    <row r="25" spans="1:18">
      <c r="A25" s="580">
        <f t="shared" si="2"/>
        <v>14</v>
      </c>
      <c r="B25" s="232"/>
      <c r="C25" s="1201" t="s">
        <v>1202</v>
      </c>
      <c r="D25" s="234">
        <f t="shared" ref="D25:M25" si="4">AVERAGE(D12:D24)</f>
        <v>0</v>
      </c>
      <c r="E25" s="234">
        <f>AVERAGE(E12:E24)</f>
        <v>19328125.492495887</v>
      </c>
      <c r="F25" s="234">
        <f t="shared" si="4"/>
        <v>80976612.781070799</v>
      </c>
      <c r="G25" s="234">
        <f t="shared" si="4"/>
        <v>480143633.66140854</v>
      </c>
      <c r="H25" s="234">
        <f t="shared" si="4"/>
        <v>488645910.71727902</v>
      </c>
      <c r="I25" s="234">
        <f t="shared" si="4"/>
        <v>44946113.647530876</v>
      </c>
      <c r="J25" s="234">
        <f t="shared" si="4"/>
        <v>414193021.17788029</v>
      </c>
      <c r="K25" s="234">
        <f t="shared" si="4"/>
        <v>2369735.2171078282</v>
      </c>
      <c r="L25" s="234">
        <f t="shared" si="4"/>
        <v>4728003.9933159444</v>
      </c>
      <c r="M25" s="234">
        <f t="shared" si="4"/>
        <v>16286988.785577515</v>
      </c>
      <c r="N25" s="234">
        <f t="shared" si="1"/>
        <v>1551618145.4736667</v>
      </c>
      <c r="O25" s="241"/>
      <c r="P25" s="241"/>
      <c r="Q25" s="241"/>
      <c r="R25" s="241"/>
    </row>
    <row r="26" spans="1:18">
      <c r="A26" s="232"/>
      <c r="B26" s="232"/>
      <c r="C26" s="232"/>
      <c r="D26" s="232"/>
      <c r="E26" s="232"/>
      <c r="F26" s="232"/>
      <c r="G26" s="232"/>
      <c r="H26" s="232"/>
      <c r="I26" s="232"/>
      <c r="J26" s="232"/>
      <c r="K26" s="232"/>
      <c r="L26" s="232"/>
      <c r="M26" s="232"/>
      <c r="N26" s="232"/>
      <c r="O26" s="241"/>
      <c r="P26" s="241"/>
      <c r="Q26" s="241"/>
      <c r="R26" s="241"/>
    </row>
    <row r="27" spans="1:18">
      <c r="A27" s="232"/>
      <c r="B27" s="398" t="s">
        <v>1554</v>
      </c>
      <c r="C27" s="232"/>
      <c r="D27" s="232"/>
      <c r="E27" s="232"/>
      <c r="F27" s="232"/>
      <c r="G27" s="232"/>
      <c r="H27" s="232"/>
      <c r="I27" s="232"/>
      <c r="J27" s="232"/>
      <c r="K27" s="232"/>
      <c r="L27" s="232"/>
      <c r="M27" s="232"/>
      <c r="N27" s="232"/>
      <c r="O27" s="241"/>
      <c r="P27" s="241"/>
      <c r="Q27" s="241"/>
      <c r="R27" s="241"/>
    </row>
    <row r="28" spans="1:18">
      <c r="A28" s="232"/>
      <c r="B28" s="398"/>
      <c r="C28" s="232"/>
      <c r="D28" s="232"/>
      <c r="E28" s="232"/>
      <c r="F28" s="232"/>
      <c r="G28" s="232"/>
      <c r="H28" s="232"/>
      <c r="I28" s="232"/>
      <c r="J28" s="232"/>
      <c r="K28" s="232"/>
      <c r="L28" s="232"/>
      <c r="M28" s="232"/>
      <c r="N28" s="232"/>
      <c r="O28" s="241"/>
      <c r="P28" s="241"/>
      <c r="Q28" s="241"/>
      <c r="R28" s="241"/>
    </row>
    <row r="29" spans="1:18">
      <c r="A29" s="232"/>
      <c r="B29" s="232"/>
      <c r="C29" s="84" t="s">
        <v>363</v>
      </c>
      <c r="D29" s="84" t="s">
        <v>347</v>
      </c>
      <c r="E29" s="84" t="s">
        <v>348</v>
      </c>
      <c r="F29" s="84" t="s">
        <v>349</v>
      </c>
      <c r="G29" s="84" t="s">
        <v>350</v>
      </c>
      <c r="H29" s="232"/>
      <c r="I29" s="232"/>
      <c r="J29" s="232"/>
      <c r="K29" s="232"/>
      <c r="L29" s="232"/>
      <c r="M29" s="232"/>
      <c r="N29" s="232"/>
      <c r="O29" s="241"/>
      <c r="P29" s="241"/>
      <c r="Q29" s="241"/>
      <c r="R29" s="241"/>
    </row>
    <row r="30" spans="1:18">
      <c r="A30" s="232"/>
      <c r="B30" s="232"/>
      <c r="C30" s="232"/>
      <c r="D30" s="526" t="s">
        <v>12</v>
      </c>
      <c r="E30" s="232"/>
      <c r="F30" s="232"/>
      <c r="G30" s="464" t="s">
        <v>1670</v>
      </c>
      <c r="H30" s="232"/>
      <c r="I30" s="232"/>
      <c r="J30" s="232"/>
      <c r="K30" s="232"/>
      <c r="L30" s="232"/>
      <c r="M30" s="232"/>
      <c r="N30" s="232"/>
      <c r="O30" s="527"/>
      <c r="P30" s="241"/>
      <c r="Q30" s="241"/>
      <c r="R30" s="241"/>
    </row>
    <row r="31" spans="1:18">
      <c r="A31" s="232"/>
      <c r="B31" s="232"/>
      <c r="C31" s="232"/>
      <c r="D31" s="526" t="s">
        <v>975</v>
      </c>
      <c r="E31" s="232"/>
      <c r="F31" s="232"/>
      <c r="G31" s="232"/>
      <c r="H31" s="232"/>
      <c r="I31" s="232"/>
      <c r="J31" s="232"/>
      <c r="K31" s="232"/>
      <c r="L31" s="232"/>
      <c r="M31" s="232"/>
      <c r="N31" s="232"/>
      <c r="O31" s="468"/>
      <c r="P31" s="241"/>
      <c r="Q31" s="241"/>
      <c r="R31" s="241"/>
    </row>
    <row r="32" spans="1:18">
      <c r="A32" s="232"/>
      <c r="B32" s="232"/>
      <c r="C32" s="125" t="s">
        <v>1780</v>
      </c>
      <c r="D32" s="84">
        <v>360</v>
      </c>
      <c r="E32" s="84">
        <v>361</v>
      </c>
      <c r="F32" s="84">
        <v>362</v>
      </c>
      <c r="G32" s="3" t="s">
        <v>196</v>
      </c>
      <c r="H32" s="963" t="s">
        <v>168</v>
      </c>
      <c r="I32" s="241"/>
      <c r="J32" s="241"/>
      <c r="K32" s="232"/>
      <c r="L32" s="232"/>
      <c r="M32" s="232"/>
      <c r="N32" s="232"/>
      <c r="O32" s="468"/>
      <c r="P32" s="241"/>
      <c r="Q32" s="241"/>
      <c r="R32" s="241"/>
    </row>
    <row r="33" spans="1:18">
      <c r="A33" s="580">
        <f>A25+1</f>
        <v>15</v>
      </c>
      <c r="C33" s="740" t="s">
        <v>2428</v>
      </c>
      <c r="D33" s="1083">
        <v>0</v>
      </c>
      <c r="E33" s="1083">
        <v>0</v>
      </c>
      <c r="F33" s="1083">
        <v>0</v>
      </c>
      <c r="G33" s="234">
        <f>SUM(D33:F33)</f>
        <v>0</v>
      </c>
      <c r="H33" s="482" t="s">
        <v>1781</v>
      </c>
      <c r="I33" s="241"/>
      <c r="J33" s="241"/>
      <c r="K33" s="232"/>
      <c r="L33" s="232"/>
      <c r="M33" s="232"/>
      <c r="N33" s="232"/>
      <c r="O33" s="468"/>
      <c r="P33" s="241"/>
      <c r="Q33" s="241"/>
      <c r="R33" s="241"/>
    </row>
    <row r="34" spans="1:18">
      <c r="A34" s="580">
        <v>16</v>
      </c>
      <c r="C34" s="740" t="s">
        <v>2693</v>
      </c>
      <c r="D34" s="400">
        <v>0</v>
      </c>
      <c r="E34" s="400">
        <v>0</v>
      </c>
      <c r="F34" s="400">
        <v>0</v>
      </c>
      <c r="G34" s="369">
        <f>SUM(D34:F34)</f>
        <v>0</v>
      </c>
      <c r="H34" s="482" t="s">
        <v>89</v>
      </c>
      <c r="I34" s="241"/>
      <c r="J34" s="241"/>
      <c r="K34" s="232"/>
      <c r="L34" s="232"/>
      <c r="O34" s="468"/>
      <c r="P34" s="241"/>
      <c r="Q34" s="241"/>
      <c r="R34" s="241"/>
    </row>
    <row r="35" spans="1:18">
      <c r="A35" s="580">
        <f>A34+1</f>
        <v>17</v>
      </c>
      <c r="C35" s="233" t="s">
        <v>1333</v>
      </c>
      <c r="D35" s="234">
        <f>AVERAGE(D33:D34)</f>
        <v>0</v>
      </c>
      <c r="E35" s="234">
        <f>AVERAGE(E33:E34)</f>
        <v>0</v>
      </c>
      <c r="F35" s="234">
        <f>AVERAGE(F33:F34)</f>
        <v>0</v>
      </c>
      <c r="G35" s="234">
        <f>AVERAGE(G33:G34)</f>
        <v>0</v>
      </c>
      <c r="H35" s="247" t="str">
        <f>"Average of Line "&amp;A33&amp;" and Line "&amp;A34&amp;""</f>
        <v>Average of Line 15 and Line 16</v>
      </c>
      <c r="I35" s="232"/>
      <c r="J35" s="232"/>
      <c r="K35" s="232"/>
      <c r="M35" s="643"/>
      <c r="N35" s="613"/>
      <c r="O35" s="468"/>
      <c r="P35" s="241"/>
      <c r="Q35" s="241"/>
      <c r="R35" s="241"/>
    </row>
    <row r="36" spans="1:18">
      <c r="C36" s="233"/>
      <c r="I36" s="232"/>
      <c r="J36" s="232"/>
      <c r="K36" s="232"/>
      <c r="M36" s="636"/>
      <c r="N36" s="1212"/>
      <c r="O36" s="468"/>
      <c r="P36" s="241"/>
      <c r="Q36" s="241"/>
      <c r="R36" s="241"/>
    </row>
    <row r="37" spans="1:18">
      <c r="B37" s="398" t="s">
        <v>1551</v>
      </c>
      <c r="I37" s="232"/>
      <c r="J37" s="232"/>
      <c r="K37" s="232"/>
      <c r="L37" s="232"/>
      <c r="M37" s="643"/>
      <c r="N37" s="1212"/>
      <c r="O37" s="468"/>
      <c r="P37" s="241"/>
      <c r="Q37" s="241"/>
      <c r="R37" s="241"/>
    </row>
    <row r="38" spans="1:18" ht="15">
      <c r="B38" s="372"/>
      <c r="C38" s="360" t="s">
        <v>363</v>
      </c>
      <c r="D38" s="360" t="s">
        <v>347</v>
      </c>
      <c r="E38" s="360" t="s">
        <v>348</v>
      </c>
      <c r="F38" s="360" t="s">
        <v>349</v>
      </c>
      <c r="G38" s="360" t="s">
        <v>350</v>
      </c>
      <c r="J38" s="232"/>
      <c r="K38" s="235"/>
      <c r="L38" s="232"/>
      <c r="O38" s="241"/>
      <c r="P38" s="241"/>
      <c r="Q38" s="241"/>
      <c r="R38" s="241"/>
    </row>
    <row r="39" spans="1:18" ht="15">
      <c r="B39" s="372"/>
      <c r="C39" s="360"/>
      <c r="D39" s="360"/>
      <c r="E39" s="549" t="s">
        <v>1808</v>
      </c>
      <c r="F39" s="360"/>
      <c r="G39" s="360"/>
      <c r="J39" s="232"/>
      <c r="K39" s="235"/>
      <c r="L39" s="232"/>
      <c r="O39" s="241"/>
      <c r="P39" s="241"/>
      <c r="Q39" s="241"/>
      <c r="R39" s="241"/>
    </row>
    <row r="40" spans="1:18">
      <c r="C40" s="14"/>
      <c r="D40" s="14"/>
      <c r="E40" s="456" t="s">
        <v>196</v>
      </c>
      <c r="F40" s="14"/>
      <c r="G40" s="14"/>
      <c r="J40" s="232"/>
      <c r="K40" s="235"/>
      <c r="L40" s="232"/>
      <c r="O40" s="241"/>
      <c r="P40" s="241"/>
      <c r="Q40" s="241"/>
      <c r="R40" s="241"/>
    </row>
    <row r="41" spans="1:18">
      <c r="B41" s="232"/>
      <c r="C41" s="14"/>
      <c r="D41" s="241"/>
      <c r="E41" s="456" t="s">
        <v>1807</v>
      </c>
      <c r="F41" s="111" t="s">
        <v>1223</v>
      </c>
      <c r="G41" s="111" t="s">
        <v>1224</v>
      </c>
      <c r="J41" s="232"/>
      <c r="K41" s="235"/>
      <c r="L41" s="232"/>
      <c r="O41" s="241"/>
      <c r="P41" s="241"/>
      <c r="Q41" s="241"/>
      <c r="R41" s="241"/>
    </row>
    <row r="42" spans="1:18">
      <c r="B42" s="232"/>
      <c r="C42" s="14"/>
      <c r="D42" s="241"/>
      <c r="E42" s="456" t="s">
        <v>1334</v>
      </c>
      <c r="F42" s="456" t="s">
        <v>1334</v>
      </c>
      <c r="G42" s="456" t="s">
        <v>1334</v>
      </c>
      <c r="J42" s="232"/>
      <c r="K42" s="235"/>
      <c r="L42" s="232"/>
      <c r="Q42" s="241"/>
      <c r="R42" s="241"/>
    </row>
    <row r="43" spans="1:18">
      <c r="B43" s="232"/>
      <c r="C43" s="125" t="s">
        <v>1780</v>
      </c>
      <c r="D43" s="241"/>
      <c r="E43" s="457" t="s">
        <v>1335</v>
      </c>
      <c r="F43" s="457" t="s">
        <v>1335</v>
      </c>
      <c r="G43" s="457" t="s">
        <v>1335</v>
      </c>
      <c r="H43" s="401" t="s">
        <v>179</v>
      </c>
      <c r="J43" s="232"/>
      <c r="K43" s="370"/>
      <c r="L43" s="232"/>
      <c r="O43" s="241"/>
      <c r="P43" s="241"/>
      <c r="Q43" s="241"/>
      <c r="R43" s="241"/>
    </row>
    <row r="44" spans="1:18">
      <c r="A44" s="580">
        <f>A35+1</f>
        <v>18</v>
      </c>
      <c r="B44" s="232"/>
      <c r="C44" s="740" t="s">
        <v>2428</v>
      </c>
      <c r="D44" s="1202" t="s">
        <v>1331</v>
      </c>
      <c r="E44" s="236">
        <f>SUM(F44:G44)</f>
        <v>1917414678</v>
      </c>
      <c r="F44" s="1083">
        <v>1073416375</v>
      </c>
      <c r="G44" s="600">
        <v>843998303</v>
      </c>
      <c r="H44" s="468" t="s">
        <v>1809</v>
      </c>
      <c r="I44" s="14"/>
      <c r="J44" s="241"/>
      <c r="L44" s="232"/>
      <c r="O44" s="241"/>
      <c r="P44" s="241"/>
      <c r="Q44" s="241"/>
      <c r="R44" s="241"/>
    </row>
    <row r="45" spans="1:18">
      <c r="A45" s="580">
        <f>A44+1</f>
        <v>19</v>
      </c>
      <c r="B45" s="232"/>
      <c r="C45" s="740" t="s">
        <v>2693</v>
      </c>
      <c r="D45" s="233" t="s">
        <v>1332</v>
      </c>
      <c r="E45" s="463">
        <f>SUM(F45:G45)</f>
        <v>1736829507</v>
      </c>
      <c r="F45" s="1083">
        <v>1094912964</v>
      </c>
      <c r="G45" s="600">
        <v>641916543</v>
      </c>
      <c r="H45" s="468" t="s">
        <v>1810</v>
      </c>
      <c r="I45" s="14"/>
      <c r="J45" s="241"/>
      <c r="K45" s="1224"/>
      <c r="L45" s="232"/>
      <c r="O45" s="241"/>
      <c r="P45" s="241"/>
      <c r="Q45" s="241"/>
      <c r="R45" s="241"/>
    </row>
    <row r="46" spans="1:18">
      <c r="A46" s="580">
        <f>A45+1</f>
        <v>20</v>
      </c>
      <c r="B46" s="232"/>
      <c r="D46" s="233" t="s">
        <v>1333</v>
      </c>
      <c r="E46" s="234">
        <f>AVERAGE(E44:E45)</f>
        <v>1827122092.5</v>
      </c>
      <c r="H46" s="247" t="str">
        <f>"Average of Line "&amp;A44&amp;" and Line "&amp;A45&amp;""</f>
        <v>Average of Line 18 and Line 19</v>
      </c>
      <c r="J46" s="232"/>
      <c r="K46" s="1224"/>
      <c r="L46" s="232"/>
      <c r="O46" s="241"/>
      <c r="P46" s="241"/>
      <c r="Q46" s="241"/>
      <c r="R46" s="241"/>
    </row>
    <row r="47" spans="1:18">
      <c r="I47" s="232"/>
      <c r="J47" s="232"/>
      <c r="K47" s="232"/>
      <c r="L47" s="232"/>
      <c r="O47" s="241"/>
      <c r="P47" s="241"/>
      <c r="Q47" s="241"/>
      <c r="R47" s="241"/>
    </row>
    <row r="48" spans="1:18">
      <c r="B48" s="1" t="s">
        <v>1336</v>
      </c>
      <c r="C48" s="648"/>
      <c r="D48" s="1208"/>
      <c r="E48" s="232"/>
      <c r="F48" s="232"/>
      <c r="G48" s="232"/>
      <c r="H48" s="232"/>
      <c r="I48" s="232"/>
      <c r="J48" s="232"/>
      <c r="K48" s="232"/>
      <c r="L48" s="232"/>
      <c r="M48" s="232"/>
      <c r="N48" s="232"/>
      <c r="O48" s="241"/>
      <c r="P48" s="241"/>
      <c r="Q48" s="241"/>
      <c r="R48" s="241"/>
    </row>
    <row r="49" spans="1:18">
      <c r="B49" s="1"/>
      <c r="C49" s="648"/>
      <c r="D49" s="1208"/>
      <c r="E49" s="232"/>
      <c r="F49" s="232"/>
      <c r="G49" s="232"/>
      <c r="H49" s="232"/>
      <c r="I49" s="232"/>
      <c r="J49" s="232"/>
      <c r="K49" s="232"/>
      <c r="L49" s="232"/>
      <c r="M49" s="232"/>
      <c r="N49" s="232"/>
      <c r="O49" s="241"/>
      <c r="P49" s="241"/>
      <c r="Q49" s="241"/>
      <c r="R49" s="241"/>
    </row>
    <row r="50" spans="1:18">
      <c r="B50" s="232"/>
      <c r="C50" s="1"/>
      <c r="D50" s="648"/>
      <c r="E50" s="1208"/>
      <c r="F50" s="370" t="s">
        <v>175</v>
      </c>
      <c r="G50" s="401" t="s">
        <v>179</v>
      </c>
      <c r="H50" s="232"/>
      <c r="I50" s="232"/>
      <c r="J50" s="232"/>
      <c r="K50" s="232"/>
      <c r="L50" s="232"/>
      <c r="M50" s="232"/>
      <c r="N50" s="232"/>
      <c r="O50" s="241"/>
      <c r="P50" s="241"/>
      <c r="Q50" s="241"/>
      <c r="R50" s="241"/>
    </row>
    <row r="51" spans="1:18">
      <c r="A51" s="580">
        <f>A46+1</f>
        <v>21</v>
      </c>
      <c r="B51" s="232"/>
      <c r="C51" s="648"/>
      <c r="D51" s="648"/>
      <c r="E51" s="1202" t="s">
        <v>1337</v>
      </c>
      <c r="F51" s="1203">
        <f>E46</f>
        <v>1827122092.5</v>
      </c>
      <c r="G51" s="247" t="str">
        <f>"Line "&amp;A46&amp;""</f>
        <v>Line 20</v>
      </c>
      <c r="H51" s="232"/>
      <c r="I51" s="232"/>
      <c r="J51" s="232"/>
      <c r="K51" s="232"/>
      <c r="L51" s="232"/>
      <c r="M51" s="232"/>
      <c r="N51" s="232"/>
      <c r="O51" s="241"/>
      <c r="P51" s="241"/>
      <c r="Q51" s="241"/>
      <c r="R51" s="241"/>
    </row>
    <row r="52" spans="1:18">
      <c r="A52" s="580">
        <f>A51+1</f>
        <v>22</v>
      </c>
      <c r="B52" s="232"/>
      <c r="C52" s="648"/>
      <c r="D52" s="648"/>
      <c r="E52" s="617" t="s">
        <v>241</v>
      </c>
      <c r="F52" s="1224">
        <f>'27-Allocators'!G14</f>
        <v>6.0143362776597958E-2</v>
      </c>
      <c r="G52" s="468" t="str">
        <f>"27-Allocators, Line "&amp;'27-Allocators'!A14&amp;""</f>
        <v>27-Allocators, Line 9</v>
      </c>
      <c r="H52" s="232"/>
      <c r="I52" s="232"/>
      <c r="J52" s="232"/>
      <c r="K52" s="232"/>
      <c r="L52" s="232"/>
      <c r="M52" s="232"/>
      <c r="N52" s="232"/>
      <c r="O52" s="241"/>
      <c r="P52" s="241"/>
      <c r="Q52" s="241"/>
      <c r="R52" s="241"/>
    </row>
    <row r="53" spans="1:18">
      <c r="A53" s="580">
        <f>A52+1</f>
        <v>23</v>
      </c>
      <c r="B53" s="232"/>
      <c r="C53" s="648"/>
      <c r="D53" s="648"/>
      <c r="E53" s="617" t="s">
        <v>1338</v>
      </c>
      <c r="F53" s="1203">
        <f>F51*F52</f>
        <v>109889266.84636427</v>
      </c>
      <c r="G53" s="468" t="str">
        <f>"Line "&amp;A51&amp;" * Line "&amp;A52&amp;""</f>
        <v>Line 21 * Line 22</v>
      </c>
      <c r="H53" s="232"/>
      <c r="I53" s="232"/>
      <c r="J53" s="232"/>
      <c r="K53" s="232"/>
      <c r="L53" s="232"/>
      <c r="M53" s="232"/>
      <c r="O53" s="241"/>
      <c r="P53" s="241"/>
      <c r="Q53" s="241"/>
      <c r="R53" s="241"/>
    </row>
    <row r="54" spans="1:18">
      <c r="B54" s="648"/>
      <c r="C54" s="648"/>
      <c r="D54" s="617"/>
      <c r="E54" s="1203"/>
      <c r="F54" s="232"/>
      <c r="G54" s="241"/>
      <c r="H54" s="232"/>
      <c r="I54" s="232"/>
      <c r="J54" s="232"/>
      <c r="K54" s="232"/>
      <c r="L54" s="232"/>
      <c r="M54" s="232"/>
      <c r="O54" s="241"/>
      <c r="P54" s="241"/>
      <c r="Q54" s="241"/>
      <c r="R54" s="241"/>
    </row>
    <row r="55" spans="1:18">
      <c r="B55" s="1" t="s">
        <v>2210</v>
      </c>
      <c r="C55" s="648"/>
      <c r="D55" s="1208"/>
      <c r="E55" s="232"/>
      <c r="F55" s="232"/>
      <c r="G55" s="241"/>
      <c r="H55" s="232"/>
      <c r="I55" s="232"/>
      <c r="J55" s="232"/>
      <c r="K55" s="232"/>
      <c r="L55" s="232"/>
      <c r="M55" s="232"/>
      <c r="O55" s="241"/>
      <c r="P55" s="241"/>
      <c r="Q55" s="241"/>
      <c r="R55" s="241"/>
    </row>
    <row r="56" spans="1:18">
      <c r="B56" s="232"/>
      <c r="C56" s="232"/>
      <c r="D56" s="232"/>
      <c r="E56" s="232"/>
      <c r="F56" s="232"/>
      <c r="G56" s="241"/>
      <c r="H56" s="232"/>
      <c r="I56" s="232"/>
      <c r="J56" s="232"/>
      <c r="K56" s="232"/>
      <c r="L56" s="232"/>
      <c r="M56" s="232"/>
      <c r="O56" s="970"/>
      <c r="P56" s="1187"/>
      <c r="Q56" s="241"/>
      <c r="R56" s="241"/>
    </row>
    <row r="57" spans="1:18">
      <c r="B57" s="232"/>
      <c r="C57" s="232"/>
      <c r="D57" s="232"/>
      <c r="E57" s="232"/>
      <c r="F57" s="370" t="s">
        <v>175</v>
      </c>
      <c r="G57" s="527" t="s">
        <v>179</v>
      </c>
      <c r="H57" s="232"/>
      <c r="I57" s="232"/>
      <c r="J57" s="232"/>
      <c r="K57" s="232"/>
      <c r="L57" s="232"/>
      <c r="M57" s="232"/>
      <c r="O57" s="657"/>
      <c r="P57" s="657"/>
      <c r="Q57" s="241"/>
      <c r="R57" s="241"/>
    </row>
    <row r="58" spans="1:18">
      <c r="A58" s="580">
        <f>A53+1</f>
        <v>24</v>
      </c>
      <c r="B58" s="648"/>
      <c r="C58" s="648"/>
      <c r="E58" s="1202" t="s">
        <v>1339</v>
      </c>
      <c r="F58" s="1203">
        <f>E45</f>
        <v>1736829507</v>
      </c>
      <c r="G58" s="468" t="str">
        <f>"Line "&amp;A45&amp;""</f>
        <v>Line 19</v>
      </c>
      <c r="H58" s="232"/>
      <c r="I58" s="232"/>
      <c r="J58" s="232"/>
      <c r="K58" s="232"/>
      <c r="L58" s="232"/>
      <c r="M58" s="232"/>
      <c r="O58" s="1225"/>
      <c r="P58" s="659"/>
      <c r="Q58" s="241"/>
      <c r="R58" s="241"/>
    </row>
    <row r="59" spans="1:18">
      <c r="A59" s="580">
        <f>A58+1</f>
        <v>25</v>
      </c>
      <c r="B59" s="648"/>
      <c r="C59" s="648"/>
      <c r="E59" s="617" t="s">
        <v>241</v>
      </c>
      <c r="F59" s="1224">
        <f>'27-Allocators'!G14</f>
        <v>6.0143362776597958E-2</v>
      </c>
      <c r="G59" s="468" t="str">
        <f>"27-Allocators, Line "&amp;'27-Allocators'!A14&amp;""</f>
        <v>27-Allocators, Line 9</v>
      </c>
      <c r="H59" s="232"/>
      <c r="I59" s="232"/>
      <c r="J59" s="232"/>
      <c r="K59" s="232"/>
      <c r="L59" s="232"/>
      <c r="M59" s="232"/>
      <c r="O59" s="1225"/>
      <c r="P59" s="659"/>
      <c r="Q59" s="241"/>
      <c r="R59" s="241"/>
    </row>
    <row r="60" spans="1:18">
      <c r="A60" s="580">
        <f>A59+1</f>
        <v>26</v>
      </c>
      <c r="B60" s="648"/>
      <c r="C60" s="648"/>
      <c r="E60" s="617" t="s">
        <v>1340</v>
      </c>
      <c r="F60" s="1203">
        <f>F58*F59</f>
        <v>104458767.12060079</v>
      </c>
      <c r="G60" s="247" t="str">
        <f>"Line "&amp;A58&amp;" * Line "&amp;A59&amp;""</f>
        <v>Line 24 * Line 25</v>
      </c>
      <c r="H60" s="232"/>
      <c r="I60" s="232"/>
      <c r="J60" s="232"/>
      <c r="K60" s="232"/>
      <c r="L60" s="232"/>
      <c r="M60" s="232"/>
      <c r="Q60" s="241"/>
      <c r="R60" s="241"/>
    </row>
    <row r="61" spans="1:18">
      <c r="B61" s="232"/>
      <c r="C61" s="232"/>
      <c r="D61" s="232"/>
      <c r="E61" s="232"/>
      <c r="F61" s="232"/>
      <c r="G61" s="232"/>
      <c r="H61" s="232"/>
      <c r="I61" s="232"/>
      <c r="J61" s="232"/>
      <c r="K61" s="232"/>
      <c r="L61" s="232"/>
      <c r="M61" s="232"/>
      <c r="Q61" s="241"/>
      <c r="R61" s="241"/>
    </row>
    <row r="62" spans="1:18">
      <c r="Q62" s="241"/>
      <c r="R62" s="241"/>
    </row>
    <row r="63" spans="1:18">
      <c r="B63" s="1" t="s">
        <v>1552</v>
      </c>
      <c r="Q63" s="241"/>
      <c r="R63" s="241"/>
    </row>
    <row r="64" spans="1:18">
      <c r="Q64" s="241"/>
      <c r="R64" s="241"/>
    </row>
    <row r="65" spans="1:14">
      <c r="C65" s="1" t="s">
        <v>2449</v>
      </c>
      <c r="D65" s="483"/>
      <c r="E65" s="483"/>
      <c r="F65" s="483"/>
      <c r="G65" s="483"/>
      <c r="H65" s="483"/>
      <c r="I65" s="483"/>
      <c r="J65" s="483"/>
      <c r="K65" s="483"/>
      <c r="L65" s="483"/>
    </row>
    <row r="66" spans="1:14">
      <c r="A66" s="483"/>
      <c r="C66" s="483"/>
      <c r="D66" s="483"/>
      <c r="E66" s="483"/>
      <c r="F66" s="483"/>
      <c r="G66" s="483"/>
      <c r="H66" s="483"/>
      <c r="I66" s="483"/>
      <c r="J66" s="483"/>
      <c r="K66" s="483"/>
      <c r="L66" s="483"/>
    </row>
    <row r="67" spans="1:14">
      <c r="A67" s="398"/>
      <c r="C67" s="84" t="s">
        <v>363</v>
      </c>
      <c r="D67" s="84" t="s">
        <v>347</v>
      </c>
      <c r="E67" s="84" t="s">
        <v>348</v>
      </c>
      <c r="F67" s="84" t="s">
        <v>349</v>
      </c>
      <c r="G67" s="84" t="s">
        <v>350</v>
      </c>
      <c r="H67" s="84" t="s">
        <v>351</v>
      </c>
      <c r="I67" s="84" t="s">
        <v>352</v>
      </c>
      <c r="J67" s="84" t="s">
        <v>544</v>
      </c>
      <c r="K67" s="84" t="s">
        <v>961</v>
      </c>
      <c r="L67" s="84" t="s">
        <v>974</v>
      </c>
      <c r="M67" s="84" t="s">
        <v>977</v>
      </c>
      <c r="N67" s="84" t="s">
        <v>995</v>
      </c>
    </row>
    <row r="68" spans="1:14">
      <c r="A68" s="232"/>
      <c r="C68" s="249"/>
      <c r="D68" s="232"/>
      <c r="E68" s="232"/>
      <c r="F68" s="232"/>
      <c r="G68" s="232"/>
      <c r="H68" s="232"/>
      <c r="I68" s="232"/>
      <c r="J68" s="232"/>
      <c r="K68" s="232"/>
      <c r="L68" s="232"/>
      <c r="N68" s="249" t="s">
        <v>1237</v>
      </c>
    </row>
    <row r="69" spans="1:14">
      <c r="A69" s="51"/>
      <c r="C69" s="125" t="s">
        <v>1780</v>
      </c>
      <c r="D69" s="84">
        <v>350.1</v>
      </c>
      <c r="E69" s="84">
        <v>350.2</v>
      </c>
      <c r="F69" s="84">
        <v>352</v>
      </c>
      <c r="G69" s="84">
        <v>353</v>
      </c>
      <c r="H69" s="84">
        <v>354</v>
      </c>
      <c r="I69" s="84">
        <v>355</v>
      </c>
      <c r="J69" s="84">
        <v>356</v>
      </c>
      <c r="K69" s="84">
        <v>357</v>
      </c>
      <c r="L69" s="84">
        <v>358</v>
      </c>
      <c r="M69" s="84">
        <v>359</v>
      </c>
      <c r="N69" s="3" t="s">
        <v>196</v>
      </c>
    </row>
    <row r="70" spans="1:14">
      <c r="A70" s="580">
        <f>A60+1</f>
        <v>27</v>
      </c>
      <c r="C70" s="741" t="s">
        <v>2682</v>
      </c>
      <c r="D70" s="497">
        <f>'17-Depreciation'!C48</f>
        <v>0</v>
      </c>
      <c r="E70" s="497">
        <f>'17-Depreciation'!D48</f>
        <v>228702.24939958984</v>
      </c>
      <c r="F70" s="497">
        <f>'17-Depreciation'!E48</f>
        <v>1138472.7581982927</v>
      </c>
      <c r="G70" s="497">
        <f>'17-Depreciation'!F48</f>
        <v>6687886.1321742674</v>
      </c>
      <c r="H70" s="497">
        <f>'17-Depreciation'!G48</f>
        <v>4542448.8387965197</v>
      </c>
      <c r="I70" s="497">
        <f>'17-Depreciation'!H48</f>
        <v>991689.74679432239</v>
      </c>
      <c r="J70" s="497">
        <f>'17-Depreciation'!I48</f>
        <v>3141255.4677464361</v>
      </c>
      <c r="K70" s="497">
        <f>'17-Depreciation'!J48</f>
        <v>255073.77020730244</v>
      </c>
      <c r="L70" s="497">
        <f>'17-Depreciation'!K48</f>
        <v>264292.2070505388</v>
      </c>
      <c r="M70" s="497">
        <f>'17-Depreciation'!L48</f>
        <v>236635.21123455852</v>
      </c>
      <c r="N70" s="234">
        <f t="shared" ref="N70:N82" si="5">SUM(D70:M70)</f>
        <v>17486456.381601829</v>
      </c>
    </row>
    <row r="71" spans="1:14">
      <c r="A71" s="580">
        <f t="shared" ref="A71:A82" si="6">A70+1</f>
        <v>28</v>
      </c>
      <c r="C71" s="740" t="s">
        <v>2683</v>
      </c>
      <c r="D71" s="497">
        <f>'17-Depreciation'!C49</f>
        <v>0</v>
      </c>
      <c r="E71" s="497">
        <f>'17-Depreciation'!D49</f>
        <v>228707.04949708984</v>
      </c>
      <c r="F71" s="497">
        <f>'17-Depreciation'!E49</f>
        <v>1132629.1609729489</v>
      </c>
      <c r="G71" s="497">
        <f>'17-Depreciation'!F49</f>
        <v>6689659.9672608264</v>
      </c>
      <c r="H71" s="497">
        <f>'17-Depreciation'!G49</f>
        <v>4536368.7292893995</v>
      </c>
      <c r="I71" s="497">
        <f>'17-Depreciation'!H49</f>
        <v>1026680.9508570669</v>
      </c>
      <c r="J71" s="497">
        <f>'17-Depreciation'!I49</f>
        <v>3132768.1452690824</v>
      </c>
      <c r="K71" s="497">
        <f>'17-Depreciation'!J49</f>
        <v>255278.03738339455</v>
      </c>
      <c r="L71" s="497">
        <f>'17-Depreciation'!K49</f>
        <v>264443.29299562506</v>
      </c>
      <c r="M71" s="497">
        <f>'17-Depreciation'!L49</f>
        <v>208163.75808582176</v>
      </c>
      <c r="N71" s="234">
        <f t="shared" si="5"/>
        <v>17474699.091611255</v>
      </c>
    </row>
    <row r="72" spans="1:14">
      <c r="A72" s="580">
        <f t="shared" si="6"/>
        <v>29</v>
      </c>
      <c r="C72" s="740" t="s">
        <v>2684</v>
      </c>
      <c r="D72" s="497">
        <f>'17-Depreciation'!C50</f>
        <v>0</v>
      </c>
      <c r="E72" s="497">
        <f>'17-Depreciation'!D50</f>
        <v>229334.62482258983</v>
      </c>
      <c r="F72" s="497">
        <f>'17-Depreciation'!E50</f>
        <v>1145539.8450665232</v>
      </c>
      <c r="G72" s="497">
        <f>'17-Depreciation'!F50</f>
        <v>6703280.2100742534</v>
      </c>
      <c r="H72" s="497">
        <f>'17-Depreciation'!G50</f>
        <v>4500032.9970045341</v>
      </c>
      <c r="I72" s="497">
        <f>'17-Depreciation'!H50</f>
        <v>1039729.0849443338</v>
      </c>
      <c r="J72" s="497">
        <f>'17-Depreciation'!I50</f>
        <v>3139036.8550647162</v>
      </c>
      <c r="K72" s="497">
        <f>'17-Depreciation'!J50</f>
        <v>255913.89188071841</v>
      </c>
      <c r="L72" s="497">
        <f>'17-Depreciation'!K50</f>
        <v>266950.74343646801</v>
      </c>
      <c r="M72" s="497">
        <f>'17-Depreciation'!L50</f>
        <v>210222.62916167302</v>
      </c>
      <c r="N72" s="234">
        <f t="shared" si="5"/>
        <v>17490040.881455809</v>
      </c>
    </row>
    <row r="73" spans="1:14">
      <c r="A73" s="580">
        <f t="shared" si="6"/>
        <v>30</v>
      </c>
      <c r="C73" s="741" t="s">
        <v>2685</v>
      </c>
      <c r="D73" s="497">
        <f>'17-Depreciation'!C51</f>
        <v>0</v>
      </c>
      <c r="E73" s="497">
        <f>'17-Depreciation'!D51</f>
        <v>229265.16350473664</v>
      </c>
      <c r="F73" s="497">
        <f>'17-Depreciation'!E51</f>
        <v>1141094.8929101534</v>
      </c>
      <c r="G73" s="497">
        <f>'17-Depreciation'!F51</f>
        <v>6710402.5649881409</v>
      </c>
      <c r="H73" s="497">
        <f>'17-Depreciation'!G51</f>
        <v>4526042.2601318136</v>
      </c>
      <c r="I73" s="497">
        <f>'17-Depreciation'!H51</f>
        <v>1048214.7371821963</v>
      </c>
      <c r="J73" s="497">
        <f>'17-Depreciation'!I51</f>
        <v>3154661.3217400517</v>
      </c>
      <c r="K73" s="497">
        <f>'17-Depreciation'!J51</f>
        <v>256246.89275058379</v>
      </c>
      <c r="L73" s="497">
        <f>'17-Depreciation'!K51</f>
        <v>269144.4741245826</v>
      </c>
      <c r="M73" s="497">
        <f>'17-Depreciation'!L51</f>
        <v>209889.84708663422</v>
      </c>
      <c r="N73" s="234">
        <f t="shared" si="5"/>
        <v>17544962.154418893</v>
      </c>
    </row>
    <row r="74" spans="1:14">
      <c r="A74" s="580">
        <f t="shared" si="6"/>
        <v>31</v>
      </c>
      <c r="C74" s="740" t="s">
        <v>2686</v>
      </c>
      <c r="D74" s="497">
        <f>'17-Depreciation'!C52</f>
        <v>0</v>
      </c>
      <c r="E74" s="497">
        <f>'17-Depreciation'!D52</f>
        <v>229265.95974796565</v>
      </c>
      <c r="F74" s="497">
        <f>'17-Depreciation'!E52</f>
        <v>1157229.2043108623</v>
      </c>
      <c r="G74" s="497">
        <f>'17-Depreciation'!F52</f>
        <v>6773145.3507203935</v>
      </c>
      <c r="H74" s="497">
        <f>'17-Depreciation'!G52</f>
        <v>4579025.9282058543</v>
      </c>
      <c r="I74" s="497">
        <f>'17-Depreciation'!H52</f>
        <v>1053896.5863405464</v>
      </c>
      <c r="J74" s="497">
        <f>'17-Depreciation'!I52</f>
        <v>3162506.9963963837</v>
      </c>
      <c r="K74" s="497">
        <f>'17-Depreciation'!J52</f>
        <v>256590.89686753319</v>
      </c>
      <c r="L74" s="497">
        <f>'17-Depreciation'!K52</f>
        <v>269419.54522262246</v>
      </c>
      <c r="M74" s="497">
        <f>'17-Depreciation'!L52</f>
        <v>210080.2055584249</v>
      </c>
      <c r="N74" s="234">
        <f t="shared" si="5"/>
        <v>17691160.673370589</v>
      </c>
    </row>
    <row r="75" spans="1:14">
      <c r="A75" s="580">
        <f t="shared" si="6"/>
        <v>32</v>
      </c>
      <c r="C75" s="740" t="s">
        <v>2687</v>
      </c>
      <c r="D75" s="497">
        <f>'17-Depreciation'!C53</f>
        <v>0</v>
      </c>
      <c r="E75" s="497">
        <f>'17-Depreciation'!D53</f>
        <v>229224.35185588259</v>
      </c>
      <c r="F75" s="497">
        <f>'17-Depreciation'!E53</f>
        <v>1175277.0568647161</v>
      </c>
      <c r="G75" s="497">
        <f>'17-Depreciation'!F53</f>
        <v>6798799.6305513903</v>
      </c>
      <c r="H75" s="497">
        <f>'17-Depreciation'!G53</f>
        <v>4591426.7081247242</v>
      </c>
      <c r="I75" s="497">
        <f>'17-Depreciation'!H53</f>
        <v>1056252.5377650557</v>
      </c>
      <c r="J75" s="497">
        <f>'17-Depreciation'!I53</f>
        <v>3157961.1764431465</v>
      </c>
      <c r="K75" s="497">
        <f>'17-Depreciation'!J53</f>
        <v>257286.61617498402</v>
      </c>
      <c r="L75" s="497">
        <f>'17-Depreciation'!K53</f>
        <v>269989.54541570711</v>
      </c>
      <c r="M75" s="497">
        <f>'17-Depreciation'!L53</f>
        <v>218854.00122876631</v>
      </c>
      <c r="N75" s="234">
        <f t="shared" si="5"/>
        <v>17755071.624424372</v>
      </c>
    </row>
    <row r="76" spans="1:14">
      <c r="A76" s="580">
        <f t="shared" si="6"/>
        <v>33</v>
      </c>
      <c r="C76" s="741" t="s">
        <v>2688</v>
      </c>
      <c r="D76" s="497">
        <f>'17-Depreciation'!C54</f>
        <v>0</v>
      </c>
      <c r="E76" s="497">
        <f>'17-Depreciation'!D54</f>
        <v>228989.37542073484</v>
      </c>
      <c r="F76" s="497">
        <f>'17-Depreciation'!E54</f>
        <v>1182288.3861653234</v>
      </c>
      <c r="G76" s="497">
        <f>'17-Depreciation'!F54</f>
        <v>6821130.5133935893</v>
      </c>
      <c r="H76" s="497">
        <f>'17-Depreciation'!G54</f>
        <v>4598079.5908574276</v>
      </c>
      <c r="I76" s="497">
        <f>'17-Depreciation'!H54</f>
        <v>1062396.2910712641</v>
      </c>
      <c r="J76" s="497">
        <f>'17-Depreciation'!I54</f>
        <v>3163876.1143896766</v>
      </c>
      <c r="K76" s="497">
        <f>'17-Depreciation'!J54</f>
        <v>259175.95904158964</v>
      </c>
      <c r="L76" s="497">
        <f>'17-Depreciation'!K54</f>
        <v>271514.49824552354</v>
      </c>
      <c r="M76" s="497">
        <f>'17-Depreciation'!L54</f>
        <v>218148.28765458963</v>
      </c>
      <c r="N76" s="234">
        <f t="shared" si="5"/>
        <v>17805599.016239714</v>
      </c>
    </row>
    <row r="77" spans="1:14">
      <c r="A77" s="580">
        <f t="shared" si="6"/>
        <v>34</v>
      </c>
      <c r="C77" s="740" t="s">
        <v>2689</v>
      </c>
      <c r="D77" s="497">
        <f>'17-Depreciation'!C55</f>
        <v>0</v>
      </c>
      <c r="E77" s="497">
        <f>'17-Depreciation'!D55</f>
        <v>228526.21654485224</v>
      </c>
      <c r="F77" s="497">
        <f>'17-Depreciation'!E55</f>
        <v>1186712.5960257836</v>
      </c>
      <c r="G77" s="497">
        <f>'17-Depreciation'!F55</f>
        <v>6836845.7020004503</v>
      </c>
      <c r="H77" s="497">
        <f>'17-Depreciation'!G55</f>
        <v>4602782.1815234842</v>
      </c>
      <c r="I77" s="497">
        <f>'17-Depreciation'!H55</f>
        <v>1070751.5070586291</v>
      </c>
      <c r="J77" s="497">
        <f>'17-Depreciation'!I55</f>
        <v>3161934.7860772423</v>
      </c>
      <c r="K77" s="497">
        <f>'17-Depreciation'!J55</f>
        <v>259358.98738024887</v>
      </c>
      <c r="L77" s="497">
        <f>'17-Depreciation'!K55</f>
        <v>271728.98517404043</v>
      </c>
      <c r="M77" s="497">
        <f>'17-Depreciation'!L55</f>
        <v>218191.93535412525</v>
      </c>
      <c r="N77" s="234">
        <f t="shared" si="5"/>
        <v>17836832.897138853</v>
      </c>
    </row>
    <row r="78" spans="1:14">
      <c r="A78" s="580">
        <f t="shared" si="6"/>
        <v>35</v>
      </c>
      <c r="C78" s="740" t="s">
        <v>2690</v>
      </c>
      <c r="D78" s="497">
        <f>'17-Depreciation'!C56</f>
        <v>0</v>
      </c>
      <c r="E78" s="497">
        <f>'17-Depreciation'!D56</f>
        <v>227873.92476073685</v>
      </c>
      <c r="F78" s="497">
        <f>'17-Depreciation'!E56</f>
        <v>1195679.3106650852</v>
      </c>
      <c r="G78" s="497">
        <f>'17-Depreciation'!F56</f>
        <v>6897061.5401857262</v>
      </c>
      <c r="H78" s="497">
        <f>'17-Depreciation'!G56</f>
        <v>4605668.7592364391</v>
      </c>
      <c r="I78" s="497">
        <f>'17-Depreciation'!H56</f>
        <v>1072796.5929769536</v>
      </c>
      <c r="J78" s="497">
        <f>'17-Depreciation'!I56</f>
        <v>3167178.6626897678</v>
      </c>
      <c r="K78" s="497">
        <f>'17-Depreciation'!J56</f>
        <v>259823.95450453818</v>
      </c>
      <c r="L78" s="497">
        <f>'17-Depreciation'!K56</f>
        <v>272137.29042281414</v>
      </c>
      <c r="M78" s="497">
        <f>'17-Depreciation'!L56</f>
        <v>218652.95238751193</v>
      </c>
      <c r="N78" s="234">
        <f t="shared" si="5"/>
        <v>17916872.987829573</v>
      </c>
    </row>
    <row r="79" spans="1:14">
      <c r="A79" s="580">
        <f t="shared" si="6"/>
        <v>36</v>
      </c>
      <c r="C79" s="741" t="s">
        <v>2691</v>
      </c>
      <c r="D79" s="497">
        <f>'17-Depreciation'!C57</f>
        <v>0</v>
      </c>
      <c r="E79" s="497">
        <f>'17-Depreciation'!D57</f>
        <v>227848.16928800082</v>
      </c>
      <c r="F79" s="497">
        <f>'17-Depreciation'!E57</f>
        <v>1199517.3886654619</v>
      </c>
      <c r="G79" s="497">
        <f>'17-Depreciation'!F57</f>
        <v>6903917.148293213</v>
      </c>
      <c r="H79" s="497">
        <f>'17-Depreciation'!G57</f>
        <v>4601469.6159662101</v>
      </c>
      <c r="I79" s="497">
        <f>'17-Depreciation'!H57</f>
        <v>1083182.3536128581</v>
      </c>
      <c r="J79" s="497">
        <f>'17-Depreciation'!I57</f>
        <v>3171523.0222935327</v>
      </c>
      <c r="K79" s="497">
        <f>'17-Depreciation'!J57</f>
        <v>260273.93688570635</v>
      </c>
      <c r="L79" s="497">
        <f>'17-Depreciation'!K57</f>
        <v>272467.33086480148</v>
      </c>
      <c r="M79" s="497">
        <f>'17-Depreciation'!L57</f>
        <v>219450.74089009117</v>
      </c>
      <c r="N79" s="234">
        <f t="shared" si="5"/>
        <v>17939649.706759878</v>
      </c>
    </row>
    <row r="80" spans="1:14">
      <c r="A80" s="580">
        <f t="shared" si="6"/>
        <v>37</v>
      </c>
      <c r="C80" s="741" t="s">
        <v>2692</v>
      </c>
      <c r="D80" s="497">
        <f>'17-Depreciation'!C58</f>
        <v>0</v>
      </c>
      <c r="E80" s="497">
        <f>'17-Depreciation'!D58</f>
        <v>227847.17112579473</v>
      </c>
      <c r="F80" s="497">
        <f>'17-Depreciation'!E58</f>
        <v>1194386.8643135231</v>
      </c>
      <c r="G80" s="497">
        <f>'17-Depreciation'!F58</f>
        <v>6870312.965239238</v>
      </c>
      <c r="H80" s="497">
        <f>'17-Depreciation'!G58</f>
        <v>4609567.6135527389</v>
      </c>
      <c r="I80" s="497">
        <f>'17-Depreciation'!H58</f>
        <v>1092920.5901654663</v>
      </c>
      <c r="J80" s="497">
        <f>'17-Depreciation'!I58</f>
        <v>3170310.7097620345</v>
      </c>
      <c r="K80" s="497">
        <f>'17-Depreciation'!J58</f>
        <v>261164.56309243815</v>
      </c>
      <c r="L80" s="497">
        <f>'17-Depreciation'!K58</f>
        <v>273506.87246242358</v>
      </c>
      <c r="M80" s="497">
        <f>'17-Depreciation'!L58</f>
        <v>219712.55786691164</v>
      </c>
      <c r="N80" s="234">
        <f t="shared" si="5"/>
        <v>17919729.907580569</v>
      </c>
    </row>
    <row r="81" spans="1:14">
      <c r="A81" s="580">
        <f t="shared" si="6"/>
        <v>38</v>
      </c>
      <c r="C81" s="740" t="s">
        <v>2693</v>
      </c>
      <c r="D81" s="112">
        <f>'17-Depreciation'!C59</f>
        <v>0</v>
      </c>
      <c r="E81" s="112">
        <f>'17-Depreciation'!D59</f>
        <v>228122.6734354333</v>
      </c>
      <c r="F81" s="112">
        <f>'17-Depreciation'!E59</f>
        <v>1197812.4258803169</v>
      </c>
      <c r="G81" s="112">
        <f>'17-Depreciation'!F59</f>
        <v>6874844.1372303963</v>
      </c>
      <c r="H81" s="112">
        <f>'17-Depreciation'!G59</f>
        <v>4613125.2199372388</v>
      </c>
      <c r="I81" s="112">
        <f>'17-Depreciation'!H59</f>
        <v>1108479.3403692141</v>
      </c>
      <c r="J81" s="112">
        <f>'17-Depreciation'!I59</f>
        <v>3163795.8454845487</v>
      </c>
      <c r="K81" s="112">
        <f>'17-Depreciation'!J59</f>
        <v>261398.21941685968</v>
      </c>
      <c r="L81" s="112">
        <f>'17-Depreciation'!K59</f>
        <v>273640.89580641326</v>
      </c>
      <c r="M81" s="112">
        <f>'17-Depreciation'!L59</f>
        <v>222501.06199088154</v>
      </c>
      <c r="N81" s="369">
        <f t="shared" si="5"/>
        <v>17943719.819551304</v>
      </c>
    </row>
    <row r="82" spans="1:14">
      <c r="A82" s="580">
        <f t="shared" si="6"/>
        <v>39</v>
      </c>
      <c r="C82" s="1201" t="s">
        <v>4</v>
      </c>
      <c r="D82" s="234">
        <f>SUM(D70:D81)</f>
        <v>0</v>
      </c>
      <c r="E82" s="234">
        <f t="shared" ref="E82:M82" si="7">SUM(E70:E81)</f>
        <v>2743706.929403407</v>
      </c>
      <c r="F82" s="234">
        <f t="shared" si="7"/>
        <v>14046639.890038989</v>
      </c>
      <c r="G82" s="234">
        <f t="shared" si="7"/>
        <v>81567285.862111896</v>
      </c>
      <c r="H82" s="234">
        <f t="shared" si="7"/>
        <v>54906038.442626387</v>
      </c>
      <c r="I82" s="234">
        <f t="shared" si="7"/>
        <v>12706990.319137907</v>
      </c>
      <c r="J82" s="234">
        <f t="shared" si="7"/>
        <v>37886809.103356615</v>
      </c>
      <c r="K82" s="234">
        <f t="shared" si="7"/>
        <v>3097585.725585897</v>
      </c>
      <c r="L82" s="234">
        <f t="shared" si="7"/>
        <v>3239235.6812215601</v>
      </c>
      <c r="M82" s="234">
        <f t="shared" si="7"/>
        <v>2610503.1884999899</v>
      </c>
      <c r="N82" s="234">
        <f t="shared" si="5"/>
        <v>212804795.14198267</v>
      </c>
    </row>
    <row r="84" spans="1:14">
      <c r="C84" s="1" t="s">
        <v>2450</v>
      </c>
      <c r="D84" s="483"/>
      <c r="E84" s="483"/>
      <c r="F84" s="483"/>
      <c r="G84" s="483"/>
      <c r="H84" s="483"/>
      <c r="I84" s="483"/>
      <c r="J84" s="483"/>
      <c r="K84" s="483"/>
      <c r="L84" s="483"/>
    </row>
    <row r="85" spans="1:14">
      <c r="C85" s="483"/>
      <c r="D85" s="483"/>
      <c r="E85" s="483"/>
      <c r="F85" s="483"/>
      <c r="G85" s="483"/>
      <c r="H85" s="483"/>
      <c r="I85" s="483"/>
      <c r="J85" s="483"/>
      <c r="K85" s="483"/>
      <c r="L85" s="483"/>
    </row>
    <row r="86" spans="1:14">
      <c r="C86" s="84" t="s">
        <v>363</v>
      </c>
      <c r="D86" s="84" t="s">
        <v>347</v>
      </c>
      <c r="E86" s="84" t="s">
        <v>348</v>
      </c>
      <c r="F86" s="84" t="s">
        <v>349</v>
      </c>
      <c r="G86" s="84" t="s">
        <v>350</v>
      </c>
      <c r="H86" s="84" t="s">
        <v>351</v>
      </c>
      <c r="I86" s="84" t="s">
        <v>352</v>
      </c>
      <c r="J86" s="84" t="s">
        <v>544</v>
      </c>
      <c r="K86" s="84" t="s">
        <v>961</v>
      </c>
      <c r="L86" s="84" t="s">
        <v>974</v>
      </c>
      <c r="M86" s="84" t="s">
        <v>977</v>
      </c>
      <c r="N86" s="84"/>
    </row>
    <row r="87" spans="1:14">
      <c r="C87" s="249"/>
      <c r="D87" s="232"/>
      <c r="E87" s="232"/>
      <c r="F87" s="232"/>
      <c r="G87" s="232"/>
      <c r="H87" s="232"/>
      <c r="I87" s="232"/>
      <c r="J87" s="232"/>
      <c r="K87" s="232"/>
      <c r="L87" s="232"/>
      <c r="N87" s="249"/>
    </row>
    <row r="88" spans="1:14">
      <c r="C88" s="125" t="s">
        <v>1780</v>
      </c>
      <c r="D88" s="84">
        <v>350.1</v>
      </c>
      <c r="E88" s="84">
        <v>350.2</v>
      </c>
      <c r="F88" s="84">
        <v>352</v>
      </c>
      <c r="G88" s="84">
        <v>353</v>
      </c>
      <c r="H88" s="84">
        <v>354</v>
      </c>
      <c r="I88" s="84">
        <v>355</v>
      </c>
      <c r="J88" s="84">
        <v>356</v>
      </c>
      <c r="K88" s="84">
        <v>357</v>
      </c>
      <c r="L88" s="84">
        <v>358</v>
      </c>
      <c r="M88" s="84">
        <v>359</v>
      </c>
      <c r="N88" s="3"/>
    </row>
    <row r="89" spans="1:14">
      <c r="A89" s="580">
        <f>A82+1</f>
        <v>40</v>
      </c>
      <c r="C89" s="741" t="s">
        <v>2682</v>
      </c>
      <c r="D89" s="1227">
        <f>'6-PlantInService'!C166</f>
        <v>4.1821922564202607</v>
      </c>
      <c r="E89" s="1227">
        <f>'6-PlantInService'!D166</f>
        <v>-1.0495126699233022E-14</v>
      </c>
      <c r="F89" s="1227">
        <f>'6-PlantInService'!E166</f>
        <v>-9.3347164163357296E-2</v>
      </c>
      <c r="G89" s="1227">
        <f>'6-PlantInService'!F166</f>
        <v>4.6971664697088612E-3</v>
      </c>
      <c r="H89" s="1227">
        <f>'6-PlantInService'!G166</f>
        <v>-6.6483432125814271E-2</v>
      </c>
      <c r="I89" s="1227">
        <f>'6-PlantInService'!H166</f>
        <v>0.30441532634191137</v>
      </c>
      <c r="J89" s="1227">
        <f>'6-PlantInService'!I166</f>
        <v>-0.49114990057677604</v>
      </c>
      <c r="K89" s="1227">
        <f>'6-PlantInService'!J166</f>
        <v>-3.0257824970177628E-2</v>
      </c>
      <c r="L89" s="1227">
        <f>'6-PlantInService'!K166</f>
        <v>-0.2284420644441186</v>
      </c>
      <c r="M89" s="1227">
        <f>'6-PlantInService'!L166</f>
        <v>1.2331958823950111</v>
      </c>
      <c r="N89" s="234"/>
    </row>
    <row r="90" spans="1:14">
      <c r="A90" s="580">
        <f t="shared" ref="A90:A100" si="8">A89+1</f>
        <v>41</v>
      </c>
      <c r="C90" s="740" t="s">
        <v>2683</v>
      </c>
      <c r="D90" s="1227">
        <f>'6-PlantInService'!C167</f>
        <v>-1.212332018800845E-4</v>
      </c>
      <c r="E90" s="1227">
        <f>'6-PlantInService'!D167</f>
        <v>2.0990253398466043E-14</v>
      </c>
      <c r="F90" s="1227">
        <f>'6-PlantInService'!E167</f>
        <v>0.19263407146628064</v>
      </c>
      <c r="G90" s="1227">
        <f>'6-PlantInService'!F167</f>
        <v>4.7582260707201798E-2</v>
      </c>
      <c r="H90" s="1227">
        <f>'6-PlantInService'!G167</f>
        <v>-0.44527516676734946</v>
      </c>
      <c r="I90" s="1227">
        <f>'6-PlantInService'!H167</f>
        <v>0.11045672896567964</v>
      </c>
      <c r="J90" s="1227">
        <f>'6-PlantInService'!I167</f>
        <v>0.31519545832367346</v>
      </c>
      <c r="K90" s="1227">
        <f>'6-PlantInService'!J167</f>
        <v>1.3800746321269356E-2</v>
      </c>
      <c r="L90" s="1227">
        <f>'6-PlantInService'!K167</f>
        <v>0.49114413407992535</v>
      </c>
      <c r="M90" s="1227">
        <f>'6-PlantInService'!L167</f>
        <v>-3.7028649316199475E-4</v>
      </c>
      <c r="N90" s="234"/>
    </row>
    <row r="91" spans="1:14">
      <c r="A91" s="580">
        <f t="shared" si="8"/>
        <v>42</v>
      </c>
      <c r="C91" s="740" t="s">
        <v>2684</v>
      </c>
      <c r="D91" s="1227">
        <f>'6-PlantInService'!C168</f>
        <v>-0.34718756742065049</v>
      </c>
      <c r="E91" s="1227">
        <f>'6-PlantInService'!D168</f>
        <v>5.7098618851745109E-2</v>
      </c>
      <c r="F91" s="1227">
        <f>'6-PlantInService'!E168</f>
        <v>-8.4236662650256505E-2</v>
      </c>
      <c r="G91" s="1227">
        <f>'6-PlantInService'!F168</f>
        <v>3.3941677488378084E-2</v>
      </c>
      <c r="H91" s="1227">
        <f>'6-PlantInService'!G168</f>
        <v>0.28413739785901254</v>
      </c>
      <c r="I91" s="1227">
        <f>'6-PlantInService'!H168</f>
        <v>5.8469870949049624E-2</v>
      </c>
      <c r="J91" s="1227">
        <f>'6-PlantInService'!I168</f>
        <v>0.28803530636929453</v>
      </c>
      <c r="K91" s="1227">
        <f>'6-PlantInService'!J168</f>
        <v>0.15363326453780973</v>
      </c>
      <c r="L91" s="1227">
        <f>'6-PlantInService'!K168</f>
        <v>-0.19015998649300003</v>
      </c>
      <c r="M91" s="1227">
        <f>'6-PlantInService'!L168</f>
        <v>-1.1237099840470558E-2</v>
      </c>
      <c r="N91" s="234"/>
    </row>
    <row r="92" spans="1:14">
      <c r="A92" s="580">
        <f t="shared" si="8"/>
        <v>43</v>
      </c>
      <c r="C92" s="741" t="s">
        <v>2685</v>
      </c>
      <c r="D92" s="1227">
        <f>'6-PlantInService'!C169</f>
        <v>0</v>
      </c>
      <c r="E92" s="1227">
        <f>'6-PlantInService'!D169</f>
        <v>-9.2194968394285458E-6</v>
      </c>
      <c r="F92" s="1227">
        <f>'6-PlantInService'!E169</f>
        <v>0.24702696355981207</v>
      </c>
      <c r="G92" s="1227">
        <f>'6-PlantInService'!F169</f>
        <v>-1.7004469480250015E-2</v>
      </c>
      <c r="H92" s="1227">
        <f>'6-PlantInService'!G169</f>
        <v>0.57986457051648799</v>
      </c>
      <c r="I92" s="1227">
        <f>'6-PlantInService'!H169</f>
        <v>5.7850020458056463E-2</v>
      </c>
      <c r="J92" s="1227">
        <f>'6-PlantInService'!I169</f>
        <v>0.31264779592195818</v>
      </c>
      <c r="K92" s="1227">
        <f>'6-PlantInService'!J169</f>
        <v>0.42647526860513058</v>
      </c>
      <c r="L92" s="1227">
        <f>'6-PlantInService'!K169</f>
        <v>0.28807931678368648</v>
      </c>
      <c r="M92" s="1227">
        <f>'6-PlantInService'!L169</f>
        <v>-9.6121232148291269E-4</v>
      </c>
      <c r="N92" s="234"/>
    </row>
    <row r="93" spans="1:14">
      <c r="A93" s="580">
        <f t="shared" si="8"/>
        <v>44</v>
      </c>
      <c r="C93" s="740" t="s">
        <v>2686</v>
      </c>
      <c r="D93" s="1227">
        <f>'6-PlantInService'!C170</f>
        <v>-2.2097322601488751E-4</v>
      </c>
      <c r="E93" s="1227">
        <f>'6-PlantInService'!D170</f>
        <v>4.843109448782152E-2</v>
      </c>
      <c r="F93" s="1227">
        <f>'6-PlantInService'!E170</f>
        <v>3.078236644221418E-2</v>
      </c>
      <c r="G93" s="1227">
        <f>'6-PlantInService'!F170</f>
        <v>3.8537743072545719E-2</v>
      </c>
      <c r="H93" s="1227">
        <f>'6-PlantInService'!G170</f>
        <v>9.7421470439792129E-2</v>
      </c>
      <c r="I93" s="1227">
        <f>'6-PlantInService'!H170</f>
        <v>2.5595074069197237E-2</v>
      </c>
      <c r="J93" s="1227">
        <f>'6-PlantInService'!I170</f>
        <v>5.9932639918641187E-2</v>
      </c>
      <c r="K93" s="1227">
        <f>'6-PlantInService'!J170</f>
        <v>2.0232945407277095E-4</v>
      </c>
      <c r="L93" s="1227">
        <f>'6-PlantInService'!K170</f>
        <v>-5.9692863049401537E-3</v>
      </c>
      <c r="M93" s="1227">
        <f>'6-PlantInService'!L170</f>
        <v>-1.7738670668406852E-2</v>
      </c>
      <c r="N93" s="234"/>
    </row>
    <row r="94" spans="1:14">
      <c r="A94" s="580">
        <f t="shared" si="8"/>
        <v>45</v>
      </c>
      <c r="C94" s="740" t="s">
        <v>2687</v>
      </c>
      <c r="D94" s="1227">
        <f>'6-PlantInService'!C171</f>
        <v>0.88737664057081878</v>
      </c>
      <c r="E94" s="1227">
        <f>'6-PlantInService'!D171</f>
        <v>0.2751302600803886</v>
      </c>
      <c r="F94" s="1227">
        <f>'6-PlantInService'!E171</f>
        <v>0.10490890815863162</v>
      </c>
      <c r="G94" s="1227">
        <f>'6-PlantInService'!F171</f>
        <v>9.2562263877555354E-2</v>
      </c>
      <c r="H94" s="1227">
        <f>'6-PlantInService'!G171</f>
        <v>7.5771659225614379E-2</v>
      </c>
      <c r="I94" s="1227">
        <f>'6-PlantInService'!H171</f>
        <v>5.1924213791897107E-2</v>
      </c>
      <c r="J94" s="1227">
        <f>'6-PlantInService'!I171</f>
        <v>0.13836201688222152</v>
      </c>
      <c r="K94" s="1227">
        <f>'6-PlantInService'!J171</f>
        <v>0.12292652683569845</v>
      </c>
      <c r="L94" s="1227">
        <f>'6-PlantInService'!K171</f>
        <v>-0.19139630473003708</v>
      </c>
      <c r="M94" s="1227">
        <f>'6-PlantInService'!L171</f>
        <v>1.2805413692055711E-2</v>
      </c>
      <c r="N94" s="234"/>
    </row>
    <row r="95" spans="1:14">
      <c r="A95" s="580">
        <f t="shared" si="8"/>
        <v>46</v>
      </c>
      <c r="C95" s="741" t="s">
        <v>2688</v>
      </c>
      <c r="D95" s="1227">
        <f>'6-PlantInService'!C172</f>
        <v>4.0875218491078987E-6</v>
      </c>
      <c r="E95" s="1227">
        <f>'6-PlantInService'!D172</f>
        <v>0.54111434966577332</v>
      </c>
      <c r="F95" s="1227">
        <f>'6-PlantInService'!E172</f>
        <v>7.1137762260067225E-2</v>
      </c>
      <c r="G95" s="1227">
        <f>'6-PlantInService'!F172</f>
        <v>6.3840934403289348E-2</v>
      </c>
      <c r="H95" s="1227">
        <f>'6-PlantInService'!G172</f>
        <v>4.372044572487143E-2</v>
      </c>
      <c r="I95" s="1227">
        <f>'6-PlantInService'!H172</f>
        <v>7.1021779656096837E-2</v>
      </c>
      <c r="J95" s="1227">
        <f>'6-PlantInService'!I172</f>
        <v>-0.13628406057366915</v>
      </c>
      <c r="K95" s="1227">
        <f>'6-PlantInService'!J172</f>
        <v>-1.4905375332953663</v>
      </c>
      <c r="L95" s="1227">
        <f>'6-PlantInService'!K172</f>
        <v>-0.37252687958296171</v>
      </c>
      <c r="M95" s="1227">
        <f>'6-PlantInService'!L172</f>
        <v>8.8203466541761557E-3</v>
      </c>
      <c r="N95" s="234"/>
    </row>
    <row r="96" spans="1:14">
      <c r="A96" s="580">
        <f t="shared" si="8"/>
        <v>47</v>
      </c>
      <c r="C96" s="740" t="s">
        <v>2689</v>
      </c>
      <c r="D96" s="1227">
        <f>'6-PlantInService'!C173</f>
        <v>-2.5099789058352721E-14</v>
      </c>
      <c r="E96" s="1227">
        <f>'6-PlantInService'!D173</f>
        <v>3.0508512370589571E-2</v>
      </c>
      <c r="F96" s="1227">
        <f>'6-PlantInService'!E173</f>
        <v>0.15246590619226616</v>
      </c>
      <c r="G96" s="1227">
        <f>'6-PlantInService'!F173</f>
        <v>0.24475644451843159</v>
      </c>
      <c r="H96" s="1227">
        <f>'6-PlantInService'!G173</f>
        <v>2.1081528311478751E-2</v>
      </c>
      <c r="I96" s="1227">
        <f>'6-PlantInService'!H173</f>
        <v>1.564963650820796E-2</v>
      </c>
      <c r="J96" s="1227">
        <f>'6-PlantInService'!I173</f>
        <v>0.23793280263879268</v>
      </c>
      <c r="K96" s="1227">
        <f>'6-PlantInService'!J173</f>
        <v>0.14513353021831535</v>
      </c>
      <c r="L96" s="1227">
        <f>'6-PlantInService'!K173</f>
        <v>0.66787987687599548</v>
      </c>
      <c r="M96" s="1227">
        <f>'6-PlantInService'!L173</f>
        <v>-1.3275091491290957E-2</v>
      </c>
      <c r="N96" s="234"/>
    </row>
    <row r="97" spans="1:14">
      <c r="A97" s="580">
        <f t="shared" si="8"/>
        <v>48</v>
      </c>
      <c r="C97" s="740" t="s">
        <v>2690</v>
      </c>
      <c r="D97" s="1227">
        <f>'6-PlantInService'!C174</f>
        <v>-1.6733192705568482E-14</v>
      </c>
      <c r="E97" s="1227">
        <f>'6-PlantInService'!D174</f>
        <v>2.811976116531912E-2</v>
      </c>
      <c r="F97" s="1227">
        <f>'6-PlantInService'!E174</f>
        <v>6.0233599261854308E-2</v>
      </c>
      <c r="G97" s="1227">
        <f>'6-PlantInService'!F174</f>
        <v>2.8010058682149112E-2</v>
      </c>
      <c r="H97" s="1227">
        <f>'6-PlantInService'!G174</f>
        <v>-1.0303995699458812E-2</v>
      </c>
      <c r="I97" s="1227">
        <f>'6-PlantInService'!H174</f>
        <v>4.3107931099019871E-2</v>
      </c>
      <c r="J97" s="1227">
        <f>'6-PlantInService'!I174</f>
        <v>0.15441209864705896</v>
      </c>
      <c r="K97" s="1227">
        <f>'6-PlantInService'!J174</f>
        <v>-4.6868941851052016E-3</v>
      </c>
      <c r="L97" s="1227">
        <f>'6-PlantInService'!K174</f>
        <v>-0.27591794359436478</v>
      </c>
      <c r="M97" s="1227">
        <f>'6-PlantInService'!L174</f>
        <v>-2.571507020526987E-2</v>
      </c>
      <c r="N97" s="234"/>
    </row>
    <row r="98" spans="1:14">
      <c r="A98" s="580">
        <f t="shared" si="8"/>
        <v>49</v>
      </c>
      <c r="C98" s="741" t="s">
        <v>2691</v>
      </c>
      <c r="D98" s="1227">
        <f>'6-PlantInService'!C175</f>
        <v>5.0199578116705443E-14</v>
      </c>
      <c r="E98" s="1227">
        <f>'6-PlantInService'!D175</f>
        <v>2.0508274169309026E-4</v>
      </c>
      <c r="F98" s="1227">
        <f>'6-PlantInService'!E175</f>
        <v>-8.5524143078179612E-2</v>
      </c>
      <c r="G98" s="1227">
        <f>'6-PlantInService'!F175</f>
        <v>-0.14416718797542463</v>
      </c>
      <c r="H98" s="1227">
        <f>'6-PlantInService'!G175</f>
        <v>7.5314743951338955E-2</v>
      </c>
      <c r="I98" s="1227">
        <f>'6-PlantInService'!H175</f>
        <v>7.6770674203993056E-2</v>
      </c>
      <c r="J98" s="1227">
        <f>'6-PlantInService'!I175</f>
        <v>-6.6706712147393446E-2</v>
      </c>
      <c r="K98" s="1227">
        <f>'6-PlantInService'!J175</f>
        <v>0.30466364796197482</v>
      </c>
      <c r="L98" s="1227">
        <f>'6-PlantInService'!K175</f>
        <v>0.31469529492730752</v>
      </c>
      <c r="M98" s="1227">
        <f>'6-PlantInService'!L175</f>
        <v>-3.3265587077647193E-4</v>
      </c>
      <c r="N98" s="234"/>
    </row>
    <row r="99" spans="1:14">
      <c r="A99" s="580">
        <f t="shared" si="8"/>
        <v>50</v>
      </c>
      <c r="C99" s="741" t="s">
        <v>2692</v>
      </c>
      <c r="D99" s="1227">
        <f>'6-PlantInService'!C176</f>
        <v>-3.7220432106643919</v>
      </c>
      <c r="E99" s="1227">
        <f>'6-PlantInService'!D176</f>
        <v>8.6788075067683827E-3</v>
      </c>
      <c r="F99" s="1227">
        <f>'6-PlantInService'!E176</f>
        <v>5.2886257067623413E-2</v>
      </c>
      <c r="G99" s="1227">
        <f>'6-PlantInService'!F176</f>
        <v>1.8555914319877333E-2</v>
      </c>
      <c r="H99" s="1227">
        <f>'6-PlantInService'!G176</f>
        <v>3.1447930550411757E-2</v>
      </c>
      <c r="I99" s="1227">
        <f>'6-PlantInService'!H176</f>
        <v>0.13420146388326246</v>
      </c>
      <c r="J99" s="1227">
        <f>'6-PlantInService'!I176</f>
        <v>7.3846969226569734E-2</v>
      </c>
      <c r="K99" s="1227">
        <f>'6-PlantInService'!J176</f>
        <v>1.366683895087486</v>
      </c>
      <c r="L99" s="1227">
        <f>'6-PlantInService'!K176</f>
        <v>-7.0505380893146454E-3</v>
      </c>
      <c r="M99" s="1227">
        <f>'6-PlantInService'!L176</f>
        <v>-0.11258651924199226</v>
      </c>
      <c r="N99" s="234"/>
    </row>
    <row r="100" spans="1:14">
      <c r="A100" s="580">
        <f t="shared" si="8"/>
        <v>51</v>
      </c>
      <c r="C100" s="740" t="s">
        <v>2693</v>
      </c>
      <c r="D100" s="1227">
        <f>'6-PlantInService'!C177</f>
        <v>0</v>
      </c>
      <c r="E100" s="1227">
        <f>'6-PlantInService'!D177</f>
        <v>1.0722732626730175E-2</v>
      </c>
      <c r="F100" s="1227">
        <f>'6-PlantInService'!E177</f>
        <v>0.35103213548304379</v>
      </c>
      <c r="G100" s="1227">
        <f>'6-PlantInService'!F177</f>
        <v>0.58868719391653745</v>
      </c>
      <c r="H100" s="1227">
        <f>'6-PlantInService'!G177</f>
        <v>0.31330284801361458</v>
      </c>
      <c r="I100" s="1227">
        <f>'6-PlantInService'!H177</f>
        <v>5.0537280073628392E-2</v>
      </c>
      <c r="J100" s="1227">
        <f>'6-PlantInService'!I177</f>
        <v>0.1137755853696284</v>
      </c>
      <c r="K100" s="1227">
        <f>'6-PlantInService'!J177</f>
        <v>-8.0369565711079834E-3</v>
      </c>
      <c r="L100" s="1227">
        <f>'6-PlantInService'!K177</f>
        <v>0.50966438057182217</v>
      </c>
      <c r="M100" s="1227">
        <f>'6-PlantInService'!L177</f>
        <v>-7.2605036608391141E-2</v>
      </c>
      <c r="N100" s="369"/>
    </row>
    <row r="102" spans="1:14">
      <c r="C102" s="1" t="s">
        <v>2451</v>
      </c>
    </row>
    <row r="104" spans="1:14">
      <c r="C104" s="487" t="s">
        <v>2452</v>
      </c>
    </row>
    <row r="105" spans="1:14">
      <c r="C105" s="16"/>
      <c r="D105" s="84">
        <v>350.1</v>
      </c>
      <c r="E105" s="84">
        <v>350.2</v>
      </c>
      <c r="F105" s="84">
        <v>352</v>
      </c>
      <c r="G105" s="84">
        <v>353</v>
      </c>
      <c r="H105" s="84">
        <v>354</v>
      </c>
      <c r="I105" s="84">
        <v>355</v>
      </c>
      <c r="J105" s="84">
        <v>356</v>
      </c>
      <c r="K105" s="84">
        <v>357</v>
      </c>
      <c r="L105" s="84">
        <v>358</v>
      </c>
      <c r="M105" s="84">
        <v>359</v>
      </c>
      <c r="N105" s="3" t="s">
        <v>196</v>
      </c>
    </row>
    <row r="106" spans="1:14">
      <c r="A106" s="580">
        <f>A100+1</f>
        <v>52</v>
      </c>
      <c r="C106" s="16"/>
      <c r="D106" s="7">
        <f t="shared" ref="D106:M106" si="9">D24-D12</f>
        <v>0</v>
      </c>
      <c r="E106" s="7">
        <f t="shared" si="9"/>
        <v>2490832.2652043663</v>
      </c>
      <c r="F106" s="7">
        <f t="shared" si="9"/>
        <v>18652577.110672906</v>
      </c>
      <c r="G106" s="7">
        <f t="shared" si="9"/>
        <v>81376703.40508163</v>
      </c>
      <c r="H106" s="7">
        <f t="shared" si="9"/>
        <v>43439421.437233865</v>
      </c>
      <c r="I106" s="7">
        <f t="shared" si="9"/>
        <v>363753.54797954857</v>
      </c>
      <c r="J106" s="7">
        <f t="shared" si="9"/>
        <v>9808498.2327207923</v>
      </c>
      <c r="K106" s="7">
        <f t="shared" si="9"/>
        <v>2990659.4307516664</v>
      </c>
      <c r="L106" s="7">
        <f t="shared" si="9"/>
        <v>4085864.7601311272</v>
      </c>
      <c r="M106" s="7">
        <f t="shared" si="9"/>
        <v>2678231.8073832151</v>
      </c>
      <c r="N106" s="7">
        <f>SUM(D106:M106)</f>
        <v>165886541.99715909</v>
      </c>
    </row>
    <row r="107" spans="1:14">
      <c r="C107" s="487" t="s">
        <v>2453</v>
      </c>
    </row>
    <row r="108" spans="1:14">
      <c r="C108" s="16"/>
      <c r="D108" s="84">
        <v>350.1</v>
      </c>
      <c r="E108" s="84">
        <v>350.2</v>
      </c>
      <c r="F108" s="84">
        <v>352</v>
      </c>
      <c r="G108" s="84">
        <v>353</v>
      </c>
      <c r="H108" s="84">
        <v>354</v>
      </c>
      <c r="I108" s="84">
        <v>355</v>
      </c>
      <c r="J108" s="84">
        <v>356</v>
      </c>
      <c r="K108" s="84">
        <v>357</v>
      </c>
      <c r="L108" s="84">
        <v>358</v>
      </c>
      <c r="M108" s="84">
        <v>359</v>
      </c>
      <c r="N108" s="3" t="s">
        <v>196</v>
      </c>
    </row>
    <row r="109" spans="1:14">
      <c r="A109" s="580">
        <f>A106+1</f>
        <v>53</v>
      </c>
      <c r="C109" s="16"/>
      <c r="D109" s="7">
        <f t="shared" ref="D109:M109" si="10">D82</f>
        <v>0</v>
      </c>
      <c r="E109" s="7">
        <f t="shared" si="10"/>
        <v>2743706.929403407</v>
      </c>
      <c r="F109" s="7">
        <f t="shared" si="10"/>
        <v>14046639.890038989</v>
      </c>
      <c r="G109" s="7">
        <f t="shared" si="10"/>
        <v>81567285.862111896</v>
      </c>
      <c r="H109" s="7">
        <f t="shared" si="10"/>
        <v>54906038.442626387</v>
      </c>
      <c r="I109" s="7">
        <f t="shared" si="10"/>
        <v>12706990.319137907</v>
      </c>
      <c r="J109" s="7">
        <f t="shared" si="10"/>
        <v>37886809.103356615</v>
      </c>
      <c r="K109" s="7">
        <f t="shared" si="10"/>
        <v>3097585.725585897</v>
      </c>
      <c r="L109" s="7">
        <f t="shared" si="10"/>
        <v>3239235.6812215601</v>
      </c>
      <c r="M109" s="7">
        <f t="shared" si="10"/>
        <v>2610503.1884999899</v>
      </c>
      <c r="N109" s="7">
        <f>SUM(D109:M109)</f>
        <v>212804795.14198267</v>
      </c>
    </row>
    <row r="110" spans="1:14">
      <c r="C110" s="487" t="s">
        <v>2454</v>
      </c>
    </row>
    <row r="111" spans="1:14">
      <c r="D111" s="84">
        <v>350.1</v>
      </c>
      <c r="E111" s="84">
        <v>350.2</v>
      </c>
      <c r="F111" s="84">
        <v>352</v>
      </c>
      <c r="G111" s="84">
        <v>353</v>
      </c>
      <c r="H111" s="84">
        <v>354</v>
      </c>
      <c r="I111" s="84">
        <v>355</v>
      </c>
      <c r="J111" s="84">
        <v>356</v>
      </c>
      <c r="K111" s="84">
        <v>357</v>
      </c>
      <c r="L111" s="84">
        <v>358</v>
      </c>
      <c r="M111" s="84">
        <v>359</v>
      </c>
      <c r="N111" s="3" t="s">
        <v>196</v>
      </c>
    </row>
    <row r="112" spans="1:14">
      <c r="A112" s="580">
        <f>A109+1</f>
        <v>54</v>
      </c>
      <c r="D112" s="7">
        <f t="shared" ref="D112:M112" si="11">D106-D109</f>
        <v>0</v>
      </c>
      <c r="E112" s="7">
        <f t="shared" si="11"/>
        <v>-252874.66419904074</v>
      </c>
      <c r="F112" s="7">
        <f t="shared" si="11"/>
        <v>4605937.2206339166</v>
      </c>
      <c r="G112" s="7">
        <f t="shared" si="11"/>
        <v>-190582.45703026652</v>
      </c>
      <c r="H112" s="7">
        <f t="shared" si="11"/>
        <v>-11466617.005392522</v>
      </c>
      <c r="I112" s="7">
        <f t="shared" si="11"/>
        <v>-12343236.771158358</v>
      </c>
      <c r="J112" s="7">
        <f t="shared" si="11"/>
        <v>-28078310.870635822</v>
      </c>
      <c r="K112" s="7">
        <f t="shared" si="11"/>
        <v>-106926.29483423056</v>
      </c>
      <c r="L112" s="7">
        <f t="shared" si="11"/>
        <v>846629.07890956709</v>
      </c>
      <c r="M112" s="7">
        <f t="shared" si="11"/>
        <v>67728.618883225136</v>
      </c>
      <c r="N112" s="7">
        <f>SUM(D112:M112)</f>
        <v>-46918253.144823536</v>
      </c>
    </row>
    <row r="114" spans="1:14">
      <c r="C114" s="1" t="s">
        <v>2455</v>
      </c>
      <c r="D114" s="483"/>
      <c r="E114" s="483"/>
      <c r="F114" s="483"/>
      <c r="G114" s="483"/>
      <c r="H114" s="483"/>
      <c r="I114" s="483"/>
      <c r="J114" s="483"/>
      <c r="K114" s="483"/>
      <c r="L114" s="483"/>
    </row>
    <row r="115" spans="1:14">
      <c r="C115" s="483"/>
      <c r="D115" s="483"/>
      <c r="E115" s="483"/>
      <c r="F115" s="483"/>
      <c r="G115" s="483"/>
      <c r="H115" s="483"/>
      <c r="I115" s="483"/>
      <c r="J115" s="483"/>
      <c r="K115" s="483"/>
      <c r="L115" s="483"/>
    </row>
    <row r="116" spans="1:14">
      <c r="C116" s="84" t="s">
        <v>363</v>
      </c>
      <c r="D116" s="84" t="s">
        <v>347</v>
      </c>
      <c r="E116" s="84" t="s">
        <v>348</v>
      </c>
      <c r="F116" s="84" t="s">
        <v>349</v>
      </c>
      <c r="G116" s="84" t="s">
        <v>350</v>
      </c>
      <c r="H116" s="84" t="s">
        <v>351</v>
      </c>
      <c r="I116" s="84" t="s">
        <v>352</v>
      </c>
      <c r="J116" s="84" t="s">
        <v>544</v>
      </c>
      <c r="K116" s="84" t="s">
        <v>961</v>
      </c>
      <c r="L116" s="84" t="s">
        <v>974</v>
      </c>
      <c r="M116" s="84" t="s">
        <v>977</v>
      </c>
      <c r="N116" s="84" t="s">
        <v>995</v>
      </c>
    </row>
    <row r="117" spans="1:14">
      <c r="C117" s="249"/>
      <c r="D117" s="232"/>
      <c r="E117" s="232"/>
      <c r="F117" s="232"/>
      <c r="G117" s="232"/>
      <c r="H117" s="232"/>
      <c r="I117" s="232"/>
      <c r="J117" s="232"/>
      <c r="K117" s="232"/>
      <c r="L117" s="232"/>
      <c r="N117" s="249" t="s">
        <v>1237</v>
      </c>
    </row>
    <row r="118" spans="1:14">
      <c r="C118" s="125" t="s">
        <v>1780</v>
      </c>
      <c r="D118" s="84">
        <v>350.1</v>
      </c>
      <c r="E118" s="84">
        <v>350.2</v>
      </c>
      <c r="F118" s="84">
        <v>352</v>
      </c>
      <c r="G118" s="84">
        <v>353</v>
      </c>
      <c r="H118" s="84">
        <v>354</v>
      </c>
      <c r="I118" s="84">
        <v>355</v>
      </c>
      <c r="J118" s="84">
        <v>356</v>
      </c>
      <c r="K118" s="84">
        <v>357</v>
      </c>
      <c r="L118" s="84">
        <v>358</v>
      </c>
      <c r="M118" s="84">
        <v>359</v>
      </c>
      <c r="N118" s="3" t="s">
        <v>196</v>
      </c>
    </row>
    <row r="119" spans="1:14">
      <c r="A119" s="580">
        <f>A112+1</f>
        <v>55</v>
      </c>
      <c r="C119" s="741" t="s">
        <v>2682</v>
      </c>
      <c r="D119" s="236">
        <f>D$112*D89</f>
        <v>0</v>
      </c>
      <c r="E119" s="236">
        <f t="shared" ref="E119:M119" si="12">E$112*E89</f>
        <v>2.6539516397949372E-9</v>
      </c>
      <c r="F119" s="236">
        <f t="shared" si="12"/>
        <v>-429951.17786063184</v>
      </c>
      <c r="G119" s="236">
        <f t="shared" si="12"/>
        <v>-895.19752687729772</v>
      </c>
      <c r="H119" s="236">
        <f t="shared" si="12"/>
        <v>762340.05339072144</v>
      </c>
      <c r="I119" s="236">
        <f t="shared" si="12"/>
        <v>-3757470.4498076518</v>
      </c>
      <c r="J119" s="236">
        <f t="shared" si="12"/>
        <v>13790659.592476593</v>
      </c>
      <c r="K119" s="236">
        <f t="shared" si="12"/>
        <v>3235.3571138037564</v>
      </c>
      <c r="L119" s="236">
        <f t="shared" si="12"/>
        <v>-193405.69460452409</v>
      </c>
      <c r="M119" s="236">
        <f t="shared" si="12"/>
        <v>83522.65392709423</v>
      </c>
      <c r="N119" s="234">
        <f>SUM(D119:M119)</f>
        <v>10258035.137108531</v>
      </c>
    </row>
    <row r="120" spans="1:14">
      <c r="A120" s="580">
        <f t="shared" ref="A120:A131" si="13">A119+1</f>
        <v>56</v>
      </c>
      <c r="C120" s="740" t="s">
        <v>2683</v>
      </c>
      <c r="D120" s="236">
        <f t="shared" ref="D120:M130" si="14">D$112*D90</f>
        <v>0</v>
      </c>
      <c r="E120" s="236">
        <f t="shared" si="14"/>
        <v>-5.3079032795898743E-9</v>
      </c>
      <c r="F120" s="236">
        <f t="shared" si="14"/>
        <v>887260.4397287959</v>
      </c>
      <c r="G120" s="236">
        <f t="shared" si="14"/>
        <v>-9068.3441566332258</v>
      </c>
      <c r="H120" s="236">
        <f t="shared" si="14"/>
        <v>5105799.7993334802</v>
      </c>
      <c r="I120" s="236">
        <f t="shared" si="14"/>
        <v>-1363393.5585910494</v>
      </c>
      <c r="J120" s="236">
        <f t="shared" si="14"/>
        <v>-8850156.0638246406</v>
      </c>
      <c r="K120" s="236">
        <f t="shared" si="14"/>
        <v>-1475.66267008047</v>
      </c>
      <c r="L120" s="236">
        <f t="shared" si="14"/>
        <v>415816.90584792412</v>
      </c>
      <c r="M120" s="236">
        <f t="shared" si="14"/>
        <v>-25.078992772974694</v>
      </c>
      <c r="N120" s="234">
        <f t="shared" ref="N120:N130" si="15">SUM(D120:M120)</f>
        <v>-3815241.5633249809</v>
      </c>
    </row>
    <row r="121" spans="1:14">
      <c r="A121" s="580">
        <f t="shared" si="13"/>
        <v>57</v>
      </c>
      <c r="C121" s="740" t="s">
        <v>2684</v>
      </c>
      <c r="D121" s="236">
        <f t="shared" si="14"/>
        <v>0</v>
      </c>
      <c r="E121" s="236">
        <f t="shared" si="14"/>
        <v>-14438.794068364061</v>
      </c>
      <c r="F121" s="236">
        <f t="shared" si="14"/>
        <v>-387988.7798427993</v>
      </c>
      <c r="G121" s="236">
        <f t="shared" si="14"/>
        <v>-6468.6882914639809</v>
      </c>
      <c r="H121" s="236">
        <f t="shared" si="14"/>
        <v>-3258094.7181581338</v>
      </c>
      <c r="I121" s="236">
        <f t="shared" si="14"/>
        <v>-721707.46110319311</v>
      </c>
      <c r="J121" s="236">
        <f t="shared" si="14"/>
        <v>-8087544.8739558822</v>
      </c>
      <c r="K121" s="236">
        <f t="shared" si="14"/>
        <v>-16427.435740315181</v>
      </c>
      <c r="L121" s="236">
        <f t="shared" si="14"/>
        <v>-160994.97421002435</v>
      </c>
      <c r="M121" s="236">
        <f t="shared" si="14"/>
        <v>-761.07325244798039</v>
      </c>
      <c r="N121" s="234">
        <f t="shared" si="15"/>
        <v>-12654426.798622625</v>
      </c>
    </row>
    <row r="122" spans="1:14">
      <c r="A122" s="580">
        <f t="shared" si="13"/>
        <v>58</v>
      </c>
      <c r="C122" s="741" t="s">
        <v>2685</v>
      </c>
      <c r="D122" s="236">
        <f t="shared" si="14"/>
        <v>0</v>
      </c>
      <c r="E122" s="236">
        <f t="shared" si="14"/>
        <v>2.3313771673546109</v>
      </c>
      <c r="F122" s="236">
        <f t="shared" si="14"/>
        <v>1137790.6859603166</v>
      </c>
      <c r="G122" s="236">
        <f t="shared" si="14"/>
        <v>3240.7535740422268</v>
      </c>
      <c r="H122" s="236">
        <f t="shared" si="14"/>
        <v>-6649084.945108992</v>
      </c>
      <c r="I122" s="236">
        <f t="shared" si="14"/>
        <v>-714056.49973014579</v>
      </c>
      <c r="J122" s="236">
        <f t="shared" si="14"/>
        <v>-8778622.0069158487</v>
      </c>
      <c r="K122" s="236">
        <f t="shared" si="14"/>
        <v>-45601.420310379865</v>
      </c>
      <c r="L122" s="236">
        <f t="shared" si="14"/>
        <v>243896.32662146987</v>
      </c>
      <c r="M122" s="236">
        <f t="shared" si="14"/>
        <v>-65.101582987576265</v>
      </c>
      <c r="N122" s="234">
        <f t="shared" si="15"/>
        <v>-14802499.876115359</v>
      </c>
    </row>
    <row r="123" spans="1:14">
      <c r="A123" s="580">
        <f t="shared" si="13"/>
        <v>59</v>
      </c>
      <c r="C123" s="740" t="s">
        <v>2686</v>
      </c>
      <c r="D123" s="236">
        <f t="shared" si="14"/>
        <v>0</v>
      </c>
      <c r="E123" s="236">
        <f t="shared" si="14"/>
        <v>-12246.996755399879</v>
      </c>
      <c r="F123" s="236">
        <f t="shared" si="14"/>
        <v>141781.64733538672</v>
      </c>
      <c r="G123" s="236">
        <f t="shared" si="14"/>
        <v>-7344.6177631668961</v>
      </c>
      <c r="H123" s="236">
        <f t="shared" si="14"/>
        <v>-1117094.6896352654</v>
      </c>
      <c r="I123" s="236">
        <f t="shared" si="14"/>
        <v>-315926.05941143713</v>
      </c>
      <c r="J123" s="236">
        <f t="shared" si="14"/>
        <v>-1682807.2949334853</v>
      </c>
      <c r="K123" s="236">
        <f t="shared" si="14"/>
        <v>-21.634338859834017</v>
      </c>
      <c r="L123" s="236">
        <f t="shared" si="14"/>
        <v>-5053.7713660989757</v>
      </c>
      <c r="M123" s="236">
        <f t="shared" si="14"/>
        <v>-1201.4156651955723</v>
      </c>
      <c r="N123" s="234">
        <f t="shared" si="15"/>
        <v>-2999914.8325335225</v>
      </c>
    </row>
    <row r="124" spans="1:14">
      <c r="A124" s="580">
        <f t="shared" si="13"/>
        <v>60</v>
      </c>
      <c r="C124" s="740" t="s">
        <v>2687</v>
      </c>
      <c r="D124" s="236">
        <f t="shared" si="14"/>
        <v>0</v>
      </c>
      <c r="E124" s="236">
        <f t="shared" si="14"/>
        <v>-69573.472128823007</v>
      </c>
      <c r="F124" s="236">
        <f t="shared" si="14"/>
        <v>483203.8448639065</v>
      </c>
      <c r="G124" s="236">
        <f t="shared" si="14"/>
        <v>-17640.743678068386</v>
      </c>
      <c r="H124" s="236">
        <f t="shared" si="14"/>
        <v>-868844.59620323696</v>
      </c>
      <c r="I124" s="236">
        <f t="shared" si="14"/>
        <v>-640912.86498963239</v>
      </c>
      <c r="J124" s="236">
        <f t="shared" si="14"/>
        <v>-3884971.722707178</v>
      </c>
      <c r="K124" s="236">
        <f t="shared" si="14"/>
        <v>-13144.078051381848</v>
      </c>
      <c r="L124" s="236">
        <f t="shared" si="14"/>
        <v>-162041.67718028612</v>
      </c>
      <c r="M124" s="236">
        <f t="shared" si="14"/>
        <v>867.29298359127415</v>
      </c>
      <c r="N124" s="234">
        <f t="shared" si="15"/>
        <v>-5173058.0170911094</v>
      </c>
    </row>
    <row r="125" spans="1:14">
      <c r="A125" s="580">
        <f t="shared" si="13"/>
        <v>61</v>
      </c>
      <c r="C125" s="741" t="s">
        <v>2688</v>
      </c>
      <c r="D125" s="236">
        <f t="shared" si="14"/>
        <v>0</v>
      </c>
      <c r="E125" s="236">
        <f t="shared" si="14"/>
        <v>-136834.10946501474</v>
      </c>
      <c r="F125" s="236">
        <f t="shared" si="14"/>
        <v>327656.06698625034</v>
      </c>
      <c r="G125" s="236">
        <f t="shared" si="14"/>
        <v>-12166.962137686956</v>
      </c>
      <c r="H125" s="236">
        <f t="shared" si="14"/>
        <v>-501325.60643215152</v>
      </c>
      <c r="I125" s="236">
        <f t="shared" si="14"/>
        <v>-876638.64220424113</v>
      </c>
      <c r="J125" s="236">
        <f t="shared" si="14"/>
        <v>3826626.2195000453</v>
      </c>
      <c r="K125" s="236">
        <f t="shared" si="14"/>
        <v>159377.65574662708</v>
      </c>
      <c r="L125" s="236">
        <f t="shared" si="14"/>
        <v>-315392.08893037809</v>
      </c>
      <c r="M125" s="236">
        <f t="shared" si="14"/>
        <v>597.38989695862688</v>
      </c>
      <c r="N125" s="234">
        <f t="shared" si="15"/>
        <v>2471899.922960409</v>
      </c>
    </row>
    <row r="126" spans="1:14">
      <c r="A126" s="580">
        <f t="shared" si="13"/>
        <v>62</v>
      </c>
      <c r="C126" s="740" t="s">
        <v>2689</v>
      </c>
      <c r="D126" s="236">
        <f t="shared" si="14"/>
        <v>0</v>
      </c>
      <c r="E126" s="236">
        <f t="shared" si="14"/>
        <v>-7714.8298209251179</v>
      </c>
      <c r="F126" s="236">
        <f t="shared" si="14"/>
        <v>702248.39220863779</v>
      </c>
      <c r="G126" s="236">
        <f t="shared" si="14"/>
        <v>-46646.284570314805</v>
      </c>
      <c r="H126" s="236">
        <f t="shared" si="14"/>
        <v>-241733.81103606615</v>
      </c>
      <c r="I126" s="236">
        <f t="shared" si="14"/>
        <v>-193167.16880337478</v>
      </c>
      <c r="J126" s="236">
        <f t="shared" si="14"/>
        <v>-6680751.1988136601</v>
      </c>
      <c r="K126" s="236">
        <f t="shared" si="14"/>
        <v>-15518.590642456298</v>
      </c>
      <c r="L126" s="236">
        <f t="shared" si="14"/>
        <v>565446.52498175914</v>
      </c>
      <c r="M126" s="236">
        <f t="shared" si="14"/>
        <v>-899.10361225358997</v>
      </c>
      <c r="N126" s="234">
        <f t="shared" si="15"/>
        <v>-5918736.070108653</v>
      </c>
    </row>
    <row r="127" spans="1:14">
      <c r="A127" s="580">
        <f t="shared" si="13"/>
        <v>63</v>
      </c>
      <c r="C127" s="740" t="s">
        <v>2690</v>
      </c>
      <c r="D127" s="236">
        <f t="shared" si="14"/>
        <v>0</v>
      </c>
      <c r="E127" s="236">
        <f t="shared" si="14"/>
        <v>-7110.7751620372992</v>
      </c>
      <c r="F127" s="236">
        <f t="shared" si="14"/>
        <v>277432.17677292234</v>
      </c>
      <c r="G127" s="236">
        <f t="shared" si="14"/>
        <v>-5338.2258052059269</v>
      </c>
      <c r="H127" s="236">
        <f t="shared" si="14"/>
        <v>118151.97231090582</v>
      </c>
      <c r="I127" s="236">
        <f t="shared" si="14"/>
        <v>-532091.40026998299</v>
      </c>
      <c r="J127" s="236">
        <f t="shared" si="14"/>
        <v>-4335630.9079994066</v>
      </c>
      <c r="K127" s="236">
        <f t="shared" si="14"/>
        <v>501.15222949339955</v>
      </c>
      <c r="L127" s="236">
        <f t="shared" si="14"/>
        <v>-233600.15443991893</v>
      </c>
      <c r="M127" s="236">
        <f t="shared" si="14"/>
        <v>-1741.6461894881011</v>
      </c>
      <c r="N127" s="234">
        <f t="shared" si="15"/>
        <v>-4719427.8085527187</v>
      </c>
    </row>
    <row r="128" spans="1:14">
      <c r="A128" s="580">
        <f t="shared" si="13"/>
        <v>64</v>
      </c>
      <c r="C128" s="741" t="s">
        <v>2691</v>
      </c>
      <c r="D128" s="236">
        <f t="shared" si="14"/>
        <v>0</v>
      </c>
      <c r="E128" s="236">
        <f t="shared" si="14"/>
        <v>-51.860229438658813</v>
      </c>
      <c r="F128" s="236">
        <f t="shared" si="14"/>
        <v>-393918.83386660804</v>
      </c>
      <c r="G128" s="236">
        <f t="shared" si="14"/>
        <v>27475.736907500723</v>
      </c>
      <c r="H128" s="236">
        <f t="shared" si="14"/>
        <v>-863605.32374920684</v>
      </c>
      <c r="I128" s="236">
        <f t="shared" si="14"/>
        <v>-947598.60878134554</v>
      </c>
      <c r="J128" s="236">
        <f t="shared" si="14"/>
        <v>1873011.8008325321</v>
      </c>
      <c r="K128" s="236">
        <f t="shared" si="14"/>
        <v>-32576.555047254347</v>
      </c>
      <c r="L128" s="236">
        <f t="shared" si="14"/>
        <v>266430.18768148095</v>
      </c>
      <c r="M128" s="236">
        <f t="shared" si="14"/>
        <v>-22.530322691087058</v>
      </c>
      <c r="N128" s="234">
        <f t="shared" si="15"/>
        <v>-70855.986575030736</v>
      </c>
    </row>
    <row r="129" spans="1:14">
      <c r="A129" s="580">
        <f t="shared" si="13"/>
        <v>65</v>
      </c>
      <c r="C129" s="741" t="s">
        <v>2692</v>
      </c>
      <c r="D129" s="236">
        <f t="shared" si="14"/>
        <v>0</v>
      </c>
      <c r="E129" s="236">
        <f t="shared" si="14"/>
        <v>-2194.6505339221685</v>
      </c>
      <c r="F129" s="236">
        <f t="shared" si="14"/>
        <v>243590.7798877802</v>
      </c>
      <c r="G129" s="236">
        <f t="shared" si="14"/>
        <v>-3536.4317435253292</v>
      </c>
      <c r="H129" s="236">
        <f t="shared" si="14"/>
        <v>-360601.37523375446</v>
      </c>
      <c r="I129" s="236">
        <f t="shared" si="14"/>
        <v>-1656480.4437471654</v>
      </c>
      <c r="J129" s="236">
        <f t="shared" si="14"/>
        <v>-2073498.1587979021</v>
      </c>
      <c r="K129" s="236">
        <f t="shared" si="14"/>
        <v>-146134.44511131916</v>
      </c>
      <c r="L129" s="236">
        <f t="shared" si="14"/>
        <v>-5969.1905683732775</v>
      </c>
      <c r="M129" s="236">
        <f t="shared" si="14"/>
        <v>-7625.329453129787</v>
      </c>
      <c r="N129" s="234">
        <f t="shared" si="15"/>
        <v>-4012449.2453013109</v>
      </c>
    </row>
    <row r="130" spans="1:14">
      <c r="A130" s="580">
        <f t="shared" si="13"/>
        <v>66</v>
      </c>
      <c r="C130" s="740" t="s">
        <v>2693</v>
      </c>
      <c r="D130" s="463">
        <f t="shared" si="14"/>
        <v>0</v>
      </c>
      <c r="E130" s="463">
        <f t="shared" si="14"/>
        <v>-2711.5074122804913</v>
      </c>
      <c r="F130" s="463">
        <f t="shared" si="14"/>
        <v>1616831.9784599592</v>
      </c>
      <c r="G130" s="463">
        <f t="shared" si="14"/>
        <v>-112193.45183886668</v>
      </c>
      <c r="H130" s="463">
        <f t="shared" si="14"/>
        <v>-3592523.7648708215</v>
      </c>
      <c r="I130" s="463">
        <f t="shared" si="14"/>
        <v>-623793.61371913855</v>
      </c>
      <c r="J130" s="463">
        <f t="shared" si="14"/>
        <v>-3194626.2554969909</v>
      </c>
      <c r="K130" s="463">
        <f t="shared" si="14"/>
        <v>859.36198789219895</v>
      </c>
      <c r="L130" s="463">
        <f t="shared" si="14"/>
        <v>431496.68507653684</v>
      </c>
      <c r="M130" s="463">
        <f t="shared" si="14"/>
        <v>-4917.4388534523323</v>
      </c>
      <c r="N130" s="369">
        <f t="shared" si="15"/>
        <v>-5481578.0066671614</v>
      </c>
    </row>
    <row r="131" spans="1:14">
      <c r="A131" s="580">
        <f t="shared" si="13"/>
        <v>67</v>
      </c>
      <c r="C131" s="1201" t="s">
        <v>4</v>
      </c>
      <c r="D131" s="234">
        <f>SUM(D119:D130)</f>
        <v>0</v>
      </c>
      <c r="E131" s="234">
        <f t="shared" ref="E131:M131" si="16">SUM(E119:E130)</f>
        <v>-252874.66419904071</v>
      </c>
      <c r="F131" s="234">
        <f t="shared" si="16"/>
        <v>4605937.2206339166</v>
      </c>
      <c r="G131" s="234">
        <f t="shared" si="16"/>
        <v>-190582.45703026655</v>
      </c>
      <c r="H131" s="234">
        <f t="shared" si="16"/>
        <v>-11466617.00539252</v>
      </c>
      <c r="I131" s="234">
        <f t="shared" si="16"/>
        <v>-12343236.77115836</v>
      </c>
      <c r="J131" s="234">
        <f t="shared" si="16"/>
        <v>-28078310.870635819</v>
      </c>
      <c r="K131" s="234">
        <f t="shared" si="16"/>
        <v>-106926.29483423058</v>
      </c>
      <c r="L131" s="234">
        <f t="shared" si="16"/>
        <v>846629.07890956709</v>
      </c>
      <c r="M131" s="234">
        <f t="shared" si="16"/>
        <v>67728.618883225121</v>
      </c>
      <c r="N131" s="234">
        <f>SUM(N119:N130)</f>
        <v>-46918253.144823536</v>
      </c>
    </row>
    <row r="133" spans="1:14">
      <c r="B133" s="401" t="s">
        <v>232</v>
      </c>
    </row>
    <row r="134" spans="1:14">
      <c r="B134" s="959" t="s">
        <v>2355</v>
      </c>
      <c r="C134" s="14"/>
      <c r="D134" s="14"/>
      <c r="E134" s="14"/>
      <c r="F134" s="14"/>
      <c r="G134" s="14"/>
      <c r="H134" s="14"/>
      <c r="I134" s="14"/>
      <c r="J134" s="14"/>
    </row>
    <row r="135" spans="1:14">
      <c r="B135" s="1226" t="s">
        <v>1902</v>
      </c>
      <c r="C135" s="14"/>
      <c r="D135" s="14"/>
      <c r="E135" s="14"/>
      <c r="F135" s="14"/>
      <c r="G135" s="14"/>
      <c r="H135" s="14"/>
      <c r="I135" s="14"/>
      <c r="J135" s="14"/>
    </row>
    <row r="136" spans="1:14">
      <c r="B136" s="623" t="s">
        <v>1882</v>
      </c>
      <c r="C136" s="607"/>
      <c r="D136" s="607"/>
      <c r="E136" s="607"/>
      <c r="F136" s="607"/>
      <c r="G136" s="607"/>
      <c r="H136" s="607"/>
      <c r="I136" s="607"/>
      <c r="J136" s="14"/>
      <c r="K136" s="14"/>
      <c r="L136" s="607"/>
      <c r="M136" s="607"/>
      <c r="N136" s="14"/>
    </row>
    <row r="137" spans="1:14">
      <c r="B137" s="964" t="s">
        <v>2651</v>
      </c>
      <c r="C137" s="607"/>
      <c r="D137" s="607"/>
      <c r="E137" s="607"/>
      <c r="F137" s="607"/>
      <c r="G137" s="607"/>
      <c r="H137" s="607"/>
      <c r="I137" s="607"/>
      <c r="J137" s="607"/>
      <c r="K137" s="607"/>
      <c r="L137" s="607"/>
      <c r="M137" s="607"/>
      <c r="N137" s="14"/>
    </row>
    <row r="138" spans="1:14">
      <c r="B138" s="964" t="s">
        <v>2456</v>
      </c>
      <c r="C138" s="607"/>
      <c r="D138" s="607"/>
      <c r="E138" s="607"/>
      <c r="F138" s="607"/>
      <c r="G138" s="607"/>
      <c r="H138" s="607"/>
      <c r="I138" s="607"/>
      <c r="J138" s="607"/>
      <c r="K138" s="607"/>
      <c r="L138" s="607"/>
      <c r="M138" s="607"/>
      <c r="N138" s="14"/>
    </row>
    <row r="139" spans="1:14">
      <c r="B139" s="964" t="s">
        <v>1883</v>
      </c>
      <c r="C139" s="607"/>
      <c r="D139" s="607"/>
      <c r="E139" s="607"/>
      <c r="F139" s="607"/>
      <c r="G139" s="607"/>
      <c r="H139" s="607"/>
      <c r="I139" s="607"/>
      <c r="J139" s="607"/>
      <c r="K139" s="607"/>
      <c r="L139" s="607"/>
      <c r="M139" s="607"/>
      <c r="N139" s="14"/>
    </row>
    <row r="140" spans="1:14">
      <c r="B140" s="623" t="s">
        <v>1884</v>
      </c>
      <c r="C140" s="607"/>
      <c r="D140" s="607"/>
      <c r="E140" s="607"/>
      <c r="F140" s="607"/>
      <c r="G140" s="607"/>
      <c r="H140" s="607"/>
      <c r="I140" s="607"/>
      <c r="J140" s="607"/>
      <c r="K140" s="607"/>
      <c r="L140" s="607"/>
      <c r="M140" s="607"/>
      <c r="N140" s="14"/>
    </row>
    <row r="141" spans="1:14">
      <c r="B141" s="964" t="s">
        <v>2341</v>
      </c>
      <c r="C141" s="607"/>
      <c r="D141" s="607"/>
      <c r="E141" s="607"/>
      <c r="F141" s="607"/>
      <c r="G141" s="607"/>
      <c r="H141" s="607"/>
      <c r="I141" s="607"/>
      <c r="J141" s="607"/>
      <c r="K141" s="607"/>
      <c r="L141" s="607"/>
      <c r="M141" s="607"/>
      <c r="N141" s="14"/>
    </row>
    <row r="142" spans="1:14">
      <c r="B142" s="964" t="s">
        <v>2457</v>
      </c>
      <c r="C142" s="607"/>
      <c r="D142" s="607"/>
      <c r="E142" s="607"/>
      <c r="F142" s="607"/>
      <c r="G142" s="607"/>
      <c r="H142" s="607"/>
      <c r="I142" s="607"/>
      <c r="J142" s="607"/>
      <c r="K142" s="607"/>
      <c r="L142" s="607"/>
      <c r="M142" s="607"/>
      <c r="N142" s="14"/>
    </row>
    <row r="143" spans="1:14">
      <c r="B143" s="964" t="s">
        <v>2342</v>
      </c>
      <c r="C143" s="607"/>
      <c r="D143" s="607"/>
      <c r="E143" s="607"/>
      <c r="F143" s="607"/>
      <c r="G143" s="607"/>
      <c r="H143" s="607"/>
      <c r="I143" s="607"/>
      <c r="J143" s="607"/>
      <c r="K143" s="607"/>
      <c r="L143" s="607"/>
      <c r="M143" s="607"/>
      <c r="N143" s="14"/>
    </row>
    <row r="144" spans="1:14">
      <c r="B144" s="485"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82"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85" t="s">
        <v>2458</v>
      </c>
      <c r="C147" s="14"/>
      <c r="D147" s="14"/>
      <c r="E147" s="14"/>
      <c r="F147" s="14"/>
      <c r="G147" s="14"/>
      <c r="H147" s="14"/>
      <c r="I147" s="14"/>
      <c r="J147" s="14"/>
    </row>
    <row r="148" spans="2:10">
      <c r="B148" s="485"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85" t="str">
        <f>"7) Line "&amp;A106&amp;" - Line "&amp;A109&amp;"."</f>
        <v>7) Line 52 - Line 53.</v>
      </c>
      <c r="C150" s="14"/>
      <c r="D150" s="14"/>
      <c r="E150" s="14"/>
      <c r="F150" s="14"/>
      <c r="G150" s="14"/>
      <c r="H150" s="14"/>
      <c r="I150" s="14"/>
      <c r="J150" s="14"/>
    </row>
    <row r="151" spans="2:10">
      <c r="B151" s="485" t="s">
        <v>2459</v>
      </c>
      <c r="C151" s="14"/>
      <c r="D151" s="14"/>
      <c r="E151" s="14"/>
      <c r="F151" s="14"/>
      <c r="G151" s="14"/>
      <c r="H151" s="14"/>
      <c r="I151" s="14"/>
      <c r="J151" s="14"/>
    </row>
    <row r="152" spans="2:10">
      <c r="B152" s="482" t="s">
        <v>2460</v>
      </c>
      <c r="C152" s="14"/>
      <c r="D152" s="14"/>
      <c r="E152" s="14"/>
      <c r="F152" s="14"/>
      <c r="G152" s="14"/>
      <c r="H152" s="14"/>
      <c r="I152" s="14"/>
      <c r="J152" s="14"/>
    </row>
    <row r="153" spans="2:10">
      <c r="B153" s="485"/>
      <c r="C153" s="14"/>
      <c r="D153" s="14"/>
      <c r="E153" s="14"/>
      <c r="F153" s="14"/>
      <c r="G153" s="14"/>
      <c r="H153" s="14"/>
      <c r="I153" s="14"/>
      <c r="J153" s="14"/>
    </row>
    <row r="154" spans="2:10">
      <c r="B154" s="485"/>
      <c r="C154" s="14"/>
      <c r="D154" s="14"/>
      <c r="E154" s="14"/>
      <c r="F154" s="14"/>
      <c r="G154" s="14"/>
      <c r="H154" s="14"/>
      <c r="I154" s="14"/>
      <c r="J154" s="14"/>
    </row>
  </sheetData>
  <phoneticPr fontId="22" type="noConversion"/>
  <pageMargins left="0.75" right="0.75" top="1" bottom="1" header="0.5" footer="0.5"/>
  <pageSetup scale="65" orientation="landscape" cellComments="asDisplayed" r:id="rId1"/>
  <headerFooter alignWithMargins="0">
    <oddHeader>&amp;CSchedule 8
Accumulated Depreciation
&amp;RTO2019 Draft Annual Update 
Attachment1</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6"/>
  <sheetViews>
    <sheetView zoomScaleNormal="100" zoomScaleSheetLayoutView="80" workbookViewId="0"/>
  </sheetViews>
  <sheetFormatPr defaultRowHeight="12.75"/>
  <cols>
    <col min="1" max="1" width="4.7109375" customWidth="1"/>
    <col min="2" max="2" width="9.7109375" style="541" customWidth="1"/>
    <col min="3" max="3" width="44.7109375" style="541" customWidth="1"/>
    <col min="4" max="4" width="15.7109375" style="541" customWidth="1"/>
    <col min="5" max="5" width="16.7109375" style="541" customWidth="1"/>
    <col min="6" max="6" width="15.7109375" style="541" customWidth="1"/>
    <col min="7" max="7" width="16.7109375" style="541" customWidth="1"/>
    <col min="8" max="8" width="15.7109375" style="541" customWidth="1"/>
    <col min="9" max="9" width="16.140625" style="541" bestFit="1" customWidth="1"/>
    <col min="10" max="10" width="33.7109375" style="541" customWidth="1"/>
    <col min="11" max="11" width="9.140625" style="14"/>
  </cols>
  <sheetData>
    <row r="1" spans="1:12">
      <c r="A1" s="965" t="s">
        <v>1230</v>
      </c>
      <c r="B1" s="241"/>
      <c r="C1" s="241"/>
      <c r="D1" s="241"/>
      <c r="E1" s="241"/>
      <c r="F1" s="399" t="s">
        <v>304</v>
      </c>
      <c r="G1" s="399"/>
      <c r="H1" s="241"/>
      <c r="I1" s="232"/>
      <c r="J1" s="232"/>
      <c r="K1" s="540"/>
      <c r="L1" s="540"/>
    </row>
    <row r="2" spans="1:12">
      <c r="A2" s="232"/>
      <c r="B2" s="612"/>
      <c r="C2" s="613"/>
      <c r="D2" s="613"/>
      <c r="E2" s="232"/>
      <c r="F2" s="232"/>
      <c r="G2" s="232"/>
      <c r="H2" s="232"/>
      <c r="I2" s="232"/>
      <c r="J2" s="232"/>
      <c r="K2" s="540"/>
      <c r="L2" s="540"/>
    </row>
    <row r="3" spans="1:12">
      <c r="A3" s="232"/>
      <c r="B3" s="612" t="s">
        <v>1572</v>
      </c>
      <c r="C3" s="613"/>
      <c r="D3" s="613"/>
      <c r="E3" s="232"/>
      <c r="F3" s="232"/>
      <c r="G3" s="232"/>
      <c r="H3" s="232"/>
      <c r="I3" s="232"/>
      <c r="J3" s="232"/>
      <c r="K3" s="540"/>
      <c r="L3" s="540"/>
    </row>
    <row r="4" spans="1:12">
      <c r="A4" s="232"/>
      <c r="B4" s="612"/>
      <c r="C4" s="613"/>
      <c r="D4" s="613"/>
      <c r="E4" s="232"/>
      <c r="F4" s="232"/>
      <c r="G4" s="232"/>
      <c r="H4" s="232"/>
      <c r="I4" s="232"/>
      <c r="J4" s="232"/>
      <c r="K4" s="540"/>
      <c r="L4" s="540"/>
    </row>
    <row r="5" spans="1:12">
      <c r="A5" s="232"/>
      <c r="B5" s="614" t="s">
        <v>1573</v>
      </c>
      <c r="C5" s="613"/>
      <c r="D5" s="613"/>
      <c r="E5" s="232"/>
      <c r="F5" s="232"/>
      <c r="G5" s="232"/>
      <c r="H5" s="232"/>
      <c r="I5" s="232"/>
      <c r="J5" s="232"/>
      <c r="K5" s="540"/>
      <c r="L5" s="540"/>
    </row>
    <row r="6" spans="1:12">
      <c r="A6" s="232"/>
      <c r="B6" s="612"/>
      <c r="C6" s="84" t="s">
        <v>363</v>
      </c>
      <c r="D6" s="84" t="s">
        <v>347</v>
      </c>
      <c r="E6" s="232"/>
      <c r="I6" s="232"/>
      <c r="J6" s="232"/>
      <c r="K6" s="540"/>
      <c r="L6" s="540"/>
    </row>
    <row r="7" spans="1:12">
      <c r="A7" s="232"/>
      <c r="C7" s="613"/>
      <c r="D7" s="232"/>
      <c r="E7" s="232"/>
      <c r="I7" s="232"/>
      <c r="J7" s="232"/>
      <c r="K7" s="540"/>
      <c r="L7" s="540"/>
    </row>
    <row r="8" spans="1:12">
      <c r="A8" s="232"/>
      <c r="B8" s="612"/>
      <c r="C8" s="241"/>
      <c r="D8" s="111" t="s">
        <v>196</v>
      </c>
      <c r="J8" s="232"/>
      <c r="K8" s="540"/>
      <c r="L8" s="540"/>
    </row>
    <row r="9" spans="1:12">
      <c r="A9" s="53" t="s">
        <v>332</v>
      </c>
      <c r="B9" s="612"/>
      <c r="C9" s="527" t="s">
        <v>99</v>
      </c>
      <c r="D9" s="125" t="s">
        <v>201</v>
      </c>
      <c r="E9" s="370" t="s">
        <v>179</v>
      </c>
      <c r="J9" s="232"/>
      <c r="K9" s="540"/>
      <c r="L9" s="540"/>
    </row>
    <row r="10" spans="1:12" ht="15">
      <c r="A10" s="383">
        <v>1</v>
      </c>
      <c r="B10" s="612"/>
      <c r="C10" s="485" t="s">
        <v>1235</v>
      </c>
      <c r="D10" s="497">
        <f>+D72</f>
        <v>39126301.663732477</v>
      </c>
      <c r="E10" s="482" t="str">
        <f>"Line "&amp;A72&amp;", Col. 2"</f>
        <v>Line 353, Col. 2</v>
      </c>
      <c r="J10" s="232"/>
      <c r="K10" s="540"/>
      <c r="L10" s="540"/>
    </row>
    <row r="11" spans="1:12">
      <c r="A11" s="580">
        <f>A10+1</f>
        <v>2</v>
      </c>
      <c r="B11" s="612"/>
      <c r="C11" s="485" t="s">
        <v>1233</v>
      </c>
      <c r="D11" s="497">
        <f>+D92</f>
        <v>-1090207015</v>
      </c>
      <c r="E11" s="482" t="str">
        <f>"Line "&amp;A92&amp;", Col. 2"</f>
        <v>Line 452, Col. 2</v>
      </c>
      <c r="J11" s="232"/>
      <c r="K11" s="540"/>
      <c r="L11" s="540"/>
    </row>
    <row r="12" spans="1:12">
      <c r="A12" s="580">
        <f t="shared" ref="A12:A24" si="0">A11+1</f>
        <v>3</v>
      </c>
      <c r="B12" s="612"/>
      <c r="C12" s="485" t="s">
        <v>1234</v>
      </c>
      <c r="D12" s="497">
        <f>+D133</f>
        <v>-15708509.676734183</v>
      </c>
      <c r="E12" s="482" t="str">
        <f>"Line "&amp;A133&amp;", Col. 2"</f>
        <v>Line 803, Col. 2</v>
      </c>
      <c r="I12" s="542"/>
      <c r="J12" s="232"/>
      <c r="K12" s="540"/>
      <c r="L12" s="540"/>
    </row>
    <row r="13" spans="1:12" s="1075" customFormat="1">
      <c r="A13" s="1350">
        <f t="shared" si="0"/>
        <v>4</v>
      </c>
      <c r="B13" s="612"/>
      <c r="C13" s="1352" t="s">
        <v>2768</v>
      </c>
      <c r="D13" s="517">
        <v>-582299547</v>
      </c>
      <c r="E13" s="1353" t="s">
        <v>2885</v>
      </c>
      <c r="F13" s="541"/>
      <c r="G13" s="541"/>
      <c r="H13" s="541"/>
      <c r="I13" s="542"/>
      <c r="J13" s="232"/>
      <c r="K13" s="540"/>
      <c r="L13" s="540"/>
    </row>
    <row r="14" spans="1:12">
      <c r="A14" s="1350">
        <f t="shared" si="0"/>
        <v>5</v>
      </c>
      <c r="B14" s="612"/>
      <c r="C14" s="485" t="s">
        <v>1576</v>
      </c>
      <c r="D14" s="498">
        <f>SUM(D10:D13)</f>
        <v>-1649088770.0130017</v>
      </c>
      <c r="E14" s="560" t="str">
        <f>"Sum of Lines "&amp;A10&amp;" to "&amp;A13&amp;""</f>
        <v>Sum of Lines 1 to 4</v>
      </c>
      <c r="J14" s="232"/>
      <c r="K14" s="540"/>
      <c r="L14" s="540"/>
    </row>
    <row r="15" spans="1:12">
      <c r="A15" s="1350">
        <f t="shared" si="0"/>
        <v>6</v>
      </c>
      <c r="B15" s="612"/>
      <c r="D15" s="241"/>
      <c r="E15" s="241"/>
      <c r="G15" s="543"/>
      <c r="H15" s="247"/>
      <c r="I15" s="241"/>
      <c r="J15" s="232"/>
      <c r="K15" s="540"/>
      <c r="L15" s="540"/>
    </row>
    <row r="16" spans="1:12">
      <c r="A16" s="1350">
        <f t="shared" si="0"/>
        <v>7</v>
      </c>
      <c r="B16" s="614" t="s">
        <v>1575</v>
      </c>
      <c r="E16" s="241"/>
      <c r="G16" s="542"/>
      <c r="H16" s="544"/>
      <c r="I16" s="542"/>
      <c r="J16" s="232"/>
      <c r="K16" s="540"/>
      <c r="L16" s="540"/>
    </row>
    <row r="17" spans="1:12">
      <c r="A17" s="1350">
        <f t="shared" si="0"/>
        <v>8</v>
      </c>
      <c r="B17" s="614"/>
      <c r="D17" s="111" t="s">
        <v>385</v>
      </c>
      <c r="E17" s="241"/>
      <c r="G17" s="542"/>
      <c r="H17" s="544"/>
      <c r="I17" s="542"/>
      <c r="J17" s="232"/>
      <c r="K17" s="540"/>
      <c r="L17" s="540"/>
    </row>
    <row r="18" spans="1:12">
      <c r="A18" s="1350">
        <f t="shared" si="0"/>
        <v>9</v>
      </c>
      <c r="B18" s="612"/>
      <c r="D18" s="125" t="s">
        <v>201</v>
      </c>
      <c r="E18" s="370" t="s">
        <v>179</v>
      </c>
      <c r="G18" s="545"/>
      <c r="H18" s="542"/>
      <c r="I18" s="542"/>
      <c r="J18" s="232"/>
      <c r="K18" s="540"/>
      <c r="L18" s="540"/>
    </row>
    <row r="19" spans="1:12">
      <c r="A19" s="1350">
        <f t="shared" si="0"/>
        <v>10</v>
      </c>
      <c r="B19" s="612"/>
      <c r="C19" s="485" t="s">
        <v>1576</v>
      </c>
      <c r="D19" s="517">
        <v>-1550608605.1540396</v>
      </c>
      <c r="E19" s="1353" t="str">
        <f>"Previous Year Informational Filing, Line "&amp;A14&amp;", Col. 2"</f>
        <v>Previous Year Informational Filing, Line 5, Col. 2</v>
      </c>
      <c r="G19" s="1362"/>
      <c r="H19" s="542"/>
      <c r="I19" s="542"/>
      <c r="K19" s="540"/>
      <c r="L19" s="540"/>
    </row>
    <row r="20" spans="1:12">
      <c r="A20" s="1350">
        <f t="shared" si="0"/>
        <v>11</v>
      </c>
      <c r="B20" s="612"/>
      <c r="D20" s="241"/>
      <c r="E20" s="241"/>
      <c r="F20" s="542"/>
      <c r="G20" s="542"/>
      <c r="H20" s="542"/>
      <c r="I20" s="542"/>
      <c r="J20" s="232"/>
      <c r="K20" s="540"/>
      <c r="L20" s="540"/>
    </row>
    <row r="21" spans="1:12">
      <c r="A21" s="1350">
        <f t="shared" si="0"/>
        <v>12</v>
      </c>
      <c r="B21" s="614" t="s">
        <v>1577</v>
      </c>
      <c r="D21" s="241"/>
      <c r="E21" s="241"/>
      <c r="F21" s="542"/>
      <c r="G21" s="542"/>
      <c r="H21" s="542"/>
      <c r="I21" s="542"/>
      <c r="J21" s="232"/>
      <c r="K21" s="540"/>
      <c r="L21" s="540"/>
    </row>
    <row r="22" spans="1:12">
      <c r="A22" s="1350">
        <f t="shared" si="0"/>
        <v>13</v>
      </c>
      <c r="B22" s="613"/>
      <c r="C22" s="615"/>
      <c r="D22" s="616" t="s">
        <v>231</v>
      </c>
      <c r="E22" s="232"/>
      <c r="F22" s="232"/>
      <c r="G22" s="232"/>
      <c r="H22" s="232"/>
      <c r="I22" s="232"/>
      <c r="J22" s="232"/>
      <c r="K22" s="540"/>
      <c r="L22" s="540"/>
    </row>
    <row r="23" spans="1:12">
      <c r="A23" s="1350">
        <f t="shared" si="0"/>
        <v>14</v>
      </c>
      <c r="B23" s="613"/>
      <c r="D23" s="125" t="s">
        <v>201</v>
      </c>
      <c r="E23" s="370" t="s">
        <v>179</v>
      </c>
      <c r="F23" s="232"/>
      <c r="G23" s="545"/>
      <c r="H23" s="232"/>
      <c r="I23" s="232"/>
      <c r="J23" s="232"/>
      <c r="K23" s="540"/>
      <c r="L23" s="540"/>
    </row>
    <row r="24" spans="1:12">
      <c r="A24" s="1350">
        <f t="shared" si="0"/>
        <v>15</v>
      </c>
      <c r="B24" s="613"/>
      <c r="C24" s="617" t="s">
        <v>2522</v>
      </c>
      <c r="D24" s="1101">
        <f>J159</f>
        <v>-1580823717.2033207</v>
      </c>
      <c r="E24" s="247" t="str">
        <f>"Line "&amp;A159&amp;""</f>
        <v>Line 819</v>
      </c>
      <c r="F24" s="232"/>
      <c r="G24" s="542"/>
      <c r="H24" s="232"/>
      <c r="I24" s="232"/>
      <c r="J24" s="232"/>
      <c r="K24" s="540"/>
      <c r="L24" s="540"/>
    </row>
    <row r="25" spans="1:12">
      <c r="A25" s="580"/>
      <c r="B25" s="613"/>
      <c r="C25" s="615"/>
      <c r="D25" s="618"/>
      <c r="E25" s="232"/>
      <c r="F25" s="232"/>
      <c r="G25" s="232"/>
      <c r="H25" s="232"/>
      <c r="I25" s="232"/>
      <c r="J25" s="232"/>
      <c r="K25" s="540"/>
      <c r="L25" s="540"/>
    </row>
    <row r="26" spans="1:12">
      <c r="A26" s="580"/>
      <c r="B26" s="612" t="s">
        <v>1578</v>
      </c>
      <c r="C26" s="615"/>
      <c r="D26" s="618"/>
      <c r="E26" s="232"/>
      <c r="F26" s="232"/>
      <c r="G26" s="232"/>
      <c r="H26" s="232"/>
      <c r="I26" s="232"/>
      <c r="J26" s="232"/>
    </row>
    <row r="27" spans="1:12">
      <c r="A27" s="580"/>
      <c r="B27" s="612"/>
      <c r="C27" s="84" t="s">
        <v>363</v>
      </c>
      <c r="D27" s="84" t="s">
        <v>347</v>
      </c>
      <c r="E27" s="84" t="s">
        <v>348</v>
      </c>
      <c r="F27" s="84" t="s">
        <v>349</v>
      </c>
      <c r="G27" s="84" t="s">
        <v>350</v>
      </c>
      <c r="H27" s="84" t="s">
        <v>351</v>
      </c>
      <c r="I27" s="84" t="s">
        <v>352</v>
      </c>
      <c r="J27" s="232"/>
    </row>
    <row r="28" spans="1:12">
      <c r="A28" s="483"/>
      <c r="B28" s="616"/>
      <c r="C28" s="616"/>
      <c r="D28" s="616" t="s">
        <v>1579</v>
      </c>
      <c r="E28" s="616" t="s">
        <v>1580</v>
      </c>
      <c r="F28" s="616"/>
      <c r="G28" s="616"/>
      <c r="H28" s="616" t="s">
        <v>1288</v>
      </c>
      <c r="I28" s="966" t="s">
        <v>1905</v>
      </c>
      <c r="J28" s="232"/>
    </row>
    <row r="29" spans="1:12">
      <c r="A29" s="483"/>
      <c r="B29" s="619" t="s">
        <v>1581</v>
      </c>
      <c r="C29" s="619" t="s">
        <v>1582</v>
      </c>
      <c r="D29" s="619" t="s">
        <v>1583</v>
      </c>
      <c r="E29" s="619" t="s">
        <v>1584</v>
      </c>
      <c r="F29" s="619" t="s">
        <v>1585</v>
      </c>
      <c r="G29" s="619" t="s">
        <v>1586</v>
      </c>
      <c r="H29" s="619" t="s">
        <v>1574</v>
      </c>
      <c r="I29" s="619" t="s">
        <v>100</v>
      </c>
      <c r="J29" s="232"/>
    </row>
    <row r="30" spans="1:12">
      <c r="A30" s="580"/>
      <c r="B30" s="613" t="s">
        <v>1588</v>
      </c>
      <c r="C30" s="613"/>
      <c r="D30" s="613"/>
      <c r="E30" s="232"/>
      <c r="F30" s="232"/>
      <c r="G30" s="232"/>
      <c r="H30" s="232"/>
      <c r="I30" s="232"/>
      <c r="J30" s="232"/>
    </row>
    <row r="31" spans="1:12">
      <c r="A31" s="189">
        <f>100</f>
        <v>100</v>
      </c>
      <c r="B31" s="1084">
        <v>190</v>
      </c>
      <c r="C31" s="1073" t="s">
        <v>2769</v>
      </c>
      <c r="D31" s="1074">
        <v>649241</v>
      </c>
      <c r="E31" s="1086">
        <f>D31*$G$180</f>
        <v>506.34792152825798</v>
      </c>
      <c r="F31" s="1083"/>
      <c r="G31" s="1086">
        <f>D31-E31</f>
        <v>648734.65207847173</v>
      </c>
      <c r="H31" s="1086"/>
      <c r="I31" s="1087" t="s">
        <v>2770</v>
      </c>
      <c r="J31" s="1078"/>
    </row>
    <row r="32" spans="1:12">
      <c r="A32" s="189">
        <f t="shared" ref="A32:A47" si="1">A31+1</f>
        <v>101</v>
      </c>
      <c r="B32" s="1084">
        <v>190</v>
      </c>
      <c r="C32" s="1073" t="s">
        <v>2771</v>
      </c>
      <c r="D32" s="1074">
        <v>3146087</v>
      </c>
      <c r="E32" s="1086">
        <f>D32*$G$172</f>
        <v>9014.2512600701466</v>
      </c>
      <c r="F32" s="1083"/>
      <c r="G32" s="1086"/>
      <c r="H32" s="1086">
        <f>D32-E32</f>
        <v>3137072.7487399299</v>
      </c>
      <c r="I32" s="1087" t="s">
        <v>2772</v>
      </c>
      <c r="J32" s="1078"/>
    </row>
    <row r="33" spans="1:12">
      <c r="A33" s="1082">
        <f t="shared" si="1"/>
        <v>102</v>
      </c>
      <c r="B33" s="1084">
        <v>190</v>
      </c>
      <c r="C33" s="1073" t="s">
        <v>2773</v>
      </c>
      <c r="D33" s="1074">
        <v>771695</v>
      </c>
      <c r="E33" s="1086">
        <f>D33*$G$180</f>
        <v>601.85071383931245</v>
      </c>
      <c r="F33" s="1083"/>
      <c r="G33" s="1086">
        <f>D33-E33</f>
        <v>771093.14928616071</v>
      </c>
      <c r="H33" s="1086"/>
      <c r="I33" s="1087" t="s">
        <v>2770</v>
      </c>
      <c r="J33" s="1078"/>
    </row>
    <row r="34" spans="1:12">
      <c r="A34" s="1082">
        <f t="shared" si="1"/>
        <v>103</v>
      </c>
      <c r="B34" s="1084">
        <v>190</v>
      </c>
      <c r="C34" s="1073" t="s">
        <v>2774</v>
      </c>
      <c r="D34" s="1074">
        <v>1536403</v>
      </c>
      <c r="E34" s="1086">
        <f>D34*$G$172</f>
        <v>4402.142305259058</v>
      </c>
      <c r="F34" s="1086"/>
      <c r="G34" s="1086"/>
      <c r="H34" s="1086">
        <f>D34-E34</f>
        <v>1532000.8576947409</v>
      </c>
      <c r="I34" s="1087" t="s">
        <v>2772</v>
      </c>
      <c r="J34" s="1078"/>
    </row>
    <row r="35" spans="1:12">
      <c r="A35" s="1082">
        <f t="shared" si="1"/>
        <v>104</v>
      </c>
      <c r="B35" s="1084">
        <v>190</v>
      </c>
      <c r="C35" s="1073" t="s">
        <v>2775</v>
      </c>
      <c r="D35" s="1074">
        <v>29451918</v>
      </c>
      <c r="E35" s="1086">
        <f>D35*$G$172</f>
        <v>84386.410465757188</v>
      </c>
      <c r="F35" s="1083"/>
      <c r="G35" s="1086"/>
      <c r="H35" s="1086">
        <f>D35-E35</f>
        <v>29367531.589534242</v>
      </c>
      <c r="I35" s="1087" t="s">
        <v>2772</v>
      </c>
      <c r="J35" s="1078"/>
    </row>
    <row r="36" spans="1:12" ht="12.75" customHeight="1">
      <c r="A36" s="1082">
        <f t="shared" si="1"/>
        <v>105</v>
      </c>
      <c r="B36" s="1084">
        <v>190</v>
      </c>
      <c r="C36" s="1073" t="s">
        <v>2776</v>
      </c>
      <c r="D36" s="1074">
        <v>11617959</v>
      </c>
      <c r="E36" s="1086">
        <f>D36*$G$172</f>
        <v>33288.081847448368</v>
      </c>
      <c r="F36" s="1083"/>
      <c r="G36" s="1086"/>
      <c r="H36" s="1086">
        <f>D36-E36</f>
        <v>11584670.918152552</v>
      </c>
      <c r="I36" s="1087" t="s">
        <v>2772</v>
      </c>
      <c r="J36" s="1078"/>
    </row>
    <row r="37" spans="1:12">
      <c r="A37" s="1082">
        <f t="shared" si="1"/>
        <v>106</v>
      </c>
      <c r="B37" s="1084">
        <v>190</v>
      </c>
      <c r="C37" s="1073" t="s">
        <v>2777</v>
      </c>
      <c r="D37" s="1074">
        <v>34717749</v>
      </c>
      <c r="E37" s="1086">
        <f>D37*$G$172</f>
        <v>99474.208014606425</v>
      </c>
      <c r="F37" s="1083"/>
      <c r="G37" s="1086"/>
      <c r="H37" s="1086">
        <f>D37-E37</f>
        <v>34618274.791985393</v>
      </c>
      <c r="I37" s="1087" t="s">
        <v>2772</v>
      </c>
      <c r="J37" s="1078"/>
    </row>
    <row r="38" spans="1:12">
      <c r="A38" s="1082">
        <f t="shared" si="1"/>
        <v>107</v>
      </c>
      <c r="B38" s="1084">
        <v>190</v>
      </c>
      <c r="C38" s="1073" t="s">
        <v>2778</v>
      </c>
      <c r="D38" s="1074">
        <v>1247125</v>
      </c>
      <c r="E38" s="1086">
        <f>D38*$G$180</f>
        <v>972.64213387005555</v>
      </c>
      <c r="F38" s="1083"/>
      <c r="G38" s="1086">
        <f>D38-E38</f>
        <v>1246152.3578661298</v>
      </c>
      <c r="H38" s="1086"/>
      <c r="I38" s="1087" t="s">
        <v>2770</v>
      </c>
      <c r="J38" s="1078"/>
    </row>
    <row r="39" spans="1:12">
      <c r="A39" s="1082">
        <f t="shared" si="1"/>
        <v>108</v>
      </c>
      <c r="B39" s="1084">
        <v>190</v>
      </c>
      <c r="C39" s="1073" t="s">
        <v>2779</v>
      </c>
      <c r="D39" s="1074">
        <v>955103</v>
      </c>
      <c r="E39" s="1086">
        <f>D39*$G$180</f>
        <v>744.89198755994119</v>
      </c>
      <c r="F39" s="1083"/>
      <c r="G39" s="1086">
        <f>D39-E39</f>
        <v>954358.10801244003</v>
      </c>
      <c r="H39" s="1086"/>
      <c r="I39" s="1087" t="s">
        <v>2770</v>
      </c>
      <c r="J39" s="1078"/>
    </row>
    <row r="40" spans="1:12">
      <c r="A40" s="1082">
        <f t="shared" si="1"/>
        <v>109</v>
      </c>
      <c r="B40" s="1084">
        <v>190</v>
      </c>
      <c r="C40" s="1073" t="s">
        <v>2780</v>
      </c>
      <c r="D40" s="1074">
        <v>421953973</v>
      </c>
      <c r="E40" s="1086">
        <v>421953973</v>
      </c>
      <c r="F40" s="1083"/>
      <c r="G40" s="1086"/>
      <c r="H40" s="1086"/>
      <c r="I40" s="1087" t="s">
        <v>2781</v>
      </c>
      <c r="J40" s="1078"/>
    </row>
    <row r="41" spans="1:12">
      <c r="A41" s="1082">
        <f t="shared" si="1"/>
        <v>110</v>
      </c>
      <c r="B41" s="1084">
        <v>190</v>
      </c>
      <c r="C41" s="1073" t="s">
        <v>2782</v>
      </c>
      <c r="D41" s="1074">
        <v>-9045539</v>
      </c>
      <c r="E41" s="1086">
        <v>-9045539</v>
      </c>
      <c r="F41" s="517"/>
      <c r="G41" s="1086"/>
      <c r="H41" s="1086"/>
      <c r="I41" s="1087" t="s">
        <v>2783</v>
      </c>
      <c r="J41" s="749"/>
    </row>
    <row r="42" spans="1:12">
      <c r="A42" s="1082">
        <f t="shared" si="1"/>
        <v>111</v>
      </c>
      <c r="B42" s="1084">
        <v>190</v>
      </c>
      <c r="C42" s="1073" t="s">
        <v>2784</v>
      </c>
      <c r="D42" s="1074">
        <v>0</v>
      </c>
      <c r="E42" s="1086">
        <v>0</v>
      </c>
      <c r="F42" s="1083"/>
      <c r="G42" s="1086"/>
      <c r="H42" s="1086"/>
      <c r="I42" s="1089" t="s">
        <v>2785</v>
      </c>
      <c r="J42" s="1078"/>
    </row>
    <row r="43" spans="1:12">
      <c r="A43" s="1082">
        <f t="shared" si="1"/>
        <v>112</v>
      </c>
      <c r="B43" s="1084">
        <v>190</v>
      </c>
      <c r="C43" s="1073" t="s">
        <v>2786</v>
      </c>
      <c r="D43" s="1074">
        <v>9082254</v>
      </c>
      <c r="E43" s="1086">
        <f>D43*$G$172</f>
        <v>26022.713155668334</v>
      </c>
      <c r="F43" s="1083"/>
      <c r="G43" s="1086"/>
      <c r="H43" s="1086">
        <f>D43-E43</f>
        <v>9056231.2868443318</v>
      </c>
      <c r="I43" s="1087" t="s">
        <v>2772</v>
      </c>
      <c r="J43" s="1078"/>
    </row>
    <row r="44" spans="1:12">
      <c r="A44" s="1082">
        <f t="shared" si="1"/>
        <v>113</v>
      </c>
      <c r="B44" s="1084">
        <v>190</v>
      </c>
      <c r="C44" s="1073" t="s">
        <v>2787</v>
      </c>
      <c r="D44" s="1074">
        <v>6708625</v>
      </c>
      <c r="E44" s="1086">
        <v>6708625</v>
      </c>
      <c r="F44" s="1083"/>
      <c r="G44" s="1086"/>
      <c r="H44" s="1086"/>
      <c r="I44" s="1087" t="s">
        <v>2788</v>
      </c>
      <c r="J44" s="1078"/>
    </row>
    <row r="45" spans="1:12">
      <c r="A45" s="1082">
        <f t="shared" si="1"/>
        <v>114</v>
      </c>
      <c r="B45" s="1084">
        <v>190</v>
      </c>
      <c r="C45" s="1073" t="s">
        <v>2789</v>
      </c>
      <c r="D45" s="1074">
        <v>9519058</v>
      </c>
      <c r="E45" s="1086">
        <v>9519058</v>
      </c>
      <c r="F45" s="1083"/>
      <c r="G45" s="1086"/>
      <c r="H45" s="1083"/>
      <c r="I45" s="1087" t="s">
        <v>2790</v>
      </c>
      <c r="J45" s="1078"/>
    </row>
    <row r="46" spans="1:12">
      <c r="A46" s="1082">
        <f t="shared" si="1"/>
        <v>115</v>
      </c>
      <c r="B46" s="1084">
        <v>190</v>
      </c>
      <c r="C46" s="1073" t="s">
        <v>2791</v>
      </c>
      <c r="D46" s="1074">
        <v>1027410561</v>
      </c>
      <c r="E46" s="1086">
        <v>1027410561</v>
      </c>
      <c r="F46" s="1083"/>
      <c r="G46" s="1086"/>
      <c r="H46" s="1083"/>
      <c r="I46" s="1087" t="s">
        <v>2792</v>
      </c>
      <c r="J46" s="1078"/>
    </row>
    <row r="47" spans="1:12" s="1075" customFormat="1">
      <c r="A47" s="1082">
        <f t="shared" si="1"/>
        <v>116</v>
      </c>
      <c r="B47" s="1084">
        <v>190</v>
      </c>
      <c r="C47" s="1073" t="s">
        <v>2793</v>
      </c>
      <c r="D47" s="1074">
        <v>172664412</v>
      </c>
      <c r="E47" s="1086">
        <v>0</v>
      </c>
      <c r="F47" s="1083"/>
      <c r="G47" s="1083">
        <v>172664412</v>
      </c>
      <c r="H47" s="1083"/>
      <c r="I47" s="1081" t="s">
        <v>2794</v>
      </c>
      <c r="J47" s="1078"/>
      <c r="K47" s="14"/>
    </row>
    <row r="48" spans="1:12">
      <c r="A48" s="111"/>
      <c r="B48" s="622"/>
      <c r="C48" s="623"/>
      <c r="D48" s="624"/>
      <c r="E48" s="236"/>
      <c r="F48" s="236"/>
      <c r="G48" s="236"/>
      <c r="H48" s="236"/>
      <c r="I48" s="241"/>
      <c r="J48" s="241"/>
      <c r="K48" s="540"/>
      <c r="L48" s="540"/>
    </row>
    <row r="49" spans="1:12">
      <c r="A49" s="111"/>
      <c r="B49" s="612" t="s">
        <v>1589</v>
      </c>
      <c r="C49" s="615"/>
      <c r="D49" s="618"/>
      <c r="E49" s="232"/>
      <c r="F49" s="232"/>
      <c r="G49" s="232"/>
      <c r="H49" s="232"/>
      <c r="I49" s="232"/>
      <c r="J49" s="241"/>
      <c r="K49" s="540"/>
      <c r="L49" s="540"/>
    </row>
    <row r="50" spans="1:12">
      <c r="A50" s="111"/>
      <c r="B50" s="612"/>
      <c r="C50" s="84" t="s">
        <v>363</v>
      </c>
      <c r="D50" s="84" t="s">
        <v>347</v>
      </c>
      <c r="E50" s="84" t="s">
        <v>348</v>
      </c>
      <c r="F50" s="84" t="s">
        <v>349</v>
      </c>
      <c r="G50" s="84" t="s">
        <v>350</v>
      </c>
      <c r="H50" s="84" t="s">
        <v>351</v>
      </c>
      <c r="I50" s="84" t="s">
        <v>352</v>
      </c>
      <c r="J50" s="241"/>
      <c r="K50" s="540"/>
      <c r="L50" s="540"/>
    </row>
    <row r="51" spans="1:12">
      <c r="A51" s="111"/>
      <c r="B51" s="616"/>
      <c r="C51" s="616"/>
      <c r="D51" s="616" t="s">
        <v>1579</v>
      </c>
      <c r="E51" s="616" t="s">
        <v>1580</v>
      </c>
      <c r="F51" s="616"/>
      <c r="G51" s="616"/>
      <c r="H51" s="616"/>
      <c r="I51" s="966" t="s">
        <v>1905</v>
      </c>
      <c r="J51" s="241"/>
      <c r="K51" s="540"/>
      <c r="L51" s="540"/>
    </row>
    <row r="52" spans="1:12">
      <c r="A52" s="111"/>
      <c r="B52" s="619" t="s">
        <v>1581</v>
      </c>
      <c r="C52" s="619" t="s">
        <v>1582</v>
      </c>
      <c r="D52" s="619" t="s">
        <v>1583</v>
      </c>
      <c r="E52" s="619" t="s">
        <v>1584</v>
      </c>
      <c r="F52" s="619" t="s">
        <v>1585</v>
      </c>
      <c r="G52" s="619" t="s">
        <v>1586</v>
      </c>
      <c r="H52" s="619" t="s">
        <v>1587</v>
      </c>
      <c r="I52" s="619" t="s">
        <v>100</v>
      </c>
      <c r="J52" s="236"/>
      <c r="K52" s="540"/>
      <c r="L52" s="540"/>
    </row>
    <row r="53" spans="1:12">
      <c r="A53" s="111"/>
      <c r="B53" s="613" t="s">
        <v>1588</v>
      </c>
      <c r="C53" s="613"/>
      <c r="D53" s="613"/>
      <c r="E53" s="232"/>
      <c r="F53" s="232"/>
      <c r="G53" s="232"/>
      <c r="H53" s="232"/>
      <c r="I53" s="232"/>
      <c r="J53" s="241"/>
      <c r="K53" s="540"/>
      <c r="L53" s="540"/>
    </row>
    <row r="54" spans="1:12">
      <c r="A54" s="189">
        <f>A47+1</f>
        <v>117</v>
      </c>
      <c r="B54" s="1072" t="s">
        <v>513</v>
      </c>
      <c r="C54" s="620"/>
      <c r="D54" s="621"/>
      <c r="E54" s="237"/>
      <c r="F54" s="237"/>
      <c r="G54" s="237"/>
      <c r="H54" s="237"/>
      <c r="I54" s="399"/>
      <c r="J54" s="399"/>
      <c r="K54" s="540"/>
      <c r="L54" s="540"/>
    </row>
    <row r="55" spans="1:12">
      <c r="A55" s="580"/>
      <c r="B55" s="625"/>
      <c r="C55" s="613"/>
      <c r="D55" s="626"/>
      <c r="E55" s="234"/>
      <c r="F55" s="234"/>
      <c r="G55" s="234"/>
      <c r="H55" s="234"/>
      <c r="I55" s="370" t="s">
        <v>179</v>
      </c>
      <c r="J55" s="232"/>
      <c r="K55" s="540"/>
      <c r="L55" s="540"/>
    </row>
    <row r="56" spans="1:12">
      <c r="A56" s="111">
        <v>250</v>
      </c>
      <c r="B56" s="613"/>
      <c r="C56" s="613" t="s">
        <v>1590</v>
      </c>
      <c r="D56" s="635">
        <f>SUM(D31:D47)+SUM(D54:D54)</f>
        <v>1722386624</v>
      </c>
      <c r="E56" s="635">
        <f>SUM(E31:E47)+SUM(E54:E54)</f>
        <v>1456806091.5398057</v>
      </c>
      <c r="F56" s="627">
        <f>SUM(F31:F47)+SUM(F54:F54)</f>
        <v>0</v>
      </c>
      <c r="G56" s="627">
        <f>SUM(G31:G47)+SUM(G54:G54)</f>
        <v>176284750.26724321</v>
      </c>
      <c r="H56" s="627">
        <f>SUM(H31:H47)+SUM(H54:H54)</f>
        <v>89295782.192951187</v>
      </c>
      <c r="I56" s="247" t="str">
        <f>"Sum of Above Lines beginning on Line "&amp;A31&amp;""</f>
        <v>Sum of Above Lines beginning on Line 100</v>
      </c>
      <c r="J56" s="232"/>
      <c r="K56" s="540"/>
      <c r="L56" s="540"/>
    </row>
    <row r="57" spans="1:12">
      <c r="A57" s="580"/>
      <c r="B57" s="613"/>
      <c r="C57" s="613"/>
      <c r="D57" s="628"/>
      <c r="E57" s="234"/>
      <c r="F57" s="234"/>
      <c r="G57" s="234"/>
      <c r="H57" s="234"/>
      <c r="I57" s="232"/>
      <c r="J57" s="232"/>
    </row>
    <row r="58" spans="1:12">
      <c r="A58" s="580"/>
      <c r="B58" s="613" t="s">
        <v>1591</v>
      </c>
      <c r="C58" s="613"/>
      <c r="D58" s="628"/>
      <c r="E58" s="234"/>
      <c r="F58" s="234"/>
      <c r="G58" s="234"/>
      <c r="H58" s="234"/>
      <c r="I58" s="966" t="s">
        <v>1905</v>
      </c>
      <c r="J58" s="232"/>
    </row>
    <row r="59" spans="1:12">
      <c r="A59" s="580"/>
      <c r="C59" s="84" t="s">
        <v>363</v>
      </c>
      <c r="D59" s="84" t="s">
        <v>347</v>
      </c>
      <c r="E59" s="84" t="s">
        <v>348</v>
      </c>
      <c r="F59" s="84" t="s">
        <v>349</v>
      </c>
      <c r="G59" s="84" t="s">
        <v>350</v>
      </c>
      <c r="H59" s="84" t="s">
        <v>351</v>
      </c>
      <c r="I59" s="84" t="s">
        <v>352</v>
      </c>
      <c r="J59" s="232"/>
    </row>
    <row r="60" spans="1:12">
      <c r="A60" s="189">
        <v>300</v>
      </c>
      <c r="B60" s="1084">
        <v>190</v>
      </c>
      <c r="C60" s="1073" t="s">
        <v>2795</v>
      </c>
      <c r="D60" s="1074">
        <v>-910</v>
      </c>
      <c r="E60" s="1086">
        <f t="shared" ref="E60:E63" si="2">D60</f>
        <v>-910</v>
      </c>
      <c r="F60" s="1086"/>
      <c r="G60" s="1086"/>
      <c r="H60" s="1086"/>
      <c r="I60" s="1087" t="s">
        <v>2799</v>
      </c>
      <c r="J60" s="1087"/>
    </row>
    <row r="61" spans="1:12" s="1075" customFormat="1">
      <c r="A61" s="1082">
        <f>A60+1</f>
        <v>301</v>
      </c>
      <c r="B61" s="1084">
        <v>190</v>
      </c>
      <c r="C61" s="1073" t="s">
        <v>2796</v>
      </c>
      <c r="D61" s="1074">
        <v>118747</v>
      </c>
      <c r="E61" s="1086">
        <f>D61</f>
        <v>118747</v>
      </c>
      <c r="F61" s="1086"/>
      <c r="G61" s="1086"/>
      <c r="H61" s="1086"/>
      <c r="I61" s="1087" t="s">
        <v>2799</v>
      </c>
      <c r="J61" s="1087"/>
      <c r="K61" s="14"/>
    </row>
    <row r="62" spans="1:12" s="1075" customFormat="1">
      <c r="A62" s="1082">
        <f t="shared" ref="A62:A64" si="3">A61+1</f>
        <v>302</v>
      </c>
      <c r="B62" s="1084">
        <v>190</v>
      </c>
      <c r="C62" s="1073" t="s">
        <v>2782</v>
      </c>
      <c r="D62" s="1074">
        <v>2738775</v>
      </c>
      <c r="E62" s="1086">
        <f t="shared" si="2"/>
        <v>2738775</v>
      </c>
      <c r="F62" s="1086"/>
      <c r="G62" s="1086"/>
      <c r="H62" s="1086"/>
      <c r="I62" s="1087" t="s">
        <v>2800</v>
      </c>
      <c r="J62" s="1087"/>
      <c r="K62" s="14"/>
    </row>
    <row r="63" spans="1:12" s="1075" customFormat="1">
      <c r="A63" s="1082">
        <f t="shared" si="3"/>
        <v>303</v>
      </c>
      <c r="B63" s="1084">
        <v>190</v>
      </c>
      <c r="C63" s="1073" t="s">
        <v>2797</v>
      </c>
      <c r="D63" s="1074">
        <v>1561144</v>
      </c>
      <c r="E63" s="1086">
        <f t="shared" si="2"/>
        <v>1561144</v>
      </c>
      <c r="F63" s="1086"/>
      <c r="G63" s="1086"/>
      <c r="H63" s="1086"/>
      <c r="I63" s="1087" t="s">
        <v>2792</v>
      </c>
      <c r="J63" s="1087"/>
      <c r="K63" s="14"/>
    </row>
    <row r="64" spans="1:12" s="1075" customFormat="1">
      <c r="A64" s="1082">
        <f t="shared" si="3"/>
        <v>304</v>
      </c>
      <c r="B64" s="1084">
        <v>190</v>
      </c>
      <c r="C64" s="1073" t="s">
        <v>2798</v>
      </c>
      <c r="D64" s="1074">
        <v>-15234903</v>
      </c>
      <c r="E64" s="1086">
        <f>D64</f>
        <v>-15234903</v>
      </c>
      <c r="F64" s="1086"/>
      <c r="G64" s="1086"/>
      <c r="H64" s="1086"/>
      <c r="I64" s="1087" t="s">
        <v>2792</v>
      </c>
      <c r="J64" s="1087"/>
      <c r="K64" s="14"/>
    </row>
    <row r="65" spans="1:11" s="1075" customFormat="1">
      <c r="A65" s="1082">
        <f>A64+1</f>
        <v>305</v>
      </c>
      <c r="B65" s="1084" t="s">
        <v>513</v>
      </c>
      <c r="C65" s="1073"/>
      <c r="D65" s="1074"/>
      <c r="E65" s="1086"/>
      <c r="F65" s="1086"/>
      <c r="G65" s="1086"/>
      <c r="H65" s="1086"/>
      <c r="I65" s="1087"/>
      <c r="J65" s="1087"/>
      <c r="K65" s="14"/>
    </row>
    <row r="66" spans="1:11">
      <c r="A66" s="580"/>
      <c r="B66" s="625"/>
      <c r="C66" s="623"/>
      <c r="D66" s="624"/>
      <c r="E66" s="236"/>
      <c r="F66" s="236"/>
      <c r="G66" s="236"/>
      <c r="H66" s="236"/>
      <c r="I66" s="241"/>
      <c r="J66" s="241"/>
    </row>
    <row r="67" spans="1:11">
      <c r="A67" s="580"/>
      <c r="B67" s="625"/>
      <c r="C67" s="84" t="s">
        <v>363</v>
      </c>
      <c r="D67" s="84" t="s">
        <v>347</v>
      </c>
      <c r="E67" s="84" t="s">
        <v>348</v>
      </c>
      <c r="F67" s="84" t="s">
        <v>349</v>
      </c>
      <c r="G67" s="84" t="s">
        <v>350</v>
      </c>
      <c r="H67" s="84" t="s">
        <v>351</v>
      </c>
      <c r="I67" s="370" t="s">
        <v>179</v>
      </c>
      <c r="J67" s="232"/>
    </row>
    <row r="68" spans="1:11">
      <c r="A68" s="559">
        <v>350</v>
      </c>
      <c r="B68" s="613"/>
      <c r="C68" s="613" t="s">
        <v>1592</v>
      </c>
      <c r="D68" s="635">
        <f>SUM(D60:D65)</f>
        <v>-10817147</v>
      </c>
      <c r="E68" s="635">
        <f>SUM(E60:E65)</f>
        <v>-10817147</v>
      </c>
      <c r="F68" s="627">
        <f>SUM(F60:F65)</f>
        <v>0</v>
      </c>
      <c r="G68" s="627">
        <f>SUM(G60:G65)</f>
        <v>0</v>
      </c>
      <c r="H68" s="627">
        <f>SUM(H60:H65)</f>
        <v>0</v>
      </c>
      <c r="I68" s="247" t="str">
        <f>"Sum of Above Lines beginning on Line "&amp;A60&amp;""</f>
        <v>Sum of Above Lines beginning on Line 300</v>
      </c>
      <c r="J68" s="232"/>
    </row>
    <row r="69" spans="1:11">
      <c r="A69" s="559"/>
      <c r="B69" s="613"/>
      <c r="C69" s="613"/>
      <c r="D69" s="627"/>
      <c r="E69" s="627"/>
      <c r="F69" s="627"/>
      <c r="G69" s="627"/>
      <c r="H69" s="627"/>
      <c r="I69" s="247"/>
      <c r="J69" s="232"/>
    </row>
    <row r="70" spans="1:11">
      <c r="A70" s="559">
        <f t="shared" ref="A70" si="4">A68+1</f>
        <v>351</v>
      </c>
      <c r="B70" s="613"/>
      <c r="C70" s="613" t="s">
        <v>1593</v>
      </c>
      <c r="D70" s="627">
        <f>+D68+D56</f>
        <v>1711569477</v>
      </c>
      <c r="E70" s="627">
        <f>+E68+E56</f>
        <v>1445988944.5398057</v>
      </c>
      <c r="F70" s="627">
        <f>+F68+F56</f>
        <v>0</v>
      </c>
      <c r="G70" s="627">
        <f>+G68+G56</f>
        <v>176284750.26724321</v>
      </c>
      <c r="H70" s="627">
        <f>+H68+H56</f>
        <v>89295782.192951187</v>
      </c>
      <c r="I70" s="546" t="str">
        <f>"Line "&amp;A56&amp;" + Line "&amp;A68&amp;""</f>
        <v>Line 250 + Line 350</v>
      </c>
      <c r="J70" s="232"/>
    </row>
    <row r="71" spans="1:11">
      <c r="A71" s="559">
        <f>+A70+1</f>
        <v>352</v>
      </c>
      <c r="B71" s="613"/>
      <c r="C71" s="613" t="s">
        <v>1637</v>
      </c>
      <c r="D71" s="627"/>
      <c r="E71" s="627"/>
      <c r="F71" s="627"/>
      <c r="G71" s="629">
        <f>'27-Allocators'!$G$27</f>
        <v>0.19148424914638884</v>
      </c>
      <c r="H71" s="629">
        <f>'27-Allocators'!$G$14</f>
        <v>6.0143362776597958E-2</v>
      </c>
      <c r="I71" s="752" t="str">
        <f>"27-Allocators Lines "&amp;'27-Allocators'!A27&amp;" and "&amp;'27-Allocators'!A14&amp;" respectively."</f>
        <v>27-Allocators Lines 22 and 9 respectively.</v>
      </c>
      <c r="J71" s="232"/>
    </row>
    <row r="72" spans="1:11">
      <c r="A72" s="559">
        <f>+A71+1</f>
        <v>353</v>
      </c>
      <c r="B72" s="613"/>
      <c r="C72" s="613" t="s">
        <v>1638</v>
      </c>
      <c r="D72" s="627">
        <f>SUM(F72:H72)</f>
        <v>39126301.663732477</v>
      </c>
      <c r="E72" s="627"/>
      <c r="F72" s="630">
        <f>+F70</f>
        <v>0</v>
      </c>
      <c r="G72" s="630">
        <f>+G70*G71</f>
        <v>33755753.040881738</v>
      </c>
      <c r="H72" s="630">
        <f>+H70*H71</f>
        <v>5370548.6228507394</v>
      </c>
      <c r="I72" s="546" t="str">
        <f>"Line "&amp;A70&amp;" * Line "&amp;A71&amp;" for Cols 5 and 6.  Col. 4 100% ISO."</f>
        <v>Line 351 * Line 352 for Cols 5 and 6.  Col. 4 100% ISO.</v>
      </c>
      <c r="J72" s="232"/>
    </row>
    <row r="73" spans="1:11">
      <c r="A73" s="559"/>
      <c r="B73" s="613"/>
      <c r="C73" s="631" t="s">
        <v>1640</v>
      </c>
      <c r="D73" s="627"/>
      <c r="E73" s="627"/>
      <c r="F73" s="627"/>
      <c r="G73" s="627"/>
      <c r="H73" s="627"/>
      <c r="I73" s="546"/>
      <c r="J73" s="232"/>
    </row>
    <row r="74" spans="1:11">
      <c r="A74" s="559"/>
      <c r="B74" s="613"/>
      <c r="C74" s="613"/>
      <c r="D74" s="627"/>
      <c r="E74" s="627"/>
      <c r="F74" s="627"/>
      <c r="G74" s="627"/>
      <c r="H74" s="627"/>
      <c r="I74" s="546"/>
      <c r="J74" s="232"/>
    </row>
    <row r="75" spans="1:11">
      <c r="A75" s="559">
        <f>+A72+1</f>
        <v>354</v>
      </c>
      <c r="B75" s="613"/>
      <c r="C75" s="613" t="s">
        <v>1594</v>
      </c>
      <c r="D75" s="1085">
        <v>1711569477</v>
      </c>
      <c r="E75" s="632" t="str">
        <f>"Must match amount on Line "&amp;A70&amp;", Col. 2"</f>
        <v>Must match amount on Line 351, Col. 2</v>
      </c>
      <c r="G75" s="627"/>
      <c r="H75" s="627"/>
      <c r="I75" s="546" t="s">
        <v>1236</v>
      </c>
      <c r="J75" s="232"/>
    </row>
    <row r="76" spans="1:11">
      <c r="A76" s="580"/>
      <c r="B76" s="613"/>
      <c r="C76" s="613"/>
      <c r="D76" s="633"/>
      <c r="E76" s="633"/>
      <c r="F76" s="633"/>
      <c r="G76" s="633"/>
      <c r="H76" s="633"/>
      <c r="I76" s="547"/>
      <c r="J76" s="232"/>
    </row>
    <row r="77" spans="1:11">
      <c r="A77" s="483"/>
      <c r="B77" s="612" t="s">
        <v>1595</v>
      </c>
      <c r="C77" s="634"/>
      <c r="D77" s="633"/>
      <c r="E77" s="232"/>
      <c r="F77" s="232"/>
      <c r="G77" s="232"/>
      <c r="H77" s="232"/>
      <c r="I77" s="232"/>
      <c r="J77" s="232"/>
    </row>
    <row r="78" spans="1:11">
      <c r="A78" s="483"/>
      <c r="C78" s="84" t="s">
        <v>363</v>
      </c>
      <c r="D78" s="84" t="s">
        <v>347</v>
      </c>
      <c r="E78" s="84" t="s">
        <v>348</v>
      </c>
      <c r="F78" s="84" t="s">
        <v>349</v>
      </c>
      <c r="G78" s="84" t="s">
        <v>350</v>
      </c>
      <c r="H78" s="84" t="s">
        <v>351</v>
      </c>
      <c r="I78" s="84" t="s">
        <v>352</v>
      </c>
      <c r="J78" s="232"/>
    </row>
    <row r="79" spans="1:11">
      <c r="A79" s="483"/>
      <c r="B79" s="616"/>
      <c r="C79" s="616"/>
      <c r="D79" s="616" t="s">
        <v>1579</v>
      </c>
      <c r="E79" s="616" t="s">
        <v>1580</v>
      </c>
      <c r="F79" s="616"/>
      <c r="G79" s="616"/>
      <c r="H79" s="616" t="s">
        <v>1288</v>
      </c>
      <c r="I79" s="966" t="s">
        <v>1905</v>
      </c>
      <c r="J79" s="232"/>
    </row>
    <row r="80" spans="1:11">
      <c r="A80" s="483"/>
      <c r="B80" s="619" t="s">
        <v>1596</v>
      </c>
      <c r="C80" s="619" t="s">
        <v>1582</v>
      </c>
      <c r="D80" s="619" t="s">
        <v>1583</v>
      </c>
      <c r="E80" s="619" t="s">
        <v>1584</v>
      </c>
      <c r="F80" s="619" t="s">
        <v>1585</v>
      </c>
      <c r="G80" s="619" t="s">
        <v>1586</v>
      </c>
      <c r="H80" s="619" t="s">
        <v>1574</v>
      </c>
      <c r="I80" s="619" t="s">
        <v>100</v>
      </c>
      <c r="J80" s="232"/>
    </row>
    <row r="81" spans="1:11">
      <c r="A81" s="189">
        <v>400</v>
      </c>
      <c r="B81" s="1088">
        <v>282</v>
      </c>
      <c r="C81" s="1089" t="s">
        <v>2801</v>
      </c>
      <c r="D81" s="1090">
        <v>-1090207015</v>
      </c>
      <c r="E81" s="1086"/>
      <c r="F81" s="1086">
        <f>D81</f>
        <v>-1090207015</v>
      </c>
      <c r="G81" s="1086"/>
      <c r="H81" s="1086"/>
      <c r="I81" s="1087" t="s">
        <v>2802</v>
      </c>
      <c r="J81" s="1087"/>
    </row>
    <row r="82" spans="1:11">
      <c r="A82" s="189">
        <f>A81+1</f>
        <v>401</v>
      </c>
      <c r="B82" s="1088">
        <v>282</v>
      </c>
      <c r="C82" s="1091" t="s">
        <v>2787</v>
      </c>
      <c r="D82" s="1090">
        <v>-5756860298</v>
      </c>
      <c r="E82" s="1086">
        <f>D82</f>
        <v>-5756860298</v>
      </c>
      <c r="F82" s="1086"/>
      <c r="G82" s="1086"/>
      <c r="H82" s="1086"/>
      <c r="I82" s="1087" t="s">
        <v>2803</v>
      </c>
      <c r="J82" s="1087"/>
    </row>
    <row r="83" spans="1:11">
      <c r="A83" s="189">
        <f t="shared" ref="A83:A86" si="5">A82+1</f>
        <v>402</v>
      </c>
      <c r="B83" s="1088">
        <v>282</v>
      </c>
      <c r="C83" s="1089" t="s">
        <v>2804</v>
      </c>
      <c r="D83" s="1090">
        <v>-25491012</v>
      </c>
      <c r="E83" s="1086">
        <f t="shared" ref="E83:E86" si="6">D83</f>
        <v>-25491012</v>
      </c>
      <c r="F83" s="1086"/>
      <c r="G83" s="1086"/>
      <c r="H83" s="1086"/>
      <c r="I83" s="1087" t="s">
        <v>2805</v>
      </c>
      <c r="J83" s="1087"/>
    </row>
    <row r="84" spans="1:11">
      <c r="A84" s="189">
        <f t="shared" si="5"/>
        <v>403</v>
      </c>
      <c r="B84" s="1088">
        <v>282</v>
      </c>
      <c r="C84" s="1089" t="s">
        <v>2806</v>
      </c>
      <c r="D84" s="1090">
        <v>-865727</v>
      </c>
      <c r="E84" s="1086">
        <f t="shared" si="6"/>
        <v>-865727</v>
      </c>
      <c r="F84" s="1086"/>
      <c r="G84" s="1086"/>
      <c r="H84" s="1086"/>
      <c r="I84" s="1087" t="s">
        <v>2807</v>
      </c>
      <c r="J84" s="1087"/>
    </row>
    <row r="85" spans="1:11">
      <c r="A85" s="189">
        <f t="shared" si="5"/>
        <v>404</v>
      </c>
      <c r="B85" s="1088">
        <v>282</v>
      </c>
      <c r="C85" s="1091" t="s">
        <v>2808</v>
      </c>
      <c r="D85" s="1090">
        <v>-936176</v>
      </c>
      <c r="E85" s="1086">
        <f t="shared" si="6"/>
        <v>-936176</v>
      </c>
      <c r="F85" s="1086"/>
      <c r="G85" s="1086"/>
      <c r="H85" s="1086"/>
      <c r="I85" s="1087" t="s">
        <v>2799</v>
      </c>
      <c r="J85" s="1087"/>
    </row>
    <row r="86" spans="1:11">
      <c r="A86" s="189">
        <f t="shared" si="5"/>
        <v>405</v>
      </c>
      <c r="B86" s="1088">
        <v>282</v>
      </c>
      <c r="C86" s="1091" t="s">
        <v>2809</v>
      </c>
      <c r="D86" s="1090">
        <v>-6492275</v>
      </c>
      <c r="E86" s="1086">
        <f t="shared" si="6"/>
        <v>-6492275</v>
      </c>
      <c r="F86" s="1086"/>
      <c r="G86" s="1086"/>
      <c r="H86" s="1086"/>
      <c r="I86" s="1087" t="s">
        <v>2800</v>
      </c>
      <c r="J86" s="1087"/>
    </row>
    <row r="87" spans="1:11" s="1075" customFormat="1">
      <c r="A87" s="1082">
        <f>A86+1</f>
        <v>406</v>
      </c>
      <c r="B87" s="1079" t="s">
        <v>513</v>
      </c>
      <c r="C87" s="1076"/>
      <c r="D87" s="1080"/>
      <c r="E87" s="1077"/>
      <c r="F87" s="1077"/>
      <c r="G87" s="1077"/>
      <c r="H87" s="1077"/>
      <c r="I87" s="1078"/>
      <c r="J87" s="1078"/>
      <c r="K87" s="14"/>
    </row>
    <row r="88" spans="1:11">
      <c r="A88" s="580"/>
      <c r="B88" s="549"/>
      <c r="C88" s="485"/>
      <c r="D88" s="635"/>
      <c r="E88" s="236"/>
      <c r="F88" s="236"/>
      <c r="G88" s="236"/>
      <c r="H88" s="236"/>
      <c r="I88" s="241"/>
      <c r="J88" s="241"/>
    </row>
    <row r="89" spans="1:11">
      <c r="A89" s="580"/>
      <c r="B89" s="549"/>
      <c r="C89" s="84" t="s">
        <v>363</v>
      </c>
      <c r="D89" s="84" t="s">
        <v>347</v>
      </c>
      <c r="E89" s="84" t="s">
        <v>348</v>
      </c>
      <c r="F89" s="84" t="s">
        <v>349</v>
      </c>
      <c r="G89" s="84" t="s">
        <v>350</v>
      </c>
      <c r="H89" s="84" t="s">
        <v>351</v>
      </c>
      <c r="I89" s="370" t="s">
        <v>179</v>
      </c>
      <c r="J89" s="241"/>
    </row>
    <row r="90" spans="1:11">
      <c r="A90" s="111">
        <v>450</v>
      </c>
      <c r="B90" s="484"/>
      <c r="C90" s="483" t="s">
        <v>1636</v>
      </c>
      <c r="D90" s="627">
        <f>SUM(D81:D87)</f>
        <v>-6880852503</v>
      </c>
      <c r="E90" s="627">
        <f>SUM(E81:E87)</f>
        <v>-5790645488</v>
      </c>
      <c r="F90" s="627">
        <f>SUM(F81:F87)</f>
        <v>-1090207015</v>
      </c>
      <c r="G90" s="627">
        <f>SUM(G81:G87)</f>
        <v>0</v>
      </c>
      <c r="H90" s="627">
        <f>SUM(H81:H87)</f>
        <v>0</v>
      </c>
      <c r="I90" s="247" t="str">
        <f>"Sum of Above Lines beginning on Line "&amp;A81&amp;""</f>
        <v>Sum of Above Lines beginning on Line 400</v>
      </c>
      <c r="J90" s="232"/>
    </row>
    <row r="91" spans="1:11">
      <c r="A91" s="559">
        <f>+A90+1</f>
        <v>451</v>
      </c>
      <c r="B91" s="613"/>
      <c r="C91" s="613" t="s">
        <v>1637</v>
      </c>
      <c r="D91" s="627"/>
      <c r="E91" s="627"/>
      <c r="F91" s="627"/>
      <c r="G91" s="629">
        <f>'27-Allocators'!$G$27</f>
        <v>0.19148424914638884</v>
      </c>
      <c r="H91" s="629">
        <f>'27-Allocators'!$G$14</f>
        <v>6.0143362776597958E-2</v>
      </c>
      <c r="I91" s="752" t="str">
        <f>"27-Allocators Lines "&amp;'27-Allocators'!A27&amp;" and "&amp;'27-Allocators'!A14&amp;" respectively."</f>
        <v>27-Allocators Lines 22 and 9 respectively.</v>
      </c>
      <c r="J91" s="232"/>
    </row>
    <row r="92" spans="1:11">
      <c r="A92" s="559">
        <f>+A91+1</f>
        <v>452</v>
      </c>
      <c r="B92" s="613"/>
      <c r="C92" s="613" t="s">
        <v>1639</v>
      </c>
      <c r="D92" s="627">
        <f>SUM(F92:H92)</f>
        <v>-1090207015</v>
      </c>
      <c r="E92" s="627"/>
      <c r="F92" s="630">
        <f>+F90</f>
        <v>-1090207015</v>
      </c>
      <c r="G92" s="630">
        <f>+G90*G91</f>
        <v>0</v>
      </c>
      <c r="H92" s="630">
        <f>+H90*H91</f>
        <v>0</v>
      </c>
      <c r="I92" s="546" t="str">
        <f>"Line "&amp;A90&amp;" * Line "&amp;A91&amp;" for Cols 5 and 6.  Col. 4 100% ISO."</f>
        <v>Line 450 * Line 451 for Cols 5 and 6.  Col. 4 100% ISO.</v>
      </c>
      <c r="J92" s="232"/>
    </row>
    <row r="93" spans="1:11">
      <c r="A93" s="559"/>
      <c r="B93" s="613"/>
      <c r="C93" s="631" t="s">
        <v>1640</v>
      </c>
      <c r="D93" s="627"/>
      <c r="E93" s="627"/>
      <c r="F93" s="627"/>
      <c r="G93" s="627"/>
      <c r="H93" s="627"/>
      <c r="I93" s="546"/>
      <c r="J93" s="232"/>
    </row>
    <row r="94" spans="1:11">
      <c r="A94" s="111"/>
      <c r="B94" s="484"/>
      <c r="C94" s="483"/>
      <c r="D94" s="627"/>
      <c r="E94" s="627"/>
      <c r="F94" s="627"/>
      <c r="G94" s="627"/>
      <c r="H94" s="627"/>
      <c r="I94" s="247"/>
      <c r="J94" s="232"/>
    </row>
    <row r="95" spans="1:11">
      <c r="A95" s="111">
        <f>+A92+1</f>
        <v>453</v>
      </c>
      <c r="B95" s="484"/>
      <c r="C95" s="613" t="s">
        <v>1597</v>
      </c>
      <c r="D95" s="1085">
        <v>6880852503</v>
      </c>
      <c r="E95" s="632" t="str">
        <f>"Must match amount on Line "&amp;A90&amp;", Col. 2"</f>
        <v>Must match amount on Line 450, Col. 2</v>
      </c>
      <c r="F95" s="627"/>
      <c r="G95" s="627"/>
      <c r="H95" s="627"/>
      <c r="I95" s="247" t="s">
        <v>1598</v>
      </c>
      <c r="J95" s="232"/>
    </row>
    <row r="96" spans="1:11">
      <c r="A96" s="580"/>
      <c r="B96" s="484"/>
      <c r="C96" s="483"/>
      <c r="D96" s="627"/>
      <c r="E96" s="627"/>
      <c r="F96" s="627"/>
      <c r="G96" s="627"/>
      <c r="H96" s="627"/>
      <c r="I96" s="247"/>
      <c r="J96" s="232"/>
    </row>
    <row r="97" spans="1:10">
      <c r="A97" s="580"/>
      <c r="B97" s="484"/>
      <c r="C97" s="483"/>
      <c r="D97" s="627"/>
      <c r="E97" s="627"/>
      <c r="F97" s="627"/>
      <c r="G97" s="627"/>
      <c r="H97" s="627"/>
      <c r="I97" s="547"/>
      <c r="J97" s="232"/>
    </row>
    <row r="98" spans="1:10">
      <c r="A98" s="483"/>
      <c r="B98" s="612" t="s">
        <v>1599</v>
      </c>
      <c r="C98" s="636"/>
      <c r="D98" s="627"/>
      <c r="E98" s="234"/>
      <c r="F98" s="234"/>
      <c r="G98" s="234"/>
      <c r="H98" s="234"/>
      <c r="I98" s="232"/>
      <c r="J98" s="232"/>
    </row>
    <row r="99" spans="1:10">
      <c r="A99" s="483"/>
      <c r="B99" s="612"/>
      <c r="C99" s="84" t="s">
        <v>363</v>
      </c>
      <c r="D99" s="84" t="s">
        <v>347</v>
      </c>
      <c r="E99" s="84" t="s">
        <v>348</v>
      </c>
      <c r="F99" s="84" t="s">
        <v>349</v>
      </c>
      <c r="G99" s="84" t="s">
        <v>350</v>
      </c>
      <c r="H99" s="84" t="s">
        <v>351</v>
      </c>
      <c r="I99" s="84" t="s">
        <v>352</v>
      </c>
      <c r="J99" s="232"/>
    </row>
    <row r="100" spans="1:10">
      <c r="A100" s="483"/>
      <c r="B100" s="616"/>
      <c r="C100" s="616"/>
      <c r="D100" s="637" t="s">
        <v>1579</v>
      </c>
      <c r="E100" s="637" t="s">
        <v>1580</v>
      </c>
      <c r="F100" s="637"/>
      <c r="G100" s="637"/>
      <c r="H100" s="637" t="s">
        <v>1288</v>
      </c>
      <c r="I100" s="966" t="s">
        <v>1905</v>
      </c>
      <c r="J100" s="232"/>
    </row>
    <row r="101" spans="1:10">
      <c r="A101" s="483"/>
      <c r="B101" s="619" t="s">
        <v>1600</v>
      </c>
      <c r="C101" s="619" t="s">
        <v>1582</v>
      </c>
      <c r="D101" s="638" t="s">
        <v>1583</v>
      </c>
      <c r="E101" s="638" t="s">
        <v>1584</v>
      </c>
      <c r="F101" s="638" t="s">
        <v>1585</v>
      </c>
      <c r="G101" s="638" t="s">
        <v>1586</v>
      </c>
      <c r="H101" s="638" t="s">
        <v>1574</v>
      </c>
      <c r="I101" s="619" t="s">
        <v>100</v>
      </c>
      <c r="J101" s="232"/>
    </row>
    <row r="102" spans="1:10">
      <c r="A102" s="580"/>
      <c r="B102" s="613" t="s">
        <v>1588</v>
      </c>
      <c r="C102" s="232"/>
      <c r="D102" s="234"/>
      <c r="E102" s="234"/>
      <c r="F102" s="234"/>
      <c r="G102" s="234"/>
      <c r="H102" s="234"/>
      <c r="I102" s="232"/>
      <c r="J102" s="232"/>
    </row>
    <row r="103" spans="1:10">
      <c r="A103" s="189">
        <v>500</v>
      </c>
      <c r="B103" s="1088">
        <v>283</v>
      </c>
      <c r="C103" s="1091" t="s">
        <v>2810</v>
      </c>
      <c r="D103" s="750">
        <v>-42051267</v>
      </c>
      <c r="E103" s="1086"/>
      <c r="F103" s="1086"/>
      <c r="G103" s="1086">
        <f>D103</f>
        <v>-42051267</v>
      </c>
      <c r="H103" s="1086"/>
      <c r="I103" s="1087" t="s">
        <v>2811</v>
      </c>
      <c r="J103" s="1078"/>
    </row>
    <row r="104" spans="1:10">
      <c r="A104" s="189">
        <f t="shared" ref="A104:A111" si="7">A103+1</f>
        <v>501</v>
      </c>
      <c r="B104" s="1088">
        <v>283</v>
      </c>
      <c r="C104" s="1091" t="s">
        <v>2812</v>
      </c>
      <c r="D104" s="750">
        <v>-39655122</v>
      </c>
      <c r="E104" s="1086">
        <f>D104*$G$180</f>
        <v>-30927.326836489832</v>
      </c>
      <c r="F104" s="1086"/>
      <c r="G104" s="1086">
        <f>D104-E104</f>
        <v>-39624194.673163511</v>
      </c>
      <c r="H104" s="1086"/>
      <c r="I104" s="1087" t="s">
        <v>2770</v>
      </c>
      <c r="J104" s="1078"/>
    </row>
    <row r="105" spans="1:10">
      <c r="A105" s="189">
        <f t="shared" si="7"/>
        <v>502</v>
      </c>
      <c r="B105" s="1088">
        <v>283</v>
      </c>
      <c r="C105" s="1091" t="s">
        <v>2813</v>
      </c>
      <c r="D105" s="750">
        <v>-1149642</v>
      </c>
      <c r="E105" s="1360">
        <f>D105*$G$172</f>
        <v>-3293.9845106411753</v>
      </c>
      <c r="F105" s="1086"/>
      <c r="G105" s="1086"/>
      <c r="H105" s="1086">
        <f>D105-E105</f>
        <v>-1146348.0154893589</v>
      </c>
      <c r="I105" s="1087" t="s">
        <v>2772</v>
      </c>
      <c r="J105" s="1078"/>
    </row>
    <row r="106" spans="1:10">
      <c r="A106" s="189">
        <f t="shared" si="7"/>
        <v>503</v>
      </c>
      <c r="B106" s="1088">
        <v>283</v>
      </c>
      <c r="C106" s="1091" t="s">
        <v>2782</v>
      </c>
      <c r="D106" s="750">
        <v>-158026051</v>
      </c>
      <c r="E106" s="1086">
        <f>D106</f>
        <v>-158026051</v>
      </c>
      <c r="F106" s="1086"/>
      <c r="G106" s="1086"/>
      <c r="H106" s="1086"/>
      <c r="I106" s="1087" t="s">
        <v>2783</v>
      </c>
      <c r="J106" s="1078"/>
    </row>
    <row r="107" spans="1:10">
      <c r="A107" s="189">
        <f t="shared" si="7"/>
        <v>504</v>
      </c>
      <c r="B107" s="1088">
        <v>283</v>
      </c>
      <c r="C107" s="1091" t="s">
        <v>2814</v>
      </c>
      <c r="D107" s="750">
        <v>0</v>
      </c>
      <c r="E107" s="1086">
        <f>D107</f>
        <v>0</v>
      </c>
      <c r="F107" s="1086"/>
      <c r="G107" s="1086"/>
      <c r="H107" s="1086"/>
      <c r="I107" s="1087" t="s">
        <v>2805</v>
      </c>
      <c r="J107" s="1078"/>
    </row>
    <row r="108" spans="1:10">
      <c r="A108" s="189">
        <f t="shared" si="7"/>
        <v>505</v>
      </c>
      <c r="B108" s="1088">
        <v>283</v>
      </c>
      <c r="C108" s="1091" t="s">
        <v>2780</v>
      </c>
      <c r="D108" s="750">
        <v>-422955253</v>
      </c>
      <c r="E108" s="1086">
        <f>D108</f>
        <v>-422955253</v>
      </c>
      <c r="F108" s="1086"/>
      <c r="G108" s="1086"/>
      <c r="H108" s="1086"/>
      <c r="I108" s="1087" t="s">
        <v>2781</v>
      </c>
      <c r="J108" s="1078"/>
    </row>
    <row r="109" spans="1:10">
      <c r="A109" s="189">
        <f t="shared" si="7"/>
        <v>506</v>
      </c>
      <c r="B109" s="1088">
        <v>283</v>
      </c>
      <c r="C109" s="1091" t="s">
        <v>2787</v>
      </c>
      <c r="D109" s="750">
        <v>0</v>
      </c>
      <c r="E109" s="1086">
        <f>D109</f>
        <v>0</v>
      </c>
      <c r="F109" s="1086"/>
      <c r="G109" s="1086"/>
      <c r="H109" s="1086"/>
      <c r="I109" s="1087" t="s">
        <v>2803</v>
      </c>
      <c r="J109" s="1078"/>
    </row>
    <row r="110" spans="1:10">
      <c r="A110" s="1082">
        <f t="shared" si="7"/>
        <v>507</v>
      </c>
      <c r="B110" s="1088">
        <v>283</v>
      </c>
      <c r="C110" s="1091" t="s">
        <v>2789</v>
      </c>
      <c r="D110" s="750">
        <v>0</v>
      </c>
      <c r="E110" s="1086">
        <f t="shared" ref="E110" si="8">D110</f>
        <v>0</v>
      </c>
      <c r="F110" s="1086"/>
      <c r="G110" s="1086"/>
      <c r="H110" s="1086"/>
      <c r="I110" s="1087" t="s">
        <v>2790</v>
      </c>
      <c r="J110" s="1078"/>
    </row>
    <row r="111" spans="1:10">
      <c r="A111" s="189">
        <f t="shared" si="7"/>
        <v>508</v>
      </c>
      <c r="B111" s="1088">
        <v>283</v>
      </c>
      <c r="C111" s="1091" t="s">
        <v>2791</v>
      </c>
      <c r="D111" s="750">
        <v>-83907538</v>
      </c>
      <c r="E111" s="1116">
        <f>D111</f>
        <v>-83907538</v>
      </c>
      <c r="F111" s="1086"/>
      <c r="G111" s="1086"/>
      <c r="H111" s="1086"/>
      <c r="I111" s="1087" t="s">
        <v>2815</v>
      </c>
      <c r="J111" s="1078"/>
    </row>
    <row r="112" spans="1:10">
      <c r="A112" s="111"/>
      <c r="B112" s="552"/>
      <c r="C112" s="553"/>
      <c r="D112" s="554"/>
      <c r="E112" s="236"/>
      <c r="F112" s="236"/>
      <c r="G112" s="236"/>
      <c r="H112" s="236"/>
      <c r="I112" s="241"/>
      <c r="J112" s="241"/>
    </row>
    <row r="113" spans="1:11">
      <c r="A113" s="111"/>
      <c r="B113" s="612" t="s">
        <v>1601</v>
      </c>
      <c r="C113" s="636"/>
      <c r="D113" s="627"/>
      <c r="E113" s="234"/>
      <c r="F113" s="234"/>
      <c r="G113" s="234"/>
      <c r="H113" s="234"/>
      <c r="I113" s="232"/>
      <c r="J113" s="241"/>
    </row>
    <row r="114" spans="1:11">
      <c r="A114" s="111"/>
      <c r="B114" s="612"/>
      <c r="C114" s="84" t="s">
        <v>363</v>
      </c>
      <c r="D114" s="84" t="s">
        <v>347</v>
      </c>
      <c r="E114" s="84" t="s">
        <v>348</v>
      </c>
      <c r="F114" s="84" t="s">
        <v>349</v>
      </c>
      <c r="G114" s="84" t="s">
        <v>350</v>
      </c>
      <c r="H114" s="84" t="s">
        <v>351</v>
      </c>
      <c r="I114" s="84" t="s">
        <v>352</v>
      </c>
      <c r="J114" s="241"/>
    </row>
    <row r="115" spans="1:11">
      <c r="A115" s="111"/>
      <c r="B115" s="616"/>
      <c r="C115" s="616"/>
      <c r="D115" s="637" t="s">
        <v>1579</v>
      </c>
      <c r="E115" s="637" t="s">
        <v>1580</v>
      </c>
      <c r="F115" s="637"/>
      <c r="G115" s="637"/>
      <c r="H115" s="637" t="s">
        <v>1288</v>
      </c>
      <c r="I115" s="966" t="s">
        <v>1905</v>
      </c>
      <c r="J115" s="241"/>
    </row>
    <row r="116" spans="1:11">
      <c r="A116" s="111"/>
      <c r="B116" s="619" t="s">
        <v>1600</v>
      </c>
      <c r="C116" s="619" t="s">
        <v>1582</v>
      </c>
      <c r="D116" s="638" t="s">
        <v>1583</v>
      </c>
      <c r="E116" s="638" t="s">
        <v>1584</v>
      </c>
      <c r="F116" s="638" t="s">
        <v>1585</v>
      </c>
      <c r="G116" s="638" t="s">
        <v>1586</v>
      </c>
      <c r="H116" s="638" t="s">
        <v>1574</v>
      </c>
      <c r="I116" s="619" t="s">
        <v>100</v>
      </c>
      <c r="J116" s="241"/>
    </row>
    <row r="117" spans="1:11">
      <c r="A117" s="111"/>
      <c r="B117" s="613" t="s">
        <v>1602</v>
      </c>
      <c r="C117" s="616"/>
      <c r="D117" s="637"/>
      <c r="E117" s="637"/>
      <c r="F117" s="637"/>
      <c r="G117" s="637"/>
      <c r="H117" s="637"/>
      <c r="I117" s="616"/>
      <c r="J117" s="241"/>
    </row>
    <row r="118" spans="1:11">
      <c r="A118" s="1082">
        <f>A111+1</f>
        <v>509</v>
      </c>
      <c r="B118" s="1084" t="s">
        <v>513</v>
      </c>
      <c r="C118" s="550"/>
      <c r="D118" s="551"/>
      <c r="E118" s="1117"/>
      <c r="F118" s="1083"/>
      <c r="G118" s="1083"/>
      <c r="H118" s="1083"/>
      <c r="I118" s="1078"/>
      <c r="J118" s="1078"/>
    </row>
    <row r="119" spans="1:11">
      <c r="A119" s="111"/>
      <c r="B119" s="555"/>
      <c r="C119" s="556"/>
      <c r="D119" s="486"/>
      <c r="E119" s="236"/>
      <c r="F119" s="236"/>
      <c r="G119" s="236"/>
      <c r="H119" s="236"/>
      <c r="I119" s="241"/>
      <c r="J119" s="241"/>
    </row>
    <row r="120" spans="1:11">
      <c r="A120" s="111">
        <v>650</v>
      </c>
      <c r="B120" s="556"/>
      <c r="C120" s="556" t="s">
        <v>1603</v>
      </c>
      <c r="D120" s="486">
        <f>SUM(D103:D111)+SUM(D118:D118)</f>
        <v>-747744873</v>
      </c>
      <c r="E120" s="486">
        <f>SUM(E103:E111)+SUM(E118:E118)</f>
        <v>-664923063.31134713</v>
      </c>
      <c r="F120" s="486">
        <f>SUM(F103:F111)+SUM(F118:F118)</f>
        <v>0</v>
      </c>
      <c r="G120" s="486">
        <f>SUM(G103:G111)+SUM(G118:G118)</f>
        <v>-81675461.673163503</v>
      </c>
      <c r="H120" s="486">
        <f>SUM(H103:H111)+SUM(H118:H118)</f>
        <v>-1146348.0154893589</v>
      </c>
      <c r="I120" s="247" t="str">
        <f>"Sum of Above Lines beginning on Line "&amp;A103&amp;""</f>
        <v>Sum of Above Lines beginning on Line 500</v>
      </c>
      <c r="J120" s="232"/>
    </row>
    <row r="121" spans="1:11">
      <c r="A121" s="111"/>
      <c r="B121" s="556"/>
      <c r="C121" s="556"/>
      <c r="D121" s="486"/>
      <c r="E121" s="486"/>
      <c r="F121" s="486"/>
      <c r="G121" s="486"/>
      <c r="H121" s="486"/>
      <c r="I121" s="547"/>
      <c r="J121" s="232"/>
    </row>
    <row r="122" spans="1:11">
      <c r="A122" s="580"/>
      <c r="B122" s="623" t="s">
        <v>1731</v>
      </c>
      <c r="C122" s="556"/>
      <c r="D122" s="486"/>
      <c r="E122" s="234"/>
      <c r="F122" s="234"/>
      <c r="G122" s="234"/>
      <c r="H122" s="234"/>
      <c r="I122" s="966" t="s">
        <v>1905</v>
      </c>
      <c r="J122" s="232"/>
    </row>
    <row r="123" spans="1:11">
      <c r="A123" s="580"/>
      <c r="C123" s="84" t="s">
        <v>363</v>
      </c>
      <c r="D123" s="84" t="s">
        <v>347</v>
      </c>
      <c r="E123" s="84" t="s">
        <v>348</v>
      </c>
      <c r="F123" s="84" t="s">
        <v>349</v>
      </c>
      <c r="G123" s="84" t="s">
        <v>350</v>
      </c>
      <c r="H123" s="84" t="s">
        <v>351</v>
      </c>
      <c r="I123" s="84" t="s">
        <v>352</v>
      </c>
      <c r="J123" s="232"/>
    </row>
    <row r="124" spans="1:11" s="1075" customFormat="1">
      <c r="A124" s="1082">
        <v>700</v>
      </c>
      <c r="B124" s="1088">
        <v>283</v>
      </c>
      <c r="C124" s="1091" t="s">
        <v>2795</v>
      </c>
      <c r="D124" s="751">
        <v>-61716</v>
      </c>
      <c r="E124" s="1086">
        <f>D124</f>
        <v>-61716</v>
      </c>
      <c r="F124" s="1086"/>
      <c r="G124" s="1086"/>
      <c r="H124" s="1086"/>
      <c r="I124" s="1087" t="s">
        <v>2799</v>
      </c>
      <c r="J124" s="1087"/>
      <c r="K124" s="14"/>
    </row>
    <row r="125" spans="1:11" s="1075" customFormat="1">
      <c r="A125" s="1118">
        <f>A124+1</f>
        <v>701</v>
      </c>
      <c r="B125" s="1088">
        <v>283</v>
      </c>
      <c r="C125" s="1091" t="s">
        <v>2797</v>
      </c>
      <c r="D125" s="751">
        <v>-4351620</v>
      </c>
      <c r="E125" s="1086">
        <f>D125</f>
        <v>-4351620</v>
      </c>
      <c r="F125" s="1086"/>
      <c r="G125" s="1086"/>
      <c r="H125" s="1086"/>
      <c r="I125" s="1087" t="s">
        <v>2800</v>
      </c>
      <c r="J125" s="1087"/>
      <c r="K125" s="14"/>
    </row>
    <row r="126" spans="1:11">
      <c r="A126" s="1118">
        <f>A125+1</f>
        <v>702</v>
      </c>
      <c r="B126" s="1119" t="s">
        <v>513</v>
      </c>
      <c r="C126" s="1091"/>
      <c r="D126" s="751"/>
      <c r="E126" s="1116"/>
      <c r="F126" s="1116"/>
      <c r="G126" s="1116"/>
      <c r="H126" s="1116"/>
      <c r="I126" s="1120"/>
      <c r="J126" s="1120"/>
    </row>
    <row r="127" spans="1:11">
      <c r="A127" s="111"/>
      <c r="B127" s="552"/>
      <c r="C127" s="553"/>
      <c r="D127" s="554"/>
      <c r="E127" s="236"/>
      <c r="F127" s="236"/>
      <c r="G127" s="236"/>
      <c r="H127" s="236"/>
      <c r="I127" s="241"/>
      <c r="J127" s="241"/>
    </row>
    <row r="128" spans="1:11">
      <c r="A128" s="111"/>
      <c r="B128" s="556"/>
      <c r="C128" s="84" t="s">
        <v>363</v>
      </c>
      <c r="D128" s="84" t="s">
        <v>347</v>
      </c>
      <c r="E128" s="84" t="s">
        <v>348</v>
      </c>
      <c r="F128" s="84" t="s">
        <v>349</v>
      </c>
      <c r="G128" s="84" t="s">
        <v>350</v>
      </c>
      <c r="H128" s="84" t="s">
        <v>351</v>
      </c>
      <c r="I128" s="370" t="s">
        <v>179</v>
      </c>
      <c r="J128" s="232"/>
    </row>
    <row r="129" spans="1:11">
      <c r="A129" s="111">
        <v>800</v>
      </c>
      <c r="B129" s="232"/>
      <c r="C129" s="485" t="s">
        <v>1604</v>
      </c>
      <c r="D129" s="486">
        <f>SUM(D124:D126)</f>
        <v>-4413336</v>
      </c>
      <c r="E129" s="486">
        <f>SUM(E124:E126)</f>
        <v>-4413336</v>
      </c>
      <c r="F129" s="486">
        <f>SUM(F126:F126)</f>
        <v>0</v>
      </c>
      <c r="G129" s="486">
        <f>SUM(G126:G126)</f>
        <v>0</v>
      </c>
      <c r="H129" s="486">
        <f>SUM(H126:H126)</f>
        <v>0</v>
      </c>
      <c r="I129" s="247" t="e">
        <f>"Sum of Above Lines beginning on Line "&amp;#REF!&amp;""</f>
        <v>#REF!</v>
      </c>
      <c r="J129" s="232"/>
    </row>
    <row r="130" spans="1:11">
      <c r="A130" s="111"/>
      <c r="B130" s="232"/>
      <c r="C130" s="485"/>
      <c r="D130" s="486"/>
      <c r="E130" s="486"/>
      <c r="F130" s="486"/>
      <c r="G130" s="486"/>
      <c r="H130" s="486"/>
      <c r="I130" s="247"/>
      <c r="J130" s="232"/>
    </row>
    <row r="131" spans="1:11">
      <c r="A131" s="111">
        <f>A129+1</f>
        <v>801</v>
      </c>
      <c r="B131" s="232"/>
      <c r="C131" s="485" t="s">
        <v>1605</v>
      </c>
      <c r="D131" s="486">
        <f>D120+D129</f>
        <v>-752158209</v>
      </c>
      <c r="E131" s="486">
        <f>E120+E129</f>
        <v>-669336399.31134713</v>
      </c>
      <c r="F131" s="486">
        <f>F120+F129</f>
        <v>0</v>
      </c>
      <c r="G131" s="486">
        <f>G120+G129</f>
        <v>-81675461.673163503</v>
      </c>
      <c r="H131" s="486">
        <f>H120+H129</f>
        <v>-1146348.0154893589</v>
      </c>
      <c r="I131" s="546" t="str">
        <f>"Line "&amp;A120&amp;" + Line "&amp;A129&amp;""</f>
        <v>Line 650 + Line 800</v>
      </c>
      <c r="J131" s="232"/>
    </row>
    <row r="132" spans="1:11">
      <c r="A132" s="559">
        <f>+A131+1</f>
        <v>802</v>
      </c>
      <c r="B132" s="613"/>
      <c r="C132" s="613" t="s">
        <v>1637</v>
      </c>
      <c r="D132" s="1039"/>
      <c r="E132" s="1039"/>
      <c r="F132" s="627"/>
      <c r="G132" s="629">
        <f>'27-Allocators'!$G$27</f>
        <v>0.19148424914638884</v>
      </c>
      <c r="H132" s="629">
        <f>'27-Allocators'!$G$14</f>
        <v>6.0143362776597958E-2</v>
      </c>
      <c r="I132" s="752" t="str">
        <f>"27-Allocators Lines "&amp;'27-Allocators'!A27&amp;" and "&amp;'27-Allocators'!A14&amp;" respectively."</f>
        <v>27-Allocators Lines 22 and 9 respectively.</v>
      </c>
      <c r="J132" s="232"/>
    </row>
    <row r="133" spans="1:11">
      <c r="A133" s="559">
        <f>+A132+1</f>
        <v>803</v>
      </c>
      <c r="B133" s="613"/>
      <c r="C133" s="613" t="s">
        <v>1641</v>
      </c>
      <c r="D133" s="635">
        <f>SUM(F133:H133)</f>
        <v>-15708509.676734183</v>
      </c>
      <c r="E133" s="627"/>
      <c r="F133" s="630">
        <f>+F131</f>
        <v>0</v>
      </c>
      <c r="G133" s="630">
        <f>+G131*G132</f>
        <v>-15639564.452170374</v>
      </c>
      <c r="H133" s="1102">
        <f>+H131*H132</f>
        <v>-68945.22456380965</v>
      </c>
      <c r="I133" s="546" t="str">
        <f>"Line "&amp;A131&amp;" * Line "&amp;A132&amp;" for Cols 5 and 6.  Col. 4 100% ISO."</f>
        <v>Line 801 * Line 802 for Cols 5 and 6.  Col. 4 100% ISO.</v>
      </c>
      <c r="J133" s="232"/>
    </row>
    <row r="134" spans="1:11">
      <c r="A134" s="111"/>
      <c r="B134" s="232"/>
      <c r="C134" s="631" t="s">
        <v>1640</v>
      </c>
      <c r="D134" s="486"/>
      <c r="E134" s="486"/>
      <c r="F134" s="486"/>
      <c r="G134" s="486"/>
      <c r="H134" s="486"/>
      <c r="I134" s="546"/>
      <c r="J134" s="234"/>
    </row>
    <row r="135" spans="1:11">
      <c r="A135" s="111"/>
      <c r="B135" s="232"/>
      <c r="C135" s="485"/>
      <c r="D135" s="486"/>
      <c r="E135" s="486"/>
      <c r="F135" s="486"/>
      <c r="G135" s="486"/>
      <c r="H135" s="486"/>
      <c r="I135" s="546"/>
      <c r="J135" s="232"/>
    </row>
    <row r="136" spans="1:11">
      <c r="A136" s="111">
        <f>A133+1</f>
        <v>804</v>
      </c>
      <c r="C136" s="613" t="s">
        <v>1631</v>
      </c>
      <c r="D136" s="1085">
        <v>752158209</v>
      </c>
      <c r="E136" s="632" t="str">
        <f>"Must match amount on Line "&amp;A131&amp;", Col. 2"</f>
        <v>Must match amount on Line 801, Col. 2</v>
      </c>
      <c r="F136" s="627"/>
      <c r="G136" s="627"/>
      <c r="H136" s="627"/>
      <c r="I136" s="247" t="s">
        <v>1232</v>
      </c>
    </row>
    <row r="137" spans="1:11" s="1075" customFormat="1">
      <c r="A137" s="111"/>
      <c r="B137" s="541"/>
      <c r="C137" s="613"/>
      <c r="D137" s="632"/>
      <c r="E137" s="632"/>
      <c r="F137" s="627"/>
      <c r="G137" s="627"/>
      <c r="H137" s="627"/>
      <c r="I137" s="247"/>
      <c r="J137" s="541"/>
      <c r="K137" s="14"/>
    </row>
    <row r="138" spans="1:11" s="1075" customFormat="1">
      <c r="A138" s="111"/>
      <c r="B138" s="1" t="s">
        <v>2504</v>
      </c>
      <c r="C138" s="613"/>
      <c r="D138" s="632"/>
      <c r="E138" s="632"/>
      <c r="F138" s="627"/>
      <c r="G138" s="627"/>
      <c r="H138" s="627"/>
      <c r="I138" s="487"/>
      <c r="J138" s="561"/>
      <c r="K138" s="14"/>
    </row>
    <row r="139" spans="1:11" s="1075" customFormat="1">
      <c r="A139" s="111"/>
      <c r="B139" s="561"/>
      <c r="C139" s="613"/>
      <c r="D139" s="632"/>
      <c r="E139" s="632"/>
      <c r="F139" s="627"/>
      <c r="G139" s="627"/>
      <c r="H139" s="627"/>
      <c r="I139" s="487"/>
      <c r="J139" s="561"/>
      <c r="K139" s="14"/>
    </row>
    <row r="140" spans="1:11" s="1075" customFormat="1">
      <c r="A140" s="111"/>
      <c r="B140" s="561"/>
      <c r="C140" s="360" t="s">
        <v>363</v>
      </c>
      <c r="D140" s="360" t="s">
        <v>347</v>
      </c>
      <c r="E140" s="360" t="s">
        <v>348</v>
      </c>
      <c r="F140" s="360" t="s">
        <v>349</v>
      </c>
      <c r="G140" s="360" t="s">
        <v>350</v>
      </c>
      <c r="H140" s="360" t="s">
        <v>351</v>
      </c>
      <c r="I140" s="360" t="s">
        <v>352</v>
      </c>
      <c r="J140" s="360" t="s">
        <v>544</v>
      </c>
      <c r="K140" s="14"/>
    </row>
    <row r="141" spans="1:11" s="1075" customFormat="1">
      <c r="A141" s="111"/>
      <c r="B141" s="561"/>
      <c r="C141" s="613"/>
      <c r="D141" s="1248" t="s">
        <v>212</v>
      </c>
      <c r="E141" s="1248" t="s">
        <v>211</v>
      </c>
      <c r="F141" s="627"/>
      <c r="G141" s="627"/>
      <c r="H141" s="1248" t="s">
        <v>2505</v>
      </c>
      <c r="I141" s="1249" t="s">
        <v>2506</v>
      </c>
      <c r="J141" s="1248" t="s">
        <v>284</v>
      </c>
      <c r="K141" s="14"/>
    </row>
    <row r="142" spans="1:11" s="1075" customFormat="1">
      <c r="A142" s="111"/>
      <c r="B142" s="561"/>
      <c r="C142" s="613"/>
      <c r="D142" s="632"/>
      <c r="E142" s="632"/>
      <c r="F142" s="627"/>
      <c r="G142" s="627"/>
      <c r="H142" s="627"/>
      <c r="I142" s="487"/>
      <c r="J142" s="561"/>
      <c r="K142" s="14"/>
    </row>
    <row r="143" spans="1:11" s="1075" customFormat="1">
      <c r="A143" s="111"/>
      <c r="B143" s="561"/>
      <c r="C143" s="652"/>
      <c r="D143" s="1248" t="s">
        <v>2507</v>
      </c>
      <c r="E143" s="1248" t="s">
        <v>2508</v>
      </c>
      <c r="F143" s="1248"/>
      <c r="G143" s="1248" t="s">
        <v>2509</v>
      </c>
      <c r="H143" s="1248" t="s">
        <v>2510</v>
      </c>
      <c r="I143" s="580" t="s">
        <v>2511</v>
      </c>
      <c r="J143" s="580" t="s">
        <v>2512</v>
      </c>
      <c r="K143" s="14"/>
    </row>
    <row r="144" spans="1:11" s="1075" customFormat="1">
      <c r="A144" s="111"/>
      <c r="B144" s="561"/>
      <c r="C144" s="652" t="s">
        <v>2513</v>
      </c>
      <c r="D144" s="1250" t="s">
        <v>2514</v>
      </c>
      <c r="E144" s="1250" t="s">
        <v>2515</v>
      </c>
      <c r="F144" s="1250" t="s">
        <v>2516</v>
      </c>
      <c r="G144" s="1250" t="s">
        <v>2517</v>
      </c>
      <c r="H144" s="1250" t="s">
        <v>2518</v>
      </c>
      <c r="I144" s="3" t="s">
        <v>2519</v>
      </c>
      <c r="J144" s="3" t="s">
        <v>2520</v>
      </c>
      <c r="K144" s="14"/>
    </row>
    <row r="145" spans="1:11" s="1075" customFormat="1">
      <c r="A145" s="111">
        <f>A136+1</f>
        <v>805</v>
      </c>
      <c r="B145" s="561"/>
      <c r="C145" s="1251" t="s">
        <v>2883</v>
      </c>
      <c r="D145" s="1255"/>
      <c r="E145" s="1178">
        <f>D19</f>
        <v>-1550608605.1540396</v>
      </c>
      <c r="F145" s="627"/>
      <c r="G145" s="1252">
        <f>SUM(F146:F157)</f>
        <v>365</v>
      </c>
      <c r="H145" s="1253">
        <f xml:space="preserve"> 1</f>
        <v>1</v>
      </c>
      <c r="I145" s="239"/>
      <c r="J145" s="490">
        <f>+E145</f>
        <v>-1550608605.1540396</v>
      </c>
      <c r="K145" s="14"/>
    </row>
    <row r="146" spans="1:11" s="1075" customFormat="1">
      <c r="A146" s="111">
        <f>A145+1</f>
        <v>806</v>
      </c>
      <c r="B146" s="561"/>
      <c r="C146" s="1251" t="s">
        <v>181</v>
      </c>
      <c r="D146" s="1256">
        <f>($D$14-$D$19)/12</f>
        <v>-8206680.4049135046</v>
      </c>
      <c r="E146" s="1178">
        <f>E145+D146</f>
        <v>-1558815285.558953</v>
      </c>
      <c r="F146" s="1254">
        <v>31</v>
      </c>
      <c r="G146" s="1247">
        <f>+G145-F146</f>
        <v>334</v>
      </c>
      <c r="H146" s="1253">
        <f>G146/G145</f>
        <v>0.91506849315068495</v>
      </c>
      <c r="I146" s="239">
        <f t="shared" ref="I146:I157" si="9">D146*H146</f>
        <v>-7509674.6718934532</v>
      </c>
      <c r="J146" s="234">
        <f>J145+I146</f>
        <v>-1558118279.825933</v>
      </c>
      <c r="K146" s="14"/>
    </row>
    <row r="147" spans="1:11" s="1075" customFormat="1">
      <c r="A147" s="111">
        <f t="shared" ref="A147:A159" si="10">A146+1</f>
        <v>807</v>
      </c>
      <c r="B147" s="561"/>
      <c r="C147" s="1251" t="s">
        <v>182</v>
      </c>
      <c r="D147" s="1256">
        <f t="shared" ref="D147:D157" si="11">($D$14-$D$19)/12</f>
        <v>-8206680.4049135046</v>
      </c>
      <c r="E147" s="1178">
        <f t="shared" ref="E147:E157" si="12">E146+D147</f>
        <v>-1567021965.9638665</v>
      </c>
      <c r="F147" s="1254">
        <v>28</v>
      </c>
      <c r="G147" s="1247">
        <f t="shared" ref="G147:G157" si="13">+G146-F147</f>
        <v>306</v>
      </c>
      <c r="H147" s="1253">
        <f>G147/G145</f>
        <v>0.83835616438356164</v>
      </c>
      <c r="I147" s="239">
        <f t="shared" si="9"/>
        <v>-6880121.1065850202</v>
      </c>
      <c r="J147" s="234">
        <f t="shared" ref="J147:J157" si="14">J146+I147</f>
        <v>-1564998400.932518</v>
      </c>
      <c r="K147" s="14"/>
    </row>
    <row r="148" spans="1:11" s="1075" customFormat="1">
      <c r="A148" s="111">
        <f t="shared" si="10"/>
        <v>808</v>
      </c>
      <c r="B148" s="561"/>
      <c r="C148" s="1251" t="s">
        <v>195</v>
      </c>
      <c r="D148" s="1256">
        <f t="shared" si="11"/>
        <v>-8206680.4049135046</v>
      </c>
      <c r="E148" s="1178">
        <f t="shared" si="12"/>
        <v>-1575228646.3687799</v>
      </c>
      <c r="F148" s="1254">
        <v>31</v>
      </c>
      <c r="G148" s="1247">
        <f t="shared" si="13"/>
        <v>275</v>
      </c>
      <c r="H148" s="1253">
        <f>G148/G145</f>
        <v>0.75342465753424659</v>
      </c>
      <c r="I148" s="239">
        <f t="shared" si="9"/>
        <v>-6183115.3735649697</v>
      </c>
      <c r="J148" s="234">
        <f t="shared" si="14"/>
        <v>-1571181516.306083</v>
      </c>
      <c r="K148" s="14"/>
    </row>
    <row r="149" spans="1:11" s="1075" customFormat="1">
      <c r="A149" s="111">
        <f t="shared" si="10"/>
        <v>809</v>
      </c>
      <c r="B149" s="561"/>
      <c r="C149" s="1251" t="s">
        <v>183</v>
      </c>
      <c r="D149" s="1256">
        <f t="shared" si="11"/>
        <v>-8206680.4049135046</v>
      </c>
      <c r="E149" s="1178">
        <f t="shared" si="12"/>
        <v>-1583435326.7736933</v>
      </c>
      <c r="F149" s="1254">
        <v>30</v>
      </c>
      <c r="G149" s="1247">
        <f t="shared" si="13"/>
        <v>245</v>
      </c>
      <c r="H149" s="1253">
        <f>G149/G145</f>
        <v>0.67123287671232879</v>
      </c>
      <c r="I149" s="239">
        <f t="shared" si="9"/>
        <v>-5508593.6964487908</v>
      </c>
      <c r="J149" s="234">
        <f t="shared" si="14"/>
        <v>-1576690110.0025318</v>
      </c>
      <c r="K149" s="14"/>
    </row>
    <row r="150" spans="1:11" s="1075" customFormat="1">
      <c r="A150" s="111">
        <f t="shared" si="10"/>
        <v>810</v>
      </c>
      <c r="B150" s="561"/>
      <c r="C150" s="1251" t="s">
        <v>184</v>
      </c>
      <c r="D150" s="1256">
        <f t="shared" si="11"/>
        <v>-8206680.4049135046</v>
      </c>
      <c r="E150" s="1178">
        <f t="shared" si="12"/>
        <v>-1591642007.1786067</v>
      </c>
      <c r="F150" s="1254">
        <v>31</v>
      </c>
      <c r="G150" s="1247">
        <f t="shared" si="13"/>
        <v>214</v>
      </c>
      <c r="H150" s="1253">
        <f>G150/G145</f>
        <v>0.58630136986301373</v>
      </c>
      <c r="I150" s="239">
        <f t="shared" si="9"/>
        <v>-4811587.9634287404</v>
      </c>
      <c r="J150" s="234">
        <f t="shared" si="14"/>
        <v>-1581501697.9659605</v>
      </c>
      <c r="K150" s="14"/>
    </row>
    <row r="151" spans="1:11" s="1075" customFormat="1">
      <c r="A151" s="111">
        <f t="shared" si="10"/>
        <v>811</v>
      </c>
      <c r="B151" s="561"/>
      <c r="C151" s="1251" t="s">
        <v>1481</v>
      </c>
      <c r="D151" s="1256">
        <f t="shared" si="11"/>
        <v>-8206680.4049135046</v>
      </c>
      <c r="E151" s="1178">
        <f t="shared" si="12"/>
        <v>-1599848687.5835202</v>
      </c>
      <c r="F151" s="1254">
        <v>30</v>
      </c>
      <c r="G151" s="1247">
        <f t="shared" si="13"/>
        <v>184</v>
      </c>
      <c r="H151" s="1253">
        <f>G151/G145</f>
        <v>0.50410958904109593</v>
      </c>
      <c r="I151" s="239">
        <f t="shared" si="9"/>
        <v>-4137066.2863125615</v>
      </c>
      <c r="J151" s="234">
        <f t="shared" si="14"/>
        <v>-1585638764.2522731</v>
      </c>
      <c r="K151" s="14"/>
    </row>
    <row r="152" spans="1:11" s="1075" customFormat="1">
      <c r="A152" s="111">
        <f t="shared" si="10"/>
        <v>812</v>
      </c>
      <c r="B152" s="561"/>
      <c r="C152" s="1251" t="s">
        <v>186</v>
      </c>
      <c r="D152" s="1256">
        <f t="shared" si="11"/>
        <v>-8206680.4049135046</v>
      </c>
      <c r="E152" s="1178">
        <f t="shared" si="12"/>
        <v>-1608055367.9884336</v>
      </c>
      <c r="F152" s="1254">
        <v>31</v>
      </c>
      <c r="G152" s="1247">
        <f t="shared" si="13"/>
        <v>153</v>
      </c>
      <c r="H152" s="1253">
        <f>G152/G145</f>
        <v>0.41917808219178082</v>
      </c>
      <c r="I152" s="239">
        <f t="shared" si="9"/>
        <v>-3440060.5532925101</v>
      </c>
      <c r="J152" s="234">
        <f t="shared" si="14"/>
        <v>-1589078824.8055656</v>
      </c>
      <c r="K152" s="14"/>
    </row>
    <row r="153" spans="1:11" s="1075" customFormat="1">
      <c r="A153" s="111">
        <f t="shared" si="10"/>
        <v>813</v>
      </c>
      <c r="B153" s="561"/>
      <c r="C153" s="1251" t="s">
        <v>187</v>
      </c>
      <c r="D153" s="1256">
        <f t="shared" si="11"/>
        <v>-8206680.4049135046</v>
      </c>
      <c r="E153" s="1178">
        <f t="shared" si="12"/>
        <v>-1616262048.393347</v>
      </c>
      <c r="F153" s="1254">
        <v>31</v>
      </c>
      <c r="G153" s="1247">
        <f t="shared" si="13"/>
        <v>122</v>
      </c>
      <c r="H153" s="1253">
        <f>G153/G145</f>
        <v>0.33424657534246577</v>
      </c>
      <c r="I153" s="239">
        <f t="shared" si="9"/>
        <v>-2743054.8202724592</v>
      </c>
      <c r="J153" s="234">
        <f t="shared" si="14"/>
        <v>-1591821879.625838</v>
      </c>
      <c r="K153" s="14"/>
    </row>
    <row r="154" spans="1:11" s="1075" customFormat="1">
      <c r="A154" s="111">
        <f t="shared" si="10"/>
        <v>814</v>
      </c>
      <c r="B154" s="561"/>
      <c r="C154" s="1251" t="s">
        <v>188</v>
      </c>
      <c r="D154" s="1256">
        <f t="shared" si="11"/>
        <v>-8206680.4049135046</v>
      </c>
      <c r="E154" s="1178">
        <f t="shared" si="12"/>
        <v>-1624468728.7982605</v>
      </c>
      <c r="F154" s="1254">
        <v>30</v>
      </c>
      <c r="G154" s="1247">
        <f t="shared" si="13"/>
        <v>92</v>
      </c>
      <c r="H154" s="1253">
        <f>G154/G145</f>
        <v>0.25205479452054796</v>
      </c>
      <c r="I154" s="239">
        <f t="shared" si="9"/>
        <v>-2068533.1431562807</v>
      </c>
      <c r="J154" s="234">
        <f t="shared" si="14"/>
        <v>-1593890412.7689943</v>
      </c>
      <c r="K154" s="14"/>
    </row>
    <row r="155" spans="1:11" s="1075" customFormat="1">
      <c r="A155" s="111">
        <f t="shared" si="10"/>
        <v>815</v>
      </c>
      <c r="B155" s="561"/>
      <c r="C155" s="1251" t="s">
        <v>191</v>
      </c>
      <c r="D155" s="1256">
        <f t="shared" si="11"/>
        <v>-8206680.4049135046</v>
      </c>
      <c r="E155" s="1178">
        <f t="shared" si="12"/>
        <v>-1632675409.2031739</v>
      </c>
      <c r="F155" s="1254">
        <v>31</v>
      </c>
      <c r="G155" s="1247">
        <f t="shared" si="13"/>
        <v>61</v>
      </c>
      <c r="H155" s="1253">
        <f>G155/G145</f>
        <v>0.16712328767123288</v>
      </c>
      <c r="I155" s="239">
        <f t="shared" si="9"/>
        <v>-1371527.4101362296</v>
      </c>
      <c r="J155" s="234">
        <f t="shared" si="14"/>
        <v>-1595261940.1791306</v>
      </c>
      <c r="K155" s="14"/>
    </row>
    <row r="156" spans="1:11" s="1075" customFormat="1">
      <c r="A156" s="111">
        <f t="shared" si="10"/>
        <v>816</v>
      </c>
      <c r="B156" s="561"/>
      <c r="C156" s="1251" t="s">
        <v>190</v>
      </c>
      <c r="D156" s="1256">
        <f t="shared" si="11"/>
        <v>-8206680.4049135046</v>
      </c>
      <c r="E156" s="1178">
        <f t="shared" si="12"/>
        <v>-1640882089.6080873</v>
      </c>
      <c r="F156" s="1254">
        <v>30</v>
      </c>
      <c r="G156" s="1247">
        <f t="shared" si="13"/>
        <v>31</v>
      </c>
      <c r="H156" s="1253">
        <f>G156/G145</f>
        <v>8.4931506849315067E-2</v>
      </c>
      <c r="I156" s="239">
        <f t="shared" si="9"/>
        <v>-697005.73302005103</v>
      </c>
      <c r="J156" s="234">
        <f t="shared" si="14"/>
        <v>-1595958945.9121506</v>
      </c>
      <c r="K156" s="14"/>
    </row>
    <row r="157" spans="1:11" s="1075" customFormat="1">
      <c r="A157" s="111">
        <f t="shared" si="10"/>
        <v>817</v>
      </c>
      <c r="B157" s="561"/>
      <c r="C157" s="1251" t="s">
        <v>180</v>
      </c>
      <c r="D157" s="1256">
        <f t="shared" si="11"/>
        <v>-8206680.4049135046</v>
      </c>
      <c r="E157" s="1178">
        <f t="shared" si="12"/>
        <v>-1649088770.0130007</v>
      </c>
      <c r="F157" s="1254">
        <v>31</v>
      </c>
      <c r="G157" s="1247">
        <f t="shared" si="13"/>
        <v>0</v>
      </c>
      <c r="H157" s="1253">
        <f>G157/G145</f>
        <v>0</v>
      </c>
      <c r="I157" s="239">
        <f t="shared" si="9"/>
        <v>0</v>
      </c>
      <c r="J157" s="369">
        <f t="shared" si="14"/>
        <v>-1595958945.9121506</v>
      </c>
      <c r="K157" s="14"/>
    </row>
    <row r="158" spans="1:11" s="1075" customFormat="1">
      <c r="A158" s="111">
        <f t="shared" si="10"/>
        <v>818</v>
      </c>
      <c r="B158" s="561"/>
      <c r="C158" s="1251" t="s">
        <v>2884</v>
      </c>
      <c r="D158" s="1256"/>
      <c r="E158" s="1178">
        <f>D14</f>
        <v>-1649088770.0130017</v>
      </c>
      <c r="F158" s="627"/>
      <c r="G158" s="627"/>
      <c r="H158" s="627"/>
      <c r="I158" s="487"/>
      <c r="J158" s="1216"/>
      <c r="K158" s="14"/>
    </row>
    <row r="159" spans="1:11" s="1075" customFormat="1">
      <c r="A159" s="111">
        <f t="shared" si="10"/>
        <v>819</v>
      </c>
      <c r="B159" s="561"/>
      <c r="C159" s="613"/>
      <c r="D159" s="632"/>
      <c r="E159" s="632"/>
      <c r="F159" s="627"/>
      <c r="G159" s="627"/>
      <c r="H159" s="627"/>
      <c r="I159" s="508" t="s">
        <v>2521</v>
      </c>
      <c r="J159" s="1243">
        <f>AVERAGE(J145:J157)</f>
        <v>-1580823717.2033207</v>
      </c>
      <c r="K159" s="14"/>
    </row>
    <row r="160" spans="1:11">
      <c r="B160"/>
      <c r="C160" s="241" t="s">
        <v>1906</v>
      </c>
      <c r="D160" s="241"/>
      <c r="E160" s="241"/>
      <c r="F160" s="241"/>
      <c r="G160" s="241"/>
      <c r="J160"/>
    </row>
    <row r="161" spans="2:11">
      <c r="B161"/>
      <c r="C161" s="241" t="s">
        <v>1907</v>
      </c>
      <c r="D161" s="241"/>
      <c r="E161" s="241"/>
      <c r="F161" s="241"/>
      <c r="G161" s="241"/>
      <c r="J161"/>
    </row>
    <row r="162" spans="2:11">
      <c r="B162"/>
      <c r="C162" s="241"/>
      <c r="D162" s="241"/>
      <c r="E162" s="241"/>
      <c r="F162" s="241"/>
      <c r="G162" s="241"/>
      <c r="J162"/>
    </row>
    <row r="163" spans="2:11">
      <c r="B163"/>
      <c r="C163" s="241" t="s">
        <v>1908</v>
      </c>
      <c r="D163" s="241"/>
      <c r="E163" s="241"/>
      <c r="F163" s="241"/>
      <c r="G163" s="241"/>
      <c r="J163"/>
    </row>
    <row r="164" spans="2:11">
      <c r="B164"/>
      <c r="C164" s="241" t="s">
        <v>1909</v>
      </c>
      <c r="D164" s="241"/>
      <c r="E164" s="241"/>
      <c r="F164" s="241"/>
      <c r="G164" s="241"/>
      <c r="J164"/>
    </row>
    <row r="165" spans="2:11">
      <c r="B165"/>
      <c r="C165" s="241" t="s">
        <v>1910</v>
      </c>
      <c r="D165" s="241"/>
      <c r="E165" s="241"/>
      <c r="F165" s="241"/>
      <c r="G165" s="241"/>
      <c r="J165"/>
    </row>
    <row r="166" spans="2:11" s="483" customFormat="1">
      <c r="C166" s="485"/>
      <c r="D166" s="485"/>
      <c r="E166" s="111" t="s">
        <v>169</v>
      </c>
      <c r="F166" s="485"/>
      <c r="G166" s="953" t="s">
        <v>63</v>
      </c>
      <c r="H166" s="232"/>
      <c r="I166" s="232"/>
      <c r="K166" s="485"/>
    </row>
    <row r="167" spans="2:11" s="483" customFormat="1">
      <c r="C167" s="485"/>
      <c r="D167" s="485"/>
      <c r="E167" s="125" t="s">
        <v>170</v>
      </c>
      <c r="F167" s="485"/>
      <c r="G167" s="125" t="s">
        <v>171</v>
      </c>
      <c r="H167" s="232"/>
      <c r="I167" s="232"/>
      <c r="K167" s="485"/>
    </row>
    <row r="168" spans="2:11" s="483" customFormat="1">
      <c r="C168" s="967" t="s">
        <v>1911</v>
      </c>
      <c r="D168" s="485"/>
      <c r="E168" s="485" t="s">
        <v>286</v>
      </c>
      <c r="F168" s="485"/>
      <c r="G168" s="1100">
        <v>749285680</v>
      </c>
      <c r="H168" s="232"/>
      <c r="I168" s="1331"/>
      <c r="K168" s="485"/>
    </row>
    <row r="169" spans="2:11" s="483" customFormat="1">
      <c r="C169" s="482" t="s">
        <v>1912</v>
      </c>
      <c r="D169" s="485"/>
      <c r="E169" s="485" t="s">
        <v>1913</v>
      </c>
      <c r="F169" s="485"/>
      <c r="G169" s="517">
        <v>615045</v>
      </c>
      <c r="H169" s="232"/>
      <c r="I169" s="1331"/>
      <c r="K169" s="485"/>
    </row>
    <row r="170" spans="2:11" s="483" customFormat="1">
      <c r="C170" s="482" t="s">
        <v>1914</v>
      </c>
      <c r="D170" s="485"/>
      <c r="E170" s="485" t="s">
        <v>1915</v>
      </c>
      <c r="F170" s="485"/>
      <c r="G170" s="117">
        <v>1537997</v>
      </c>
      <c r="H170" s="232"/>
      <c r="I170" s="1331"/>
      <c r="K170" s="485"/>
    </row>
    <row r="171" spans="2:11" s="483" customFormat="1">
      <c r="C171" s="967" t="s">
        <v>1916</v>
      </c>
      <c r="D171" s="485"/>
      <c r="E171" s="485" t="s">
        <v>1917</v>
      </c>
      <c r="F171" s="485"/>
      <c r="G171" s="497">
        <f>SUM(G168:G170)</f>
        <v>751438722</v>
      </c>
      <c r="H171" s="232"/>
      <c r="I171" s="232"/>
      <c r="K171" s="485"/>
    </row>
    <row r="172" spans="2:11" s="483" customFormat="1">
      <c r="C172" s="482" t="s">
        <v>1918</v>
      </c>
      <c r="D172" s="485"/>
      <c r="E172" s="601" t="s">
        <v>1919</v>
      </c>
      <c r="F172" s="485"/>
      <c r="G172" s="405">
        <f>(G169+G170)/G171</f>
        <v>2.8652263144884889E-3</v>
      </c>
      <c r="H172" s="232"/>
      <c r="I172" s="232"/>
      <c r="K172" s="485"/>
    </row>
    <row r="173" spans="2:11" s="483" customFormat="1">
      <c r="C173" s="947" t="s">
        <v>1920</v>
      </c>
      <c r="D173" s="241"/>
      <c r="E173" s="241"/>
      <c r="F173" s="241"/>
      <c r="G173" s="241"/>
      <c r="H173" s="232"/>
      <c r="I173" s="232"/>
      <c r="K173" s="485"/>
    </row>
    <row r="174" spans="2:11" s="483" customFormat="1">
      <c r="C174" s="485"/>
      <c r="D174" s="485"/>
      <c r="E174" s="111" t="s">
        <v>169</v>
      </c>
      <c r="F174" s="485"/>
      <c r="G174" s="953" t="s">
        <v>63</v>
      </c>
      <c r="H174" s="232"/>
      <c r="I174" s="232"/>
      <c r="K174" s="485"/>
    </row>
    <row r="175" spans="2:11" s="483" customFormat="1">
      <c r="C175" s="485"/>
      <c r="D175" s="485"/>
      <c r="E175" s="125" t="s">
        <v>170</v>
      </c>
      <c r="F175" s="485"/>
      <c r="G175" s="125" t="s">
        <v>171</v>
      </c>
      <c r="H175" s="232"/>
      <c r="I175" s="232"/>
      <c r="K175" s="485"/>
    </row>
    <row r="176" spans="2:11" s="483" customFormat="1">
      <c r="C176" s="482" t="s">
        <v>1921</v>
      </c>
      <c r="D176" s="485"/>
      <c r="E176" s="485" t="s">
        <v>34</v>
      </c>
      <c r="F176" s="485"/>
      <c r="G176" s="1100">
        <v>46164121713</v>
      </c>
      <c r="H176" s="232"/>
      <c r="I176" s="1331"/>
      <c r="K176" s="485"/>
    </row>
    <row r="177" spans="2:11" s="483" customFormat="1">
      <c r="C177" s="482" t="s">
        <v>1922</v>
      </c>
      <c r="D177" s="485"/>
      <c r="E177" s="485" t="s">
        <v>1923</v>
      </c>
      <c r="F177" s="485"/>
      <c r="G177" s="517">
        <v>6268777</v>
      </c>
      <c r="H177" s="232"/>
      <c r="I177" s="232"/>
      <c r="K177" s="485"/>
    </row>
    <row r="178" spans="2:11" s="483" customFormat="1">
      <c r="C178" s="482" t="s">
        <v>1924</v>
      </c>
      <c r="D178" s="485"/>
      <c r="E178" s="485" t="s">
        <v>1925</v>
      </c>
      <c r="F178" s="485"/>
      <c r="G178" s="517">
        <v>29763069</v>
      </c>
      <c r="H178" s="232"/>
      <c r="I178" s="1331"/>
      <c r="K178" s="485"/>
    </row>
    <row r="179" spans="2:11" s="483" customFormat="1">
      <c r="C179" s="482" t="s">
        <v>1926</v>
      </c>
      <c r="D179" s="485"/>
      <c r="E179" s="485" t="s">
        <v>1927</v>
      </c>
      <c r="F179" s="485"/>
      <c r="G179" s="497">
        <f>SUM(G176:G178)</f>
        <v>46200153559</v>
      </c>
      <c r="H179" s="241"/>
      <c r="I179" s="241"/>
      <c r="J179" s="485"/>
      <c r="K179" s="485"/>
    </row>
    <row r="180" spans="2:11" s="483" customFormat="1">
      <c r="C180" s="482" t="s">
        <v>1928</v>
      </c>
      <c r="D180" s="485"/>
      <c r="E180" s="601" t="s">
        <v>1929</v>
      </c>
      <c r="F180" s="485"/>
      <c r="G180" s="405">
        <f>(G177+G178)/G179</f>
        <v>7.7990749433301033E-4</v>
      </c>
      <c r="H180" s="241"/>
      <c r="I180" s="241"/>
      <c r="J180" s="485"/>
      <c r="K180" s="485"/>
    </row>
    <row r="181" spans="2:11" s="483" customFormat="1">
      <c r="C181" s="241" t="s">
        <v>2650</v>
      </c>
      <c r="D181" s="241"/>
      <c r="E181" s="241"/>
      <c r="F181" s="241"/>
      <c r="G181" s="241"/>
      <c r="H181" s="241"/>
      <c r="I181" s="241"/>
      <c r="J181" s="485"/>
      <c r="K181" s="485"/>
    </row>
    <row r="182" spans="2:11" s="483" customFormat="1">
      <c r="B182" s="232"/>
      <c r="C182" s="232"/>
      <c r="D182" s="232"/>
      <c r="E182" s="232"/>
      <c r="F182" s="232"/>
      <c r="G182" s="232"/>
      <c r="H182" s="232"/>
      <c r="I182" s="232"/>
      <c r="J182" s="232"/>
      <c r="K182" s="485"/>
    </row>
    <row r="183" spans="2:11" s="483" customFormat="1">
      <c r="B183" s="232"/>
      <c r="C183" s="932" t="s">
        <v>232</v>
      </c>
      <c r="D183" s="232"/>
      <c r="E183" s="232"/>
      <c r="F183" s="232"/>
      <c r="G183" s="232"/>
      <c r="H183" s="232"/>
      <c r="I183" s="232"/>
      <c r="J183" s="232"/>
      <c r="K183" s="485"/>
    </row>
    <row r="184" spans="2:11" s="483" customFormat="1">
      <c r="B184" s="232"/>
      <c r="C184" s="485" t="s">
        <v>2501</v>
      </c>
      <c r="D184" s="232"/>
      <c r="E184" s="232"/>
      <c r="F184" s="232"/>
      <c r="G184" s="232"/>
      <c r="H184" s="232"/>
      <c r="I184" s="232"/>
      <c r="J184" s="232"/>
      <c r="K184" s="485"/>
    </row>
    <row r="185" spans="2:11" s="483" customFormat="1">
      <c r="B185" s="232"/>
      <c r="C185" s="485" t="s">
        <v>2502</v>
      </c>
      <c r="D185" s="232"/>
      <c r="E185" s="232"/>
      <c r="F185" s="232"/>
      <c r="G185" s="232"/>
      <c r="H185" s="232"/>
      <c r="I185" s="232"/>
      <c r="J185" s="232"/>
      <c r="K185" s="485"/>
    </row>
    <row r="186" spans="2:11" s="483" customFormat="1">
      <c r="B186" s="232"/>
      <c r="C186" s="485" t="s">
        <v>2503</v>
      </c>
      <c r="D186" s="232"/>
      <c r="E186" s="232"/>
      <c r="F186" s="232"/>
      <c r="G186" s="232"/>
      <c r="H186" s="232"/>
      <c r="I186" s="232"/>
      <c r="J186" s="232"/>
      <c r="K186" s="485"/>
    </row>
  </sheetData>
  <protectedRanges>
    <protectedRange password="F1C4" sqref="D20:E23 E15:E19 D14:D15 D17:D18 I54 B7:C30 F20 I118 D25:F30 D24" name="AAReport1_23_1_1_2"/>
    <protectedRange password="F1C4" sqref="D19" name="AAReport1_23_1_1_1_1_1"/>
    <protectedRange password="F1C4" sqref="F32:F33 F45 J32:J35" name="AAReport1_23_1_1_2_1"/>
    <protectedRange password="F1C4" sqref="I47" name="AAReport1_23_1_1_2_2"/>
    <protectedRange password="F1C4" sqref="E24" name="AAReport1_23_1_1_2_3"/>
  </protectedRanges>
  <phoneticPr fontId="22" type="noConversion"/>
  <conditionalFormatting sqref="B112 B126:B127 D126:D127 D112">
    <cfRule type="expression" dxfId="18" priority="16" stopIfTrue="1">
      <formula>Formulas</formula>
    </cfRule>
  </conditionalFormatting>
  <conditionalFormatting sqref="D118">
    <cfRule type="expression" dxfId="17" priority="17" stopIfTrue="1">
      <formula>Formulas</formula>
    </cfRule>
  </conditionalFormatting>
  <conditionalFormatting sqref="C118 C112 C126:C127">
    <cfRule type="expression" dxfId="16" priority="15" stopIfTrue="1">
      <formula>#REF!&lt;&gt;""</formula>
    </cfRule>
  </conditionalFormatting>
  <conditionalFormatting sqref="D103:D111">
    <cfRule type="expression" dxfId="15" priority="6" stopIfTrue="1">
      <formula>Formulas</formula>
    </cfRule>
  </conditionalFormatting>
  <conditionalFormatting sqref="C103:C111">
    <cfRule type="expression" dxfId="14" priority="5" stopIfTrue="1">
      <formula>#REF!&lt;&gt;""</formula>
    </cfRule>
  </conditionalFormatting>
  <conditionalFormatting sqref="D124">
    <cfRule type="expression" dxfId="13" priority="4" stopIfTrue="1">
      <formula>Formulas</formula>
    </cfRule>
  </conditionalFormatting>
  <conditionalFormatting sqref="C124">
    <cfRule type="expression" dxfId="12" priority="3" stopIfTrue="1">
      <formula>#REF!&lt;&gt;""</formula>
    </cfRule>
  </conditionalFormatting>
  <conditionalFormatting sqref="D125">
    <cfRule type="expression" dxfId="11" priority="2" stopIfTrue="1">
      <formula>Formulas</formula>
    </cfRule>
  </conditionalFormatting>
  <conditionalFormatting sqref="C125">
    <cfRule type="expression" dxfId="10" priority="1" stopIfTrue="1">
      <formula>#REF!&lt;&gt;""</formula>
    </cfRule>
  </conditionalFormatting>
  <pageMargins left="0.75" right="0.75" top="1" bottom="1" header="0.5" footer="0.5"/>
  <pageSetup scale="65" orientation="landscape" cellComments="asDisplayed" r:id="rId1"/>
  <headerFooter alignWithMargins="0">
    <oddHeader>&amp;CSchedule 9
ADIT
&amp;RTO2019 Draft Annual Update 
Attachment1</oddHeader>
    <oddFooter>&amp;R&amp;A</oddFooter>
  </headerFooter>
  <rowBreaks count="5" manualBreakCount="5">
    <brk id="24" max="16383" man="1"/>
    <brk id="57" max="16383" man="1"/>
    <brk id="95" max="9" man="1"/>
    <brk id="127" max="16383" man="1"/>
    <brk id="15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4"/>
  <sheetViews>
    <sheetView topLeftCell="A312" zoomScaleNormal="100" workbookViewId="0">
      <selection activeCell="E351" sqref="E351"/>
    </sheetView>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4" t="s">
        <v>543</v>
      </c>
      <c r="K1" s="1"/>
    </row>
    <row r="2" spans="1:12">
      <c r="A2" s="44"/>
      <c r="K2" s="1"/>
    </row>
    <row r="3" spans="1:12">
      <c r="A3" s="44"/>
      <c r="B3" s="483" t="s">
        <v>960</v>
      </c>
      <c r="K3" s="1"/>
    </row>
    <row r="4" spans="1:12">
      <c r="B4" s="483" t="s">
        <v>547</v>
      </c>
      <c r="K4" s="1"/>
      <c r="L4" s="485"/>
    </row>
    <row r="5" spans="1:12">
      <c r="B5" s="483"/>
      <c r="K5" s="1"/>
    </row>
    <row r="6" spans="1:12">
      <c r="A6" s="485"/>
      <c r="B6" s="1" t="s">
        <v>1242</v>
      </c>
      <c r="K6" s="1"/>
    </row>
    <row r="7" spans="1:12">
      <c r="A7" s="485"/>
      <c r="B7" s="1"/>
      <c r="D7" s="84" t="s">
        <v>363</v>
      </c>
      <c r="E7" s="84" t="s">
        <v>347</v>
      </c>
      <c r="F7" s="84" t="s">
        <v>348</v>
      </c>
      <c r="G7" s="84" t="s">
        <v>349</v>
      </c>
      <c r="H7" s="84" t="s">
        <v>350</v>
      </c>
      <c r="I7" s="84" t="s">
        <v>351</v>
      </c>
      <c r="J7" s="360"/>
      <c r="K7" s="1"/>
      <c r="L7" s="360"/>
    </row>
    <row r="8" spans="1:12">
      <c r="D8" s="484" t="s">
        <v>992</v>
      </c>
      <c r="J8" s="14"/>
      <c r="K8" s="14"/>
    </row>
    <row r="9" spans="1:12">
      <c r="D9" s="504" t="s">
        <v>550</v>
      </c>
      <c r="J9" s="14"/>
      <c r="K9" s="14"/>
    </row>
    <row r="10" spans="1:12">
      <c r="B10" s="580"/>
      <c r="J10" s="14"/>
      <c r="K10" s="14"/>
    </row>
    <row r="11" spans="1:12">
      <c r="B11" s="580"/>
      <c r="D11" s="580" t="s">
        <v>19</v>
      </c>
      <c r="F11" s="580" t="s">
        <v>345</v>
      </c>
      <c r="G11" s="361" t="s">
        <v>999</v>
      </c>
      <c r="H11" s="361" t="s">
        <v>1000</v>
      </c>
      <c r="I11" s="580"/>
      <c r="J11" s="111"/>
      <c r="K11" s="483"/>
    </row>
    <row r="12" spans="1:12">
      <c r="A12" s="932" t="s">
        <v>332</v>
      </c>
      <c r="B12" s="639" t="s">
        <v>192</v>
      </c>
      <c r="C12" s="639" t="s">
        <v>193</v>
      </c>
      <c r="D12" s="3" t="s">
        <v>545</v>
      </c>
      <c r="E12" s="3" t="s">
        <v>225</v>
      </c>
      <c r="F12" s="3" t="s">
        <v>346</v>
      </c>
      <c r="G12" s="362" t="s">
        <v>998</v>
      </c>
      <c r="H12" s="362" t="s">
        <v>1001</v>
      </c>
      <c r="I12" s="3" t="s">
        <v>548</v>
      </c>
      <c r="J12" s="125"/>
      <c r="K12" s="483"/>
    </row>
    <row r="13" spans="1:12">
      <c r="A13" s="111">
        <v>1</v>
      </c>
      <c r="B13" s="640" t="s">
        <v>180</v>
      </c>
      <c r="C13" s="641">
        <v>2016</v>
      </c>
      <c r="D13" s="7">
        <f>SUM(E13:I13)+SUM(D33:H33)</f>
        <v>115749706.3</v>
      </c>
      <c r="E13" s="534">
        <v>14915547.51</v>
      </c>
      <c r="F13" s="1099">
        <v>0</v>
      </c>
      <c r="G13" s="1099">
        <v>4204927.07</v>
      </c>
      <c r="H13" s="1099">
        <v>69685244.670000002</v>
      </c>
      <c r="I13" s="1099">
        <v>0</v>
      </c>
      <c r="J13" s="642"/>
    </row>
    <row r="14" spans="1:12">
      <c r="A14" s="111">
        <f>A13+1</f>
        <v>2</v>
      </c>
      <c r="B14" s="640" t="s">
        <v>181</v>
      </c>
      <c r="C14" s="641">
        <v>2017</v>
      </c>
      <c r="D14" s="7">
        <f>SUM(E14:I14)+SUM(D34:H34)</f>
        <v>117194141.84999999</v>
      </c>
      <c r="E14" s="534">
        <v>15082524.26</v>
      </c>
      <c r="F14" s="1099">
        <v>0</v>
      </c>
      <c r="G14" s="1099">
        <v>4239930.7699999996</v>
      </c>
      <c r="H14" s="1099">
        <v>70177660.219999999</v>
      </c>
      <c r="I14" s="1099">
        <v>0</v>
      </c>
      <c r="J14" s="642"/>
    </row>
    <row r="15" spans="1:12">
      <c r="A15" s="111">
        <f t="shared" ref="A15:A26" si="0">A14+1</f>
        <v>3</v>
      </c>
      <c r="B15" s="643" t="s">
        <v>182</v>
      </c>
      <c r="C15" s="641">
        <v>2017</v>
      </c>
      <c r="D15" s="7">
        <f t="shared" ref="D15:D25" si="1">SUM(E15:I15)+SUM(D35:H35)</f>
        <v>119164540.84</v>
      </c>
      <c r="E15" s="534">
        <v>15117127.390000001</v>
      </c>
      <c r="F15" s="1099">
        <v>0</v>
      </c>
      <c r="G15" s="1099">
        <v>4296863.42</v>
      </c>
      <c r="H15" s="1099">
        <v>71031101.459999993</v>
      </c>
      <c r="I15" s="1099">
        <v>0</v>
      </c>
      <c r="J15" s="642"/>
    </row>
    <row r="16" spans="1:12">
      <c r="A16" s="111">
        <f t="shared" si="0"/>
        <v>4</v>
      </c>
      <c r="B16" s="643" t="s">
        <v>195</v>
      </c>
      <c r="C16" s="641">
        <v>2017</v>
      </c>
      <c r="D16" s="7">
        <f t="shared" si="1"/>
        <v>125730090.70000002</v>
      </c>
      <c r="E16" s="534">
        <v>15123624.76</v>
      </c>
      <c r="F16" s="1099">
        <v>0</v>
      </c>
      <c r="G16" s="1099">
        <v>4400060.7300000004</v>
      </c>
      <c r="H16" s="1099">
        <v>73723203.530000001</v>
      </c>
      <c r="I16" s="1099">
        <v>0</v>
      </c>
      <c r="J16" s="642"/>
    </row>
    <row r="17" spans="1:11">
      <c r="A17" s="111">
        <f t="shared" si="0"/>
        <v>5</v>
      </c>
      <c r="B17" s="640" t="s">
        <v>183</v>
      </c>
      <c r="C17" s="641">
        <v>2017</v>
      </c>
      <c r="D17" s="7">
        <f t="shared" si="1"/>
        <v>95419243.700000003</v>
      </c>
      <c r="E17" s="534">
        <v>15192634.41</v>
      </c>
      <c r="F17" s="1099">
        <v>0</v>
      </c>
      <c r="G17" s="1099">
        <v>4461540.67</v>
      </c>
      <c r="H17" s="1099">
        <v>75120415.75</v>
      </c>
      <c r="I17" s="1099">
        <v>0</v>
      </c>
      <c r="J17" s="642"/>
    </row>
    <row r="18" spans="1:11">
      <c r="A18" s="111">
        <f t="shared" si="0"/>
        <v>6</v>
      </c>
      <c r="B18" s="643" t="s">
        <v>184</v>
      </c>
      <c r="C18" s="641">
        <v>2017</v>
      </c>
      <c r="D18" s="7">
        <f t="shared" si="1"/>
        <v>82582163</v>
      </c>
      <c r="E18" s="534">
        <v>149717.78</v>
      </c>
      <c r="F18" s="1099">
        <v>0</v>
      </c>
      <c r="G18" s="1099">
        <v>4476503.9800000004</v>
      </c>
      <c r="H18" s="1099">
        <v>77300754.379999995</v>
      </c>
      <c r="I18" s="1099">
        <v>0</v>
      </c>
      <c r="J18" s="642"/>
    </row>
    <row r="19" spans="1:11">
      <c r="A19" s="111">
        <f t="shared" si="0"/>
        <v>7</v>
      </c>
      <c r="B19" s="643" t="s">
        <v>185</v>
      </c>
      <c r="C19" s="641">
        <v>2017</v>
      </c>
      <c r="D19" s="7">
        <f t="shared" si="1"/>
        <v>84504679.470000014</v>
      </c>
      <c r="E19" s="534">
        <v>149717.78</v>
      </c>
      <c r="F19" s="1099">
        <v>0</v>
      </c>
      <c r="G19" s="1099">
        <v>4697237.76</v>
      </c>
      <c r="H19" s="1099">
        <v>78966263.950000003</v>
      </c>
      <c r="I19" s="1099">
        <v>0</v>
      </c>
      <c r="J19" s="642"/>
    </row>
    <row r="20" spans="1:11">
      <c r="A20" s="111">
        <f t="shared" si="0"/>
        <v>8</v>
      </c>
      <c r="B20" s="640" t="s">
        <v>186</v>
      </c>
      <c r="C20" s="641">
        <v>2017</v>
      </c>
      <c r="D20" s="7">
        <f t="shared" si="1"/>
        <v>85941139.910000011</v>
      </c>
      <c r="E20" s="534">
        <v>149717.78</v>
      </c>
      <c r="F20" s="1099">
        <v>0</v>
      </c>
      <c r="G20" s="1099">
        <v>4761048.12</v>
      </c>
      <c r="H20" s="1099">
        <v>80276384.420000002</v>
      </c>
      <c r="I20" s="1099">
        <v>0</v>
      </c>
      <c r="J20" s="642"/>
    </row>
    <row r="21" spans="1:11">
      <c r="A21" s="111">
        <f t="shared" si="0"/>
        <v>9</v>
      </c>
      <c r="B21" s="643" t="s">
        <v>187</v>
      </c>
      <c r="C21" s="641">
        <v>2017</v>
      </c>
      <c r="D21" s="7">
        <f t="shared" si="1"/>
        <v>89338929.129999995</v>
      </c>
      <c r="E21" s="534">
        <v>150128.82999999999</v>
      </c>
      <c r="F21" s="1099">
        <v>0</v>
      </c>
      <c r="G21" s="1099">
        <v>4777853.08</v>
      </c>
      <c r="H21" s="1099">
        <v>83585450.480000004</v>
      </c>
      <c r="I21" s="1099">
        <v>0</v>
      </c>
      <c r="J21" s="642"/>
    </row>
    <row r="22" spans="1:11">
      <c r="A22" s="111">
        <f t="shared" si="0"/>
        <v>10</v>
      </c>
      <c r="B22" s="643" t="s">
        <v>188</v>
      </c>
      <c r="C22" s="641">
        <v>2017</v>
      </c>
      <c r="D22" s="7">
        <f t="shared" si="1"/>
        <v>91194894.549999997</v>
      </c>
      <c r="E22" s="534">
        <v>150061.94</v>
      </c>
      <c r="F22" s="1099">
        <v>0</v>
      </c>
      <c r="G22" s="1099">
        <v>4824268.1100000003</v>
      </c>
      <c r="H22" s="1099">
        <v>85335964.900000006</v>
      </c>
      <c r="I22" s="1099">
        <v>0</v>
      </c>
      <c r="J22" s="642"/>
    </row>
    <row r="23" spans="1:11">
      <c r="A23" s="111">
        <f t="shared" si="0"/>
        <v>11</v>
      </c>
      <c r="B23" s="640" t="s">
        <v>189</v>
      </c>
      <c r="C23" s="641">
        <v>2017</v>
      </c>
      <c r="D23" s="7">
        <f t="shared" si="1"/>
        <v>91967696.25</v>
      </c>
      <c r="E23" s="534">
        <v>150061.94</v>
      </c>
      <c r="F23" s="1099">
        <v>0</v>
      </c>
      <c r="G23" s="1099">
        <v>4844917.93</v>
      </c>
      <c r="H23" s="1099">
        <v>86972716.379999995</v>
      </c>
      <c r="I23" s="1099">
        <v>0</v>
      </c>
      <c r="J23" s="642"/>
    </row>
    <row r="24" spans="1:11">
      <c r="A24" s="111">
        <f t="shared" si="0"/>
        <v>12</v>
      </c>
      <c r="B24" s="640" t="s">
        <v>190</v>
      </c>
      <c r="C24" s="641">
        <v>2017</v>
      </c>
      <c r="D24" s="7">
        <f t="shared" si="1"/>
        <v>134322418.63999999</v>
      </c>
      <c r="E24" s="534">
        <v>150061.94</v>
      </c>
      <c r="F24" s="1099">
        <v>0</v>
      </c>
      <c r="G24" s="1099">
        <v>4852268.33</v>
      </c>
      <c r="H24" s="1099">
        <v>91066687.480000004</v>
      </c>
      <c r="I24" s="1099">
        <v>0</v>
      </c>
      <c r="J24" s="642"/>
    </row>
    <row r="25" spans="1:11">
      <c r="A25" s="111">
        <f t="shared" si="0"/>
        <v>13</v>
      </c>
      <c r="B25" s="640" t="s">
        <v>180</v>
      </c>
      <c r="C25" s="641">
        <v>2017</v>
      </c>
      <c r="D25" s="91">
        <f t="shared" si="1"/>
        <v>221778479.72000003</v>
      </c>
      <c r="E25" s="411">
        <v>150976.49</v>
      </c>
      <c r="F25" s="117">
        <v>0</v>
      </c>
      <c r="G25" s="117">
        <v>4884727.96</v>
      </c>
      <c r="H25" s="117">
        <v>98805811.510000005</v>
      </c>
      <c r="I25" s="117">
        <v>0</v>
      </c>
      <c r="J25" s="642"/>
    </row>
    <row r="26" spans="1:11">
      <c r="A26" s="111">
        <f t="shared" si="0"/>
        <v>14</v>
      </c>
      <c r="B26" s="640"/>
      <c r="C26" s="644" t="s">
        <v>546</v>
      </c>
      <c r="D26" s="532">
        <f t="shared" ref="D26:I26" si="2">SUM(D13:D25)/13</f>
        <v>111914471.08153847</v>
      </c>
      <c r="E26" s="532">
        <f>SUM(E13:E25)/13</f>
        <v>5894761.7546153832</v>
      </c>
      <c r="F26" s="532">
        <f t="shared" si="2"/>
        <v>0</v>
      </c>
      <c r="G26" s="532">
        <f t="shared" si="2"/>
        <v>4594011.3792307694</v>
      </c>
      <c r="H26" s="532">
        <f t="shared" si="2"/>
        <v>80157512.240769237</v>
      </c>
      <c r="I26" s="532">
        <f t="shared" si="2"/>
        <v>0</v>
      </c>
      <c r="J26" s="642"/>
      <c r="K26" s="642"/>
    </row>
    <row r="27" spans="1:11">
      <c r="A27" s="111"/>
      <c r="B27" s="640"/>
      <c r="C27" s="644"/>
      <c r="D27" s="532"/>
      <c r="E27" s="532"/>
      <c r="F27" s="532"/>
      <c r="G27" s="532"/>
      <c r="H27" s="532"/>
      <c r="I27" s="642"/>
      <c r="J27" s="487"/>
      <c r="K27" s="642"/>
    </row>
    <row r="28" spans="1:11">
      <c r="A28" s="111"/>
      <c r="B28" s="640"/>
      <c r="C28" s="644"/>
      <c r="D28" s="84" t="s">
        <v>352</v>
      </c>
      <c r="E28" s="84" t="s">
        <v>544</v>
      </c>
      <c r="F28" s="84" t="s">
        <v>961</v>
      </c>
      <c r="G28" s="84" t="s">
        <v>974</v>
      </c>
      <c r="H28" s="84" t="s">
        <v>977</v>
      </c>
      <c r="I28" s="84" t="s">
        <v>995</v>
      </c>
      <c r="J28" s="487"/>
      <c r="K28" s="642"/>
    </row>
    <row r="29" spans="1:11">
      <c r="A29" s="111"/>
      <c r="B29" s="640"/>
      <c r="C29" s="644"/>
      <c r="E29" s="361" t="s">
        <v>996</v>
      </c>
      <c r="F29" s="361"/>
      <c r="G29" s="361"/>
      <c r="H29" s="532"/>
      <c r="I29" s="642"/>
      <c r="J29" s="487"/>
      <c r="K29" s="642"/>
    </row>
    <row r="30" spans="1:11">
      <c r="B30" s="580"/>
      <c r="D30" s="580" t="s">
        <v>993</v>
      </c>
      <c r="E30" s="580" t="s">
        <v>997</v>
      </c>
      <c r="F30" s="361"/>
      <c r="G30" s="361"/>
      <c r="H30" s="532"/>
      <c r="I30" s="642"/>
      <c r="J30" s="487"/>
      <c r="K30" s="642"/>
    </row>
    <row r="31" spans="1:11">
      <c r="B31" s="580"/>
      <c r="D31" s="580" t="s">
        <v>430</v>
      </c>
      <c r="E31" s="580" t="s">
        <v>430</v>
      </c>
      <c r="F31" s="534"/>
      <c r="G31" s="1325"/>
      <c r="H31" s="1324" t="s">
        <v>2656</v>
      </c>
      <c r="I31" s="1325"/>
      <c r="J31" s="642"/>
      <c r="K31" s="642"/>
    </row>
    <row r="32" spans="1:11">
      <c r="A32" s="932" t="s">
        <v>332</v>
      </c>
      <c r="B32" s="639" t="s">
        <v>192</v>
      </c>
      <c r="C32" s="639" t="s">
        <v>193</v>
      </c>
      <c r="D32" s="3" t="s">
        <v>994</v>
      </c>
      <c r="E32" s="3" t="s">
        <v>994</v>
      </c>
      <c r="F32" s="363" t="s">
        <v>2657</v>
      </c>
      <c r="G32" s="363" t="s">
        <v>2658</v>
      </c>
      <c r="H32" s="363" t="s">
        <v>2659</v>
      </c>
      <c r="I32" s="363"/>
      <c r="J32" s="642"/>
      <c r="K32" s="642"/>
    </row>
    <row r="33" spans="1:11">
      <c r="A33" s="111">
        <f>+A26+1</f>
        <v>15</v>
      </c>
      <c r="B33" s="640" t="s">
        <v>180</v>
      </c>
      <c r="C33" s="641">
        <v>2016</v>
      </c>
      <c r="D33" s="1099">
        <v>26943987.050000001</v>
      </c>
      <c r="E33" s="1099">
        <v>0</v>
      </c>
      <c r="F33" s="1099">
        <v>0</v>
      </c>
      <c r="G33" s="1099">
        <v>0</v>
      </c>
      <c r="H33" s="1099">
        <v>0</v>
      </c>
      <c r="I33" s="645"/>
      <c r="J33" s="642"/>
      <c r="K33" s="642"/>
    </row>
    <row r="34" spans="1:11">
      <c r="A34" s="111">
        <f>A33+1</f>
        <v>16</v>
      </c>
      <c r="B34" s="640" t="s">
        <v>181</v>
      </c>
      <c r="C34" s="641">
        <v>2017</v>
      </c>
      <c r="D34" s="1099">
        <v>27694026.600000001</v>
      </c>
      <c r="E34" s="1099">
        <v>0</v>
      </c>
      <c r="F34" s="1099">
        <v>0</v>
      </c>
      <c r="G34" s="1099">
        <v>0</v>
      </c>
      <c r="H34" s="1099">
        <v>0</v>
      </c>
      <c r="I34" s="645"/>
      <c r="J34" s="642"/>
      <c r="K34" s="642"/>
    </row>
    <row r="35" spans="1:11">
      <c r="A35" s="111">
        <f t="shared" ref="A35:A46" si="3">A34+1</f>
        <v>17</v>
      </c>
      <c r="B35" s="643" t="s">
        <v>182</v>
      </c>
      <c r="C35" s="641">
        <v>2017</v>
      </c>
      <c r="D35" s="1099">
        <v>28719448.57</v>
      </c>
      <c r="E35" s="1099">
        <v>0</v>
      </c>
      <c r="F35" s="1099">
        <v>0</v>
      </c>
      <c r="G35" s="1099">
        <v>0</v>
      </c>
      <c r="H35" s="1099">
        <v>0</v>
      </c>
      <c r="I35" s="645"/>
      <c r="J35" s="642"/>
      <c r="K35" s="642"/>
    </row>
    <row r="36" spans="1:11">
      <c r="A36" s="111">
        <f t="shared" si="3"/>
        <v>18</v>
      </c>
      <c r="B36" s="643" t="s">
        <v>195</v>
      </c>
      <c r="C36" s="641">
        <v>2017</v>
      </c>
      <c r="D36" s="1099">
        <v>32483201.68</v>
      </c>
      <c r="E36" s="1099">
        <v>0</v>
      </c>
      <c r="F36" s="1099">
        <v>0</v>
      </c>
      <c r="G36" s="1099">
        <v>0</v>
      </c>
      <c r="H36" s="1099">
        <v>0</v>
      </c>
      <c r="I36" s="645"/>
      <c r="J36" s="642"/>
      <c r="K36" s="642"/>
    </row>
    <row r="37" spans="1:11">
      <c r="A37" s="111">
        <f t="shared" si="3"/>
        <v>19</v>
      </c>
      <c r="B37" s="640" t="s">
        <v>183</v>
      </c>
      <c r="C37" s="641">
        <v>2017</v>
      </c>
      <c r="D37" s="1099">
        <v>644652.87</v>
      </c>
      <c r="E37" s="1099">
        <v>0</v>
      </c>
      <c r="F37" s="1099">
        <v>0</v>
      </c>
      <c r="G37" s="1099">
        <v>0</v>
      </c>
      <c r="H37" s="1099">
        <v>0</v>
      </c>
      <c r="I37" s="645"/>
      <c r="J37" s="642"/>
      <c r="K37" s="642"/>
    </row>
    <row r="38" spans="1:11">
      <c r="A38" s="111">
        <f t="shared" si="3"/>
        <v>20</v>
      </c>
      <c r="B38" s="643" t="s">
        <v>184</v>
      </c>
      <c r="C38" s="641">
        <v>2017</v>
      </c>
      <c r="D38" s="1099">
        <v>655186.86</v>
      </c>
      <c r="E38" s="1099">
        <v>0</v>
      </c>
      <c r="F38" s="1099">
        <v>0</v>
      </c>
      <c r="G38" s="1099">
        <v>0</v>
      </c>
      <c r="H38" s="1099">
        <v>0</v>
      </c>
      <c r="I38" s="645"/>
      <c r="J38" s="642"/>
      <c r="K38" s="642"/>
    </row>
    <row r="39" spans="1:11">
      <c r="A39" s="111">
        <f t="shared" si="3"/>
        <v>21</v>
      </c>
      <c r="B39" s="643" t="s">
        <v>185</v>
      </c>
      <c r="C39" s="641">
        <v>2017</v>
      </c>
      <c r="D39" s="1099">
        <v>691459.98</v>
      </c>
      <c r="E39" s="1099">
        <v>0</v>
      </c>
      <c r="F39" s="1099">
        <v>0</v>
      </c>
      <c r="G39" s="1099">
        <v>0</v>
      </c>
      <c r="H39" s="1099">
        <v>0</v>
      </c>
      <c r="I39" s="645"/>
      <c r="J39" s="642"/>
      <c r="K39" s="642"/>
    </row>
    <row r="40" spans="1:11">
      <c r="A40" s="111">
        <f t="shared" si="3"/>
        <v>22</v>
      </c>
      <c r="B40" s="640" t="s">
        <v>186</v>
      </c>
      <c r="C40" s="641">
        <v>2017</v>
      </c>
      <c r="D40" s="1099">
        <v>753989.59</v>
      </c>
      <c r="E40" s="1099">
        <v>0</v>
      </c>
      <c r="F40" s="1099">
        <v>0</v>
      </c>
      <c r="G40" s="1099">
        <v>0</v>
      </c>
      <c r="H40" s="1099">
        <v>0</v>
      </c>
      <c r="I40" s="645"/>
      <c r="J40" s="642"/>
      <c r="K40" s="642"/>
    </row>
    <row r="41" spans="1:11">
      <c r="A41" s="111">
        <f t="shared" si="3"/>
        <v>23</v>
      </c>
      <c r="B41" s="643" t="s">
        <v>187</v>
      </c>
      <c r="C41" s="641">
        <v>2017</v>
      </c>
      <c r="D41" s="1099">
        <v>825496.74</v>
      </c>
      <c r="E41" s="1099">
        <v>0</v>
      </c>
      <c r="F41" s="1099">
        <v>0</v>
      </c>
      <c r="G41" s="1099">
        <v>0</v>
      </c>
      <c r="H41" s="1099">
        <v>0</v>
      </c>
      <c r="I41" s="645"/>
      <c r="J41" s="642"/>
      <c r="K41" s="642"/>
    </row>
    <row r="42" spans="1:11">
      <c r="A42" s="111">
        <f t="shared" si="3"/>
        <v>24</v>
      </c>
      <c r="B42" s="643" t="s">
        <v>188</v>
      </c>
      <c r="C42" s="641">
        <v>2017</v>
      </c>
      <c r="D42" s="1099">
        <v>884599.6</v>
      </c>
      <c r="E42" s="1099">
        <v>0</v>
      </c>
      <c r="F42" s="1099">
        <v>0</v>
      </c>
      <c r="G42" s="1099">
        <v>0</v>
      </c>
      <c r="H42" s="1099">
        <v>0</v>
      </c>
      <c r="I42" s="645"/>
      <c r="J42" s="642"/>
      <c r="K42" s="642"/>
    </row>
    <row r="43" spans="1:11">
      <c r="A43" s="111">
        <f t="shared" si="3"/>
        <v>25</v>
      </c>
      <c r="B43" s="640" t="s">
        <v>189</v>
      </c>
      <c r="C43" s="641">
        <v>2017</v>
      </c>
      <c r="D43" s="1099">
        <v>0</v>
      </c>
      <c r="E43" s="1099">
        <v>0</v>
      </c>
      <c r="F43" s="1099">
        <v>0</v>
      </c>
      <c r="G43" s="1099">
        <v>0</v>
      </c>
      <c r="H43" s="1099">
        <v>0</v>
      </c>
      <c r="I43" s="645"/>
      <c r="J43" s="642"/>
      <c r="K43" s="642"/>
    </row>
    <row r="44" spans="1:11">
      <c r="A44" s="111">
        <f t="shared" si="3"/>
        <v>26</v>
      </c>
      <c r="B44" s="640" t="s">
        <v>190</v>
      </c>
      <c r="C44" s="641">
        <v>2017</v>
      </c>
      <c r="D44" s="1099">
        <v>0</v>
      </c>
      <c r="E44" s="1099">
        <v>0</v>
      </c>
      <c r="F44" s="1222">
        <v>38253400.890000001</v>
      </c>
      <c r="G44" s="1222">
        <v>0</v>
      </c>
      <c r="H44" s="534">
        <v>0</v>
      </c>
      <c r="I44" s="645"/>
      <c r="J44" s="642"/>
      <c r="K44" s="642"/>
    </row>
    <row r="45" spans="1:11">
      <c r="A45" s="111">
        <f t="shared" si="3"/>
        <v>27</v>
      </c>
      <c r="B45" s="640" t="s">
        <v>180</v>
      </c>
      <c r="C45" s="641">
        <v>2017</v>
      </c>
      <c r="D45" s="117">
        <v>0</v>
      </c>
      <c r="E45" s="117">
        <v>0</v>
      </c>
      <c r="F45" s="1326">
        <v>46788115.939999998</v>
      </c>
      <c r="G45" s="1326">
        <v>36155802.810000002</v>
      </c>
      <c r="H45" s="411">
        <v>34993045.010000005</v>
      </c>
      <c r="I45" s="645"/>
      <c r="J45" s="642"/>
      <c r="K45" s="642"/>
    </row>
    <row r="46" spans="1:11">
      <c r="A46" s="111">
        <f t="shared" si="3"/>
        <v>28</v>
      </c>
      <c r="B46" s="640"/>
      <c r="C46" s="644" t="s">
        <v>546</v>
      </c>
      <c r="D46" s="532">
        <f>SUM(D33:D45)/13</f>
        <v>9253542.2723076921</v>
      </c>
      <c r="E46" s="532">
        <f>SUM(E33:E45)/13</f>
        <v>0</v>
      </c>
      <c r="F46" s="532">
        <f>SUM(F33:F45)/13</f>
        <v>6541655.1407692302</v>
      </c>
      <c r="G46" s="532">
        <f>SUM(G33:G45)/13</f>
        <v>2781215.6007692311</v>
      </c>
      <c r="H46" s="532">
        <f>SUM(H33:H45)/13</f>
        <v>2691772.6930769235</v>
      </c>
      <c r="I46" s="646" t="s">
        <v>76</v>
      </c>
      <c r="J46" s="642"/>
      <c r="K46" s="642"/>
    </row>
    <row r="48" spans="1:11">
      <c r="B48" s="647" t="s">
        <v>1947</v>
      </c>
    </row>
    <row r="49" spans="1:13">
      <c r="B49" s="647"/>
      <c r="D49" s="675" t="s">
        <v>363</v>
      </c>
      <c r="E49" s="675" t="s">
        <v>347</v>
      </c>
      <c r="F49" s="675" t="s">
        <v>348</v>
      </c>
      <c r="G49" s="675" t="s">
        <v>349</v>
      </c>
      <c r="H49" s="675" t="s">
        <v>350</v>
      </c>
      <c r="I49" s="675" t="s">
        <v>351</v>
      </c>
      <c r="J49" s="675" t="s">
        <v>352</v>
      </c>
      <c r="K49" s="675" t="s">
        <v>544</v>
      </c>
    </row>
    <row r="50" spans="1:13" s="676" customFormat="1">
      <c r="A50" s="872"/>
      <c r="D50" s="484" t="s">
        <v>211</v>
      </c>
      <c r="E50" s="484" t="s">
        <v>211</v>
      </c>
      <c r="F50" s="484" t="s">
        <v>211</v>
      </c>
      <c r="G50" s="484" t="s">
        <v>211</v>
      </c>
      <c r="H50" s="484" t="s">
        <v>211</v>
      </c>
      <c r="I50" s="484" t="s">
        <v>211</v>
      </c>
      <c r="J50" s="484" t="s">
        <v>211</v>
      </c>
      <c r="K50" s="484" t="s">
        <v>211</v>
      </c>
      <c r="L50" s="872"/>
    </row>
    <row r="51" spans="1:13">
      <c r="G51" s="580" t="s">
        <v>1948</v>
      </c>
      <c r="K51" s="677"/>
    </row>
    <row r="52" spans="1:13">
      <c r="A52" s="677"/>
      <c r="B52" s="677"/>
      <c r="C52" s="677"/>
      <c r="D52" s="677" t="s">
        <v>198</v>
      </c>
      <c r="E52" s="677" t="s">
        <v>1931</v>
      </c>
      <c r="F52" s="677" t="s">
        <v>1949</v>
      </c>
      <c r="G52" s="677" t="s">
        <v>196</v>
      </c>
      <c r="H52" s="677" t="s">
        <v>1950</v>
      </c>
      <c r="I52" s="678" t="s">
        <v>1951</v>
      </c>
      <c r="J52" s="677" t="s">
        <v>198</v>
      </c>
      <c r="K52" s="677" t="s">
        <v>18</v>
      </c>
    </row>
    <row r="53" spans="1:13">
      <c r="A53" s="932" t="s">
        <v>332</v>
      </c>
      <c r="B53" s="639" t="s">
        <v>192</v>
      </c>
      <c r="C53" s="639" t="s">
        <v>193</v>
      </c>
      <c r="D53" s="675" t="s">
        <v>1952</v>
      </c>
      <c r="E53" s="675" t="s">
        <v>1932</v>
      </c>
      <c r="F53" s="675" t="s">
        <v>1953</v>
      </c>
      <c r="G53" s="675" t="s">
        <v>1954</v>
      </c>
      <c r="H53" s="675" t="s">
        <v>1955</v>
      </c>
      <c r="I53" s="675" t="s">
        <v>1956</v>
      </c>
      <c r="J53" s="675" t="s">
        <v>1957</v>
      </c>
      <c r="K53" s="3" t="s">
        <v>1958</v>
      </c>
    </row>
    <row r="54" spans="1:13">
      <c r="A54" s="111">
        <f>A46+1</f>
        <v>29</v>
      </c>
      <c r="B54" s="640" t="s">
        <v>180</v>
      </c>
      <c r="C54" s="641">
        <v>2017</v>
      </c>
      <c r="D54" s="684" t="s">
        <v>76</v>
      </c>
      <c r="E54" s="684" t="s">
        <v>76</v>
      </c>
      <c r="F54" s="684" t="s">
        <v>76</v>
      </c>
      <c r="G54" s="684" t="s">
        <v>76</v>
      </c>
      <c r="H54" s="684" t="s">
        <v>76</v>
      </c>
      <c r="I54" s="684" t="s">
        <v>76</v>
      </c>
      <c r="J54" s="7">
        <f>D25</f>
        <v>221778479.72000003</v>
      </c>
      <c r="K54" s="684" t="s">
        <v>76</v>
      </c>
    </row>
    <row r="55" spans="1:13">
      <c r="A55" s="111">
        <f>A54+1</f>
        <v>30</v>
      </c>
      <c r="B55" s="640" t="s">
        <v>181</v>
      </c>
      <c r="C55" s="641">
        <v>2018</v>
      </c>
      <c r="D55" s="7">
        <f t="shared" ref="D55:K64" si="4">D89+D122+D153+D186+D217+D250+D281+D314+D345+D378</f>
        <v>9351203.5251600072</v>
      </c>
      <c r="E55" s="7">
        <f t="shared" si="4"/>
        <v>701340.26438700035</v>
      </c>
      <c r="F55" s="7">
        <f t="shared" si="4"/>
        <v>10052543.789547008</v>
      </c>
      <c r="G55" s="7">
        <f t="shared" si="4"/>
        <v>5037315.0016000001</v>
      </c>
      <c r="H55" s="7">
        <f t="shared" si="4"/>
        <v>4098416.9471999994</v>
      </c>
      <c r="I55" s="7">
        <f t="shared" si="4"/>
        <v>70417.354080000048</v>
      </c>
      <c r="J55" s="7">
        <f>J89+J122+J153+J186+J217+J250+J281+J314+J345+J378</f>
        <v>191730246.14386705</v>
      </c>
      <c r="K55" s="7">
        <f t="shared" si="4"/>
        <v>4944811.4338670103</v>
      </c>
      <c r="L55" s="869"/>
      <c r="M55" s="7"/>
    </row>
    <row r="56" spans="1:13">
      <c r="A56" s="111">
        <f t="shared" ref="A56:A79" si="5">A55+1</f>
        <v>31</v>
      </c>
      <c r="B56" s="643" t="s">
        <v>182</v>
      </c>
      <c r="C56" s="641">
        <v>2018</v>
      </c>
      <c r="D56" s="7">
        <f t="shared" si="4"/>
        <v>10204201.744830003</v>
      </c>
      <c r="E56" s="7">
        <f t="shared" si="4"/>
        <v>765315.13086225023</v>
      </c>
      <c r="F56" s="7">
        <f t="shared" si="4"/>
        <v>10969516.875692254</v>
      </c>
      <c r="G56" s="7">
        <f t="shared" si="4"/>
        <v>1615948.3799999997</v>
      </c>
      <c r="H56" s="7">
        <f t="shared" si="4"/>
        <v>0</v>
      </c>
      <c r="I56" s="7">
        <f t="shared" si="4"/>
        <v>121196.12849999998</v>
      </c>
      <c r="J56" s="7">
        <f t="shared" si="4"/>
        <v>200962618.51105928</v>
      </c>
      <c r="K56" s="7">
        <f t="shared" si="4"/>
        <v>14177183.801059254</v>
      </c>
      <c r="L56" s="869"/>
      <c r="M56" s="7"/>
    </row>
    <row r="57" spans="1:13">
      <c r="A57" s="111">
        <f t="shared" si="5"/>
        <v>32</v>
      </c>
      <c r="B57" s="643" t="s">
        <v>195</v>
      </c>
      <c r="C57" s="641">
        <v>2018</v>
      </c>
      <c r="D57" s="7">
        <f t="shared" si="4"/>
        <v>22153491.458437972</v>
      </c>
      <c r="E57" s="7">
        <f t="shared" si="4"/>
        <v>1661511.8593828478</v>
      </c>
      <c r="F57" s="7">
        <f t="shared" si="4"/>
        <v>23815003.317820817</v>
      </c>
      <c r="G57" s="7">
        <f t="shared" si="4"/>
        <v>1024176.6912</v>
      </c>
      <c r="H57" s="7">
        <f t="shared" si="4"/>
        <v>0</v>
      </c>
      <c r="I57" s="7">
        <f t="shared" si="4"/>
        <v>76813.251840000012</v>
      </c>
      <c r="J57" s="7">
        <f t="shared" si="4"/>
        <v>223676631.88584009</v>
      </c>
      <c r="K57" s="7">
        <f t="shared" si="4"/>
        <v>36891197.17584008</v>
      </c>
      <c r="L57" s="869"/>
      <c r="M57" s="7"/>
    </row>
    <row r="58" spans="1:13">
      <c r="A58" s="111">
        <f t="shared" si="5"/>
        <v>33</v>
      </c>
      <c r="B58" s="640" t="s">
        <v>183</v>
      </c>
      <c r="C58" s="641">
        <v>2018</v>
      </c>
      <c r="D58" s="7">
        <f t="shared" si="4"/>
        <v>9357335.1182040256</v>
      </c>
      <c r="E58" s="7">
        <f t="shared" si="4"/>
        <v>701800.13386530185</v>
      </c>
      <c r="F58" s="7">
        <f t="shared" si="4"/>
        <v>10059135.252069328</v>
      </c>
      <c r="G58" s="7">
        <f t="shared" si="4"/>
        <v>116255.00000000001</v>
      </c>
      <c r="H58" s="7">
        <f t="shared" si="4"/>
        <v>0</v>
      </c>
      <c r="I58" s="7">
        <f t="shared" si="4"/>
        <v>8719.125</v>
      </c>
      <c r="J58" s="7">
        <f t="shared" si="4"/>
        <v>233610793.01290941</v>
      </c>
      <c r="K58" s="7">
        <f t="shared" si="4"/>
        <v>46825358.302909419</v>
      </c>
      <c r="L58" s="869"/>
      <c r="M58" s="7"/>
    </row>
    <row r="59" spans="1:13">
      <c r="A59" s="111">
        <f t="shared" si="5"/>
        <v>34</v>
      </c>
      <c r="B59" s="643" t="s">
        <v>184</v>
      </c>
      <c r="C59" s="641">
        <v>2018</v>
      </c>
      <c r="D59" s="7">
        <f t="shared" si="4"/>
        <v>14954818.094085429</v>
      </c>
      <c r="E59" s="7">
        <f t="shared" si="4"/>
        <v>1121611.357056407</v>
      </c>
      <c r="F59" s="7">
        <f t="shared" si="4"/>
        <v>16076429.451141836</v>
      </c>
      <c r="G59" s="7">
        <f t="shared" si="4"/>
        <v>786000</v>
      </c>
      <c r="H59" s="7">
        <f t="shared" si="4"/>
        <v>0</v>
      </c>
      <c r="I59" s="7">
        <f t="shared" si="4"/>
        <v>58950</v>
      </c>
      <c r="J59" s="7">
        <f t="shared" si="4"/>
        <v>248842272.46405125</v>
      </c>
      <c r="K59" s="7">
        <f t="shared" si="4"/>
        <v>62056837.754051253</v>
      </c>
      <c r="L59" s="869"/>
      <c r="M59" s="7"/>
    </row>
    <row r="60" spans="1:13">
      <c r="A60" s="111">
        <f t="shared" si="5"/>
        <v>35</v>
      </c>
      <c r="B60" s="643" t="s">
        <v>1481</v>
      </c>
      <c r="C60" s="641">
        <v>2018</v>
      </c>
      <c r="D60" s="7">
        <f t="shared" si="4"/>
        <v>17718218.694935065</v>
      </c>
      <c r="E60" s="7">
        <f t="shared" si="4"/>
        <v>1328866.4021201301</v>
      </c>
      <c r="F60" s="7">
        <f t="shared" si="4"/>
        <v>19047085.097055193</v>
      </c>
      <c r="G60" s="7">
        <f t="shared" si="4"/>
        <v>3410369.5299999993</v>
      </c>
      <c r="H60" s="7">
        <f t="shared" si="4"/>
        <v>2447557.5500000003</v>
      </c>
      <c r="I60" s="7">
        <f t="shared" si="4"/>
        <v>72210.898499999967</v>
      </c>
      <c r="J60" s="7">
        <f t="shared" si="4"/>
        <v>264406777.13260645</v>
      </c>
      <c r="K60" s="7">
        <f t="shared" si="4"/>
        <v>77621342.422606423</v>
      </c>
      <c r="L60" s="869"/>
      <c r="M60" s="7"/>
    </row>
    <row r="61" spans="1:13">
      <c r="A61" s="111">
        <f t="shared" si="5"/>
        <v>36</v>
      </c>
      <c r="B61" s="640" t="s">
        <v>186</v>
      </c>
      <c r="C61" s="641">
        <v>2018</v>
      </c>
      <c r="D61" s="7">
        <f t="shared" si="4"/>
        <v>12070760.36228192</v>
      </c>
      <c r="E61" s="7">
        <f t="shared" si="4"/>
        <v>905307.02717114403</v>
      </c>
      <c r="F61" s="7">
        <f t="shared" si="4"/>
        <v>12976067.389453067</v>
      </c>
      <c r="G61" s="7">
        <f t="shared" si="4"/>
        <v>548326</v>
      </c>
      <c r="H61" s="7">
        <f t="shared" si="4"/>
        <v>0</v>
      </c>
      <c r="I61" s="7">
        <f t="shared" si="4"/>
        <v>41124.449999999997</v>
      </c>
      <c r="J61" s="7">
        <f t="shared" si="4"/>
        <v>276793394.07205951</v>
      </c>
      <c r="K61" s="7">
        <f t="shared" si="4"/>
        <v>90007959.362059504</v>
      </c>
      <c r="L61" s="869"/>
      <c r="M61" s="7"/>
    </row>
    <row r="62" spans="1:13">
      <c r="A62" s="111">
        <f t="shared" si="5"/>
        <v>37</v>
      </c>
      <c r="B62" s="643" t="s">
        <v>187</v>
      </c>
      <c r="C62" s="641">
        <v>2018</v>
      </c>
      <c r="D62" s="7">
        <f t="shared" si="4"/>
        <v>16798570.912209753</v>
      </c>
      <c r="E62" s="7">
        <f t="shared" si="4"/>
        <v>1259892.8184157314</v>
      </c>
      <c r="F62" s="7">
        <f t="shared" si="4"/>
        <v>18058463.730625484</v>
      </c>
      <c r="G62" s="7">
        <f t="shared" si="4"/>
        <v>297663</v>
      </c>
      <c r="H62" s="7">
        <f t="shared" si="4"/>
        <v>0</v>
      </c>
      <c r="I62" s="7">
        <f t="shared" si="4"/>
        <v>22324.724999999999</v>
      </c>
      <c r="J62" s="7">
        <f t="shared" si="4"/>
        <v>294531870.077685</v>
      </c>
      <c r="K62" s="7">
        <f t="shared" si="4"/>
        <v>107746435.36768499</v>
      </c>
      <c r="L62" s="869"/>
      <c r="M62" s="7"/>
    </row>
    <row r="63" spans="1:13">
      <c r="A63" s="111">
        <f t="shared" si="5"/>
        <v>38</v>
      </c>
      <c r="B63" s="643" t="s">
        <v>188</v>
      </c>
      <c r="C63" s="641">
        <v>2018</v>
      </c>
      <c r="D63" s="7">
        <f t="shared" si="4"/>
        <v>13815046.666871225</v>
      </c>
      <c r="E63" s="7">
        <f t="shared" si="4"/>
        <v>1036128.5000153418</v>
      </c>
      <c r="F63" s="7">
        <f t="shared" si="4"/>
        <v>14851175.166886566</v>
      </c>
      <c r="G63" s="7">
        <f t="shared" si="4"/>
        <v>349971</v>
      </c>
      <c r="H63" s="7">
        <f t="shared" si="4"/>
        <v>0</v>
      </c>
      <c r="I63" s="7">
        <f t="shared" si="4"/>
        <v>26247.825000000001</v>
      </c>
      <c r="J63" s="7">
        <f t="shared" si="4"/>
        <v>309006826.41957158</v>
      </c>
      <c r="K63" s="7">
        <f t="shared" si="4"/>
        <v>122221391.70957154</v>
      </c>
      <c r="L63" s="869"/>
      <c r="M63" s="7"/>
    </row>
    <row r="64" spans="1:13">
      <c r="A64" s="111">
        <f t="shared" si="5"/>
        <v>39</v>
      </c>
      <c r="B64" s="640" t="s">
        <v>191</v>
      </c>
      <c r="C64" s="641">
        <v>2018</v>
      </c>
      <c r="D64" s="7">
        <f t="shared" si="4"/>
        <v>24263779.81418046</v>
      </c>
      <c r="E64" s="7">
        <f t="shared" si="4"/>
        <v>1819783.4860635344</v>
      </c>
      <c r="F64" s="7">
        <f t="shared" si="4"/>
        <v>26083563.300243992</v>
      </c>
      <c r="G64" s="7">
        <f t="shared" si="4"/>
        <v>77673</v>
      </c>
      <c r="H64" s="7">
        <f t="shared" si="4"/>
        <v>0</v>
      </c>
      <c r="I64" s="7">
        <f t="shared" si="4"/>
        <v>5825.4749999999995</v>
      </c>
      <c r="J64" s="7">
        <f t="shared" si="4"/>
        <v>335006891.24481559</v>
      </c>
      <c r="K64" s="7">
        <f t="shared" si="4"/>
        <v>148221456.53481555</v>
      </c>
      <c r="L64" s="869"/>
      <c r="M64" s="7"/>
    </row>
    <row r="65" spans="1:13">
      <c r="A65" s="111">
        <f t="shared" si="5"/>
        <v>40</v>
      </c>
      <c r="B65" s="640" t="s">
        <v>190</v>
      </c>
      <c r="C65" s="641">
        <v>2018</v>
      </c>
      <c r="D65" s="7">
        <f t="shared" ref="D65:K74" si="6">D99+D132+D163+D196+D227+D260+D291+D324+D355+D388</f>
        <v>22781800.740541551</v>
      </c>
      <c r="E65" s="7">
        <f t="shared" si="6"/>
        <v>1708635.0555406166</v>
      </c>
      <c r="F65" s="7">
        <f t="shared" si="6"/>
        <v>24490435.796082173</v>
      </c>
      <c r="G65" s="7">
        <f t="shared" si="6"/>
        <v>47000</v>
      </c>
      <c r="H65" s="7">
        <f t="shared" si="6"/>
        <v>0</v>
      </c>
      <c r="I65" s="7">
        <f t="shared" si="6"/>
        <v>3525</v>
      </c>
      <c r="J65" s="7">
        <f t="shared" si="6"/>
        <v>359446802.04089773</v>
      </c>
      <c r="K65" s="7">
        <f t="shared" si="6"/>
        <v>172661367.33089769</v>
      </c>
      <c r="L65" s="869"/>
      <c r="M65" s="7"/>
    </row>
    <row r="66" spans="1:13">
      <c r="A66" s="111">
        <f t="shared" si="5"/>
        <v>41</v>
      </c>
      <c r="B66" s="640" t="s">
        <v>180</v>
      </c>
      <c r="C66" s="641">
        <v>2018</v>
      </c>
      <c r="D66" s="7">
        <f t="shared" si="6"/>
        <v>27803219.212408446</v>
      </c>
      <c r="E66" s="7">
        <f t="shared" si="6"/>
        <v>2085241.4409306336</v>
      </c>
      <c r="F66" s="7">
        <f t="shared" si="6"/>
        <v>29888460.653339084</v>
      </c>
      <c r="G66" s="7">
        <f t="shared" si="6"/>
        <v>20677884.444288</v>
      </c>
      <c r="H66" s="7">
        <f t="shared" si="6"/>
        <v>8513637.9700000007</v>
      </c>
      <c r="I66" s="7">
        <f t="shared" si="6"/>
        <v>912318.4855715998</v>
      </c>
      <c r="J66" s="7">
        <f t="shared" si="6"/>
        <v>367745059.76437724</v>
      </c>
      <c r="K66" s="7">
        <f t="shared" si="6"/>
        <v>180959625.0543772</v>
      </c>
      <c r="L66" s="869"/>
      <c r="M66" s="7"/>
    </row>
    <row r="67" spans="1:13">
      <c r="A67" s="111">
        <f t="shared" si="5"/>
        <v>42</v>
      </c>
      <c r="B67" s="640" t="s">
        <v>181</v>
      </c>
      <c r="C67" s="641">
        <v>2019</v>
      </c>
      <c r="D67" s="7">
        <f t="shared" si="6"/>
        <v>10509600.680446928</v>
      </c>
      <c r="E67" s="7">
        <f t="shared" si="6"/>
        <v>788220.05103351944</v>
      </c>
      <c r="F67" s="7">
        <f t="shared" si="6"/>
        <v>11297820.731480448</v>
      </c>
      <c r="G67" s="7">
        <f t="shared" si="6"/>
        <v>185930</v>
      </c>
      <c r="H67" s="7">
        <f t="shared" si="6"/>
        <v>0</v>
      </c>
      <c r="I67" s="7">
        <f t="shared" si="6"/>
        <v>13944.75</v>
      </c>
      <c r="J67" s="7">
        <f t="shared" si="6"/>
        <v>378843005.74585766</v>
      </c>
      <c r="K67" s="7">
        <f t="shared" si="6"/>
        <v>192057571.03585768</v>
      </c>
      <c r="L67" s="869"/>
      <c r="M67" s="7"/>
    </row>
    <row r="68" spans="1:13">
      <c r="A68" s="111">
        <f t="shared" si="5"/>
        <v>43</v>
      </c>
      <c r="B68" s="643" t="s">
        <v>182</v>
      </c>
      <c r="C68" s="641">
        <v>2019</v>
      </c>
      <c r="D68" s="7">
        <f t="shared" si="6"/>
        <v>18429547.798468925</v>
      </c>
      <c r="E68" s="7">
        <f t="shared" si="6"/>
        <v>1382216.0848851695</v>
      </c>
      <c r="F68" s="7">
        <f t="shared" si="6"/>
        <v>19811763.883354098</v>
      </c>
      <c r="G68" s="7">
        <f t="shared" si="6"/>
        <v>204642.63</v>
      </c>
      <c r="H68" s="7">
        <f t="shared" si="6"/>
        <v>0</v>
      </c>
      <c r="I68" s="7">
        <f t="shared" si="6"/>
        <v>15348.197249999999</v>
      </c>
      <c r="J68" s="7">
        <f t="shared" si="6"/>
        <v>398434778.80196178</v>
      </c>
      <c r="K68" s="7">
        <f t="shared" si="6"/>
        <v>211649344.09196174</v>
      </c>
      <c r="L68" s="869"/>
      <c r="M68" s="7"/>
    </row>
    <row r="69" spans="1:13">
      <c r="A69" s="111">
        <f t="shared" si="5"/>
        <v>44</v>
      </c>
      <c r="B69" s="643" t="s">
        <v>195</v>
      </c>
      <c r="C69" s="641">
        <v>2019</v>
      </c>
      <c r="D69" s="7">
        <f t="shared" si="6"/>
        <v>20210542.548006929</v>
      </c>
      <c r="E69" s="7">
        <f t="shared" si="6"/>
        <v>1515790.6911005196</v>
      </c>
      <c r="F69" s="7">
        <f t="shared" si="6"/>
        <v>21726333.239107449</v>
      </c>
      <c r="G69" s="7">
        <f t="shared" si="6"/>
        <v>361033.7</v>
      </c>
      <c r="H69" s="7">
        <f t="shared" si="6"/>
        <v>0</v>
      </c>
      <c r="I69" s="7">
        <f t="shared" si="6"/>
        <v>27077.5275</v>
      </c>
      <c r="J69" s="7">
        <f t="shared" si="6"/>
        <v>419773000.81356919</v>
      </c>
      <c r="K69" s="7">
        <f t="shared" si="6"/>
        <v>232987566.10356921</v>
      </c>
      <c r="L69" s="869"/>
      <c r="M69" s="7"/>
    </row>
    <row r="70" spans="1:13">
      <c r="A70" s="111">
        <f t="shared" si="5"/>
        <v>45</v>
      </c>
      <c r="B70" s="640" t="s">
        <v>183</v>
      </c>
      <c r="C70" s="641">
        <v>2019</v>
      </c>
      <c r="D70" s="7">
        <f t="shared" si="6"/>
        <v>18395093.093095724</v>
      </c>
      <c r="E70" s="7">
        <f t="shared" si="6"/>
        <v>1379631.9819821792</v>
      </c>
      <c r="F70" s="7">
        <f t="shared" si="6"/>
        <v>19774725.075077903</v>
      </c>
      <c r="G70" s="7">
        <f t="shared" si="6"/>
        <v>373816.33</v>
      </c>
      <c r="H70" s="7">
        <f t="shared" si="6"/>
        <v>0</v>
      </c>
      <c r="I70" s="7">
        <f t="shared" si="6"/>
        <v>28036.224750000001</v>
      </c>
      <c r="J70" s="7">
        <f t="shared" si="6"/>
        <v>439145873.33389711</v>
      </c>
      <c r="K70" s="7">
        <f t="shared" si="6"/>
        <v>252360438.62389711</v>
      </c>
      <c r="L70" s="869"/>
      <c r="M70" s="7"/>
    </row>
    <row r="71" spans="1:13">
      <c r="A71" s="111">
        <f t="shared" si="5"/>
        <v>46</v>
      </c>
      <c r="B71" s="643" t="s">
        <v>184</v>
      </c>
      <c r="C71" s="641">
        <v>2019</v>
      </c>
      <c r="D71" s="7">
        <f t="shared" si="6"/>
        <v>19070891.887879726</v>
      </c>
      <c r="E71" s="7">
        <f t="shared" si="6"/>
        <v>1430316.8915909794</v>
      </c>
      <c r="F71" s="7">
        <f t="shared" si="6"/>
        <v>20501208.779470704</v>
      </c>
      <c r="G71" s="7">
        <f t="shared" si="6"/>
        <v>400430.52</v>
      </c>
      <c r="H71" s="7">
        <f t="shared" si="6"/>
        <v>0</v>
      </c>
      <c r="I71" s="7">
        <f t="shared" si="6"/>
        <v>30032.289000000001</v>
      </c>
      <c r="J71" s="7">
        <f t="shared" si="6"/>
        <v>459216619.30436778</v>
      </c>
      <c r="K71" s="7">
        <f t="shared" si="6"/>
        <v>272431184.5943678</v>
      </c>
      <c r="L71" s="869"/>
      <c r="M71" s="7"/>
    </row>
    <row r="72" spans="1:13">
      <c r="A72" s="111">
        <f t="shared" si="5"/>
        <v>47</v>
      </c>
      <c r="B72" s="643" t="s">
        <v>1481</v>
      </c>
      <c r="C72" s="641">
        <v>2019</v>
      </c>
      <c r="D72" s="7">
        <f t="shared" si="6"/>
        <v>34328458.891959727</v>
      </c>
      <c r="E72" s="7">
        <f t="shared" si="6"/>
        <v>2574634.4168969793</v>
      </c>
      <c r="F72" s="7">
        <f t="shared" si="6"/>
        <v>36903093.308856703</v>
      </c>
      <c r="G72" s="7">
        <f t="shared" si="6"/>
        <v>413213.15</v>
      </c>
      <c r="H72" s="7">
        <f t="shared" si="6"/>
        <v>0</v>
      </c>
      <c r="I72" s="7">
        <f t="shared" si="6"/>
        <v>30990.986250000002</v>
      </c>
      <c r="J72" s="7">
        <f t="shared" si="6"/>
        <v>495675508.47697449</v>
      </c>
      <c r="K72" s="7">
        <f t="shared" si="6"/>
        <v>308890073.76697451</v>
      </c>
      <c r="L72" s="869"/>
      <c r="M72" s="7"/>
    </row>
    <row r="73" spans="1:13">
      <c r="A73" s="111">
        <f t="shared" si="5"/>
        <v>48</v>
      </c>
      <c r="B73" s="640" t="s">
        <v>186</v>
      </c>
      <c r="C73" s="641">
        <v>2019</v>
      </c>
      <c r="D73" s="7">
        <f t="shared" si="6"/>
        <v>21416332.885885727</v>
      </c>
      <c r="E73" s="7">
        <f t="shared" si="6"/>
        <v>1606224.9664414295</v>
      </c>
      <c r="F73" s="7">
        <f t="shared" si="6"/>
        <v>23022557.852327153</v>
      </c>
      <c r="G73" s="7">
        <f t="shared" si="6"/>
        <v>432386.85</v>
      </c>
      <c r="H73" s="7">
        <f t="shared" si="6"/>
        <v>0</v>
      </c>
      <c r="I73" s="7">
        <f t="shared" si="6"/>
        <v>32429.013749999998</v>
      </c>
      <c r="J73" s="7">
        <f t="shared" si="6"/>
        <v>518233250.46555167</v>
      </c>
      <c r="K73" s="7">
        <f t="shared" si="6"/>
        <v>331447815.7555517</v>
      </c>
      <c r="L73" s="869"/>
      <c r="M73" s="7"/>
    </row>
    <row r="74" spans="1:13">
      <c r="A74" s="111">
        <f t="shared" si="5"/>
        <v>49</v>
      </c>
      <c r="B74" s="643" t="s">
        <v>187</v>
      </c>
      <c r="C74" s="641">
        <v>2019</v>
      </c>
      <c r="D74" s="7">
        <f t="shared" si="6"/>
        <v>22238369.516114414</v>
      </c>
      <c r="E74" s="7">
        <f t="shared" si="6"/>
        <v>1667877.7137085809</v>
      </c>
      <c r="F74" s="7">
        <f t="shared" si="6"/>
        <v>23906247.229822993</v>
      </c>
      <c r="G74" s="7">
        <f t="shared" si="6"/>
        <v>14427934.35</v>
      </c>
      <c r="H74" s="7">
        <f t="shared" si="6"/>
        <v>8470082.9399999995</v>
      </c>
      <c r="I74" s="7">
        <f t="shared" si="6"/>
        <v>446838.85574999999</v>
      </c>
      <c r="J74" s="7">
        <f t="shared" si="6"/>
        <v>527264724.48962468</v>
      </c>
      <c r="K74" s="7">
        <f t="shared" si="6"/>
        <v>340479289.77962464</v>
      </c>
      <c r="L74" s="869"/>
      <c r="M74" s="7"/>
    </row>
    <row r="75" spans="1:13">
      <c r="A75" s="111">
        <f t="shared" si="5"/>
        <v>50</v>
      </c>
      <c r="B75" s="643" t="s">
        <v>188</v>
      </c>
      <c r="C75" s="641">
        <v>2019</v>
      </c>
      <c r="D75" s="7">
        <f t="shared" ref="D75:K75" si="7">D109+D142+D173+D206+D237+D270+D301+D334+D365+D398</f>
        <v>24775208.928607386</v>
      </c>
      <c r="E75" s="7">
        <f t="shared" si="7"/>
        <v>1858140.6696455539</v>
      </c>
      <c r="F75" s="7">
        <f t="shared" si="7"/>
        <v>26633349.598252941</v>
      </c>
      <c r="G75" s="7">
        <f t="shared" si="7"/>
        <v>453078.41000000003</v>
      </c>
      <c r="H75" s="7">
        <f t="shared" si="7"/>
        <v>0</v>
      </c>
      <c r="I75" s="7">
        <f t="shared" si="7"/>
        <v>33980.880749999997</v>
      </c>
      <c r="J75" s="7">
        <f t="shared" si="7"/>
        <v>553411014.7971276</v>
      </c>
      <c r="K75" s="490">
        <f t="shared" si="7"/>
        <v>366625580.08712757</v>
      </c>
      <c r="L75" s="869"/>
      <c r="M75" s="7"/>
    </row>
    <row r="76" spans="1:13">
      <c r="A76" s="111">
        <f t="shared" si="5"/>
        <v>51</v>
      </c>
      <c r="B76" s="643" t="s">
        <v>191</v>
      </c>
      <c r="C76" s="641">
        <v>2019</v>
      </c>
      <c r="D76" s="7">
        <f>D110+D143+D174+D207+D238+D271+D302+D335+D366</f>
        <v>23310192.734987721</v>
      </c>
      <c r="E76" s="7">
        <f>E110+E143+E174+E207+E238+E271+E302+E335+E366+E399</f>
        <v>2891631.9551240792</v>
      </c>
      <c r="F76" s="7">
        <f t="shared" ref="F76:K78" si="8">F110+F143+F174+F207+F238+F271+F302+F335+F366+F399</f>
        <v>41446724.690111801</v>
      </c>
      <c r="G76" s="7">
        <f t="shared" si="8"/>
        <v>19987218.269999996</v>
      </c>
      <c r="H76" s="7">
        <f t="shared" si="8"/>
        <v>9341863.8599999994</v>
      </c>
      <c r="I76" s="7">
        <f t="shared" si="8"/>
        <v>798401.58074999985</v>
      </c>
      <c r="J76" s="7">
        <f t="shared" si="8"/>
        <v>574072119.63648939</v>
      </c>
      <c r="K76" s="490">
        <f t="shared" si="8"/>
        <v>387286684.92648947</v>
      </c>
      <c r="L76" s="869"/>
      <c r="M76" s="7"/>
    </row>
    <row r="77" spans="1:13">
      <c r="A77" s="111">
        <f t="shared" si="5"/>
        <v>52</v>
      </c>
      <c r="B77" s="643" t="s">
        <v>190</v>
      </c>
      <c r="C77" s="641">
        <v>2019</v>
      </c>
      <c r="D77" s="7">
        <f>D111+D144+D175+D208+D239+D272+D303+D336+D367</f>
        <v>28594395.182708353</v>
      </c>
      <c r="E77" s="7">
        <f>E111+E144+E175+E208+E239+E272+E303+E336+E367+E400</f>
        <v>2488228.9637031266</v>
      </c>
      <c r="F77" s="7">
        <f t="shared" si="8"/>
        <v>35664615.146411479</v>
      </c>
      <c r="G77" s="7">
        <f t="shared" si="8"/>
        <v>16531554.139999997</v>
      </c>
      <c r="H77" s="7">
        <f t="shared" si="8"/>
        <v>6140181.3599999994</v>
      </c>
      <c r="I77" s="7">
        <f t="shared" si="8"/>
        <v>779352.95849999983</v>
      </c>
      <c r="J77" s="7">
        <f t="shared" si="8"/>
        <v>592425827.68440092</v>
      </c>
      <c r="K77" s="490">
        <f t="shared" si="8"/>
        <v>405640392.97440094</v>
      </c>
      <c r="L77" s="869"/>
      <c r="M77" s="7"/>
    </row>
    <row r="78" spans="1:13">
      <c r="A78" s="111">
        <f t="shared" si="5"/>
        <v>53</v>
      </c>
      <c r="B78" s="643" t="s">
        <v>180</v>
      </c>
      <c r="C78" s="641">
        <v>2019</v>
      </c>
      <c r="D78" s="7">
        <f>D112+D145+D176+D209+D240+D273+D304+D337+D368+D401</f>
        <v>33982790.172716424</v>
      </c>
      <c r="E78" s="7">
        <f>E112+E145+E176+E209+E240+E273+E304+E337+E368+E401</f>
        <v>2548709.2629537322</v>
      </c>
      <c r="F78" s="7">
        <f t="shared" si="8"/>
        <v>36531499.43567016</v>
      </c>
      <c r="G78" s="7">
        <f t="shared" si="8"/>
        <v>5786284.5911999997</v>
      </c>
      <c r="H78" s="7">
        <f t="shared" si="8"/>
        <v>2531642.4799999995</v>
      </c>
      <c r="I78" s="7">
        <f t="shared" si="8"/>
        <v>244098.15833999997</v>
      </c>
      <c r="J78" s="7">
        <f t="shared" si="8"/>
        <v>622926944.37053108</v>
      </c>
      <c r="K78" s="91">
        <f>K112+K145+K176+K209+K240+K273+K304+K337+K368+K401</f>
        <v>436141509.6605311</v>
      </c>
      <c r="L78" s="870"/>
      <c r="M78" s="7"/>
    </row>
    <row r="79" spans="1:13">
      <c r="A79" s="111">
        <f t="shared" si="5"/>
        <v>54</v>
      </c>
      <c r="C79" s="679" t="s">
        <v>1633</v>
      </c>
      <c r="K79" s="73">
        <f>AVERAGE(K66:K78)</f>
        <v>301458236.65036386</v>
      </c>
      <c r="L79" s="873"/>
    </row>
    <row r="81" spans="1:11">
      <c r="B81" s="647" t="s">
        <v>1959</v>
      </c>
    </row>
    <row r="82" spans="1:11" s="680" customFormat="1">
      <c r="B82" s="681" t="s">
        <v>1960</v>
      </c>
      <c r="D82" s="1385" t="s">
        <v>225</v>
      </c>
      <c r="E82" s="1385"/>
    </row>
    <row r="83" spans="1:11" s="675" customFormat="1">
      <c r="D83" s="675" t="s">
        <v>363</v>
      </c>
      <c r="E83" s="675" t="s">
        <v>347</v>
      </c>
      <c r="F83" s="675" t="s">
        <v>348</v>
      </c>
      <c r="G83" s="675" t="s">
        <v>349</v>
      </c>
      <c r="H83" s="675" t="s">
        <v>350</v>
      </c>
      <c r="I83" s="675" t="s">
        <v>351</v>
      </c>
      <c r="J83" s="675" t="s">
        <v>352</v>
      </c>
      <c r="K83" s="675" t="s">
        <v>544</v>
      </c>
    </row>
    <row r="84" spans="1:11" s="680" customFormat="1" ht="25.9" customHeight="1">
      <c r="D84" s="682"/>
      <c r="E84" s="683" t="s">
        <v>2104</v>
      </c>
      <c r="F84" s="684" t="s">
        <v>1961</v>
      </c>
      <c r="G84" s="492"/>
      <c r="H84" s="682"/>
      <c r="I84" s="683" t="s">
        <v>2105</v>
      </c>
      <c r="J84" s="683" t="s">
        <v>1962</v>
      </c>
      <c r="K84" s="683" t="s">
        <v>1963</v>
      </c>
    </row>
    <row r="85" spans="1:11" s="680" customFormat="1">
      <c r="D85" s="682"/>
      <c r="E85" s="685"/>
      <c r="F85" s="685"/>
      <c r="G85" s="580" t="str">
        <f>G51</f>
        <v>Unloaded</v>
      </c>
      <c r="H85" s="682"/>
      <c r="I85" s="685"/>
      <c r="J85" s="685"/>
      <c r="K85" s="580"/>
    </row>
    <row r="86" spans="1:11" s="677" customFormat="1">
      <c r="D86" s="677" t="str">
        <f>D$52</f>
        <v>Forecast</v>
      </c>
      <c r="E86" s="677" t="str">
        <f t="shared" ref="E86:J86" si="9">E$52</f>
        <v>Corporate</v>
      </c>
      <c r="F86" s="677" t="str">
        <f t="shared" si="9"/>
        <v xml:space="preserve">Total </v>
      </c>
      <c r="G86" s="580" t="str">
        <f>G52</f>
        <v>Total</v>
      </c>
      <c r="H86" s="677" t="str">
        <f t="shared" si="9"/>
        <v>Prior Period</v>
      </c>
      <c r="I86" s="677" t="str">
        <f t="shared" si="9"/>
        <v>Over Heads</v>
      </c>
      <c r="J86" s="677" t="str">
        <f t="shared" si="9"/>
        <v>Forecast</v>
      </c>
      <c r="K86" s="580" t="str">
        <f>K$52</f>
        <v>Forecast Period</v>
      </c>
    </row>
    <row r="87" spans="1:11" s="680" customFormat="1">
      <c r="A87" s="932" t="s">
        <v>332</v>
      </c>
      <c r="B87" s="639" t="s">
        <v>192</v>
      </c>
      <c r="C87" s="639" t="s">
        <v>193</v>
      </c>
      <c r="D87" s="675" t="str">
        <f>D$53</f>
        <v>Expenditures</v>
      </c>
      <c r="E87" s="675" t="str">
        <f t="shared" ref="E87:J87" si="10">E$53</f>
        <v>Overheads</v>
      </c>
      <c r="F87" s="675" t="str">
        <f t="shared" si="10"/>
        <v>CWIP Exp</v>
      </c>
      <c r="G87" s="3" t="str">
        <f>G53</f>
        <v>Plant Adds</v>
      </c>
      <c r="H87" s="675" t="str">
        <f t="shared" si="10"/>
        <v>CWIP Closed</v>
      </c>
      <c r="I87" s="675" t="str">
        <f t="shared" si="10"/>
        <v>Closed to PIS</v>
      </c>
      <c r="J87" s="675" t="str">
        <f t="shared" si="10"/>
        <v>Period CWIP</v>
      </c>
      <c r="K87" s="675" t="str">
        <f>K$53</f>
        <v>Incremental CWIP</v>
      </c>
    </row>
    <row r="88" spans="1:11" s="680" customFormat="1">
      <c r="A88" s="111">
        <f>A79+1</f>
        <v>55</v>
      </c>
      <c r="B88" s="640" t="s">
        <v>180</v>
      </c>
      <c r="C88" s="641">
        <v>2017</v>
      </c>
      <c r="D88" s="684" t="s">
        <v>76</v>
      </c>
      <c r="E88" s="684" t="s">
        <v>76</v>
      </c>
      <c r="F88" s="684" t="s">
        <v>76</v>
      </c>
      <c r="G88" s="684" t="s">
        <v>76</v>
      </c>
      <c r="H88" s="684" t="s">
        <v>76</v>
      </c>
      <c r="I88" s="684" t="s">
        <v>76</v>
      </c>
      <c r="J88" s="63">
        <f>E25</f>
        <v>150976.49</v>
      </c>
      <c r="K88" s="684" t="s">
        <v>76</v>
      </c>
    </row>
    <row r="89" spans="1:11" s="680" customFormat="1">
      <c r="A89" s="111">
        <f>A88+1</f>
        <v>56</v>
      </c>
      <c r="B89" s="640" t="s">
        <v>181</v>
      </c>
      <c r="C89" s="641">
        <v>2018</v>
      </c>
      <c r="D89" s="1099">
        <v>426481</v>
      </c>
      <c r="E89" s="63">
        <f>D89*'16-PlantAdditions'!$E$103</f>
        <v>31986.074999999997</v>
      </c>
      <c r="F89" s="63">
        <f>E89+D89</f>
        <v>458467.07500000001</v>
      </c>
      <c r="G89" s="1099">
        <v>191116.00000000003</v>
      </c>
      <c r="H89" s="1099">
        <v>0</v>
      </c>
      <c r="I89" s="63">
        <f>(G89-H89)*'16-PlantAdditions'!$E$103</f>
        <v>14333.700000000003</v>
      </c>
      <c r="J89" s="63">
        <f>J88+F89-G89-I89</f>
        <v>403993.86499999993</v>
      </c>
      <c r="K89" s="63">
        <f>J89-$J$88</f>
        <v>253017.37499999994</v>
      </c>
    </row>
    <row r="90" spans="1:11" s="680" customFormat="1">
      <c r="A90" s="111">
        <f t="shared" ref="A90:A108" si="11">A89+1</f>
        <v>57</v>
      </c>
      <c r="B90" s="643" t="s">
        <v>182</v>
      </c>
      <c r="C90" s="641">
        <v>2018</v>
      </c>
      <c r="D90" s="1099">
        <v>659259</v>
      </c>
      <c r="E90" s="63">
        <f>D90*'16-PlantAdditions'!$E$103</f>
        <v>49444.424999999996</v>
      </c>
      <c r="F90" s="63">
        <f t="shared" ref="F90:F112" si="12">E90+D90</f>
        <v>708703.42500000005</v>
      </c>
      <c r="G90" s="1099">
        <v>891972</v>
      </c>
      <c r="H90" s="1099">
        <v>0</v>
      </c>
      <c r="I90" s="63">
        <f>(G90-H90)*'16-PlantAdditions'!$E$103</f>
        <v>66897.899999999994</v>
      </c>
      <c r="J90" s="63">
        <f t="shared" ref="J90:J108" si="13">J89+F90-G90-I90</f>
        <v>153827.39000000004</v>
      </c>
      <c r="K90" s="63">
        <f t="shared" ref="K90:K112" si="14">J90-$J$88</f>
        <v>2850.9000000000524</v>
      </c>
    </row>
    <row r="91" spans="1:11" s="680" customFormat="1">
      <c r="A91" s="111">
        <f t="shared" si="11"/>
        <v>58</v>
      </c>
      <c r="B91" s="643" t="s">
        <v>195</v>
      </c>
      <c r="C91" s="641">
        <v>2018</v>
      </c>
      <c r="D91" s="1099">
        <v>589704.00000000012</v>
      </c>
      <c r="E91" s="63">
        <f>D91*'16-PlantAdditions'!$E$103</f>
        <v>44227.80000000001</v>
      </c>
      <c r="F91" s="63">
        <f t="shared" si="12"/>
        <v>633931.80000000016</v>
      </c>
      <c r="G91" s="1099">
        <v>588345.00000000012</v>
      </c>
      <c r="H91" s="1099">
        <v>0</v>
      </c>
      <c r="I91" s="63">
        <f>(G91-H91)*'16-PlantAdditions'!$E$103</f>
        <v>44125.875000000007</v>
      </c>
      <c r="J91" s="63">
        <f t="shared" si="13"/>
        <v>155288.31500000006</v>
      </c>
      <c r="K91" s="63">
        <f t="shared" si="14"/>
        <v>4311.8250000000698</v>
      </c>
    </row>
    <row r="92" spans="1:11" s="680" customFormat="1">
      <c r="A92" s="111">
        <f t="shared" si="11"/>
        <v>59</v>
      </c>
      <c r="B92" s="640" t="s">
        <v>183</v>
      </c>
      <c r="C92" s="641">
        <v>2018</v>
      </c>
      <c r="D92" s="1099">
        <v>82255.000000000015</v>
      </c>
      <c r="E92" s="63">
        <f>D92*'16-PlantAdditions'!$E$103</f>
        <v>6169.1250000000009</v>
      </c>
      <c r="F92" s="63">
        <f t="shared" si="12"/>
        <v>88424.125000000015</v>
      </c>
      <c r="G92" s="1099">
        <v>80255.000000000015</v>
      </c>
      <c r="H92" s="1099">
        <v>0</v>
      </c>
      <c r="I92" s="63">
        <f>(G92-H92)*'16-PlantAdditions'!$E$103</f>
        <v>6019.1250000000009</v>
      </c>
      <c r="J92" s="63">
        <f t="shared" si="13"/>
        <v>157438.31500000006</v>
      </c>
      <c r="K92" s="63">
        <f t="shared" si="14"/>
        <v>6461.8250000000698</v>
      </c>
    </row>
    <row r="93" spans="1:11" s="680" customFormat="1">
      <c r="A93" s="111">
        <f t="shared" si="11"/>
        <v>60</v>
      </c>
      <c r="B93" s="643" t="s">
        <v>184</v>
      </c>
      <c r="C93" s="641">
        <v>2018</v>
      </c>
      <c r="D93" s="1099">
        <v>788000</v>
      </c>
      <c r="E93" s="63">
        <f>D93*'16-PlantAdditions'!$E$103</f>
        <v>59100</v>
      </c>
      <c r="F93" s="63">
        <f t="shared" si="12"/>
        <v>847100</v>
      </c>
      <c r="G93" s="1099">
        <v>786000</v>
      </c>
      <c r="H93" s="1099">
        <v>0</v>
      </c>
      <c r="I93" s="63">
        <f>(G93-H93)*'16-PlantAdditions'!$E$103</f>
        <v>58950</v>
      </c>
      <c r="J93" s="63">
        <f t="shared" si="13"/>
        <v>159588.31500000006</v>
      </c>
      <c r="K93" s="63">
        <f t="shared" si="14"/>
        <v>8611.8250000000698</v>
      </c>
    </row>
    <row r="94" spans="1:11" s="680" customFormat="1">
      <c r="A94" s="111">
        <f t="shared" si="11"/>
        <v>61</v>
      </c>
      <c r="B94" s="643" t="s">
        <v>1481</v>
      </c>
      <c r="C94" s="641">
        <v>2018</v>
      </c>
      <c r="D94" s="1099">
        <v>703326</v>
      </c>
      <c r="E94" s="63">
        <f>D94*'16-PlantAdditions'!$E$103</f>
        <v>52749.45</v>
      </c>
      <c r="F94" s="63">
        <f t="shared" si="12"/>
        <v>756075.45</v>
      </c>
      <c r="G94" s="1099">
        <v>862313.49</v>
      </c>
      <c r="H94" s="1099">
        <v>150976.49</v>
      </c>
      <c r="I94" s="63">
        <f>(G94-H94)*'16-PlantAdditions'!$E$103</f>
        <v>53350.275000000001</v>
      </c>
      <c r="J94" s="63">
        <f t="shared" si="13"/>
        <v>0</v>
      </c>
      <c r="K94" s="63">
        <f t="shared" si="14"/>
        <v>-150976.49</v>
      </c>
    </row>
    <row r="95" spans="1:11" s="680" customFormat="1">
      <c r="A95" s="111">
        <f t="shared" si="11"/>
        <v>62</v>
      </c>
      <c r="B95" s="640" t="s">
        <v>186</v>
      </c>
      <c r="C95" s="641">
        <v>2018</v>
      </c>
      <c r="D95" s="1099">
        <v>503326</v>
      </c>
      <c r="E95" s="63">
        <f>D95*'16-PlantAdditions'!$E$103</f>
        <v>37749.449999999997</v>
      </c>
      <c r="F95" s="63">
        <f t="shared" si="12"/>
        <v>541075.44999999995</v>
      </c>
      <c r="G95" s="1099">
        <v>503326</v>
      </c>
      <c r="H95" s="1099">
        <v>0</v>
      </c>
      <c r="I95" s="63">
        <f>(G95-H95)*'16-PlantAdditions'!$E$103</f>
        <v>37749.449999999997</v>
      </c>
      <c r="J95" s="63">
        <f t="shared" si="13"/>
        <v>0</v>
      </c>
      <c r="K95" s="63">
        <f t="shared" si="14"/>
        <v>-150976.49</v>
      </c>
    </row>
    <row r="96" spans="1:11" s="680" customFormat="1">
      <c r="A96" s="111">
        <f t="shared" si="11"/>
        <v>63</v>
      </c>
      <c r="B96" s="643" t="s">
        <v>187</v>
      </c>
      <c r="C96" s="641">
        <v>2018</v>
      </c>
      <c r="D96" s="1099">
        <v>252663</v>
      </c>
      <c r="E96" s="63">
        <f>D96*'16-PlantAdditions'!$E$103</f>
        <v>18949.724999999999</v>
      </c>
      <c r="F96" s="63">
        <f t="shared" si="12"/>
        <v>271612.72499999998</v>
      </c>
      <c r="G96" s="1099">
        <v>252663</v>
      </c>
      <c r="H96" s="1099">
        <v>0</v>
      </c>
      <c r="I96" s="63">
        <f>(G96-H96)*'16-PlantAdditions'!$E$103</f>
        <v>18949.724999999999</v>
      </c>
      <c r="J96" s="63">
        <f t="shared" si="13"/>
        <v>0</v>
      </c>
      <c r="K96" s="63">
        <f t="shared" si="14"/>
        <v>-150976.49</v>
      </c>
    </row>
    <row r="97" spans="1:11" s="680" customFormat="1">
      <c r="A97" s="111">
        <f t="shared" si="11"/>
        <v>64</v>
      </c>
      <c r="B97" s="643" t="s">
        <v>188</v>
      </c>
      <c r="C97" s="641">
        <v>2018</v>
      </c>
      <c r="D97" s="1099">
        <v>304971</v>
      </c>
      <c r="E97" s="63">
        <f>D97*'16-PlantAdditions'!$E$103</f>
        <v>22872.825000000001</v>
      </c>
      <c r="F97" s="63">
        <f t="shared" si="12"/>
        <v>327843.82500000001</v>
      </c>
      <c r="G97" s="1099">
        <v>304971</v>
      </c>
      <c r="H97" s="1099">
        <v>0</v>
      </c>
      <c r="I97" s="63">
        <f>(G97-H97)*'16-PlantAdditions'!$E$103</f>
        <v>22872.825000000001</v>
      </c>
      <c r="J97" s="63">
        <f t="shared" si="13"/>
        <v>0</v>
      </c>
      <c r="K97" s="63">
        <f t="shared" si="14"/>
        <v>-150976.49</v>
      </c>
    </row>
    <row r="98" spans="1:11" s="680" customFormat="1">
      <c r="A98" s="111">
        <f t="shared" si="11"/>
        <v>65</v>
      </c>
      <c r="B98" s="640" t="s">
        <v>191</v>
      </c>
      <c r="C98" s="641">
        <v>2018</v>
      </c>
      <c r="D98" s="1099">
        <v>2000</v>
      </c>
      <c r="E98" s="63">
        <f>D98*'16-PlantAdditions'!$E$103</f>
        <v>150</v>
      </c>
      <c r="F98" s="63">
        <f t="shared" si="12"/>
        <v>2150</v>
      </c>
      <c r="G98" s="1099">
        <v>2000</v>
      </c>
      <c r="H98" s="1099">
        <v>0</v>
      </c>
      <c r="I98" s="63">
        <f>(G98-H98)*'16-PlantAdditions'!$E$103</f>
        <v>150</v>
      </c>
      <c r="J98" s="63">
        <f t="shared" si="13"/>
        <v>0</v>
      </c>
      <c r="K98" s="63">
        <f t="shared" si="14"/>
        <v>-150976.49</v>
      </c>
    </row>
    <row r="99" spans="1:11" s="680" customFormat="1">
      <c r="A99" s="111">
        <f t="shared" si="11"/>
        <v>66</v>
      </c>
      <c r="B99" s="640" t="s">
        <v>190</v>
      </c>
      <c r="C99" s="641">
        <v>2018</v>
      </c>
      <c r="D99" s="1099">
        <v>2000</v>
      </c>
      <c r="E99" s="63">
        <f>D99*'16-PlantAdditions'!$E$103</f>
        <v>150</v>
      </c>
      <c r="F99" s="63">
        <f t="shared" si="12"/>
        <v>2150</v>
      </c>
      <c r="G99" s="1099">
        <v>2000</v>
      </c>
      <c r="H99" s="1099">
        <v>0</v>
      </c>
      <c r="I99" s="63">
        <f>(G99-H99)*'16-PlantAdditions'!$E$103</f>
        <v>150</v>
      </c>
      <c r="J99" s="63">
        <f t="shared" si="13"/>
        <v>0</v>
      </c>
      <c r="K99" s="63">
        <f t="shared" si="14"/>
        <v>-150976.49</v>
      </c>
    </row>
    <row r="100" spans="1:11" s="680" customFormat="1">
      <c r="A100" s="111">
        <f t="shared" si="11"/>
        <v>67</v>
      </c>
      <c r="B100" s="640" t="s">
        <v>180</v>
      </c>
      <c r="C100" s="641">
        <v>2018</v>
      </c>
      <c r="D100" s="1099">
        <v>2161291</v>
      </c>
      <c r="E100" s="63">
        <f>D100*'16-PlantAdditions'!$E$103</f>
        <v>162096.82499999998</v>
      </c>
      <c r="F100" s="63">
        <f t="shared" si="12"/>
        <v>2323387.8250000002</v>
      </c>
      <c r="G100" s="1099">
        <v>2161291</v>
      </c>
      <c r="H100" s="1099">
        <v>0</v>
      </c>
      <c r="I100" s="63">
        <f>(G100-H100)*'16-PlantAdditions'!$E$103</f>
        <v>162096.82499999998</v>
      </c>
      <c r="J100" s="63">
        <f t="shared" si="13"/>
        <v>0</v>
      </c>
      <c r="K100" s="63">
        <f t="shared" si="14"/>
        <v>-150976.49</v>
      </c>
    </row>
    <row r="101" spans="1:11" s="680" customFormat="1">
      <c r="A101" s="111">
        <f t="shared" si="11"/>
        <v>68</v>
      </c>
      <c r="B101" s="640" t="s">
        <v>181</v>
      </c>
      <c r="C101" s="641">
        <v>2019</v>
      </c>
      <c r="D101" s="1099">
        <v>0</v>
      </c>
      <c r="E101" s="63">
        <f>D101*'16-PlantAdditions'!$E$103</f>
        <v>0</v>
      </c>
      <c r="F101" s="63">
        <f t="shared" si="12"/>
        <v>0</v>
      </c>
      <c r="G101" s="1099">
        <v>0</v>
      </c>
      <c r="H101" s="1099">
        <v>0</v>
      </c>
      <c r="I101" s="63">
        <f>(G101-H101)*'16-PlantAdditions'!$E$103</f>
        <v>0</v>
      </c>
      <c r="J101" s="63">
        <f t="shared" si="13"/>
        <v>0</v>
      </c>
      <c r="K101" s="63">
        <f t="shared" si="14"/>
        <v>-150976.49</v>
      </c>
    </row>
    <row r="102" spans="1:11" s="680" customFormat="1">
      <c r="A102" s="111">
        <f t="shared" si="11"/>
        <v>69</v>
      </c>
      <c r="B102" s="643" t="s">
        <v>182</v>
      </c>
      <c r="C102" s="641">
        <v>2019</v>
      </c>
      <c r="D102" s="1099">
        <v>0</v>
      </c>
      <c r="E102" s="63">
        <f>D102*'16-PlantAdditions'!$E$103</f>
        <v>0</v>
      </c>
      <c r="F102" s="63">
        <f t="shared" si="12"/>
        <v>0</v>
      </c>
      <c r="G102" s="1099">
        <v>0</v>
      </c>
      <c r="H102" s="1099">
        <v>0</v>
      </c>
      <c r="I102" s="63">
        <f>(G102-H102)*'16-PlantAdditions'!$E$103</f>
        <v>0</v>
      </c>
      <c r="J102" s="63">
        <f t="shared" si="13"/>
        <v>0</v>
      </c>
      <c r="K102" s="63">
        <f t="shared" si="14"/>
        <v>-150976.49</v>
      </c>
    </row>
    <row r="103" spans="1:11" s="680" customFormat="1">
      <c r="A103" s="111">
        <f t="shared" si="11"/>
        <v>70</v>
      </c>
      <c r="B103" s="643" t="s">
        <v>195</v>
      </c>
      <c r="C103" s="641">
        <v>2019</v>
      </c>
      <c r="D103" s="1099">
        <v>0</v>
      </c>
      <c r="E103" s="63">
        <f>D103*'16-PlantAdditions'!$E$103</f>
        <v>0</v>
      </c>
      <c r="F103" s="63">
        <f t="shared" si="12"/>
        <v>0</v>
      </c>
      <c r="G103" s="1099">
        <v>0</v>
      </c>
      <c r="H103" s="1099">
        <v>0</v>
      </c>
      <c r="I103" s="63">
        <f>(G103-H103)*'16-PlantAdditions'!$E$103</f>
        <v>0</v>
      </c>
      <c r="J103" s="63">
        <f t="shared" si="13"/>
        <v>0</v>
      </c>
      <c r="K103" s="63">
        <f t="shared" si="14"/>
        <v>-150976.49</v>
      </c>
    </row>
    <row r="104" spans="1:11" s="680" customFormat="1">
      <c r="A104" s="111">
        <f t="shared" si="11"/>
        <v>71</v>
      </c>
      <c r="B104" s="640" t="s">
        <v>183</v>
      </c>
      <c r="C104" s="641">
        <v>2019</v>
      </c>
      <c r="D104" s="1099">
        <v>0</v>
      </c>
      <c r="E104" s="63">
        <f>D104*'16-PlantAdditions'!$E$103</f>
        <v>0</v>
      </c>
      <c r="F104" s="63">
        <f t="shared" si="12"/>
        <v>0</v>
      </c>
      <c r="G104" s="1099">
        <v>0</v>
      </c>
      <c r="H104" s="1099">
        <v>0</v>
      </c>
      <c r="I104" s="63">
        <f>(G104-H104)*'16-PlantAdditions'!$E$103</f>
        <v>0</v>
      </c>
      <c r="J104" s="63">
        <f t="shared" si="13"/>
        <v>0</v>
      </c>
      <c r="K104" s="63">
        <f t="shared" si="14"/>
        <v>-150976.49</v>
      </c>
    </row>
    <row r="105" spans="1:11" s="680" customFormat="1">
      <c r="A105" s="111">
        <f t="shared" si="11"/>
        <v>72</v>
      </c>
      <c r="B105" s="643" t="s">
        <v>184</v>
      </c>
      <c r="C105" s="641">
        <v>2019</v>
      </c>
      <c r="D105" s="1099">
        <v>0</v>
      </c>
      <c r="E105" s="63">
        <f>D105*'16-PlantAdditions'!$E$103</f>
        <v>0</v>
      </c>
      <c r="F105" s="63">
        <f t="shared" si="12"/>
        <v>0</v>
      </c>
      <c r="G105" s="1099">
        <v>0</v>
      </c>
      <c r="H105" s="1099">
        <v>0</v>
      </c>
      <c r="I105" s="63">
        <f>(G105-H105)*'16-PlantAdditions'!$E$103</f>
        <v>0</v>
      </c>
      <c r="J105" s="63">
        <f t="shared" si="13"/>
        <v>0</v>
      </c>
      <c r="K105" s="63">
        <f t="shared" si="14"/>
        <v>-150976.49</v>
      </c>
    </row>
    <row r="106" spans="1:11" s="680" customFormat="1">
      <c r="A106" s="111">
        <f t="shared" si="11"/>
        <v>73</v>
      </c>
      <c r="B106" s="643" t="s">
        <v>1481</v>
      </c>
      <c r="C106" s="641">
        <v>2019</v>
      </c>
      <c r="D106" s="1099">
        <v>0</v>
      </c>
      <c r="E106" s="63">
        <f>D106*'16-PlantAdditions'!$E$103</f>
        <v>0</v>
      </c>
      <c r="F106" s="63">
        <f t="shared" si="12"/>
        <v>0</v>
      </c>
      <c r="G106" s="1099">
        <v>0</v>
      </c>
      <c r="H106" s="1099">
        <v>0</v>
      </c>
      <c r="I106" s="63">
        <f>(G106-H106)*'16-PlantAdditions'!$E$103</f>
        <v>0</v>
      </c>
      <c r="J106" s="63">
        <f t="shared" si="13"/>
        <v>0</v>
      </c>
      <c r="K106" s="63">
        <f t="shared" si="14"/>
        <v>-150976.49</v>
      </c>
    </row>
    <row r="107" spans="1:11" s="680" customFormat="1">
      <c r="A107" s="111">
        <f t="shared" si="11"/>
        <v>74</v>
      </c>
      <c r="B107" s="640" t="s">
        <v>186</v>
      </c>
      <c r="C107" s="641">
        <v>2019</v>
      </c>
      <c r="D107" s="1099">
        <v>0</v>
      </c>
      <c r="E107" s="63">
        <f>D107*'16-PlantAdditions'!$E$103</f>
        <v>0</v>
      </c>
      <c r="F107" s="63">
        <f t="shared" si="12"/>
        <v>0</v>
      </c>
      <c r="G107" s="1099">
        <v>0</v>
      </c>
      <c r="H107" s="1099">
        <v>0</v>
      </c>
      <c r="I107" s="63">
        <f>(G107-H107)*'16-PlantAdditions'!$E$103</f>
        <v>0</v>
      </c>
      <c r="J107" s="63">
        <f t="shared" si="13"/>
        <v>0</v>
      </c>
      <c r="K107" s="63">
        <f t="shared" si="14"/>
        <v>-150976.49</v>
      </c>
    </row>
    <row r="108" spans="1:11" s="680" customFormat="1">
      <c r="A108" s="111">
        <f t="shared" si="11"/>
        <v>75</v>
      </c>
      <c r="B108" s="643" t="s">
        <v>187</v>
      </c>
      <c r="C108" s="641">
        <v>2019</v>
      </c>
      <c r="D108" s="1099">
        <v>0</v>
      </c>
      <c r="E108" s="63">
        <f>D108*'16-PlantAdditions'!$E$103</f>
        <v>0</v>
      </c>
      <c r="F108" s="63">
        <f t="shared" si="12"/>
        <v>0</v>
      </c>
      <c r="G108" s="1099">
        <v>0</v>
      </c>
      <c r="H108" s="1099">
        <v>0</v>
      </c>
      <c r="I108" s="63">
        <f>(G108-H108)*'16-PlantAdditions'!$E$103</f>
        <v>0</v>
      </c>
      <c r="J108" s="63">
        <f t="shared" si="13"/>
        <v>0</v>
      </c>
      <c r="K108" s="63">
        <f t="shared" si="14"/>
        <v>-150976.49</v>
      </c>
    </row>
    <row r="109" spans="1:11" s="680" customFormat="1">
      <c r="A109" s="111">
        <f>A108+1</f>
        <v>76</v>
      </c>
      <c r="B109" s="643" t="s">
        <v>188</v>
      </c>
      <c r="C109" s="641">
        <v>2019</v>
      </c>
      <c r="D109" s="1099">
        <v>0</v>
      </c>
      <c r="E109" s="63">
        <f>D109*'16-PlantAdditions'!$E$103</f>
        <v>0</v>
      </c>
      <c r="F109" s="63">
        <f t="shared" si="12"/>
        <v>0</v>
      </c>
      <c r="G109" s="1099">
        <v>0</v>
      </c>
      <c r="H109" s="1099">
        <v>0</v>
      </c>
      <c r="I109" s="63">
        <f>(G109-H109)*'16-PlantAdditions'!$E$103</f>
        <v>0</v>
      </c>
      <c r="J109" s="63">
        <f>J108+F109-G109-I109</f>
        <v>0</v>
      </c>
      <c r="K109" s="63">
        <f t="shared" si="14"/>
        <v>-150976.49</v>
      </c>
    </row>
    <row r="110" spans="1:11" s="680" customFormat="1">
      <c r="A110" s="111">
        <f t="shared" ref="A110:A113" si="15">A109+1</f>
        <v>77</v>
      </c>
      <c r="B110" s="643" t="s">
        <v>191</v>
      </c>
      <c r="C110" s="641">
        <v>2019</v>
      </c>
      <c r="D110" s="1099">
        <v>0</v>
      </c>
      <c r="E110" s="63">
        <f>D110*'16-PlantAdditions'!$E$103</f>
        <v>0</v>
      </c>
      <c r="F110" s="63">
        <f t="shared" si="12"/>
        <v>0</v>
      </c>
      <c r="G110" s="1099">
        <v>0</v>
      </c>
      <c r="H110" s="1099">
        <v>0</v>
      </c>
      <c r="I110" s="63">
        <f>(G110-H110)*'16-PlantAdditions'!$E$103</f>
        <v>0</v>
      </c>
      <c r="J110" s="63">
        <f t="shared" ref="J110:J112" si="16">J109+F110-G110-I110</f>
        <v>0</v>
      </c>
      <c r="K110" s="63">
        <f t="shared" si="14"/>
        <v>-150976.49</v>
      </c>
    </row>
    <row r="111" spans="1:11" s="680" customFormat="1">
      <c r="A111" s="111">
        <f t="shared" si="15"/>
        <v>78</v>
      </c>
      <c r="B111" s="643" t="s">
        <v>190</v>
      </c>
      <c r="C111" s="641">
        <v>2019</v>
      </c>
      <c r="D111" s="1099">
        <v>0</v>
      </c>
      <c r="E111" s="63">
        <f>D111*'16-PlantAdditions'!$E$103</f>
        <v>0</v>
      </c>
      <c r="F111" s="63">
        <f t="shared" si="12"/>
        <v>0</v>
      </c>
      <c r="G111" s="1099">
        <v>0</v>
      </c>
      <c r="H111" s="1099">
        <v>0</v>
      </c>
      <c r="I111" s="63">
        <f>(G111-H111)*'16-PlantAdditions'!$E$103</f>
        <v>0</v>
      </c>
      <c r="J111" s="63">
        <f t="shared" si="16"/>
        <v>0</v>
      </c>
      <c r="K111" s="63">
        <f t="shared" si="14"/>
        <v>-150976.49</v>
      </c>
    </row>
    <row r="112" spans="1:11" s="680" customFormat="1">
      <c r="A112" s="111">
        <f t="shared" si="15"/>
        <v>79</v>
      </c>
      <c r="B112" s="643" t="s">
        <v>180</v>
      </c>
      <c r="C112" s="641">
        <v>2019</v>
      </c>
      <c r="D112" s="1099">
        <v>0</v>
      </c>
      <c r="E112" s="63">
        <f>D112*'16-PlantAdditions'!$E$103</f>
        <v>0</v>
      </c>
      <c r="F112" s="63">
        <f t="shared" si="12"/>
        <v>0</v>
      </c>
      <c r="G112" s="1099">
        <v>0</v>
      </c>
      <c r="H112" s="1099">
        <v>0</v>
      </c>
      <c r="I112" s="63">
        <f>(G112-H112)*'16-PlantAdditions'!$E$103</f>
        <v>0</v>
      </c>
      <c r="J112" s="63">
        <f t="shared" si="16"/>
        <v>0</v>
      </c>
      <c r="K112" s="112">
        <f t="shared" si="14"/>
        <v>-150976.49</v>
      </c>
    </row>
    <row r="113" spans="1:11" s="680" customFormat="1">
      <c r="A113" s="111">
        <f t="shared" si="15"/>
        <v>80</v>
      </c>
      <c r="B113"/>
      <c r="C113" s="679" t="s">
        <v>1633</v>
      </c>
      <c r="D113"/>
      <c r="E113"/>
      <c r="F113"/>
      <c r="G113"/>
      <c r="H113"/>
      <c r="I113"/>
      <c r="J113"/>
      <c r="K113" s="73">
        <f>AVERAGE(K100:K112)</f>
        <v>-150976.49</v>
      </c>
    </row>
    <row r="114" spans="1:11" s="680" customFormat="1">
      <c r="A114" s="111"/>
      <c r="B114"/>
      <c r="C114" s="679"/>
      <c r="D114"/>
      <c r="E114"/>
      <c r="F114"/>
      <c r="G114"/>
      <c r="H114"/>
      <c r="I114"/>
      <c r="J114"/>
      <c r="K114" s="73"/>
    </row>
    <row r="115" spans="1:11" s="680" customFormat="1">
      <c r="B115" s="681" t="s">
        <v>1964</v>
      </c>
      <c r="D115" s="1385" t="s">
        <v>1965</v>
      </c>
      <c r="E115" s="1385"/>
    </row>
    <row r="116" spans="1:11" s="680" customFormat="1">
      <c r="A116" s="675"/>
      <c r="B116" s="675"/>
      <c r="C116" s="675"/>
      <c r="D116" s="675" t="s">
        <v>363</v>
      </c>
      <c r="E116" s="675" t="s">
        <v>347</v>
      </c>
      <c r="F116" s="675" t="s">
        <v>348</v>
      </c>
      <c r="G116" s="675" t="s">
        <v>349</v>
      </c>
      <c r="H116" s="675" t="s">
        <v>350</v>
      </c>
      <c r="I116" s="675" t="s">
        <v>351</v>
      </c>
      <c r="J116" s="675" t="s">
        <v>352</v>
      </c>
      <c r="K116" s="675" t="s">
        <v>544</v>
      </c>
    </row>
    <row r="117" spans="1:11" s="680" customFormat="1" ht="38.25">
      <c r="D117" s="682"/>
      <c r="E117" s="683" t="s">
        <v>2104</v>
      </c>
      <c r="F117" s="684" t="s">
        <v>1961</v>
      </c>
      <c r="G117" s="492"/>
      <c r="H117" s="682"/>
      <c r="I117" s="683" t="s">
        <v>2105</v>
      </c>
      <c r="J117" s="683" t="s">
        <v>1962</v>
      </c>
      <c r="K117" s="683" t="s">
        <v>1963</v>
      </c>
    </row>
    <row r="118" spans="1:11" s="680" customFormat="1">
      <c r="D118" s="682"/>
      <c r="E118" s="682"/>
      <c r="F118" s="682"/>
      <c r="G118" s="580" t="str">
        <f>G51</f>
        <v>Unloaded</v>
      </c>
      <c r="H118" s="682"/>
      <c r="I118" s="682"/>
    </row>
    <row r="119" spans="1:11" s="680" customFormat="1">
      <c r="A119" s="677"/>
      <c r="B119" s="677"/>
      <c r="C119" s="677"/>
      <c r="D119" s="677" t="str">
        <f>D$52</f>
        <v>Forecast</v>
      </c>
      <c r="E119" s="677" t="str">
        <f t="shared" ref="E119:J119" si="17">E$52</f>
        <v>Corporate</v>
      </c>
      <c r="F119" s="677" t="str">
        <f t="shared" si="17"/>
        <v xml:space="preserve">Total </v>
      </c>
      <c r="G119" s="580" t="str">
        <f>G52</f>
        <v>Total</v>
      </c>
      <c r="H119" s="677" t="str">
        <f t="shared" si="17"/>
        <v>Prior Period</v>
      </c>
      <c r="I119" s="677" t="str">
        <f t="shared" si="17"/>
        <v>Over Heads</v>
      </c>
      <c r="J119" s="677" t="str">
        <f t="shared" si="17"/>
        <v>Forecast</v>
      </c>
      <c r="K119" s="580" t="str">
        <f>K$52</f>
        <v>Forecast Period</v>
      </c>
    </row>
    <row r="120" spans="1:11" s="680" customFormat="1">
      <c r="A120" s="932" t="s">
        <v>332</v>
      </c>
      <c r="B120" s="639" t="s">
        <v>192</v>
      </c>
      <c r="C120" s="639" t="s">
        <v>193</v>
      </c>
      <c r="D120" s="675" t="str">
        <f>D$53</f>
        <v>Expenditures</v>
      </c>
      <c r="E120" s="675" t="str">
        <f t="shared" ref="E120:J120" si="18">E$53</f>
        <v>Overheads</v>
      </c>
      <c r="F120" s="675" t="str">
        <f t="shared" si="18"/>
        <v>CWIP Exp</v>
      </c>
      <c r="G120" s="3" t="str">
        <f>G53</f>
        <v>Plant Adds</v>
      </c>
      <c r="H120" s="675" t="str">
        <f t="shared" si="18"/>
        <v>CWIP Closed</v>
      </c>
      <c r="I120" s="675" t="str">
        <f t="shared" si="18"/>
        <v>Closed to PIS</v>
      </c>
      <c r="J120" s="675" t="str">
        <f t="shared" si="18"/>
        <v>Period CWIP</v>
      </c>
      <c r="K120" s="675" t="str">
        <f>K$53</f>
        <v>Incremental CWIP</v>
      </c>
    </row>
    <row r="121" spans="1:11" s="680" customFormat="1">
      <c r="A121" s="111">
        <f>A113+1</f>
        <v>81</v>
      </c>
      <c r="B121" s="640" t="s">
        <v>180</v>
      </c>
      <c r="C121" s="641">
        <v>2017</v>
      </c>
      <c r="D121" s="684" t="s">
        <v>76</v>
      </c>
      <c r="E121" s="684" t="s">
        <v>76</v>
      </c>
      <c r="F121" s="684" t="s">
        <v>76</v>
      </c>
      <c r="G121" s="684" t="s">
        <v>76</v>
      </c>
      <c r="H121" s="684" t="s">
        <v>76</v>
      </c>
      <c r="I121" s="684" t="s">
        <v>76</v>
      </c>
      <c r="J121" s="63">
        <f>F25</f>
        <v>0</v>
      </c>
      <c r="K121" s="684" t="s">
        <v>76</v>
      </c>
    </row>
    <row r="122" spans="1:11" s="680" customFormat="1">
      <c r="A122" s="111">
        <f>A121+1</f>
        <v>82</v>
      </c>
      <c r="B122" s="640" t="s">
        <v>181</v>
      </c>
      <c r="C122" s="641">
        <v>2018</v>
      </c>
      <c r="D122" s="1099">
        <v>0</v>
      </c>
      <c r="E122" s="63">
        <f>D122*'16-PlantAdditions'!$E$103</f>
        <v>0</v>
      </c>
      <c r="F122" s="63">
        <f>E122+D122</f>
        <v>0</v>
      </c>
      <c r="G122" s="1099">
        <v>0</v>
      </c>
      <c r="H122" s="1099">
        <v>0</v>
      </c>
      <c r="I122" s="63">
        <f>(G122-H122)*'16-PlantAdditions'!$E$103</f>
        <v>0</v>
      </c>
      <c r="J122" s="63">
        <f>J121+F122-G122-I122</f>
        <v>0</v>
      </c>
      <c r="K122" s="497">
        <f>J122-$J$121</f>
        <v>0</v>
      </c>
    </row>
    <row r="123" spans="1:11" s="680" customFormat="1">
      <c r="A123" s="111">
        <f t="shared" ref="A123:A146" si="19">A122+1</f>
        <v>83</v>
      </c>
      <c r="B123" s="643" t="s">
        <v>182</v>
      </c>
      <c r="C123" s="641">
        <v>2018</v>
      </c>
      <c r="D123" s="1099">
        <v>0</v>
      </c>
      <c r="E123" s="63">
        <f>D123*'16-PlantAdditions'!$E$103</f>
        <v>0</v>
      </c>
      <c r="F123" s="63">
        <f t="shared" ref="F123:F145" si="20">E123+D123</f>
        <v>0</v>
      </c>
      <c r="G123" s="1099">
        <v>0</v>
      </c>
      <c r="H123" s="1099">
        <v>0</v>
      </c>
      <c r="I123" s="63">
        <f>(G123-H123)*'16-PlantAdditions'!$E$103</f>
        <v>0</v>
      </c>
      <c r="J123" s="63">
        <f t="shared" ref="J123:J145" si="21">J122+F123-G123-I123</f>
        <v>0</v>
      </c>
      <c r="K123" s="497">
        <f t="shared" ref="K123:K145" si="22">J123-$J$121</f>
        <v>0</v>
      </c>
    </row>
    <row r="124" spans="1:11" s="680" customFormat="1">
      <c r="A124" s="111">
        <f t="shared" si="19"/>
        <v>84</v>
      </c>
      <c r="B124" s="643" t="s">
        <v>195</v>
      </c>
      <c r="C124" s="641">
        <v>2018</v>
      </c>
      <c r="D124" s="1099">
        <v>0</v>
      </c>
      <c r="E124" s="63">
        <f>D124*'16-PlantAdditions'!$E$103</f>
        <v>0</v>
      </c>
      <c r="F124" s="63">
        <f t="shared" si="20"/>
        <v>0</v>
      </c>
      <c r="G124" s="1099">
        <v>0</v>
      </c>
      <c r="H124" s="1099">
        <v>0</v>
      </c>
      <c r="I124" s="63">
        <f>(G124-H124)*'16-PlantAdditions'!$E$103</f>
        <v>0</v>
      </c>
      <c r="J124" s="63">
        <f t="shared" si="21"/>
        <v>0</v>
      </c>
      <c r="K124" s="497">
        <f t="shared" si="22"/>
        <v>0</v>
      </c>
    </row>
    <row r="125" spans="1:11" s="680" customFormat="1">
      <c r="A125" s="111">
        <f t="shared" si="19"/>
        <v>85</v>
      </c>
      <c r="B125" s="640" t="s">
        <v>183</v>
      </c>
      <c r="C125" s="641">
        <v>2018</v>
      </c>
      <c r="D125" s="1099">
        <v>0</v>
      </c>
      <c r="E125" s="63">
        <f>D125*'16-PlantAdditions'!$E$103</f>
        <v>0</v>
      </c>
      <c r="F125" s="63">
        <f t="shared" si="20"/>
        <v>0</v>
      </c>
      <c r="G125" s="1099">
        <v>0</v>
      </c>
      <c r="H125" s="1099">
        <v>0</v>
      </c>
      <c r="I125" s="63">
        <f>(G125-H125)*'16-PlantAdditions'!$E$103</f>
        <v>0</v>
      </c>
      <c r="J125" s="63">
        <f t="shared" si="21"/>
        <v>0</v>
      </c>
      <c r="K125" s="497">
        <f t="shared" si="22"/>
        <v>0</v>
      </c>
    </row>
    <row r="126" spans="1:11" s="680" customFormat="1">
      <c r="A126" s="111">
        <f t="shared" si="19"/>
        <v>86</v>
      </c>
      <c r="B126" s="643" t="s">
        <v>184</v>
      </c>
      <c r="C126" s="641">
        <v>2018</v>
      </c>
      <c r="D126" s="1099">
        <v>0</v>
      </c>
      <c r="E126" s="63">
        <f>D126*'16-PlantAdditions'!$E$103</f>
        <v>0</v>
      </c>
      <c r="F126" s="63">
        <f t="shared" si="20"/>
        <v>0</v>
      </c>
      <c r="G126" s="1099">
        <v>0</v>
      </c>
      <c r="H126" s="1099">
        <v>0</v>
      </c>
      <c r="I126" s="63">
        <f>(G126-H126)*'16-PlantAdditions'!$E$103</f>
        <v>0</v>
      </c>
      <c r="J126" s="63">
        <f t="shared" si="21"/>
        <v>0</v>
      </c>
      <c r="K126" s="497">
        <f t="shared" si="22"/>
        <v>0</v>
      </c>
    </row>
    <row r="127" spans="1:11" s="680" customFormat="1">
      <c r="A127" s="111">
        <f t="shared" si="19"/>
        <v>87</v>
      </c>
      <c r="B127" s="643" t="s">
        <v>1481</v>
      </c>
      <c r="C127" s="641">
        <v>2018</v>
      </c>
      <c r="D127" s="1099">
        <v>0</v>
      </c>
      <c r="E127" s="63">
        <f>D127*'16-PlantAdditions'!$E$103</f>
        <v>0</v>
      </c>
      <c r="F127" s="63">
        <f t="shared" si="20"/>
        <v>0</v>
      </c>
      <c r="G127" s="1099">
        <v>0</v>
      </c>
      <c r="H127" s="1099">
        <v>0</v>
      </c>
      <c r="I127" s="63">
        <f>(G127-H127)*'16-PlantAdditions'!$E$103</f>
        <v>0</v>
      </c>
      <c r="J127" s="63">
        <f t="shared" si="21"/>
        <v>0</v>
      </c>
      <c r="K127" s="497">
        <f t="shared" si="22"/>
        <v>0</v>
      </c>
    </row>
    <row r="128" spans="1:11" s="680" customFormat="1">
      <c r="A128" s="111">
        <f t="shared" si="19"/>
        <v>88</v>
      </c>
      <c r="B128" s="640" t="s">
        <v>186</v>
      </c>
      <c r="C128" s="641">
        <v>2018</v>
      </c>
      <c r="D128" s="1099">
        <v>0</v>
      </c>
      <c r="E128" s="63">
        <f>D128*'16-PlantAdditions'!$E$103</f>
        <v>0</v>
      </c>
      <c r="F128" s="63">
        <f t="shared" si="20"/>
        <v>0</v>
      </c>
      <c r="G128" s="1099">
        <v>0</v>
      </c>
      <c r="H128" s="1099">
        <v>0</v>
      </c>
      <c r="I128" s="63">
        <f>(G128-H128)*'16-PlantAdditions'!$E$103</f>
        <v>0</v>
      </c>
      <c r="J128" s="63">
        <f t="shared" si="21"/>
        <v>0</v>
      </c>
      <c r="K128" s="497">
        <f t="shared" si="22"/>
        <v>0</v>
      </c>
    </row>
    <row r="129" spans="1:11" s="680" customFormat="1">
      <c r="A129" s="111">
        <f t="shared" si="19"/>
        <v>89</v>
      </c>
      <c r="B129" s="643" t="s">
        <v>187</v>
      </c>
      <c r="C129" s="641">
        <v>2018</v>
      </c>
      <c r="D129" s="1099">
        <v>0</v>
      </c>
      <c r="E129" s="63">
        <f>D129*'16-PlantAdditions'!$E$103</f>
        <v>0</v>
      </c>
      <c r="F129" s="63">
        <f t="shared" si="20"/>
        <v>0</v>
      </c>
      <c r="G129" s="1099">
        <v>0</v>
      </c>
      <c r="H129" s="1099">
        <v>0</v>
      </c>
      <c r="I129" s="63">
        <f>(G129-H129)*'16-PlantAdditions'!$E$103</f>
        <v>0</v>
      </c>
      <c r="J129" s="63">
        <f t="shared" si="21"/>
        <v>0</v>
      </c>
      <c r="K129" s="497">
        <f t="shared" si="22"/>
        <v>0</v>
      </c>
    </row>
    <row r="130" spans="1:11" s="680" customFormat="1">
      <c r="A130" s="111">
        <f t="shared" si="19"/>
        <v>90</v>
      </c>
      <c r="B130" s="643" t="s">
        <v>188</v>
      </c>
      <c r="C130" s="641">
        <v>2018</v>
      </c>
      <c r="D130" s="1099">
        <v>0</v>
      </c>
      <c r="E130" s="63">
        <f>D130*'16-PlantAdditions'!$E$103</f>
        <v>0</v>
      </c>
      <c r="F130" s="63">
        <f t="shared" si="20"/>
        <v>0</v>
      </c>
      <c r="G130" s="1099">
        <v>0</v>
      </c>
      <c r="H130" s="1099">
        <v>0</v>
      </c>
      <c r="I130" s="63">
        <f>(G130-H130)*'16-PlantAdditions'!$E$103</f>
        <v>0</v>
      </c>
      <c r="J130" s="63">
        <f t="shared" si="21"/>
        <v>0</v>
      </c>
      <c r="K130" s="497">
        <f t="shared" si="22"/>
        <v>0</v>
      </c>
    </row>
    <row r="131" spans="1:11" s="680" customFormat="1">
      <c r="A131" s="111">
        <f t="shared" si="19"/>
        <v>91</v>
      </c>
      <c r="B131" s="640" t="s">
        <v>191</v>
      </c>
      <c r="C131" s="641">
        <v>2018</v>
      </c>
      <c r="D131" s="1099">
        <v>0</v>
      </c>
      <c r="E131" s="63">
        <f>D131*'16-PlantAdditions'!$E$103</f>
        <v>0</v>
      </c>
      <c r="F131" s="63">
        <f t="shared" si="20"/>
        <v>0</v>
      </c>
      <c r="G131" s="1099">
        <v>0</v>
      </c>
      <c r="H131" s="1099">
        <v>0</v>
      </c>
      <c r="I131" s="63">
        <f>(G131-H131)*'16-PlantAdditions'!$E$103</f>
        <v>0</v>
      </c>
      <c r="J131" s="63">
        <f t="shared" si="21"/>
        <v>0</v>
      </c>
      <c r="K131" s="497">
        <f t="shared" si="22"/>
        <v>0</v>
      </c>
    </row>
    <row r="132" spans="1:11" s="680" customFormat="1">
      <c r="A132" s="111">
        <f t="shared" si="19"/>
        <v>92</v>
      </c>
      <c r="B132" s="640" t="s">
        <v>190</v>
      </c>
      <c r="C132" s="641">
        <v>2018</v>
      </c>
      <c r="D132" s="1099">
        <v>0</v>
      </c>
      <c r="E132" s="63">
        <f>D132*'16-PlantAdditions'!$E$103</f>
        <v>0</v>
      </c>
      <c r="F132" s="63">
        <f t="shared" si="20"/>
        <v>0</v>
      </c>
      <c r="G132" s="1099">
        <v>0</v>
      </c>
      <c r="H132" s="1099">
        <v>0</v>
      </c>
      <c r="I132" s="63">
        <f>(G132-H132)*'16-PlantAdditions'!$E$103</f>
        <v>0</v>
      </c>
      <c r="J132" s="63">
        <f t="shared" si="21"/>
        <v>0</v>
      </c>
      <c r="K132" s="497">
        <f t="shared" si="22"/>
        <v>0</v>
      </c>
    </row>
    <row r="133" spans="1:11" s="680" customFormat="1">
      <c r="A133" s="111">
        <f t="shared" si="19"/>
        <v>93</v>
      </c>
      <c r="B133" s="640" t="s">
        <v>180</v>
      </c>
      <c r="C133" s="641">
        <v>2018</v>
      </c>
      <c r="D133" s="1099">
        <v>0</v>
      </c>
      <c r="E133" s="63">
        <f>D133*'16-PlantAdditions'!$E$103</f>
        <v>0</v>
      </c>
      <c r="F133" s="63">
        <f t="shared" si="20"/>
        <v>0</v>
      </c>
      <c r="G133" s="1099">
        <v>0</v>
      </c>
      <c r="H133" s="1099">
        <v>0</v>
      </c>
      <c r="I133" s="63">
        <f>(G133-H133)*'16-PlantAdditions'!$E$103</f>
        <v>0</v>
      </c>
      <c r="J133" s="63">
        <f t="shared" si="21"/>
        <v>0</v>
      </c>
      <c r="K133" s="497">
        <f t="shared" si="22"/>
        <v>0</v>
      </c>
    </row>
    <row r="134" spans="1:11" s="680" customFormat="1">
      <c r="A134" s="111">
        <f t="shared" si="19"/>
        <v>94</v>
      </c>
      <c r="B134" s="640" t="s">
        <v>181</v>
      </c>
      <c r="C134" s="641">
        <v>2019</v>
      </c>
      <c r="D134" s="1099">
        <v>0</v>
      </c>
      <c r="E134" s="63">
        <f>D134*'16-PlantAdditions'!$E$103</f>
        <v>0</v>
      </c>
      <c r="F134" s="63">
        <f t="shared" si="20"/>
        <v>0</v>
      </c>
      <c r="G134" s="1099">
        <v>0</v>
      </c>
      <c r="H134" s="1099">
        <v>0</v>
      </c>
      <c r="I134" s="63">
        <f>(G134-H134)*'16-PlantAdditions'!$E$103</f>
        <v>0</v>
      </c>
      <c r="J134" s="63">
        <f t="shared" si="21"/>
        <v>0</v>
      </c>
      <c r="K134" s="497">
        <f t="shared" si="22"/>
        <v>0</v>
      </c>
    </row>
    <row r="135" spans="1:11" s="680" customFormat="1">
      <c r="A135" s="111">
        <f t="shared" si="19"/>
        <v>95</v>
      </c>
      <c r="B135" s="643" t="s">
        <v>182</v>
      </c>
      <c r="C135" s="641">
        <v>2019</v>
      </c>
      <c r="D135" s="1099">
        <v>0</v>
      </c>
      <c r="E135" s="63">
        <f>D135*'16-PlantAdditions'!$E$103</f>
        <v>0</v>
      </c>
      <c r="F135" s="63">
        <f t="shared" si="20"/>
        <v>0</v>
      </c>
      <c r="G135" s="1099">
        <v>0</v>
      </c>
      <c r="H135" s="1099">
        <v>0</v>
      </c>
      <c r="I135" s="63">
        <f>(G135-H135)*'16-PlantAdditions'!$E$103</f>
        <v>0</v>
      </c>
      <c r="J135" s="63">
        <f t="shared" si="21"/>
        <v>0</v>
      </c>
      <c r="K135" s="497">
        <f t="shared" si="22"/>
        <v>0</v>
      </c>
    </row>
    <row r="136" spans="1:11" s="680" customFormat="1">
      <c r="A136" s="111">
        <f t="shared" si="19"/>
        <v>96</v>
      </c>
      <c r="B136" s="643" t="s">
        <v>195</v>
      </c>
      <c r="C136" s="641">
        <v>2019</v>
      </c>
      <c r="D136" s="1099">
        <v>0</v>
      </c>
      <c r="E136" s="63">
        <f>D136*'16-PlantAdditions'!$E$103</f>
        <v>0</v>
      </c>
      <c r="F136" s="63">
        <f t="shared" si="20"/>
        <v>0</v>
      </c>
      <c r="G136" s="1099">
        <v>0</v>
      </c>
      <c r="H136" s="1099">
        <v>0</v>
      </c>
      <c r="I136" s="63">
        <f>(G136-H136)*'16-PlantAdditions'!$E$103</f>
        <v>0</v>
      </c>
      <c r="J136" s="63">
        <f t="shared" si="21"/>
        <v>0</v>
      </c>
      <c r="K136" s="497">
        <f t="shared" si="22"/>
        <v>0</v>
      </c>
    </row>
    <row r="137" spans="1:11" s="680" customFormat="1">
      <c r="A137" s="111">
        <f t="shared" si="19"/>
        <v>97</v>
      </c>
      <c r="B137" s="640" t="s">
        <v>183</v>
      </c>
      <c r="C137" s="641">
        <v>2019</v>
      </c>
      <c r="D137" s="1099">
        <v>0</v>
      </c>
      <c r="E137" s="63">
        <f>D137*'16-PlantAdditions'!$E$103</f>
        <v>0</v>
      </c>
      <c r="F137" s="63">
        <f t="shared" si="20"/>
        <v>0</v>
      </c>
      <c r="G137" s="1099">
        <v>0</v>
      </c>
      <c r="H137" s="1099">
        <v>0</v>
      </c>
      <c r="I137" s="63">
        <f>(G137-H137)*'16-PlantAdditions'!$E$103</f>
        <v>0</v>
      </c>
      <c r="J137" s="63">
        <f t="shared" si="21"/>
        <v>0</v>
      </c>
      <c r="K137" s="497">
        <f t="shared" si="22"/>
        <v>0</v>
      </c>
    </row>
    <row r="138" spans="1:11" s="680" customFormat="1">
      <c r="A138" s="111">
        <f t="shared" si="19"/>
        <v>98</v>
      </c>
      <c r="B138" s="643" t="s">
        <v>184</v>
      </c>
      <c r="C138" s="641">
        <v>2019</v>
      </c>
      <c r="D138" s="1099">
        <v>0</v>
      </c>
      <c r="E138" s="63">
        <f>D138*'16-PlantAdditions'!$E$103</f>
        <v>0</v>
      </c>
      <c r="F138" s="63">
        <f t="shared" si="20"/>
        <v>0</v>
      </c>
      <c r="G138" s="1099">
        <v>0</v>
      </c>
      <c r="H138" s="1099">
        <v>0</v>
      </c>
      <c r="I138" s="63">
        <f>(G138-H138)*'16-PlantAdditions'!$E$103</f>
        <v>0</v>
      </c>
      <c r="J138" s="63">
        <f t="shared" si="21"/>
        <v>0</v>
      </c>
      <c r="K138" s="497">
        <f t="shared" si="22"/>
        <v>0</v>
      </c>
    </row>
    <row r="139" spans="1:11" s="680" customFormat="1">
      <c r="A139" s="111">
        <f t="shared" si="19"/>
        <v>99</v>
      </c>
      <c r="B139" s="643" t="s">
        <v>1481</v>
      </c>
      <c r="C139" s="641">
        <v>2019</v>
      </c>
      <c r="D139" s="1099">
        <v>0</v>
      </c>
      <c r="E139" s="63">
        <f>D139*'16-PlantAdditions'!$E$103</f>
        <v>0</v>
      </c>
      <c r="F139" s="63">
        <f t="shared" si="20"/>
        <v>0</v>
      </c>
      <c r="G139" s="1099">
        <v>0</v>
      </c>
      <c r="H139" s="1099">
        <v>0</v>
      </c>
      <c r="I139" s="63">
        <f>(G139-H139)*'16-PlantAdditions'!$E$103</f>
        <v>0</v>
      </c>
      <c r="J139" s="63">
        <f t="shared" si="21"/>
        <v>0</v>
      </c>
      <c r="K139" s="497">
        <f t="shared" si="22"/>
        <v>0</v>
      </c>
    </row>
    <row r="140" spans="1:11" s="680" customFormat="1">
      <c r="A140" s="111">
        <f t="shared" si="19"/>
        <v>100</v>
      </c>
      <c r="B140" s="640" t="s">
        <v>186</v>
      </c>
      <c r="C140" s="641">
        <v>2019</v>
      </c>
      <c r="D140" s="1099">
        <v>0</v>
      </c>
      <c r="E140" s="63">
        <f>D140*'16-PlantAdditions'!$E$103</f>
        <v>0</v>
      </c>
      <c r="F140" s="63">
        <f t="shared" si="20"/>
        <v>0</v>
      </c>
      <c r="G140" s="1099">
        <v>0</v>
      </c>
      <c r="H140" s="1099">
        <v>0</v>
      </c>
      <c r="I140" s="63">
        <f>(G140-H140)*'16-PlantAdditions'!$E$103</f>
        <v>0</v>
      </c>
      <c r="J140" s="63">
        <f t="shared" si="21"/>
        <v>0</v>
      </c>
      <c r="K140" s="497">
        <f t="shared" si="22"/>
        <v>0</v>
      </c>
    </row>
    <row r="141" spans="1:11" s="680" customFormat="1">
      <c r="A141" s="111">
        <f t="shared" si="19"/>
        <v>101</v>
      </c>
      <c r="B141" s="643" t="s">
        <v>187</v>
      </c>
      <c r="C141" s="641">
        <v>2019</v>
      </c>
      <c r="D141" s="1099">
        <v>0</v>
      </c>
      <c r="E141" s="63">
        <f>D141*'16-PlantAdditions'!$E$103</f>
        <v>0</v>
      </c>
      <c r="F141" s="63">
        <f t="shared" si="20"/>
        <v>0</v>
      </c>
      <c r="G141" s="1099">
        <v>0</v>
      </c>
      <c r="H141" s="1099">
        <v>0</v>
      </c>
      <c r="I141" s="63">
        <f>(G141-H141)*'16-PlantAdditions'!$E$103</f>
        <v>0</v>
      </c>
      <c r="J141" s="63">
        <f t="shared" si="21"/>
        <v>0</v>
      </c>
      <c r="K141" s="497">
        <f t="shared" si="22"/>
        <v>0</v>
      </c>
    </row>
    <row r="142" spans="1:11" s="680" customFormat="1">
      <c r="A142" s="111">
        <f t="shared" si="19"/>
        <v>102</v>
      </c>
      <c r="B142" s="643" t="s">
        <v>188</v>
      </c>
      <c r="C142" s="641">
        <v>2019</v>
      </c>
      <c r="D142" s="1099">
        <v>0</v>
      </c>
      <c r="E142" s="63">
        <f>D142*'16-PlantAdditions'!$E$103</f>
        <v>0</v>
      </c>
      <c r="F142" s="63">
        <f t="shared" si="20"/>
        <v>0</v>
      </c>
      <c r="G142" s="1099">
        <v>0</v>
      </c>
      <c r="H142" s="1099">
        <v>0</v>
      </c>
      <c r="I142" s="63">
        <f>(G142-H142)*'16-PlantAdditions'!$E$103</f>
        <v>0</v>
      </c>
      <c r="J142" s="63">
        <f t="shared" si="21"/>
        <v>0</v>
      </c>
      <c r="K142" s="497">
        <f t="shared" si="22"/>
        <v>0</v>
      </c>
    </row>
    <row r="143" spans="1:11" s="680" customFormat="1">
      <c r="A143" s="111">
        <f t="shared" si="19"/>
        <v>103</v>
      </c>
      <c r="B143" s="643" t="s">
        <v>191</v>
      </c>
      <c r="C143" s="641">
        <v>2019</v>
      </c>
      <c r="D143" s="1099">
        <v>0</v>
      </c>
      <c r="E143" s="63">
        <f>D143*'16-PlantAdditions'!$E$103</f>
        <v>0</v>
      </c>
      <c r="F143" s="63">
        <f t="shared" si="20"/>
        <v>0</v>
      </c>
      <c r="G143" s="1099">
        <v>0</v>
      </c>
      <c r="H143" s="1099">
        <v>0</v>
      </c>
      <c r="I143" s="63">
        <f>(G143-H143)*'16-PlantAdditions'!$E$103</f>
        <v>0</v>
      </c>
      <c r="J143" s="63">
        <f t="shared" si="21"/>
        <v>0</v>
      </c>
      <c r="K143" s="497">
        <f t="shared" si="22"/>
        <v>0</v>
      </c>
    </row>
    <row r="144" spans="1:11" s="680" customFormat="1">
      <c r="A144" s="111">
        <f t="shared" si="19"/>
        <v>104</v>
      </c>
      <c r="B144" s="643" t="s">
        <v>190</v>
      </c>
      <c r="C144" s="641">
        <v>2019</v>
      </c>
      <c r="D144" s="1099">
        <v>0</v>
      </c>
      <c r="E144" s="63">
        <f>D144*'16-PlantAdditions'!$E$103</f>
        <v>0</v>
      </c>
      <c r="F144" s="63">
        <f t="shared" si="20"/>
        <v>0</v>
      </c>
      <c r="G144" s="1099">
        <v>0</v>
      </c>
      <c r="H144" s="1099">
        <v>0</v>
      </c>
      <c r="I144" s="63">
        <f>(G144-H144)*'16-PlantAdditions'!$E$103</f>
        <v>0</v>
      </c>
      <c r="J144" s="63">
        <f t="shared" si="21"/>
        <v>0</v>
      </c>
      <c r="K144" s="497">
        <f t="shared" si="22"/>
        <v>0</v>
      </c>
    </row>
    <row r="145" spans="1:11" s="680" customFormat="1">
      <c r="A145" s="111">
        <f t="shared" si="19"/>
        <v>105</v>
      </c>
      <c r="B145" s="643" t="s">
        <v>180</v>
      </c>
      <c r="C145" s="641">
        <v>2019</v>
      </c>
      <c r="D145" s="1099">
        <v>0</v>
      </c>
      <c r="E145" s="63">
        <f>D145*'16-PlantAdditions'!$E$103</f>
        <v>0</v>
      </c>
      <c r="F145" s="63">
        <f t="shared" si="20"/>
        <v>0</v>
      </c>
      <c r="G145" s="1099">
        <v>0</v>
      </c>
      <c r="H145" s="1099">
        <v>0</v>
      </c>
      <c r="I145" s="63">
        <f>(G145-H145)*'16-PlantAdditions'!$E$103</f>
        <v>0</v>
      </c>
      <c r="J145" s="63">
        <f t="shared" si="21"/>
        <v>0</v>
      </c>
      <c r="K145" s="112">
        <f t="shared" si="22"/>
        <v>0</v>
      </c>
    </row>
    <row r="146" spans="1:11" s="680" customFormat="1">
      <c r="A146" s="111">
        <f t="shared" si="19"/>
        <v>106</v>
      </c>
      <c r="B146"/>
      <c r="C146" s="679" t="s">
        <v>1633</v>
      </c>
      <c r="D146"/>
      <c r="E146"/>
      <c r="F146"/>
      <c r="G146"/>
      <c r="H146"/>
      <c r="I146"/>
      <c r="J146"/>
      <c r="K146" s="73">
        <f>AVERAGE(K133:K145)</f>
        <v>0</v>
      </c>
    </row>
    <row r="147" spans="1:11" s="680" customFormat="1">
      <c r="A147" s="111"/>
      <c r="B147"/>
      <c r="C147" s="679"/>
      <c r="D147"/>
      <c r="E147"/>
      <c r="F147"/>
      <c r="G147"/>
      <c r="H147"/>
      <c r="I147"/>
      <c r="J147"/>
      <c r="K147" s="73"/>
    </row>
    <row r="148" spans="1:11" s="680" customFormat="1">
      <c r="B148" s="681" t="s">
        <v>1966</v>
      </c>
      <c r="D148" s="1385" t="s">
        <v>1975</v>
      </c>
      <c r="E148" s="1385"/>
    </row>
    <row r="149" spans="1:11" s="680" customFormat="1">
      <c r="D149" s="682"/>
      <c r="E149" s="682"/>
      <c r="F149" s="682"/>
      <c r="G149" s="580" t="str">
        <f>G51</f>
        <v>Unloaded</v>
      </c>
      <c r="H149" s="682"/>
      <c r="I149" s="682"/>
    </row>
    <row r="150" spans="1:11" s="680" customFormat="1">
      <c r="A150" s="677"/>
      <c r="B150" s="677"/>
      <c r="C150" s="677"/>
      <c r="D150" s="677" t="str">
        <f>D$52</f>
        <v>Forecast</v>
      </c>
      <c r="E150" s="677" t="str">
        <f t="shared" ref="E150:J150" si="23">E$52</f>
        <v>Corporate</v>
      </c>
      <c r="F150" s="677" t="str">
        <f t="shared" si="23"/>
        <v xml:space="preserve">Total </v>
      </c>
      <c r="G150" s="580" t="str">
        <f>G52</f>
        <v>Total</v>
      </c>
      <c r="H150" s="677" t="str">
        <f t="shared" si="23"/>
        <v>Prior Period</v>
      </c>
      <c r="I150" s="677" t="str">
        <f t="shared" si="23"/>
        <v>Over Heads</v>
      </c>
      <c r="J150" s="677" t="str">
        <f t="shared" si="23"/>
        <v>Forecast</v>
      </c>
      <c r="K150" s="580" t="str">
        <f>K$52</f>
        <v>Forecast Period</v>
      </c>
    </row>
    <row r="151" spans="1:11" s="680" customFormat="1">
      <c r="A151" s="932" t="s">
        <v>332</v>
      </c>
      <c r="B151" s="639" t="s">
        <v>192</v>
      </c>
      <c r="C151" s="639" t="s">
        <v>193</v>
      </c>
      <c r="D151" s="675" t="str">
        <f>D$53</f>
        <v>Expenditures</v>
      </c>
      <c r="E151" s="675" t="str">
        <f t="shared" ref="E151:J151" si="24">E$53</f>
        <v>Overheads</v>
      </c>
      <c r="F151" s="675" t="str">
        <f t="shared" si="24"/>
        <v>CWIP Exp</v>
      </c>
      <c r="G151" s="3" t="str">
        <f>G53</f>
        <v>Plant Adds</v>
      </c>
      <c r="H151" s="675" t="str">
        <f t="shared" si="24"/>
        <v>CWIP Closed</v>
      </c>
      <c r="I151" s="675" t="str">
        <f t="shared" si="24"/>
        <v>Closed to PIS</v>
      </c>
      <c r="J151" s="675" t="str">
        <f t="shared" si="24"/>
        <v>Period CWIP</v>
      </c>
      <c r="K151" s="675" t="str">
        <f>K$53</f>
        <v>Incremental CWIP</v>
      </c>
    </row>
    <row r="152" spans="1:11" s="680" customFormat="1">
      <c r="A152" s="111">
        <f>A146+1</f>
        <v>107</v>
      </c>
      <c r="B152" s="640" t="s">
        <v>180</v>
      </c>
      <c r="C152" s="641">
        <v>2017</v>
      </c>
      <c r="D152" s="684" t="s">
        <v>76</v>
      </c>
      <c r="E152" s="684" t="s">
        <v>76</v>
      </c>
      <c r="F152" s="684" t="s">
        <v>76</v>
      </c>
      <c r="G152" s="684" t="s">
        <v>76</v>
      </c>
      <c r="H152" s="684" t="s">
        <v>76</v>
      </c>
      <c r="I152" s="684" t="s">
        <v>76</v>
      </c>
      <c r="J152" s="63">
        <f>G25</f>
        <v>4884727.96</v>
      </c>
      <c r="K152" s="684" t="s">
        <v>76</v>
      </c>
    </row>
    <row r="153" spans="1:11" s="680" customFormat="1">
      <c r="A153" s="111">
        <f>A152+1</f>
        <v>108</v>
      </c>
      <c r="B153" s="640" t="s">
        <v>181</v>
      </c>
      <c r="C153" s="641">
        <v>2018</v>
      </c>
      <c r="D153" s="1099">
        <v>11515</v>
      </c>
      <c r="E153" s="63">
        <f>D153*'16-PlantAdditions'!$E$103</f>
        <v>863.625</v>
      </c>
      <c r="F153" s="63">
        <f>E153+D153</f>
        <v>12378.625</v>
      </c>
      <c r="G153" s="1099">
        <v>0</v>
      </c>
      <c r="H153" s="1099">
        <v>0</v>
      </c>
      <c r="I153" s="63">
        <f>(G153-H153)*'16-PlantAdditions'!$E$103</f>
        <v>0</v>
      </c>
      <c r="J153" s="63">
        <f>J152+F153-G153-I153</f>
        <v>4897106.585</v>
      </c>
      <c r="K153" s="63">
        <f>J153-$J$152</f>
        <v>12378.625</v>
      </c>
    </row>
    <row r="154" spans="1:11" s="680" customFormat="1">
      <c r="A154" s="111">
        <f t="shared" ref="A154:A177" si="25">A153+1</f>
        <v>109</v>
      </c>
      <c r="B154" s="643" t="s">
        <v>182</v>
      </c>
      <c r="C154" s="641">
        <v>2018</v>
      </c>
      <c r="D154" s="1099">
        <v>11776</v>
      </c>
      <c r="E154" s="63">
        <f>D154*'16-PlantAdditions'!$E$103</f>
        <v>883.19999999999993</v>
      </c>
      <c r="F154" s="63">
        <f t="shared" ref="F154:F176" si="26">E154+D154</f>
        <v>12659.2</v>
      </c>
      <c r="G154" s="1099">
        <v>0</v>
      </c>
      <c r="H154" s="1099">
        <v>0</v>
      </c>
      <c r="I154" s="63">
        <f>(G154-H154)*'16-PlantAdditions'!$E$103</f>
        <v>0</v>
      </c>
      <c r="J154" s="63">
        <f t="shared" ref="J154:J173" si="27">J153+F154-G154-I154</f>
        <v>4909765.7850000001</v>
      </c>
      <c r="K154" s="63">
        <f t="shared" ref="K154:K176" si="28">J154-$J$152</f>
        <v>25037.825000000186</v>
      </c>
    </row>
    <row r="155" spans="1:11" s="680" customFormat="1">
      <c r="A155" s="111">
        <f t="shared" si="25"/>
        <v>110</v>
      </c>
      <c r="B155" s="643" t="s">
        <v>195</v>
      </c>
      <c r="C155" s="641">
        <v>2018</v>
      </c>
      <c r="D155" s="1099">
        <v>11286</v>
      </c>
      <c r="E155" s="63">
        <f>D155*'16-PlantAdditions'!$E$103</f>
        <v>846.44999999999993</v>
      </c>
      <c r="F155" s="63">
        <f t="shared" si="26"/>
        <v>12132.45</v>
      </c>
      <c r="G155" s="1099">
        <v>0</v>
      </c>
      <c r="H155" s="1099">
        <v>0</v>
      </c>
      <c r="I155" s="63">
        <f>(G155-H155)*'16-PlantAdditions'!$E$103</f>
        <v>0</v>
      </c>
      <c r="J155" s="63">
        <f t="shared" si="27"/>
        <v>4921898.2350000003</v>
      </c>
      <c r="K155" s="63">
        <f t="shared" si="28"/>
        <v>37170.275000000373</v>
      </c>
    </row>
    <row r="156" spans="1:11" s="680" customFormat="1">
      <c r="A156" s="111">
        <f t="shared" si="25"/>
        <v>111</v>
      </c>
      <c r="B156" s="640" t="s">
        <v>183</v>
      </c>
      <c r="C156" s="641">
        <v>2018</v>
      </c>
      <c r="D156" s="1099">
        <v>18380</v>
      </c>
      <c r="E156" s="63">
        <f>D156*'16-PlantAdditions'!$E$103</f>
        <v>1378.5</v>
      </c>
      <c r="F156" s="63">
        <f t="shared" si="26"/>
        <v>19758.5</v>
      </c>
      <c r="G156" s="1099">
        <v>0</v>
      </c>
      <c r="H156" s="1099">
        <v>0</v>
      </c>
      <c r="I156" s="63">
        <f>(G156-H156)*'16-PlantAdditions'!$E$103</f>
        <v>0</v>
      </c>
      <c r="J156" s="63">
        <f t="shared" si="27"/>
        <v>4941656.7350000003</v>
      </c>
      <c r="K156" s="63">
        <f t="shared" si="28"/>
        <v>56928.775000000373</v>
      </c>
    </row>
    <row r="157" spans="1:11" s="680" customFormat="1">
      <c r="A157" s="111">
        <f t="shared" si="25"/>
        <v>112</v>
      </c>
      <c r="B157" s="643" t="s">
        <v>184</v>
      </c>
      <c r="C157" s="641">
        <v>2018</v>
      </c>
      <c r="D157" s="1099">
        <v>18380</v>
      </c>
      <c r="E157" s="63">
        <f>D157*'16-PlantAdditions'!$E$103</f>
        <v>1378.5</v>
      </c>
      <c r="F157" s="63">
        <f t="shared" si="26"/>
        <v>19758.5</v>
      </c>
      <c r="G157" s="1099">
        <v>0</v>
      </c>
      <c r="H157" s="1099">
        <v>0</v>
      </c>
      <c r="I157" s="63">
        <f>(G157-H157)*'16-PlantAdditions'!$E$103</f>
        <v>0</v>
      </c>
      <c r="J157" s="63">
        <f t="shared" si="27"/>
        <v>4961415.2350000003</v>
      </c>
      <c r="K157" s="63">
        <f t="shared" si="28"/>
        <v>76687.275000000373</v>
      </c>
    </row>
    <row r="158" spans="1:11" s="680" customFormat="1">
      <c r="A158" s="111">
        <f t="shared" si="25"/>
        <v>113</v>
      </c>
      <c r="B158" s="643" t="s">
        <v>1481</v>
      </c>
      <c r="C158" s="641">
        <v>2018</v>
      </c>
      <c r="D158" s="1099">
        <v>18380</v>
      </c>
      <c r="E158" s="63">
        <f>D158*'16-PlantAdditions'!$E$103</f>
        <v>1378.5</v>
      </c>
      <c r="F158" s="63">
        <f t="shared" si="26"/>
        <v>19758.5</v>
      </c>
      <c r="G158" s="1099">
        <v>0</v>
      </c>
      <c r="H158" s="1099">
        <v>0</v>
      </c>
      <c r="I158" s="63">
        <f>(G158-H158)*'16-PlantAdditions'!$E$103</f>
        <v>0</v>
      </c>
      <c r="J158" s="63">
        <f t="shared" si="27"/>
        <v>4981173.7350000003</v>
      </c>
      <c r="K158" s="63">
        <f t="shared" si="28"/>
        <v>96445.775000000373</v>
      </c>
    </row>
    <row r="159" spans="1:11" s="680" customFormat="1">
      <c r="A159" s="111">
        <f t="shared" si="25"/>
        <v>114</v>
      </c>
      <c r="B159" s="640" t="s">
        <v>186</v>
      </c>
      <c r="C159" s="641">
        <v>2018</v>
      </c>
      <c r="D159" s="1099">
        <v>18380</v>
      </c>
      <c r="E159" s="63">
        <f>D159*'16-PlantAdditions'!$E$103</f>
        <v>1378.5</v>
      </c>
      <c r="F159" s="63">
        <f t="shared" si="26"/>
        <v>19758.5</v>
      </c>
      <c r="G159" s="1099">
        <v>0</v>
      </c>
      <c r="H159" s="1099">
        <v>0</v>
      </c>
      <c r="I159" s="63">
        <f>(G159-H159)*'16-PlantAdditions'!$E$103</f>
        <v>0</v>
      </c>
      <c r="J159" s="63">
        <f t="shared" si="27"/>
        <v>5000932.2350000003</v>
      </c>
      <c r="K159" s="63">
        <f t="shared" si="28"/>
        <v>116204.27500000037</v>
      </c>
    </row>
    <row r="160" spans="1:11" s="680" customFormat="1">
      <c r="A160" s="111">
        <f t="shared" si="25"/>
        <v>115</v>
      </c>
      <c r="B160" s="643" t="s">
        <v>187</v>
      </c>
      <c r="C160" s="641">
        <v>2018</v>
      </c>
      <c r="D160" s="1099">
        <v>18380</v>
      </c>
      <c r="E160" s="63">
        <f>D160*'16-PlantAdditions'!$E$103</f>
        <v>1378.5</v>
      </c>
      <c r="F160" s="63">
        <f t="shared" si="26"/>
        <v>19758.5</v>
      </c>
      <c r="G160" s="1099">
        <v>0</v>
      </c>
      <c r="H160" s="1099">
        <v>0</v>
      </c>
      <c r="I160" s="63">
        <f>(G160-H160)*'16-PlantAdditions'!$E$103</f>
        <v>0</v>
      </c>
      <c r="J160" s="63">
        <f t="shared" si="27"/>
        <v>5020690.7350000003</v>
      </c>
      <c r="K160" s="63">
        <f t="shared" si="28"/>
        <v>135962.77500000037</v>
      </c>
    </row>
    <row r="161" spans="1:11" s="680" customFormat="1">
      <c r="A161" s="111">
        <f t="shared" si="25"/>
        <v>116</v>
      </c>
      <c r="B161" s="643" t="s">
        <v>188</v>
      </c>
      <c r="C161" s="641">
        <v>2018</v>
      </c>
      <c r="D161" s="1099">
        <v>18380</v>
      </c>
      <c r="E161" s="63">
        <f>D161*'16-PlantAdditions'!$E$103</f>
        <v>1378.5</v>
      </c>
      <c r="F161" s="63">
        <f t="shared" si="26"/>
        <v>19758.5</v>
      </c>
      <c r="G161" s="1099">
        <v>0</v>
      </c>
      <c r="H161" s="1099">
        <v>0</v>
      </c>
      <c r="I161" s="63">
        <f>(G161-H161)*'16-PlantAdditions'!$E$103</f>
        <v>0</v>
      </c>
      <c r="J161" s="63">
        <f t="shared" si="27"/>
        <v>5040449.2350000003</v>
      </c>
      <c r="K161" s="63">
        <f t="shared" si="28"/>
        <v>155721.27500000037</v>
      </c>
    </row>
    <row r="162" spans="1:11" s="680" customFormat="1">
      <c r="A162" s="111">
        <f t="shared" si="25"/>
        <v>117</v>
      </c>
      <c r="B162" s="640" t="s">
        <v>191</v>
      </c>
      <c r="C162" s="641">
        <v>2018</v>
      </c>
      <c r="D162" s="1099">
        <v>18380</v>
      </c>
      <c r="E162" s="63">
        <f>D162*'16-PlantAdditions'!$E$103</f>
        <v>1378.5</v>
      </c>
      <c r="F162" s="63">
        <f t="shared" si="26"/>
        <v>19758.5</v>
      </c>
      <c r="G162" s="1099">
        <v>0</v>
      </c>
      <c r="H162" s="1099">
        <v>0</v>
      </c>
      <c r="I162" s="63">
        <f>(G162-H162)*'16-PlantAdditions'!$E$103</f>
        <v>0</v>
      </c>
      <c r="J162" s="63">
        <f t="shared" si="27"/>
        <v>5060207.7350000003</v>
      </c>
      <c r="K162" s="63">
        <f t="shared" si="28"/>
        <v>175479.77500000037</v>
      </c>
    </row>
    <row r="163" spans="1:11" s="680" customFormat="1">
      <c r="A163" s="111">
        <f t="shared" si="25"/>
        <v>118</v>
      </c>
      <c r="B163" s="640" t="s">
        <v>190</v>
      </c>
      <c r="C163" s="641">
        <v>2018</v>
      </c>
      <c r="D163" s="1099">
        <v>18380</v>
      </c>
      <c r="E163" s="63">
        <f>D163*'16-PlantAdditions'!$E$103</f>
        <v>1378.5</v>
      </c>
      <c r="F163" s="63">
        <f t="shared" si="26"/>
        <v>19758.5</v>
      </c>
      <c r="G163" s="1099">
        <v>0</v>
      </c>
      <c r="H163" s="1099">
        <v>0</v>
      </c>
      <c r="I163" s="63">
        <f>(G163-H163)*'16-PlantAdditions'!$E$103</f>
        <v>0</v>
      </c>
      <c r="J163" s="63">
        <f t="shared" si="27"/>
        <v>5079966.2350000003</v>
      </c>
      <c r="K163" s="63">
        <f t="shared" si="28"/>
        <v>195238.27500000037</v>
      </c>
    </row>
    <row r="164" spans="1:11" s="680" customFormat="1">
      <c r="A164" s="111">
        <f t="shared" si="25"/>
        <v>119</v>
      </c>
      <c r="B164" s="640" t="s">
        <v>180</v>
      </c>
      <c r="C164" s="641">
        <v>2018</v>
      </c>
      <c r="D164" s="1099">
        <v>18383</v>
      </c>
      <c r="E164" s="63">
        <f>D164*'16-PlantAdditions'!$E$103</f>
        <v>1378.7249999999999</v>
      </c>
      <c r="F164" s="63">
        <f t="shared" si="26"/>
        <v>19761.724999999999</v>
      </c>
      <c r="G164" s="1099">
        <v>0</v>
      </c>
      <c r="H164" s="1099">
        <v>0</v>
      </c>
      <c r="I164" s="63">
        <f>(G164-H164)*'16-PlantAdditions'!$E$103</f>
        <v>0</v>
      </c>
      <c r="J164" s="63">
        <f t="shared" si="27"/>
        <v>5099727.96</v>
      </c>
      <c r="K164" s="63">
        <f t="shared" si="28"/>
        <v>215000</v>
      </c>
    </row>
    <row r="165" spans="1:11" s="680" customFormat="1">
      <c r="A165" s="111">
        <f t="shared" si="25"/>
        <v>120</v>
      </c>
      <c r="B165" s="640" t="s">
        <v>181</v>
      </c>
      <c r="C165" s="641">
        <v>2019</v>
      </c>
      <c r="D165" s="1099">
        <v>25000</v>
      </c>
      <c r="E165" s="63">
        <f>D165*'16-PlantAdditions'!$E$103</f>
        <v>1875</v>
      </c>
      <c r="F165" s="63">
        <f t="shared" si="26"/>
        <v>26875</v>
      </c>
      <c r="G165" s="1099">
        <v>0</v>
      </c>
      <c r="H165" s="1099">
        <v>0</v>
      </c>
      <c r="I165" s="63">
        <f>(G165-H165)*'16-PlantAdditions'!$E$103</f>
        <v>0</v>
      </c>
      <c r="J165" s="63">
        <f t="shared" si="27"/>
        <v>5126602.96</v>
      </c>
      <c r="K165" s="63">
        <f t="shared" si="28"/>
        <v>241875</v>
      </c>
    </row>
    <row r="166" spans="1:11" s="680" customFormat="1">
      <c r="A166" s="111">
        <f t="shared" si="25"/>
        <v>121</v>
      </c>
      <c r="B166" s="643" t="s">
        <v>182</v>
      </c>
      <c r="C166" s="641">
        <v>2019</v>
      </c>
      <c r="D166" s="1099">
        <v>25000</v>
      </c>
      <c r="E166" s="63">
        <f>D166*'16-PlantAdditions'!$E$103</f>
        <v>1875</v>
      </c>
      <c r="F166" s="63">
        <f t="shared" si="26"/>
        <v>26875</v>
      </c>
      <c r="G166" s="1099">
        <v>0</v>
      </c>
      <c r="H166" s="1099">
        <v>0</v>
      </c>
      <c r="I166" s="63">
        <f>(G166-H166)*'16-PlantAdditions'!$E$103</f>
        <v>0</v>
      </c>
      <c r="J166" s="63">
        <f t="shared" si="27"/>
        <v>5153477.96</v>
      </c>
      <c r="K166" s="63">
        <f t="shared" si="28"/>
        <v>268750</v>
      </c>
    </row>
    <row r="167" spans="1:11" s="680" customFormat="1">
      <c r="A167" s="111">
        <f t="shared" si="25"/>
        <v>122</v>
      </c>
      <c r="B167" s="643" t="s">
        <v>195</v>
      </c>
      <c r="C167" s="641">
        <v>2019</v>
      </c>
      <c r="D167" s="1099">
        <v>25000</v>
      </c>
      <c r="E167" s="63">
        <f>D167*'16-PlantAdditions'!$E$103</f>
        <v>1875</v>
      </c>
      <c r="F167" s="63">
        <f t="shared" si="26"/>
        <v>26875</v>
      </c>
      <c r="G167" s="1099">
        <v>0</v>
      </c>
      <c r="H167" s="1099">
        <v>0</v>
      </c>
      <c r="I167" s="63">
        <f>(G167-H167)*'16-PlantAdditions'!$E$103</f>
        <v>0</v>
      </c>
      <c r="J167" s="63">
        <f t="shared" si="27"/>
        <v>5180352.96</v>
      </c>
      <c r="K167" s="63">
        <f t="shared" si="28"/>
        <v>295625</v>
      </c>
    </row>
    <row r="168" spans="1:11" s="680" customFormat="1">
      <c r="A168" s="111">
        <f t="shared" si="25"/>
        <v>123</v>
      </c>
      <c r="B168" s="640" t="s">
        <v>183</v>
      </c>
      <c r="C168" s="641">
        <v>2019</v>
      </c>
      <c r="D168" s="1099">
        <v>25000</v>
      </c>
      <c r="E168" s="63">
        <f>D168*'16-PlantAdditions'!$E$103</f>
        <v>1875</v>
      </c>
      <c r="F168" s="63">
        <f t="shared" si="26"/>
        <v>26875</v>
      </c>
      <c r="G168" s="1099">
        <v>0</v>
      </c>
      <c r="H168" s="1099">
        <v>0</v>
      </c>
      <c r="I168" s="63">
        <f>(G168-H168)*'16-PlantAdditions'!$E$103</f>
        <v>0</v>
      </c>
      <c r="J168" s="63">
        <f t="shared" si="27"/>
        <v>5207227.96</v>
      </c>
      <c r="K168" s="63">
        <f t="shared" si="28"/>
        <v>322500</v>
      </c>
    </row>
    <row r="169" spans="1:11" s="680" customFormat="1">
      <c r="A169" s="111">
        <f t="shared" si="25"/>
        <v>124</v>
      </c>
      <c r="B169" s="643" t="s">
        <v>184</v>
      </c>
      <c r="C169" s="641">
        <v>2019</v>
      </c>
      <c r="D169" s="1099">
        <v>25000</v>
      </c>
      <c r="E169" s="63">
        <f>D169*'16-PlantAdditions'!$E$103</f>
        <v>1875</v>
      </c>
      <c r="F169" s="63">
        <f t="shared" si="26"/>
        <v>26875</v>
      </c>
      <c r="G169" s="1099">
        <v>0</v>
      </c>
      <c r="H169" s="1099">
        <v>0</v>
      </c>
      <c r="I169" s="63">
        <f>(G169-H169)*'16-PlantAdditions'!$E$103</f>
        <v>0</v>
      </c>
      <c r="J169" s="63">
        <f t="shared" si="27"/>
        <v>5234102.96</v>
      </c>
      <c r="K169" s="63">
        <f t="shared" si="28"/>
        <v>349375</v>
      </c>
    </row>
    <row r="170" spans="1:11" s="680" customFormat="1">
      <c r="A170" s="111">
        <f t="shared" si="25"/>
        <v>125</v>
      </c>
      <c r="B170" s="643" t="s">
        <v>1481</v>
      </c>
      <c r="C170" s="641">
        <v>2019</v>
      </c>
      <c r="D170" s="1099">
        <v>25000</v>
      </c>
      <c r="E170" s="63">
        <f>D170*'16-PlantAdditions'!$E$103</f>
        <v>1875</v>
      </c>
      <c r="F170" s="63">
        <f t="shared" si="26"/>
        <v>26875</v>
      </c>
      <c r="G170" s="1099">
        <v>0</v>
      </c>
      <c r="H170" s="1099">
        <v>0</v>
      </c>
      <c r="I170" s="63">
        <f>(G170-H170)*'16-PlantAdditions'!$E$103</f>
        <v>0</v>
      </c>
      <c r="J170" s="63">
        <f t="shared" si="27"/>
        <v>5260977.96</v>
      </c>
      <c r="K170" s="63">
        <f t="shared" si="28"/>
        <v>376250</v>
      </c>
    </row>
    <row r="171" spans="1:11" s="680" customFormat="1">
      <c r="A171" s="111">
        <f t="shared" si="25"/>
        <v>126</v>
      </c>
      <c r="B171" s="640" t="s">
        <v>186</v>
      </c>
      <c r="C171" s="641">
        <v>2019</v>
      </c>
      <c r="D171" s="1099">
        <v>25000</v>
      </c>
      <c r="E171" s="63">
        <f>D171*'16-PlantAdditions'!$E$103</f>
        <v>1875</v>
      </c>
      <c r="F171" s="63">
        <f t="shared" si="26"/>
        <v>26875</v>
      </c>
      <c r="G171" s="1099">
        <v>0</v>
      </c>
      <c r="H171" s="1099">
        <v>0</v>
      </c>
      <c r="I171" s="63">
        <f>(G171-H171)*'16-PlantAdditions'!$E$103</f>
        <v>0</v>
      </c>
      <c r="J171" s="63">
        <f t="shared" si="27"/>
        <v>5287852.96</v>
      </c>
      <c r="K171" s="63">
        <f t="shared" si="28"/>
        <v>403125</v>
      </c>
    </row>
    <row r="172" spans="1:11" s="680" customFormat="1">
      <c r="A172" s="111">
        <f t="shared" si="25"/>
        <v>127</v>
      </c>
      <c r="B172" s="643" t="s">
        <v>187</v>
      </c>
      <c r="C172" s="641">
        <v>2019</v>
      </c>
      <c r="D172" s="1099">
        <v>125000</v>
      </c>
      <c r="E172" s="63">
        <f>D172*'16-PlantAdditions'!$E$103</f>
        <v>9375</v>
      </c>
      <c r="F172" s="63">
        <f t="shared" si="26"/>
        <v>134375</v>
      </c>
      <c r="G172" s="1099">
        <v>0</v>
      </c>
      <c r="H172" s="1099">
        <v>0</v>
      </c>
      <c r="I172" s="63">
        <f>(G172-H172)*'16-PlantAdditions'!$E$103</f>
        <v>0</v>
      </c>
      <c r="J172" s="63">
        <f t="shared" si="27"/>
        <v>5422227.96</v>
      </c>
      <c r="K172" s="63">
        <f t="shared" si="28"/>
        <v>537500</v>
      </c>
    </row>
    <row r="173" spans="1:11" s="680" customFormat="1">
      <c r="A173" s="111">
        <f t="shared" si="25"/>
        <v>128</v>
      </c>
      <c r="B173" s="643" t="s">
        <v>188</v>
      </c>
      <c r="C173" s="641">
        <v>2019</v>
      </c>
      <c r="D173" s="1099">
        <v>250000</v>
      </c>
      <c r="E173" s="63">
        <f>D173*'16-PlantAdditions'!$E$103</f>
        <v>18750</v>
      </c>
      <c r="F173" s="63">
        <f t="shared" si="26"/>
        <v>268750</v>
      </c>
      <c r="G173" s="1099">
        <v>0</v>
      </c>
      <c r="H173" s="1099">
        <v>0</v>
      </c>
      <c r="I173" s="63">
        <f>(G173-H173)*'16-PlantAdditions'!$E$103</f>
        <v>0</v>
      </c>
      <c r="J173" s="63">
        <f t="shared" si="27"/>
        <v>5690977.96</v>
      </c>
      <c r="K173" s="63">
        <f t="shared" si="28"/>
        <v>806250</v>
      </c>
    </row>
    <row r="174" spans="1:11" s="680" customFormat="1">
      <c r="A174" s="111">
        <f t="shared" si="25"/>
        <v>129</v>
      </c>
      <c r="B174" s="643" t="s">
        <v>191</v>
      </c>
      <c r="C174" s="641">
        <v>2019</v>
      </c>
      <c r="D174" s="1099">
        <v>250000</v>
      </c>
      <c r="E174" s="63">
        <f>D174*'16-PlantAdditions'!$E$103</f>
        <v>18750</v>
      </c>
      <c r="F174" s="63">
        <f t="shared" si="26"/>
        <v>268750</v>
      </c>
      <c r="G174" s="1099">
        <v>0</v>
      </c>
      <c r="H174" s="1099">
        <v>0</v>
      </c>
      <c r="I174" s="63">
        <f>(G174-H174)*'16-PlantAdditions'!$E$103</f>
        <v>0</v>
      </c>
      <c r="J174" s="63">
        <f t="shared" ref="J174:J176" si="29">J173+F174-G174-I174</f>
        <v>5959727.96</v>
      </c>
      <c r="K174" s="63">
        <f t="shared" si="28"/>
        <v>1075000</v>
      </c>
    </row>
    <row r="175" spans="1:11" s="680" customFormat="1">
      <c r="A175" s="111">
        <f t="shared" si="25"/>
        <v>130</v>
      </c>
      <c r="B175" s="643" t="s">
        <v>190</v>
      </c>
      <c r="C175" s="641">
        <v>2019</v>
      </c>
      <c r="D175" s="1099">
        <v>250000</v>
      </c>
      <c r="E175" s="63">
        <f>D175*'16-PlantAdditions'!$E$103</f>
        <v>18750</v>
      </c>
      <c r="F175" s="63">
        <f t="shared" si="26"/>
        <v>268750</v>
      </c>
      <c r="G175" s="1099">
        <v>0</v>
      </c>
      <c r="H175" s="1099">
        <v>0</v>
      </c>
      <c r="I175" s="63">
        <f>(G175-H175)*'16-PlantAdditions'!$E$103</f>
        <v>0</v>
      </c>
      <c r="J175" s="63">
        <f t="shared" si="29"/>
        <v>6228477.96</v>
      </c>
      <c r="K175" s="63">
        <f t="shared" si="28"/>
        <v>1343750</v>
      </c>
    </row>
    <row r="176" spans="1:11" s="680" customFormat="1">
      <c r="A176" s="111">
        <f t="shared" si="25"/>
        <v>131</v>
      </c>
      <c r="B176" s="643" t="s">
        <v>180</v>
      </c>
      <c r="C176" s="641">
        <v>2019</v>
      </c>
      <c r="D176" s="1099">
        <v>545000</v>
      </c>
      <c r="E176" s="63">
        <f>D176*'16-PlantAdditions'!$E$103</f>
        <v>40875</v>
      </c>
      <c r="F176" s="63">
        <f t="shared" si="26"/>
        <v>585875</v>
      </c>
      <c r="G176" s="1099">
        <v>0</v>
      </c>
      <c r="H176" s="1099">
        <v>0</v>
      </c>
      <c r="I176" s="63">
        <f>(G176-H176)*'16-PlantAdditions'!$E$103</f>
        <v>0</v>
      </c>
      <c r="J176" s="63">
        <f t="shared" si="29"/>
        <v>6814352.96</v>
      </c>
      <c r="K176" s="112">
        <f t="shared" si="28"/>
        <v>1929625</v>
      </c>
    </row>
    <row r="177" spans="1:11" s="680" customFormat="1">
      <c r="A177" s="111">
        <f t="shared" si="25"/>
        <v>132</v>
      </c>
      <c r="B177"/>
      <c r="C177" s="679" t="s">
        <v>1633</v>
      </c>
      <c r="D177"/>
      <c r="E177"/>
      <c r="F177"/>
      <c r="G177"/>
      <c r="H177"/>
      <c r="I177"/>
      <c r="J177"/>
      <c r="K177" s="73">
        <f>AVERAGE(K164:K176)</f>
        <v>628048.07692307688</v>
      </c>
    </row>
    <row r="178" spans="1:11" s="680" customFormat="1">
      <c r="A178" s="111"/>
      <c r="B178"/>
      <c r="C178" s="679"/>
      <c r="D178"/>
      <c r="E178"/>
      <c r="F178"/>
      <c r="G178"/>
      <c r="H178"/>
      <c r="I178"/>
      <c r="J178"/>
      <c r="K178" s="73"/>
    </row>
    <row r="179" spans="1:11" s="680" customFormat="1">
      <c r="B179" s="681" t="s">
        <v>1967</v>
      </c>
      <c r="D179" s="1385" t="s">
        <v>1977</v>
      </c>
      <c r="E179" s="1385"/>
    </row>
    <row r="180" spans="1:11" s="680" customFormat="1">
      <c r="A180" s="675"/>
      <c r="B180" s="675"/>
      <c r="C180" s="675"/>
      <c r="D180" s="675" t="s">
        <v>363</v>
      </c>
      <c r="E180" s="675" t="s">
        <v>347</v>
      </c>
      <c r="F180" s="675" t="s">
        <v>348</v>
      </c>
      <c r="G180" s="675" t="s">
        <v>349</v>
      </c>
      <c r="H180" s="675" t="s">
        <v>350</v>
      </c>
      <c r="I180" s="675" t="s">
        <v>351</v>
      </c>
      <c r="J180" s="675" t="s">
        <v>352</v>
      </c>
      <c r="K180" s="675" t="s">
        <v>544</v>
      </c>
    </row>
    <row r="181" spans="1:11" s="680" customFormat="1" ht="38.25">
      <c r="D181" s="682"/>
      <c r="E181" s="683" t="s">
        <v>2104</v>
      </c>
      <c r="F181" s="684" t="s">
        <v>1961</v>
      </c>
      <c r="G181" s="492"/>
      <c r="H181" s="682"/>
      <c r="I181" s="683" t="s">
        <v>2105</v>
      </c>
      <c r="J181" s="683" t="s">
        <v>1962</v>
      </c>
      <c r="K181" s="683" t="s">
        <v>1963</v>
      </c>
    </row>
    <row r="182" spans="1:11" s="680" customFormat="1">
      <c r="D182" s="682"/>
      <c r="E182" s="683"/>
      <c r="F182" s="684"/>
      <c r="G182" s="4" t="str">
        <f>G51</f>
        <v>Unloaded</v>
      </c>
      <c r="H182" s="682"/>
      <c r="I182" s="683"/>
      <c r="J182" s="683"/>
      <c r="K182" s="683"/>
    </row>
    <row r="183" spans="1:11" s="680" customFormat="1">
      <c r="A183" s="677"/>
      <c r="B183" s="677"/>
      <c r="C183" s="677"/>
      <c r="D183" s="677" t="str">
        <f>D$52</f>
        <v>Forecast</v>
      </c>
      <c r="E183" s="677" t="str">
        <f t="shared" ref="E183:J183" si="30">E$52</f>
        <v>Corporate</v>
      </c>
      <c r="F183" s="677" t="str">
        <f t="shared" si="30"/>
        <v xml:space="preserve">Total </v>
      </c>
      <c r="G183" s="4" t="str">
        <f>G52</f>
        <v>Total</v>
      </c>
      <c r="H183" s="677" t="str">
        <f t="shared" si="30"/>
        <v>Prior Period</v>
      </c>
      <c r="I183" s="677" t="str">
        <f t="shared" si="30"/>
        <v>Over Heads</v>
      </c>
      <c r="J183" s="677" t="str">
        <f t="shared" si="30"/>
        <v>Forecast</v>
      </c>
      <c r="K183" s="580" t="str">
        <f>K$52</f>
        <v>Forecast Period</v>
      </c>
    </row>
    <row r="184" spans="1:11" s="680" customFormat="1">
      <c r="A184" s="932" t="s">
        <v>332</v>
      </c>
      <c r="B184" s="639" t="s">
        <v>192</v>
      </c>
      <c r="C184" s="639" t="s">
        <v>193</v>
      </c>
      <c r="D184" s="675" t="str">
        <f>D$53</f>
        <v>Expenditures</v>
      </c>
      <c r="E184" s="675" t="str">
        <f t="shared" ref="E184:J184" si="31">E$53</f>
        <v>Overheads</v>
      </c>
      <c r="F184" s="675" t="str">
        <f t="shared" si="31"/>
        <v>CWIP Exp</v>
      </c>
      <c r="G184" s="84" t="str">
        <f>G53</f>
        <v>Plant Adds</v>
      </c>
      <c r="H184" s="675" t="str">
        <f t="shared" si="31"/>
        <v>CWIP Closed</v>
      </c>
      <c r="I184" s="675" t="str">
        <f t="shared" si="31"/>
        <v>Closed to PIS</v>
      </c>
      <c r="J184" s="675" t="str">
        <f t="shared" si="31"/>
        <v>Period CWIP</v>
      </c>
      <c r="K184" s="675" t="str">
        <f>K$53</f>
        <v>Incremental CWIP</v>
      </c>
    </row>
    <row r="185" spans="1:11" s="680" customFormat="1">
      <c r="A185" s="111">
        <f>A177+1</f>
        <v>133</v>
      </c>
      <c r="B185" s="640" t="s">
        <v>180</v>
      </c>
      <c r="C185" s="641">
        <v>2017</v>
      </c>
      <c r="D185" s="684" t="s">
        <v>76</v>
      </c>
      <c r="E185" s="684" t="s">
        <v>76</v>
      </c>
      <c r="F185" s="684" t="s">
        <v>76</v>
      </c>
      <c r="G185" s="684" t="s">
        <v>76</v>
      </c>
      <c r="H185" s="684" t="s">
        <v>76</v>
      </c>
      <c r="I185" s="684" t="s">
        <v>76</v>
      </c>
      <c r="J185" s="63">
        <f>H25</f>
        <v>98805811.510000005</v>
      </c>
      <c r="K185" s="684" t="s">
        <v>76</v>
      </c>
    </row>
    <row r="186" spans="1:11" s="680" customFormat="1">
      <c r="A186" s="111">
        <f>A185+1</f>
        <v>134</v>
      </c>
      <c r="B186" s="640" t="s">
        <v>181</v>
      </c>
      <c r="C186" s="641">
        <v>2018</v>
      </c>
      <c r="D186" s="1099">
        <v>588166.99999999988</v>
      </c>
      <c r="E186" s="63">
        <f>D186*'16-PlantAdditions'!$E$103</f>
        <v>44112.524999999987</v>
      </c>
      <c r="F186" s="63">
        <f>E186+D186</f>
        <v>632279.52499999991</v>
      </c>
      <c r="G186" s="1099">
        <v>0</v>
      </c>
      <c r="H186" s="1099">
        <v>0</v>
      </c>
      <c r="I186" s="63">
        <f>(G186-H186)*'16-PlantAdditions'!$E$103</f>
        <v>0</v>
      </c>
      <c r="J186" s="63">
        <f>J185+F186-G186-I186</f>
        <v>99438091.035000011</v>
      </c>
      <c r="K186" s="63">
        <f>J186-$J$185</f>
        <v>632279.52500000596</v>
      </c>
    </row>
    <row r="187" spans="1:11" s="680" customFormat="1">
      <c r="A187" s="111">
        <f t="shared" ref="A187:A210" si="32">A186+1</f>
        <v>135</v>
      </c>
      <c r="B187" s="643" t="s">
        <v>182</v>
      </c>
      <c r="C187" s="641">
        <v>2018</v>
      </c>
      <c r="D187" s="1099">
        <v>2503299.9999999995</v>
      </c>
      <c r="E187" s="63">
        <f>D187*'16-PlantAdditions'!$E$103</f>
        <v>187747.49999999997</v>
      </c>
      <c r="F187" s="63">
        <f t="shared" ref="F187:F206" si="33">E187+D187</f>
        <v>2691047.4999999995</v>
      </c>
      <c r="G187" s="1099">
        <v>0</v>
      </c>
      <c r="H187" s="1099">
        <v>0</v>
      </c>
      <c r="I187" s="63">
        <f>(G187-H187)*'16-PlantAdditions'!$E$103</f>
        <v>0</v>
      </c>
      <c r="J187" s="63">
        <f t="shared" ref="J187:J206" si="34">J186+F187-G187-I187</f>
        <v>102129138.53500001</v>
      </c>
      <c r="K187" s="63">
        <f t="shared" ref="K187:K209" si="35">J187-$J$185</f>
        <v>3323327.025000006</v>
      </c>
    </row>
    <row r="188" spans="1:11" s="680" customFormat="1">
      <c r="A188" s="111">
        <f t="shared" si="32"/>
        <v>136</v>
      </c>
      <c r="B188" s="643" t="s">
        <v>195</v>
      </c>
      <c r="C188" s="641">
        <v>2018</v>
      </c>
      <c r="D188" s="1099">
        <v>4798387</v>
      </c>
      <c r="E188" s="63">
        <f>D188*'16-PlantAdditions'!$E$103</f>
        <v>359879.02499999997</v>
      </c>
      <c r="F188" s="63">
        <f t="shared" si="33"/>
        <v>5158266.0250000004</v>
      </c>
      <c r="G188" s="1099">
        <v>0</v>
      </c>
      <c r="H188" s="1099">
        <v>0</v>
      </c>
      <c r="I188" s="63">
        <f>(G188-H188)*'16-PlantAdditions'!$E$103</f>
        <v>0</v>
      </c>
      <c r="J188" s="63">
        <f t="shared" si="34"/>
        <v>107287404.56000002</v>
      </c>
      <c r="K188" s="63">
        <f t="shared" si="35"/>
        <v>8481593.0500000119</v>
      </c>
    </row>
    <row r="189" spans="1:11" s="680" customFormat="1">
      <c r="A189" s="111">
        <f t="shared" si="32"/>
        <v>137</v>
      </c>
      <c r="B189" s="640" t="s">
        <v>183</v>
      </c>
      <c r="C189" s="641">
        <v>2018</v>
      </c>
      <c r="D189" s="1099">
        <v>5648177</v>
      </c>
      <c r="E189" s="63">
        <f>D189*'16-PlantAdditions'!$E$103</f>
        <v>423613.27499999997</v>
      </c>
      <c r="F189" s="63">
        <f t="shared" si="33"/>
        <v>6071790.2750000004</v>
      </c>
      <c r="G189" s="1099">
        <v>0</v>
      </c>
      <c r="H189" s="1099">
        <v>0</v>
      </c>
      <c r="I189" s="63">
        <f>(G189-H189)*'16-PlantAdditions'!$E$103</f>
        <v>0</v>
      </c>
      <c r="J189" s="63">
        <f t="shared" si="34"/>
        <v>113359194.83500002</v>
      </c>
      <c r="K189" s="63">
        <f t="shared" si="35"/>
        <v>14553383.325000018</v>
      </c>
    </row>
    <row r="190" spans="1:11" s="680" customFormat="1">
      <c r="A190" s="111">
        <f t="shared" si="32"/>
        <v>138</v>
      </c>
      <c r="B190" s="643" t="s">
        <v>184</v>
      </c>
      <c r="C190" s="641">
        <v>2018</v>
      </c>
      <c r="D190" s="1099">
        <v>5573177</v>
      </c>
      <c r="E190" s="63">
        <f>D190*'16-PlantAdditions'!$E$103</f>
        <v>417988.27499999997</v>
      </c>
      <c r="F190" s="63">
        <f t="shared" si="33"/>
        <v>5991165.2750000004</v>
      </c>
      <c r="G190" s="1099">
        <v>0</v>
      </c>
      <c r="H190" s="1099">
        <v>0</v>
      </c>
      <c r="I190" s="63">
        <f>(G190-H190)*'16-PlantAdditions'!$E$103</f>
        <v>0</v>
      </c>
      <c r="J190" s="63">
        <f t="shared" si="34"/>
        <v>119350360.11000003</v>
      </c>
      <c r="K190" s="63">
        <f t="shared" si="35"/>
        <v>20544548.600000024</v>
      </c>
    </row>
    <row r="191" spans="1:11" s="680" customFormat="1">
      <c r="A191" s="111">
        <f t="shared" si="32"/>
        <v>139</v>
      </c>
      <c r="B191" s="643" t="s">
        <v>1481</v>
      </c>
      <c r="C191" s="641">
        <v>2018</v>
      </c>
      <c r="D191" s="1099">
        <v>6499929</v>
      </c>
      <c r="E191" s="63">
        <f>D191*'16-PlantAdditions'!$E$103</f>
        <v>487494.67499999999</v>
      </c>
      <c r="F191" s="63">
        <f t="shared" si="33"/>
        <v>6987423.6749999998</v>
      </c>
      <c r="G191" s="1099">
        <v>2458050.5399999996</v>
      </c>
      <c r="H191" s="1099">
        <v>2207008.54</v>
      </c>
      <c r="I191" s="63">
        <f>(G191-H191)*'16-PlantAdditions'!$E$103</f>
        <v>18828.149999999965</v>
      </c>
      <c r="J191" s="63">
        <f t="shared" si="34"/>
        <v>123860905.09500001</v>
      </c>
      <c r="K191" s="63">
        <f t="shared" si="35"/>
        <v>25055093.585000008</v>
      </c>
    </row>
    <row r="192" spans="1:11" s="680" customFormat="1">
      <c r="A192" s="111">
        <f t="shared" si="32"/>
        <v>140</v>
      </c>
      <c r="B192" s="640" t="s">
        <v>186</v>
      </c>
      <c r="C192" s="641">
        <v>2018</v>
      </c>
      <c r="D192" s="1099">
        <v>5781065</v>
      </c>
      <c r="E192" s="63">
        <f>D192*'16-PlantAdditions'!$E$103</f>
        <v>433579.875</v>
      </c>
      <c r="F192" s="63">
        <f t="shared" si="33"/>
        <v>6214644.875</v>
      </c>
      <c r="G192" s="1099">
        <v>45000</v>
      </c>
      <c r="H192" s="1099">
        <v>0</v>
      </c>
      <c r="I192" s="63">
        <f>(G192-H192)*'16-PlantAdditions'!$E$103</f>
        <v>3375</v>
      </c>
      <c r="J192" s="63">
        <f t="shared" si="34"/>
        <v>130027174.97000001</v>
      </c>
      <c r="K192" s="63">
        <f t="shared" si="35"/>
        <v>31221363.460000008</v>
      </c>
    </row>
    <row r="193" spans="1:11" s="680" customFormat="1">
      <c r="A193" s="111">
        <f t="shared" si="32"/>
        <v>141</v>
      </c>
      <c r="B193" s="643" t="s">
        <v>187</v>
      </c>
      <c r="C193" s="641">
        <v>2018</v>
      </c>
      <c r="D193" s="1099">
        <v>7660609</v>
      </c>
      <c r="E193" s="63">
        <f>D193*'16-PlantAdditions'!$E$103</f>
        <v>574545.67499999993</v>
      </c>
      <c r="F193" s="63">
        <f t="shared" si="33"/>
        <v>8235154.6749999998</v>
      </c>
      <c r="G193" s="1099">
        <v>45000</v>
      </c>
      <c r="H193" s="1099">
        <v>0</v>
      </c>
      <c r="I193" s="63">
        <f>(G193-H193)*'16-PlantAdditions'!$E$103</f>
        <v>3375</v>
      </c>
      <c r="J193" s="63">
        <f t="shared" si="34"/>
        <v>138213954.64500001</v>
      </c>
      <c r="K193" s="63">
        <f t="shared" si="35"/>
        <v>39408143.135000005</v>
      </c>
    </row>
    <row r="194" spans="1:11" s="680" customFormat="1">
      <c r="A194" s="111">
        <f t="shared" si="32"/>
        <v>142</v>
      </c>
      <c r="B194" s="643" t="s">
        <v>188</v>
      </c>
      <c r="C194" s="641">
        <v>2018</v>
      </c>
      <c r="D194" s="1099">
        <v>7537297</v>
      </c>
      <c r="E194" s="63">
        <f>D194*'16-PlantAdditions'!$E$103</f>
        <v>565297.27500000002</v>
      </c>
      <c r="F194" s="63">
        <f t="shared" si="33"/>
        <v>8102594.2750000004</v>
      </c>
      <c r="G194" s="1099">
        <v>45000</v>
      </c>
      <c r="H194" s="1099">
        <v>0</v>
      </c>
      <c r="I194" s="63">
        <f>(G194-H194)*'16-PlantAdditions'!$E$103</f>
        <v>3375</v>
      </c>
      <c r="J194" s="63">
        <f t="shared" si="34"/>
        <v>146268173.92000002</v>
      </c>
      <c r="K194" s="63">
        <f t="shared" si="35"/>
        <v>47462362.410000011</v>
      </c>
    </row>
    <row r="195" spans="1:11" s="680" customFormat="1">
      <c r="A195" s="111">
        <f t="shared" si="32"/>
        <v>143</v>
      </c>
      <c r="B195" s="640" t="s">
        <v>191</v>
      </c>
      <c r="C195" s="641">
        <v>2018</v>
      </c>
      <c r="D195" s="1099">
        <v>18313481</v>
      </c>
      <c r="E195" s="63">
        <f>D195*'16-PlantAdditions'!$E$103</f>
        <v>1373511.075</v>
      </c>
      <c r="F195" s="63">
        <f t="shared" si="33"/>
        <v>19686992.074999999</v>
      </c>
      <c r="G195" s="1099">
        <v>75673</v>
      </c>
      <c r="H195" s="1099">
        <v>0</v>
      </c>
      <c r="I195" s="63">
        <f>(G195-H195)*'16-PlantAdditions'!$E$103</f>
        <v>5675.4749999999995</v>
      </c>
      <c r="J195" s="63">
        <f t="shared" si="34"/>
        <v>165873817.52000001</v>
      </c>
      <c r="K195" s="63">
        <f t="shared" si="35"/>
        <v>67068006.010000005</v>
      </c>
    </row>
    <row r="196" spans="1:11" s="680" customFormat="1">
      <c r="A196" s="111">
        <f t="shared" si="32"/>
        <v>144</v>
      </c>
      <c r="B196" s="640" t="s">
        <v>190</v>
      </c>
      <c r="C196" s="641">
        <v>2018</v>
      </c>
      <c r="D196" s="1099">
        <v>19079066</v>
      </c>
      <c r="E196" s="63">
        <f>D196*'16-PlantAdditions'!$E$103</f>
        <v>1430929.95</v>
      </c>
      <c r="F196" s="63">
        <f t="shared" si="33"/>
        <v>20509995.949999999</v>
      </c>
      <c r="G196" s="1099">
        <v>45000</v>
      </c>
      <c r="H196" s="1099">
        <v>0</v>
      </c>
      <c r="I196" s="63">
        <f>(G196-H196)*'16-PlantAdditions'!$E$103</f>
        <v>3375</v>
      </c>
      <c r="J196" s="63">
        <f t="shared" si="34"/>
        <v>186335438.47</v>
      </c>
      <c r="K196" s="63">
        <f t="shared" si="35"/>
        <v>87529626.959999993</v>
      </c>
    </row>
    <row r="197" spans="1:11" s="680" customFormat="1">
      <c r="A197" s="111">
        <f t="shared" si="32"/>
        <v>145</v>
      </c>
      <c r="B197" s="640" t="s">
        <v>180</v>
      </c>
      <c r="C197" s="641">
        <v>2018</v>
      </c>
      <c r="D197" s="1099">
        <v>20045129.999999996</v>
      </c>
      <c r="E197" s="63">
        <f>D197*'16-PlantAdditions'!$E$103</f>
        <v>1503384.7499999998</v>
      </c>
      <c r="F197" s="63">
        <f t="shared" si="33"/>
        <v>21548514.749999996</v>
      </c>
      <c r="G197" s="1099">
        <v>18456121.27</v>
      </c>
      <c r="H197" s="1099">
        <v>8497680.2700000014</v>
      </c>
      <c r="I197" s="63">
        <f>(G197-H197)*'16-PlantAdditions'!$E$103</f>
        <v>746883.07499999984</v>
      </c>
      <c r="J197" s="63">
        <f t="shared" si="34"/>
        <v>188680948.875</v>
      </c>
      <c r="K197" s="63">
        <f t="shared" si="35"/>
        <v>89875137.364999995</v>
      </c>
    </row>
    <row r="198" spans="1:11" s="680" customFormat="1">
      <c r="A198" s="111">
        <f t="shared" si="32"/>
        <v>146</v>
      </c>
      <c r="B198" s="640" t="s">
        <v>181</v>
      </c>
      <c r="C198" s="641">
        <v>2019</v>
      </c>
      <c r="D198" s="1099">
        <v>4609602</v>
      </c>
      <c r="E198" s="63">
        <f>D198*'16-PlantAdditions'!$E$103</f>
        <v>345720.14999999997</v>
      </c>
      <c r="F198" s="63">
        <f t="shared" si="33"/>
        <v>4955322.1500000004</v>
      </c>
      <c r="G198" s="1099">
        <v>185000</v>
      </c>
      <c r="H198" s="1099">
        <v>0</v>
      </c>
      <c r="I198" s="63">
        <f>(G198-H198)*'16-PlantAdditions'!$E$103</f>
        <v>13875</v>
      </c>
      <c r="J198" s="63">
        <f t="shared" si="34"/>
        <v>193437396.02500001</v>
      </c>
      <c r="K198" s="63">
        <f t="shared" si="35"/>
        <v>94631584.515000001</v>
      </c>
    </row>
    <row r="199" spans="1:11" s="680" customFormat="1">
      <c r="A199" s="111">
        <f t="shared" si="32"/>
        <v>147</v>
      </c>
      <c r="B199" s="643" t="s">
        <v>182</v>
      </c>
      <c r="C199" s="641">
        <v>2019</v>
      </c>
      <c r="D199" s="1099">
        <v>5236167</v>
      </c>
      <c r="E199" s="63">
        <f>D199*'16-PlantAdditions'!$E$103</f>
        <v>392712.52499999997</v>
      </c>
      <c r="F199" s="63">
        <f t="shared" si="33"/>
        <v>5628879.5250000004</v>
      </c>
      <c r="G199" s="1099">
        <v>190000</v>
      </c>
      <c r="H199" s="1099">
        <v>0</v>
      </c>
      <c r="I199" s="63">
        <f>(G199-H199)*'16-PlantAdditions'!$E$103</f>
        <v>14250</v>
      </c>
      <c r="J199" s="63">
        <f t="shared" si="34"/>
        <v>198862025.55000001</v>
      </c>
      <c r="K199" s="63">
        <f t="shared" si="35"/>
        <v>100056214.04000001</v>
      </c>
    </row>
    <row r="200" spans="1:11" s="680" customFormat="1">
      <c r="A200" s="111">
        <f t="shared" si="32"/>
        <v>148</v>
      </c>
      <c r="B200" s="643" t="s">
        <v>195</v>
      </c>
      <c r="C200" s="641">
        <v>2019</v>
      </c>
      <c r="D200" s="1099">
        <v>11290424</v>
      </c>
      <c r="E200" s="63">
        <f>D200*'16-PlantAdditions'!$E$103</f>
        <v>846781.79999999993</v>
      </c>
      <c r="F200" s="63">
        <f t="shared" si="33"/>
        <v>12137205.800000001</v>
      </c>
      <c r="G200" s="1099">
        <v>340000</v>
      </c>
      <c r="H200" s="1099">
        <v>0</v>
      </c>
      <c r="I200" s="63">
        <f>(G200-H200)*'16-PlantAdditions'!$E$103</f>
        <v>25500</v>
      </c>
      <c r="J200" s="63">
        <f t="shared" si="34"/>
        <v>210633731.35000002</v>
      </c>
      <c r="K200" s="63">
        <f t="shared" si="35"/>
        <v>111827919.84000002</v>
      </c>
    </row>
    <row r="201" spans="1:11" s="680" customFormat="1">
      <c r="A201" s="111">
        <f t="shared" si="32"/>
        <v>149</v>
      </c>
      <c r="B201" s="640" t="s">
        <v>183</v>
      </c>
      <c r="C201" s="641">
        <v>2019</v>
      </c>
      <c r="D201" s="1099">
        <v>12835520</v>
      </c>
      <c r="E201" s="63">
        <f>D201*'16-PlantAdditions'!$E$103</f>
        <v>962664</v>
      </c>
      <c r="F201" s="63">
        <f t="shared" si="33"/>
        <v>13798184</v>
      </c>
      <c r="G201" s="1099">
        <v>340000</v>
      </c>
      <c r="H201" s="1099">
        <v>0</v>
      </c>
      <c r="I201" s="63">
        <f>(G201-H201)*'16-PlantAdditions'!$E$103</f>
        <v>25500</v>
      </c>
      <c r="J201" s="63">
        <f t="shared" si="34"/>
        <v>224066415.35000002</v>
      </c>
      <c r="K201" s="63">
        <f t="shared" si="35"/>
        <v>125260603.84000002</v>
      </c>
    </row>
    <row r="202" spans="1:11" s="680" customFormat="1">
      <c r="A202" s="111">
        <f t="shared" si="32"/>
        <v>150</v>
      </c>
      <c r="B202" s="643" t="s">
        <v>184</v>
      </c>
      <c r="C202" s="641">
        <v>2019</v>
      </c>
      <c r="D202" s="1099">
        <v>13428006</v>
      </c>
      <c r="E202" s="63">
        <f>D202*'16-PlantAdditions'!$E$103</f>
        <v>1007100.45</v>
      </c>
      <c r="F202" s="63">
        <f t="shared" si="33"/>
        <v>14435106.449999999</v>
      </c>
      <c r="G202" s="1099">
        <v>340000</v>
      </c>
      <c r="H202" s="1099">
        <v>0</v>
      </c>
      <c r="I202" s="63">
        <f>(G202-H202)*'16-PlantAdditions'!$E$103</f>
        <v>25500</v>
      </c>
      <c r="J202" s="63">
        <f t="shared" si="34"/>
        <v>238136021.80000001</v>
      </c>
      <c r="K202" s="63">
        <f t="shared" si="35"/>
        <v>139330210.29000002</v>
      </c>
    </row>
    <row r="203" spans="1:11" s="680" customFormat="1">
      <c r="A203" s="111">
        <f t="shared" si="32"/>
        <v>151</v>
      </c>
      <c r="B203" s="643" t="s">
        <v>1481</v>
      </c>
      <c r="C203" s="641">
        <v>2019</v>
      </c>
      <c r="D203" s="1099">
        <v>14204694</v>
      </c>
      <c r="E203" s="63">
        <f>D203*'16-PlantAdditions'!$E$103</f>
        <v>1065352.05</v>
      </c>
      <c r="F203" s="63">
        <f t="shared" si="33"/>
        <v>15270046.050000001</v>
      </c>
      <c r="G203" s="1099">
        <v>340000</v>
      </c>
      <c r="H203" s="1099">
        <v>0</v>
      </c>
      <c r="I203" s="63">
        <f>(G203-H203)*'16-PlantAdditions'!$E$103</f>
        <v>25500</v>
      </c>
      <c r="J203" s="63">
        <f t="shared" si="34"/>
        <v>253040567.85000002</v>
      </c>
      <c r="K203" s="63">
        <f t="shared" si="35"/>
        <v>154234756.34000003</v>
      </c>
    </row>
    <row r="204" spans="1:11" s="680" customFormat="1">
      <c r="A204" s="111">
        <f t="shared" si="32"/>
        <v>152</v>
      </c>
      <c r="B204" s="640" t="s">
        <v>186</v>
      </c>
      <c r="C204" s="641">
        <v>2019</v>
      </c>
      <c r="D204" s="1099">
        <v>14472486</v>
      </c>
      <c r="E204" s="63">
        <f>D204*'16-PlantAdditions'!$E$103</f>
        <v>1085436.45</v>
      </c>
      <c r="F204" s="63">
        <f t="shared" si="33"/>
        <v>15557922.449999999</v>
      </c>
      <c r="G204" s="1099">
        <v>340000</v>
      </c>
      <c r="H204" s="1099">
        <v>0</v>
      </c>
      <c r="I204" s="63">
        <f>(G204-H204)*'16-PlantAdditions'!$E$103</f>
        <v>25500</v>
      </c>
      <c r="J204" s="63">
        <f t="shared" si="34"/>
        <v>268232990.30000001</v>
      </c>
      <c r="K204" s="63">
        <f t="shared" si="35"/>
        <v>169427178.79000002</v>
      </c>
    </row>
    <row r="205" spans="1:11" s="680" customFormat="1">
      <c r="A205" s="111">
        <f t="shared" si="32"/>
        <v>153</v>
      </c>
      <c r="B205" s="643" t="s">
        <v>187</v>
      </c>
      <c r="C205" s="641">
        <v>2019</v>
      </c>
      <c r="D205" s="1099">
        <v>14642486</v>
      </c>
      <c r="E205" s="63">
        <f>D205*'16-PlantAdditions'!$E$103</f>
        <v>1098186.45</v>
      </c>
      <c r="F205" s="63">
        <f t="shared" si="33"/>
        <v>15740672.449999999</v>
      </c>
      <c r="G205" s="1099">
        <v>340000</v>
      </c>
      <c r="H205" s="1099">
        <v>0</v>
      </c>
      <c r="I205" s="63">
        <f>(G205-H205)*'16-PlantAdditions'!$E$103</f>
        <v>25500</v>
      </c>
      <c r="J205" s="63">
        <f t="shared" si="34"/>
        <v>283608162.75</v>
      </c>
      <c r="K205" s="63">
        <f t="shared" si="35"/>
        <v>184802351.24000001</v>
      </c>
    </row>
    <row r="206" spans="1:11" s="680" customFormat="1">
      <c r="A206" s="111">
        <f t="shared" si="32"/>
        <v>154</v>
      </c>
      <c r="B206" s="643" t="s">
        <v>188</v>
      </c>
      <c r="C206" s="641">
        <v>2019</v>
      </c>
      <c r="D206" s="1099">
        <v>15213790</v>
      </c>
      <c r="E206" s="63">
        <f>D206*'16-PlantAdditions'!$E$103</f>
        <v>1141034.25</v>
      </c>
      <c r="F206" s="63">
        <f t="shared" si="33"/>
        <v>16354824.25</v>
      </c>
      <c r="G206" s="1099">
        <v>340000</v>
      </c>
      <c r="H206" s="1099">
        <v>0</v>
      </c>
      <c r="I206" s="63">
        <f>(G206-H206)*'16-PlantAdditions'!$E$103</f>
        <v>25500</v>
      </c>
      <c r="J206" s="63">
        <f t="shared" si="34"/>
        <v>299597487</v>
      </c>
      <c r="K206" s="63">
        <f t="shared" si="35"/>
        <v>200791675.49000001</v>
      </c>
    </row>
    <row r="207" spans="1:11" s="680" customFormat="1">
      <c r="A207" s="111">
        <f t="shared" si="32"/>
        <v>155</v>
      </c>
      <c r="B207" s="643" t="s">
        <v>191</v>
      </c>
      <c r="C207" s="641">
        <v>2019</v>
      </c>
      <c r="D207" s="1099">
        <v>18580671</v>
      </c>
      <c r="E207" s="63">
        <f>D207*'16-PlantAdditions'!$E$103</f>
        <v>1393550.325</v>
      </c>
      <c r="F207" s="63">
        <f t="shared" ref="F207:F209" si="36">E207+D207</f>
        <v>19974221.324999999</v>
      </c>
      <c r="G207" s="1099">
        <v>5706366.5899999999</v>
      </c>
      <c r="H207" s="1099">
        <v>3174604.59</v>
      </c>
      <c r="I207" s="63">
        <f>(G207-H207)*'16-PlantAdditions'!$E$103</f>
        <v>189882.15</v>
      </c>
      <c r="J207" s="63">
        <f t="shared" ref="J207:J209" si="37">J206+F207-G207-I207</f>
        <v>313675459.58500004</v>
      </c>
      <c r="K207" s="63">
        <f t="shared" si="35"/>
        <v>214869648.07500005</v>
      </c>
    </row>
    <row r="208" spans="1:11" s="680" customFormat="1">
      <c r="A208" s="111">
        <f t="shared" si="32"/>
        <v>156</v>
      </c>
      <c r="B208" s="643" t="s">
        <v>190</v>
      </c>
      <c r="C208" s="641">
        <v>2019</v>
      </c>
      <c r="D208" s="1099">
        <v>13761026</v>
      </c>
      <c r="E208" s="63">
        <f>D208*'16-PlantAdditions'!$E$103</f>
        <v>1032076.95</v>
      </c>
      <c r="F208" s="63">
        <f t="shared" si="36"/>
        <v>14793102.949999999</v>
      </c>
      <c r="G208" s="1099">
        <v>290000</v>
      </c>
      <c r="H208" s="1099">
        <v>0</v>
      </c>
      <c r="I208" s="63">
        <f>(G208-H208)*'16-PlantAdditions'!$E$103</f>
        <v>21750</v>
      </c>
      <c r="J208" s="63">
        <f t="shared" si="37"/>
        <v>328156812.53500003</v>
      </c>
      <c r="K208" s="63">
        <f t="shared" si="35"/>
        <v>229351001.02500004</v>
      </c>
    </row>
    <row r="209" spans="1:11" s="680" customFormat="1">
      <c r="A209" s="111">
        <f t="shared" si="32"/>
        <v>157</v>
      </c>
      <c r="B209" s="643" t="s">
        <v>180</v>
      </c>
      <c r="C209" s="641">
        <v>2019</v>
      </c>
      <c r="D209" s="1099">
        <v>14863709</v>
      </c>
      <c r="E209" s="63">
        <f>D209*'16-PlantAdditions'!$E$103</f>
        <v>1114778.175</v>
      </c>
      <c r="F209" s="63">
        <f t="shared" si="36"/>
        <v>15978487.175000001</v>
      </c>
      <c r="G209" s="1099">
        <v>290000</v>
      </c>
      <c r="H209" s="1099">
        <v>0</v>
      </c>
      <c r="I209" s="63">
        <f>(G209-H209)*'16-PlantAdditions'!$E$103</f>
        <v>21750</v>
      </c>
      <c r="J209" s="63">
        <f t="shared" si="37"/>
        <v>343823549.71000004</v>
      </c>
      <c r="K209" s="112">
        <f t="shared" si="35"/>
        <v>245017738.20000005</v>
      </c>
    </row>
    <row r="210" spans="1:11" s="680" customFormat="1">
      <c r="A210" s="111">
        <f t="shared" si="32"/>
        <v>158</v>
      </c>
      <c r="B210"/>
      <c r="C210" s="679" t="s">
        <v>1633</v>
      </c>
      <c r="D210"/>
      <c r="E210"/>
      <c r="F210"/>
      <c r="G210"/>
      <c r="H210"/>
      <c r="I210"/>
      <c r="J210"/>
      <c r="K210" s="73">
        <f>AVERAGE(K197:K209)</f>
        <v>158421232.23461542</v>
      </c>
    </row>
    <row r="211" spans="1:11" s="680" customFormat="1">
      <c r="A211" s="111"/>
      <c r="B211"/>
      <c r="C211" s="679"/>
      <c r="D211"/>
      <c r="E211"/>
      <c r="F211"/>
      <c r="G211"/>
      <c r="H211"/>
      <c r="I211"/>
      <c r="J211"/>
      <c r="K211" s="73"/>
    </row>
    <row r="212" spans="1:11" s="680" customFormat="1">
      <c r="B212" s="681" t="s">
        <v>1968</v>
      </c>
      <c r="D212" s="1385" t="s">
        <v>548</v>
      </c>
      <c r="E212" s="1385"/>
    </row>
    <row r="213" spans="1:11" s="680" customFormat="1">
      <c r="D213" s="682"/>
      <c r="E213" s="682"/>
      <c r="F213" s="682"/>
      <c r="G213" s="580" t="str">
        <f>G51</f>
        <v>Unloaded</v>
      </c>
      <c r="H213" s="682"/>
      <c r="I213" s="682"/>
    </row>
    <row r="214" spans="1:11" s="680" customFormat="1">
      <c r="A214" s="677"/>
      <c r="B214" s="677"/>
      <c r="C214" s="677"/>
      <c r="D214" s="677" t="str">
        <f>D$52</f>
        <v>Forecast</v>
      </c>
      <c r="E214" s="677" t="str">
        <f t="shared" ref="E214:J214" si="38">E$52</f>
        <v>Corporate</v>
      </c>
      <c r="F214" s="677" t="str">
        <f t="shared" si="38"/>
        <v xml:space="preserve">Total </v>
      </c>
      <c r="G214" s="580" t="str">
        <f>G52</f>
        <v>Total</v>
      </c>
      <c r="H214" s="677" t="str">
        <f t="shared" si="38"/>
        <v>Prior Period</v>
      </c>
      <c r="I214" s="677" t="str">
        <f t="shared" si="38"/>
        <v>Over Heads</v>
      </c>
      <c r="J214" s="677" t="str">
        <f t="shared" si="38"/>
        <v>Forecast</v>
      </c>
      <c r="K214" s="580" t="str">
        <f>K$52</f>
        <v>Forecast Period</v>
      </c>
    </row>
    <row r="215" spans="1:11" s="680" customFormat="1">
      <c r="A215" s="932" t="s">
        <v>332</v>
      </c>
      <c r="B215" s="639" t="s">
        <v>192</v>
      </c>
      <c r="C215" s="639" t="s">
        <v>193</v>
      </c>
      <c r="D215" s="675" t="str">
        <f>D$53</f>
        <v>Expenditures</v>
      </c>
      <c r="E215" s="675" t="str">
        <f t="shared" ref="E215:J215" si="39">E$53</f>
        <v>Overheads</v>
      </c>
      <c r="F215" s="675" t="str">
        <f t="shared" si="39"/>
        <v>CWIP Exp</v>
      </c>
      <c r="G215" s="3" t="str">
        <f>G53</f>
        <v>Plant Adds</v>
      </c>
      <c r="H215" s="675" t="str">
        <f t="shared" si="39"/>
        <v>CWIP Closed</v>
      </c>
      <c r="I215" s="675" t="str">
        <f t="shared" si="39"/>
        <v>Closed to PIS</v>
      </c>
      <c r="J215" s="675" t="str">
        <f t="shared" si="39"/>
        <v>Period CWIP</v>
      </c>
      <c r="K215" s="675" t="str">
        <f>K$53</f>
        <v>Incremental CWIP</v>
      </c>
    </row>
    <row r="216" spans="1:11" s="680" customFormat="1">
      <c r="A216" s="111">
        <f>A210+1</f>
        <v>159</v>
      </c>
      <c r="B216" s="640" t="s">
        <v>180</v>
      </c>
      <c r="C216" s="641">
        <v>2017</v>
      </c>
      <c r="D216" s="684" t="s">
        <v>76</v>
      </c>
      <c r="E216" s="684" t="s">
        <v>76</v>
      </c>
      <c r="F216" s="684" t="s">
        <v>76</v>
      </c>
      <c r="G216" s="684" t="s">
        <v>76</v>
      </c>
      <c r="H216" s="684" t="s">
        <v>76</v>
      </c>
      <c r="I216" s="684" t="s">
        <v>76</v>
      </c>
      <c r="J216" s="63">
        <f>I25</f>
        <v>0</v>
      </c>
      <c r="K216" s="684" t="s">
        <v>76</v>
      </c>
    </row>
    <row r="217" spans="1:11" s="680" customFormat="1">
      <c r="A217" s="111">
        <f>A216+1</f>
        <v>160</v>
      </c>
      <c r="B217" s="640" t="s">
        <v>181</v>
      </c>
      <c r="C217" s="641">
        <v>2018</v>
      </c>
      <c r="D217" s="1099">
        <v>0</v>
      </c>
      <c r="E217" s="63">
        <f>D217*'16-PlantAdditions'!$E$103</f>
        <v>0</v>
      </c>
      <c r="F217" s="63">
        <f>E217+D217</f>
        <v>0</v>
      </c>
      <c r="G217" s="1099">
        <v>0</v>
      </c>
      <c r="H217" s="1099">
        <v>0</v>
      </c>
      <c r="I217" s="63">
        <f>(G217-H217)*'16-PlantAdditions'!$E$103</f>
        <v>0</v>
      </c>
      <c r="J217" s="63">
        <f>J216+F217-G217-I217</f>
        <v>0</v>
      </c>
      <c r="K217" s="63">
        <f>J217-$J$216</f>
        <v>0</v>
      </c>
    </row>
    <row r="218" spans="1:11" s="680" customFormat="1">
      <c r="A218" s="111">
        <f t="shared" ref="A218:A241" si="40">A217+1</f>
        <v>161</v>
      </c>
      <c r="B218" s="643" t="s">
        <v>182</v>
      </c>
      <c r="C218" s="641">
        <v>2018</v>
      </c>
      <c r="D218" s="1099">
        <v>0</v>
      </c>
      <c r="E218" s="63">
        <f>D218*'16-PlantAdditions'!$E$103</f>
        <v>0</v>
      </c>
      <c r="F218" s="63">
        <f t="shared" ref="F218:F237" si="41">E218+D218</f>
        <v>0</v>
      </c>
      <c r="G218" s="1099">
        <v>0</v>
      </c>
      <c r="H218" s="1099">
        <v>0</v>
      </c>
      <c r="I218" s="63">
        <f>(G218-H218)*'16-PlantAdditions'!$E$103</f>
        <v>0</v>
      </c>
      <c r="J218" s="63">
        <f t="shared" ref="J218:J237" si="42">J217+F218-G218-I218</f>
        <v>0</v>
      </c>
      <c r="K218" s="63">
        <f t="shared" ref="K218:K240" si="43">J218-$J$216</f>
        <v>0</v>
      </c>
    </row>
    <row r="219" spans="1:11" s="680" customFormat="1">
      <c r="A219" s="111">
        <f t="shared" si="40"/>
        <v>162</v>
      </c>
      <c r="B219" s="643" t="s">
        <v>195</v>
      </c>
      <c r="C219" s="641">
        <v>2018</v>
      </c>
      <c r="D219" s="1099">
        <v>0</v>
      </c>
      <c r="E219" s="63">
        <f>D219*'16-PlantAdditions'!$E$103</f>
        <v>0</v>
      </c>
      <c r="F219" s="63">
        <f t="shared" si="41"/>
        <v>0</v>
      </c>
      <c r="G219" s="1099">
        <v>0</v>
      </c>
      <c r="H219" s="1099">
        <v>0</v>
      </c>
      <c r="I219" s="63">
        <f>(G219-H219)*'16-PlantAdditions'!$E$103</f>
        <v>0</v>
      </c>
      <c r="J219" s="63">
        <f t="shared" si="42"/>
        <v>0</v>
      </c>
      <c r="K219" s="63">
        <f t="shared" si="43"/>
        <v>0</v>
      </c>
    </row>
    <row r="220" spans="1:11" s="680" customFormat="1">
      <c r="A220" s="111">
        <f t="shared" si="40"/>
        <v>163</v>
      </c>
      <c r="B220" s="640" t="s">
        <v>183</v>
      </c>
      <c r="C220" s="641">
        <v>2018</v>
      </c>
      <c r="D220" s="1099">
        <v>0</v>
      </c>
      <c r="E220" s="63">
        <f>D220*'16-PlantAdditions'!$E$103</f>
        <v>0</v>
      </c>
      <c r="F220" s="63">
        <f t="shared" si="41"/>
        <v>0</v>
      </c>
      <c r="G220" s="1099">
        <v>0</v>
      </c>
      <c r="H220" s="1099">
        <v>0</v>
      </c>
      <c r="I220" s="63">
        <f>(G220-H220)*'16-PlantAdditions'!$E$103</f>
        <v>0</v>
      </c>
      <c r="J220" s="63">
        <f t="shared" si="42"/>
        <v>0</v>
      </c>
      <c r="K220" s="63">
        <f t="shared" si="43"/>
        <v>0</v>
      </c>
    </row>
    <row r="221" spans="1:11" s="680" customFormat="1">
      <c r="A221" s="111">
        <f t="shared" si="40"/>
        <v>164</v>
      </c>
      <c r="B221" s="643" t="s">
        <v>184</v>
      </c>
      <c r="C221" s="641">
        <v>2018</v>
      </c>
      <c r="D221" s="1099">
        <v>0</v>
      </c>
      <c r="E221" s="63">
        <f>D221*'16-PlantAdditions'!$E$103</f>
        <v>0</v>
      </c>
      <c r="F221" s="63">
        <f t="shared" si="41"/>
        <v>0</v>
      </c>
      <c r="G221" s="1099">
        <v>0</v>
      </c>
      <c r="H221" s="1099">
        <v>0</v>
      </c>
      <c r="I221" s="63">
        <f>(G221-H221)*'16-PlantAdditions'!$E$103</f>
        <v>0</v>
      </c>
      <c r="J221" s="63">
        <f t="shared" si="42"/>
        <v>0</v>
      </c>
      <c r="K221" s="63">
        <f t="shared" si="43"/>
        <v>0</v>
      </c>
    </row>
    <row r="222" spans="1:11" s="680" customFormat="1">
      <c r="A222" s="111">
        <f t="shared" si="40"/>
        <v>165</v>
      </c>
      <c r="B222" s="643" t="s">
        <v>1481</v>
      </c>
      <c r="C222" s="641">
        <v>2018</v>
      </c>
      <c r="D222" s="1099">
        <v>0</v>
      </c>
      <c r="E222" s="63">
        <f>D222*'16-PlantAdditions'!$E$103</f>
        <v>0</v>
      </c>
      <c r="F222" s="63">
        <f t="shared" si="41"/>
        <v>0</v>
      </c>
      <c r="G222" s="1099">
        <v>0</v>
      </c>
      <c r="H222" s="1099">
        <v>0</v>
      </c>
      <c r="I222" s="63">
        <f>(G222-H222)*'16-PlantAdditions'!$E$103</f>
        <v>0</v>
      </c>
      <c r="J222" s="63">
        <f t="shared" si="42"/>
        <v>0</v>
      </c>
      <c r="K222" s="63">
        <f t="shared" si="43"/>
        <v>0</v>
      </c>
    </row>
    <row r="223" spans="1:11" s="680" customFormat="1">
      <c r="A223" s="111">
        <f t="shared" si="40"/>
        <v>166</v>
      </c>
      <c r="B223" s="640" t="s">
        <v>186</v>
      </c>
      <c r="C223" s="641">
        <v>2018</v>
      </c>
      <c r="D223" s="1099">
        <v>0</v>
      </c>
      <c r="E223" s="63">
        <f>D223*'16-PlantAdditions'!$E$103</f>
        <v>0</v>
      </c>
      <c r="F223" s="63">
        <f t="shared" si="41"/>
        <v>0</v>
      </c>
      <c r="G223" s="1099">
        <v>0</v>
      </c>
      <c r="H223" s="1099">
        <v>0</v>
      </c>
      <c r="I223" s="63">
        <f>(G223-H223)*'16-PlantAdditions'!$E$103</f>
        <v>0</v>
      </c>
      <c r="J223" s="63">
        <f t="shared" si="42"/>
        <v>0</v>
      </c>
      <c r="K223" s="63">
        <f t="shared" si="43"/>
        <v>0</v>
      </c>
    </row>
    <row r="224" spans="1:11" s="680" customFormat="1">
      <c r="A224" s="111">
        <f t="shared" si="40"/>
        <v>167</v>
      </c>
      <c r="B224" s="643" t="s">
        <v>187</v>
      </c>
      <c r="C224" s="641">
        <v>2018</v>
      </c>
      <c r="D224" s="1099">
        <v>0</v>
      </c>
      <c r="E224" s="63">
        <f>D224*'16-PlantAdditions'!$E$103</f>
        <v>0</v>
      </c>
      <c r="F224" s="63">
        <f t="shared" si="41"/>
        <v>0</v>
      </c>
      <c r="G224" s="1099">
        <v>0</v>
      </c>
      <c r="H224" s="1099">
        <v>0</v>
      </c>
      <c r="I224" s="63">
        <f>(G224-H224)*'16-PlantAdditions'!$E$103</f>
        <v>0</v>
      </c>
      <c r="J224" s="63">
        <f t="shared" si="42"/>
        <v>0</v>
      </c>
      <c r="K224" s="63">
        <f t="shared" si="43"/>
        <v>0</v>
      </c>
    </row>
    <row r="225" spans="1:11" s="680" customFormat="1">
      <c r="A225" s="111">
        <f t="shared" si="40"/>
        <v>168</v>
      </c>
      <c r="B225" s="643" t="s">
        <v>188</v>
      </c>
      <c r="C225" s="641">
        <v>2018</v>
      </c>
      <c r="D225" s="1099">
        <v>0</v>
      </c>
      <c r="E225" s="63">
        <f>D225*'16-PlantAdditions'!$E$103</f>
        <v>0</v>
      </c>
      <c r="F225" s="63">
        <f t="shared" si="41"/>
        <v>0</v>
      </c>
      <c r="G225" s="1099">
        <v>0</v>
      </c>
      <c r="H225" s="1099">
        <v>0</v>
      </c>
      <c r="I225" s="63">
        <f>(G225-H225)*'16-PlantAdditions'!$E$103</f>
        <v>0</v>
      </c>
      <c r="J225" s="63">
        <f t="shared" si="42"/>
        <v>0</v>
      </c>
      <c r="K225" s="63">
        <f t="shared" si="43"/>
        <v>0</v>
      </c>
    </row>
    <row r="226" spans="1:11" s="680" customFormat="1">
      <c r="A226" s="111">
        <f t="shared" si="40"/>
        <v>169</v>
      </c>
      <c r="B226" s="640" t="s">
        <v>191</v>
      </c>
      <c r="C226" s="641">
        <v>2018</v>
      </c>
      <c r="D226" s="1099">
        <v>0</v>
      </c>
      <c r="E226" s="63">
        <f>D226*'16-PlantAdditions'!$E$103</f>
        <v>0</v>
      </c>
      <c r="F226" s="63">
        <f t="shared" si="41"/>
        <v>0</v>
      </c>
      <c r="G226" s="1099">
        <v>0</v>
      </c>
      <c r="H226" s="1099">
        <v>0</v>
      </c>
      <c r="I226" s="63">
        <f>(G226-H226)*'16-PlantAdditions'!$E$103</f>
        <v>0</v>
      </c>
      <c r="J226" s="63">
        <f t="shared" si="42"/>
        <v>0</v>
      </c>
      <c r="K226" s="63">
        <f t="shared" si="43"/>
        <v>0</v>
      </c>
    </row>
    <row r="227" spans="1:11" s="680" customFormat="1">
      <c r="A227" s="111">
        <f t="shared" si="40"/>
        <v>170</v>
      </c>
      <c r="B227" s="640" t="s">
        <v>190</v>
      </c>
      <c r="C227" s="641">
        <v>2018</v>
      </c>
      <c r="D227" s="1099">
        <v>0</v>
      </c>
      <c r="E227" s="63">
        <f>D227*'16-PlantAdditions'!$E$103</f>
        <v>0</v>
      </c>
      <c r="F227" s="63">
        <f t="shared" si="41"/>
        <v>0</v>
      </c>
      <c r="G227" s="1099">
        <v>0</v>
      </c>
      <c r="H227" s="1099">
        <v>0</v>
      </c>
      <c r="I227" s="63">
        <f>(G227-H227)*'16-PlantAdditions'!$E$103</f>
        <v>0</v>
      </c>
      <c r="J227" s="63">
        <f t="shared" si="42"/>
        <v>0</v>
      </c>
      <c r="K227" s="63">
        <f t="shared" si="43"/>
        <v>0</v>
      </c>
    </row>
    <row r="228" spans="1:11" s="680" customFormat="1">
      <c r="A228" s="111">
        <f t="shared" si="40"/>
        <v>171</v>
      </c>
      <c r="B228" s="640" t="s">
        <v>180</v>
      </c>
      <c r="C228" s="641">
        <v>2018</v>
      </c>
      <c r="D228" s="1099">
        <v>0</v>
      </c>
      <c r="E228" s="63">
        <f>D228*'16-PlantAdditions'!$E$103</f>
        <v>0</v>
      </c>
      <c r="F228" s="63">
        <f t="shared" si="41"/>
        <v>0</v>
      </c>
      <c r="G228" s="1099">
        <v>0</v>
      </c>
      <c r="H228" s="1099">
        <v>0</v>
      </c>
      <c r="I228" s="63">
        <f>(G228-H228)*'16-PlantAdditions'!$E$103</f>
        <v>0</v>
      </c>
      <c r="J228" s="63">
        <f t="shared" si="42"/>
        <v>0</v>
      </c>
      <c r="K228" s="63">
        <f t="shared" si="43"/>
        <v>0</v>
      </c>
    </row>
    <row r="229" spans="1:11" s="680" customFormat="1">
      <c r="A229" s="111">
        <f t="shared" si="40"/>
        <v>172</v>
      </c>
      <c r="B229" s="640" t="s">
        <v>181</v>
      </c>
      <c r="C229" s="641">
        <v>2019</v>
      </c>
      <c r="D229" s="1099">
        <v>0</v>
      </c>
      <c r="E229" s="63">
        <f>D229*'16-PlantAdditions'!$E$103</f>
        <v>0</v>
      </c>
      <c r="F229" s="63">
        <f t="shared" si="41"/>
        <v>0</v>
      </c>
      <c r="G229" s="1099">
        <v>0</v>
      </c>
      <c r="H229" s="1099">
        <v>0</v>
      </c>
      <c r="I229" s="63">
        <f>(G229-H229)*'16-PlantAdditions'!$E$103</f>
        <v>0</v>
      </c>
      <c r="J229" s="63">
        <f t="shared" si="42"/>
        <v>0</v>
      </c>
      <c r="K229" s="63">
        <f t="shared" si="43"/>
        <v>0</v>
      </c>
    </row>
    <row r="230" spans="1:11" s="680" customFormat="1">
      <c r="A230" s="111">
        <f t="shared" si="40"/>
        <v>173</v>
      </c>
      <c r="B230" s="643" t="s">
        <v>182</v>
      </c>
      <c r="C230" s="641">
        <v>2019</v>
      </c>
      <c r="D230" s="1099">
        <v>0</v>
      </c>
      <c r="E230" s="63">
        <f>D230*'16-PlantAdditions'!$E$103</f>
        <v>0</v>
      </c>
      <c r="F230" s="63">
        <f t="shared" si="41"/>
        <v>0</v>
      </c>
      <c r="G230" s="1099">
        <v>0</v>
      </c>
      <c r="H230" s="1099">
        <v>0</v>
      </c>
      <c r="I230" s="63">
        <f>(G230-H230)*'16-PlantAdditions'!$E$103</f>
        <v>0</v>
      </c>
      <c r="J230" s="63">
        <f t="shared" si="42"/>
        <v>0</v>
      </c>
      <c r="K230" s="63">
        <f t="shared" si="43"/>
        <v>0</v>
      </c>
    </row>
    <row r="231" spans="1:11" s="680" customFormat="1">
      <c r="A231" s="111">
        <f t="shared" si="40"/>
        <v>174</v>
      </c>
      <c r="B231" s="643" t="s">
        <v>195</v>
      </c>
      <c r="C231" s="641">
        <v>2019</v>
      </c>
      <c r="D231" s="1099">
        <v>0</v>
      </c>
      <c r="E231" s="63">
        <f>D231*'16-PlantAdditions'!$E$103</f>
        <v>0</v>
      </c>
      <c r="F231" s="63">
        <f t="shared" si="41"/>
        <v>0</v>
      </c>
      <c r="G231" s="1099">
        <v>0</v>
      </c>
      <c r="H231" s="1099">
        <v>0</v>
      </c>
      <c r="I231" s="63">
        <f>(G231-H231)*'16-PlantAdditions'!$E$103</f>
        <v>0</v>
      </c>
      <c r="J231" s="63">
        <f t="shared" si="42"/>
        <v>0</v>
      </c>
      <c r="K231" s="63">
        <f t="shared" si="43"/>
        <v>0</v>
      </c>
    </row>
    <row r="232" spans="1:11" s="680" customFormat="1">
      <c r="A232" s="111">
        <f t="shared" si="40"/>
        <v>175</v>
      </c>
      <c r="B232" s="640" t="s">
        <v>183</v>
      </c>
      <c r="C232" s="641">
        <v>2019</v>
      </c>
      <c r="D232" s="1099">
        <v>0</v>
      </c>
      <c r="E232" s="63">
        <f>D232*'16-PlantAdditions'!$E$103</f>
        <v>0</v>
      </c>
      <c r="F232" s="63">
        <f t="shared" si="41"/>
        <v>0</v>
      </c>
      <c r="G232" s="1099">
        <v>0</v>
      </c>
      <c r="H232" s="1099">
        <v>0</v>
      </c>
      <c r="I232" s="63">
        <f>(G232-H232)*'16-PlantAdditions'!$E$103</f>
        <v>0</v>
      </c>
      <c r="J232" s="63">
        <f t="shared" si="42"/>
        <v>0</v>
      </c>
      <c r="K232" s="63">
        <f t="shared" si="43"/>
        <v>0</v>
      </c>
    </row>
    <row r="233" spans="1:11" s="680" customFormat="1">
      <c r="A233" s="111">
        <f t="shared" si="40"/>
        <v>176</v>
      </c>
      <c r="B233" s="643" t="s">
        <v>184</v>
      </c>
      <c r="C233" s="641">
        <v>2019</v>
      </c>
      <c r="D233" s="1099">
        <v>0</v>
      </c>
      <c r="E233" s="63">
        <f>D233*'16-PlantAdditions'!$E$103</f>
        <v>0</v>
      </c>
      <c r="F233" s="63">
        <f t="shared" si="41"/>
        <v>0</v>
      </c>
      <c r="G233" s="1099">
        <v>0</v>
      </c>
      <c r="H233" s="1099">
        <v>0</v>
      </c>
      <c r="I233" s="63">
        <f>(G233-H233)*'16-PlantAdditions'!$E$103</f>
        <v>0</v>
      </c>
      <c r="J233" s="63">
        <f t="shared" si="42"/>
        <v>0</v>
      </c>
      <c r="K233" s="63">
        <f t="shared" si="43"/>
        <v>0</v>
      </c>
    </row>
    <row r="234" spans="1:11" s="680" customFormat="1">
      <c r="A234" s="111">
        <f t="shared" si="40"/>
        <v>177</v>
      </c>
      <c r="B234" s="643" t="s">
        <v>1481</v>
      </c>
      <c r="C234" s="641">
        <v>2019</v>
      </c>
      <c r="D234" s="1099">
        <v>0</v>
      </c>
      <c r="E234" s="63">
        <f>D234*'16-PlantAdditions'!$E$103</f>
        <v>0</v>
      </c>
      <c r="F234" s="63">
        <f t="shared" si="41"/>
        <v>0</v>
      </c>
      <c r="G234" s="1099">
        <v>0</v>
      </c>
      <c r="H234" s="1099">
        <v>0</v>
      </c>
      <c r="I234" s="63">
        <f>(G234-H234)*'16-PlantAdditions'!$E$103</f>
        <v>0</v>
      </c>
      <c r="J234" s="63">
        <f t="shared" si="42"/>
        <v>0</v>
      </c>
      <c r="K234" s="63">
        <f t="shared" si="43"/>
        <v>0</v>
      </c>
    </row>
    <row r="235" spans="1:11" s="680" customFormat="1">
      <c r="A235" s="111">
        <f t="shared" si="40"/>
        <v>178</v>
      </c>
      <c r="B235" s="640" t="s">
        <v>186</v>
      </c>
      <c r="C235" s="641">
        <v>2019</v>
      </c>
      <c r="D235" s="1099">
        <v>0</v>
      </c>
      <c r="E235" s="63">
        <f>D235*'16-PlantAdditions'!$E$103</f>
        <v>0</v>
      </c>
      <c r="F235" s="63">
        <f t="shared" si="41"/>
        <v>0</v>
      </c>
      <c r="G235" s="1099">
        <v>0</v>
      </c>
      <c r="H235" s="1099">
        <v>0</v>
      </c>
      <c r="I235" s="63">
        <f>(G235-H235)*'16-PlantAdditions'!$E$103</f>
        <v>0</v>
      </c>
      <c r="J235" s="63">
        <f t="shared" si="42"/>
        <v>0</v>
      </c>
      <c r="K235" s="63">
        <f t="shared" si="43"/>
        <v>0</v>
      </c>
    </row>
    <row r="236" spans="1:11" s="680" customFormat="1">
      <c r="A236" s="111">
        <f t="shared" si="40"/>
        <v>179</v>
      </c>
      <c r="B236" s="643" t="s">
        <v>187</v>
      </c>
      <c r="C236" s="641">
        <v>2019</v>
      </c>
      <c r="D236" s="1099">
        <v>0</v>
      </c>
      <c r="E236" s="63">
        <f>D236*'16-PlantAdditions'!$E$103</f>
        <v>0</v>
      </c>
      <c r="F236" s="63">
        <f t="shared" si="41"/>
        <v>0</v>
      </c>
      <c r="G236" s="1099">
        <v>0</v>
      </c>
      <c r="H236" s="1099">
        <v>0</v>
      </c>
      <c r="I236" s="63">
        <f>(G236-H236)*'16-PlantAdditions'!$E$103</f>
        <v>0</v>
      </c>
      <c r="J236" s="63">
        <f t="shared" si="42"/>
        <v>0</v>
      </c>
      <c r="K236" s="63">
        <f t="shared" si="43"/>
        <v>0</v>
      </c>
    </row>
    <row r="237" spans="1:11" s="680" customFormat="1">
      <c r="A237" s="111">
        <f t="shared" si="40"/>
        <v>180</v>
      </c>
      <c r="B237" s="643" t="s">
        <v>188</v>
      </c>
      <c r="C237" s="641">
        <v>2019</v>
      </c>
      <c r="D237" s="1099">
        <v>0</v>
      </c>
      <c r="E237" s="63">
        <f>D237*'16-PlantAdditions'!$E$103</f>
        <v>0</v>
      </c>
      <c r="F237" s="63">
        <f t="shared" si="41"/>
        <v>0</v>
      </c>
      <c r="G237" s="1099">
        <v>0</v>
      </c>
      <c r="H237" s="1099">
        <v>0</v>
      </c>
      <c r="I237" s="63">
        <f>(G237-H237)*'16-PlantAdditions'!$E$103</f>
        <v>0</v>
      </c>
      <c r="J237" s="63">
        <f t="shared" si="42"/>
        <v>0</v>
      </c>
      <c r="K237" s="63">
        <f t="shared" si="43"/>
        <v>0</v>
      </c>
    </row>
    <row r="238" spans="1:11" s="680" customFormat="1">
      <c r="A238" s="111">
        <f t="shared" si="40"/>
        <v>181</v>
      </c>
      <c r="B238" s="643" t="s">
        <v>191</v>
      </c>
      <c r="C238" s="641">
        <v>2019</v>
      </c>
      <c r="D238" s="1099">
        <v>0</v>
      </c>
      <c r="E238" s="63">
        <f>D238*'16-PlantAdditions'!$E$103</f>
        <v>0</v>
      </c>
      <c r="F238" s="63">
        <f t="shared" ref="F238:F240" si="44">E238+D238</f>
        <v>0</v>
      </c>
      <c r="G238" s="1099">
        <v>0</v>
      </c>
      <c r="H238" s="1099">
        <v>0</v>
      </c>
      <c r="I238" s="63">
        <f>(G238-H238)*'16-PlantAdditions'!$E$103</f>
        <v>0</v>
      </c>
      <c r="J238" s="63">
        <f t="shared" ref="J238:J240" si="45">J237+F238-G238-I238</f>
        <v>0</v>
      </c>
      <c r="K238" s="63">
        <f t="shared" si="43"/>
        <v>0</v>
      </c>
    </row>
    <row r="239" spans="1:11" s="680" customFormat="1">
      <c r="A239" s="111">
        <f t="shared" si="40"/>
        <v>182</v>
      </c>
      <c r="B239" s="643" t="s">
        <v>190</v>
      </c>
      <c r="C239" s="641">
        <v>2019</v>
      </c>
      <c r="D239" s="1099">
        <v>0</v>
      </c>
      <c r="E239" s="63">
        <f>D239*'16-PlantAdditions'!$E$103</f>
        <v>0</v>
      </c>
      <c r="F239" s="63">
        <f t="shared" si="44"/>
        <v>0</v>
      </c>
      <c r="G239" s="1099">
        <v>0</v>
      </c>
      <c r="H239" s="1099">
        <v>0</v>
      </c>
      <c r="I239" s="63">
        <f>(G239-H239)*'16-PlantAdditions'!$E$103</f>
        <v>0</v>
      </c>
      <c r="J239" s="63">
        <f t="shared" si="45"/>
        <v>0</v>
      </c>
      <c r="K239" s="63">
        <f t="shared" si="43"/>
        <v>0</v>
      </c>
    </row>
    <row r="240" spans="1:11" s="680" customFormat="1">
      <c r="A240" s="111">
        <f t="shared" si="40"/>
        <v>183</v>
      </c>
      <c r="B240" s="643" t="s">
        <v>180</v>
      </c>
      <c r="C240" s="641">
        <v>2019</v>
      </c>
      <c r="D240" s="1099">
        <v>0</v>
      </c>
      <c r="E240" s="63">
        <f>D240*'16-PlantAdditions'!$E$103</f>
        <v>0</v>
      </c>
      <c r="F240" s="63">
        <f t="shared" si="44"/>
        <v>0</v>
      </c>
      <c r="G240" s="1099">
        <v>0</v>
      </c>
      <c r="H240" s="1099">
        <v>0</v>
      </c>
      <c r="I240" s="63">
        <f>(G240-H240)*'16-PlantAdditions'!$E$103</f>
        <v>0</v>
      </c>
      <c r="J240" s="63">
        <f t="shared" si="45"/>
        <v>0</v>
      </c>
      <c r="K240" s="112">
        <f t="shared" si="43"/>
        <v>0</v>
      </c>
    </row>
    <row r="241" spans="1:11" s="680" customFormat="1">
      <c r="A241" s="111">
        <f t="shared" si="40"/>
        <v>184</v>
      </c>
      <c r="B241"/>
      <c r="C241" s="679" t="s">
        <v>1633</v>
      </c>
      <c r="D241"/>
      <c r="E241"/>
      <c r="F241"/>
      <c r="G241"/>
      <c r="H241"/>
      <c r="I241"/>
      <c r="J241"/>
      <c r="K241" s="73">
        <f>AVERAGE(K228:K240)</f>
        <v>0</v>
      </c>
    </row>
    <row r="242" spans="1:11" s="680" customFormat="1">
      <c r="A242" s="111"/>
      <c r="B242"/>
      <c r="C242" s="679"/>
      <c r="D242"/>
      <c r="E242"/>
      <c r="F242"/>
      <c r="G242"/>
      <c r="H242"/>
      <c r="I242"/>
      <c r="J242"/>
      <c r="K242" s="73"/>
    </row>
    <row r="243" spans="1:11" s="680" customFormat="1">
      <c r="B243" s="681" t="s">
        <v>1969</v>
      </c>
      <c r="D243" s="1385" t="s">
        <v>1970</v>
      </c>
      <c r="E243" s="1385"/>
    </row>
    <row r="244" spans="1:11" s="680" customFormat="1">
      <c r="A244" s="675"/>
      <c r="B244" s="675"/>
      <c r="C244" s="675"/>
      <c r="D244" s="675" t="s">
        <v>363</v>
      </c>
      <c r="E244" s="675" t="s">
        <v>347</v>
      </c>
      <c r="F244" s="675" t="s">
        <v>348</v>
      </c>
      <c r="G244" s="675" t="s">
        <v>349</v>
      </c>
      <c r="H244" s="675" t="s">
        <v>350</v>
      </c>
      <c r="I244" s="675" t="s">
        <v>351</v>
      </c>
      <c r="J244" s="675" t="s">
        <v>352</v>
      </c>
      <c r="K244" s="675" t="s">
        <v>544</v>
      </c>
    </row>
    <row r="245" spans="1:11" s="680" customFormat="1" ht="38.25">
      <c r="D245" s="682"/>
      <c r="E245" s="683" t="s">
        <v>2104</v>
      </c>
      <c r="F245" s="684" t="s">
        <v>1961</v>
      </c>
      <c r="G245" s="492"/>
      <c r="H245" s="682"/>
      <c r="I245" s="683" t="s">
        <v>2105</v>
      </c>
      <c r="J245" s="683" t="s">
        <v>1962</v>
      </c>
      <c r="K245" s="683" t="s">
        <v>1963</v>
      </c>
    </row>
    <row r="246" spans="1:11" s="680" customFormat="1">
      <c r="D246" s="682"/>
      <c r="E246" s="682"/>
      <c r="F246" s="682"/>
      <c r="G246" s="580" t="s">
        <v>1971</v>
      </c>
      <c r="H246" s="682"/>
      <c r="I246" s="682"/>
    </row>
    <row r="247" spans="1:11" s="680" customFormat="1">
      <c r="A247" s="677"/>
      <c r="B247" s="677"/>
      <c r="C247" s="677"/>
      <c r="D247" s="677" t="str">
        <f>D$52</f>
        <v>Forecast</v>
      </c>
      <c r="E247" s="677" t="str">
        <f t="shared" ref="E247:J247" si="46">E$52</f>
        <v>Corporate</v>
      </c>
      <c r="F247" s="677" t="str">
        <f t="shared" si="46"/>
        <v xml:space="preserve">Total </v>
      </c>
      <c r="G247" s="677" t="s">
        <v>196</v>
      </c>
      <c r="H247" s="677" t="str">
        <f t="shared" si="46"/>
        <v>Prior Period</v>
      </c>
      <c r="I247" s="677" t="str">
        <f t="shared" si="46"/>
        <v>Over Heads</v>
      </c>
      <c r="J247" s="677" t="str">
        <f t="shared" si="46"/>
        <v>Forecast</v>
      </c>
      <c r="K247" s="580" t="str">
        <f>K$52</f>
        <v>Forecast Period</v>
      </c>
    </row>
    <row r="248" spans="1:11" s="680" customFormat="1">
      <c r="A248" s="932" t="s">
        <v>332</v>
      </c>
      <c r="B248" s="639" t="s">
        <v>192</v>
      </c>
      <c r="C248" s="639" t="s">
        <v>193</v>
      </c>
      <c r="D248" s="675" t="str">
        <f>D$53</f>
        <v>Expenditures</v>
      </c>
      <c r="E248" s="675" t="str">
        <f t="shared" ref="E248:J248" si="47">E$53</f>
        <v>Overheads</v>
      </c>
      <c r="F248" s="675" t="str">
        <f t="shared" si="47"/>
        <v>CWIP Exp</v>
      </c>
      <c r="G248" s="675" t="s">
        <v>1954</v>
      </c>
      <c r="H248" s="675" t="str">
        <f t="shared" si="47"/>
        <v>CWIP Closed</v>
      </c>
      <c r="I248" s="675" t="str">
        <f t="shared" si="47"/>
        <v>Closed to PIS</v>
      </c>
      <c r="J248" s="675" t="str">
        <f t="shared" si="47"/>
        <v>Period CWIP</v>
      </c>
      <c r="K248" s="675" t="str">
        <f>K$53</f>
        <v>Incremental CWIP</v>
      </c>
    </row>
    <row r="249" spans="1:11" s="680" customFormat="1">
      <c r="A249" s="111">
        <f>A241+1</f>
        <v>185</v>
      </c>
      <c r="B249" s="640" t="s">
        <v>180</v>
      </c>
      <c r="C249" s="641">
        <v>2017</v>
      </c>
      <c r="D249" s="684" t="s">
        <v>76</v>
      </c>
      <c r="E249" s="684" t="s">
        <v>76</v>
      </c>
      <c r="F249" s="684" t="s">
        <v>76</v>
      </c>
      <c r="G249" s="684" t="s">
        <v>76</v>
      </c>
      <c r="H249" s="684" t="s">
        <v>76</v>
      </c>
      <c r="I249" s="684" t="s">
        <v>76</v>
      </c>
      <c r="J249" s="63">
        <f>D45</f>
        <v>0</v>
      </c>
      <c r="K249" s="684" t="s">
        <v>76</v>
      </c>
    </row>
    <row r="250" spans="1:11" s="680" customFormat="1">
      <c r="A250" s="111">
        <f>A249+1</f>
        <v>186</v>
      </c>
      <c r="B250" s="640" t="s">
        <v>181</v>
      </c>
      <c r="C250" s="641">
        <v>2018</v>
      </c>
      <c r="D250" s="1099">
        <v>10309</v>
      </c>
      <c r="E250" s="63">
        <f>D250*'16-PlantAdditions'!$E$103</f>
        <v>773.17499999999995</v>
      </c>
      <c r="F250" s="63">
        <f>E250+D250</f>
        <v>11082.174999999999</v>
      </c>
      <c r="G250" s="1099">
        <v>10309</v>
      </c>
      <c r="H250" s="1099">
        <v>0</v>
      </c>
      <c r="I250" s="63">
        <f>(G250-H250)*'16-PlantAdditions'!$E$103</f>
        <v>773.17499999999995</v>
      </c>
      <c r="J250" s="63">
        <f>J249+F250-G250-I250</f>
        <v>0</v>
      </c>
      <c r="K250" s="63">
        <f>J250-$J$249</f>
        <v>0</v>
      </c>
    </row>
    <row r="251" spans="1:11" s="680" customFormat="1">
      <c r="A251" s="111">
        <f t="shared" ref="A251:A274" si="48">A250+1</f>
        <v>187</v>
      </c>
      <c r="B251" s="643" t="s">
        <v>182</v>
      </c>
      <c r="C251" s="641">
        <v>2018</v>
      </c>
      <c r="D251" s="1099">
        <v>6204</v>
      </c>
      <c r="E251" s="63">
        <f>D251*'16-PlantAdditions'!$E$103</f>
        <v>465.29999999999995</v>
      </c>
      <c r="F251" s="63">
        <f t="shared" ref="F251:F270" si="49">E251+D251</f>
        <v>6669.3</v>
      </c>
      <c r="G251" s="1099">
        <v>6204</v>
      </c>
      <c r="H251" s="1099">
        <v>0</v>
      </c>
      <c r="I251" s="63">
        <f>(G251-H251)*'16-PlantAdditions'!$E$103</f>
        <v>465.29999999999995</v>
      </c>
      <c r="J251" s="63">
        <f t="shared" ref="J251:J270" si="50">J250+F251-G251-I251</f>
        <v>0</v>
      </c>
      <c r="K251" s="63">
        <f t="shared" ref="K251:K273" si="51">J251-$J$249</f>
        <v>0</v>
      </c>
    </row>
    <row r="252" spans="1:11" s="680" customFormat="1">
      <c r="A252" s="111">
        <f t="shared" si="48"/>
        <v>188</v>
      </c>
      <c r="B252" s="643" t="s">
        <v>195</v>
      </c>
      <c r="C252" s="641">
        <v>2018</v>
      </c>
      <c r="D252" s="1099">
        <v>6687</v>
      </c>
      <c r="E252" s="63">
        <f>D252*'16-PlantAdditions'!$E$103</f>
        <v>501.52499999999998</v>
      </c>
      <c r="F252" s="63">
        <f t="shared" si="49"/>
        <v>7188.5249999999996</v>
      </c>
      <c r="G252" s="1099">
        <v>6687</v>
      </c>
      <c r="H252" s="1099">
        <v>0</v>
      </c>
      <c r="I252" s="63">
        <f>(G252-H252)*'16-PlantAdditions'!$E$103</f>
        <v>501.52499999999998</v>
      </c>
      <c r="J252" s="63">
        <f t="shared" si="50"/>
        <v>0</v>
      </c>
      <c r="K252" s="63">
        <f t="shared" si="51"/>
        <v>0</v>
      </c>
    </row>
    <row r="253" spans="1:11" s="680" customFormat="1">
      <c r="A253" s="111">
        <f t="shared" si="48"/>
        <v>189</v>
      </c>
      <c r="B253" s="640" t="s">
        <v>183</v>
      </c>
      <c r="C253" s="641">
        <v>2018</v>
      </c>
      <c r="D253" s="1099">
        <v>0</v>
      </c>
      <c r="E253" s="63">
        <f>D253*'16-PlantAdditions'!$E$103</f>
        <v>0</v>
      </c>
      <c r="F253" s="63">
        <f t="shared" si="49"/>
        <v>0</v>
      </c>
      <c r="G253" s="1099">
        <v>0</v>
      </c>
      <c r="H253" s="1099">
        <v>0</v>
      </c>
      <c r="I253" s="63">
        <f>(G253-H253)*'16-PlantAdditions'!$E$103</f>
        <v>0</v>
      </c>
      <c r="J253" s="63">
        <f t="shared" si="50"/>
        <v>0</v>
      </c>
      <c r="K253" s="63">
        <f t="shared" si="51"/>
        <v>0</v>
      </c>
    </row>
    <row r="254" spans="1:11" s="680" customFormat="1">
      <c r="A254" s="111">
        <f t="shared" si="48"/>
        <v>190</v>
      </c>
      <c r="B254" s="643" t="s">
        <v>184</v>
      </c>
      <c r="C254" s="641">
        <v>2018</v>
      </c>
      <c r="D254" s="1099">
        <v>0</v>
      </c>
      <c r="E254" s="63">
        <f>D254*'16-PlantAdditions'!$E$103</f>
        <v>0</v>
      </c>
      <c r="F254" s="63">
        <f t="shared" si="49"/>
        <v>0</v>
      </c>
      <c r="G254" s="1099">
        <v>0</v>
      </c>
      <c r="H254" s="1099">
        <v>0</v>
      </c>
      <c r="I254" s="63">
        <f>(G254-H254)*'16-PlantAdditions'!$E$103</f>
        <v>0</v>
      </c>
      <c r="J254" s="63">
        <f t="shared" si="50"/>
        <v>0</v>
      </c>
      <c r="K254" s="63">
        <f t="shared" si="51"/>
        <v>0</v>
      </c>
    </row>
    <row r="255" spans="1:11" s="680" customFormat="1">
      <c r="A255" s="111">
        <f t="shared" si="48"/>
        <v>191</v>
      </c>
      <c r="B255" s="643" t="s">
        <v>1481</v>
      </c>
      <c r="C255" s="641">
        <v>2018</v>
      </c>
      <c r="D255" s="1099">
        <v>0</v>
      </c>
      <c r="E255" s="63">
        <f>D255*'16-PlantAdditions'!$E$103</f>
        <v>0</v>
      </c>
      <c r="F255" s="63">
        <f t="shared" si="49"/>
        <v>0</v>
      </c>
      <c r="G255" s="1099">
        <v>0</v>
      </c>
      <c r="H255" s="1099">
        <v>0</v>
      </c>
      <c r="I255" s="63">
        <f>(G255-H255)*'16-PlantAdditions'!$E$103</f>
        <v>0</v>
      </c>
      <c r="J255" s="63">
        <f t="shared" si="50"/>
        <v>0</v>
      </c>
      <c r="K255" s="63">
        <f t="shared" si="51"/>
        <v>0</v>
      </c>
    </row>
    <row r="256" spans="1:11" s="680" customFormat="1">
      <c r="A256" s="111">
        <f t="shared" si="48"/>
        <v>192</v>
      </c>
      <c r="B256" s="640" t="s">
        <v>186</v>
      </c>
      <c r="C256" s="641">
        <v>2018</v>
      </c>
      <c r="D256" s="1099">
        <v>0</v>
      </c>
      <c r="E256" s="63">
        <f>D256*'16-PlantAdditions'!$E$103</f>
        <v>0</v>
      </c>
      <c r="F256" s="63">
        <f t="shared" si="49"/>
        <v>0</v>
      </c>
      <c r="G256" s="1099">
        <v>0</v>
      </c>
      <c r="H256" s="1099">
        <v>0</v>
      </c>
      <c r="I256" s="63">
        <f>(G256-H256)*'16-PlantAdditions'!$E$103</f>
        <v>0</v>
      </c>
      <c r="J256" s="63">
        <f t="shared" si="50"/>
        <v>0</v>
      </c>
      <c r="K256" s="63">
        <f t="shared" si="51"/>
        <v>0</v>
      </c>
    </row>
    <row r="257" spans="1:11" s="680" customFormat="1">
      <c r="A257" s="111">
        <f t="shared" si="48"/>
        <v>193</v>
      </c>
      <c r="B257" s="643" t="s">
        <v>187</v>
      </c>
      <c r="C257" s="641">
        <v>2018</v>
      </c>
      <c r="D257" s="1099">
        <v>0</v>
      </c>
      <c r="E257" s="63">
        <f>D257*'16-PlantAdditions'!$E$103</f>
        <v>0</v>
      </c>
      <c r="F257" s="63">
        <f t="shared" si="49"/>
        <v>0</v>
      </c>
      <c r="G257" s="1099">
        <v>0</v>
      </c>
      <c r="H257" s="1099">
        <v>0</v>
      </c>
      <c r="I257" s="63">
        <f>(G257-H257)*'16-PlantAdditions'!$E$103</f>
        <v>0</v>
      </c>
      <c r="J257" s="63">
        <f t="shared" si="50"/>
        <v>0</v>
      </c>
      <c r="K257" s="63">
        <f t="shared" si="51"/>
        <v>0</v>
      </c>
    </row>
    <row r="258" spans="1:11" s="680" customFormat="1">
      <c r="A258" s="111">
        <f t="shared" si="48"/>
        <v>194</v>
      </c>
      <c r="B258" s="643" t="s">
        <v>188</v>
      </c>
      <c r="C258" s="641">
        <v>2018</v>
      </c>
      <c r="D258" s="1099">
        <v>0</v>
      </c>
      <c r="E258" s="63">
        <f>D258*'16-PlantAdditions'!$E$103</f>
        <v>0</v>
      </c>
      <c r="F258" s="63">
        <f t="shared" si="49"/>
        <v>0</v>
      </c>
      <c r="G258" s="1099">
        <v>0</v>
      </c>
      <c r="H258" s="1099">
        <v>0</v>
      </c>
      <c r="I258" s="63">
        <f>(G258-H258)*'16-PlantAdditions'!$E$103</f>
        <v>0</v>
      </c>
      <c r="J258" s="63">
        <f t="shared" si="50"/>
        <v>0</v>
      </c>
      <c r="K258" s="63">
        <f t="shared" si="51"/>
        <v>0</v>
      </c>
    </row>
    <row r="259" spans="1:11" s="680" customFormat="1">
      <c r="A259" s="111">
        <f t="shared" si="48"/>
        <v>195</v>
      </c>
      <c r="B259" s="640" t="s">
        <v>191</v>
      </c>
      <c r="C259" s="641">
        <v>2018</v>
      </c>
      <c r="D259" s="1099">
        <v>0</v>
      </c>
      <c r="E259" s="63">
        <f>D259*'16-PlantAdditions'!$E$103</f>
        <v>0</v>
      </c>
      <c r="F259" s="63">
        <f t="shared" si="49"/>
        <v>0</v>
      </c>
      <c r="G259" s="1099">
        <v>0</v>
      </c>
      <c r="H259" s="1099">
        <v>0</v>
      </c>
      <c r="I259" s="63">
        <f>(G259-H259)*'16-PlantAdditions'!$E$103</f>
        <v>0</v>
      </c>
      <c r="J259" s="63">
        <f t="shared" si="50"/>
        <v>0</v>
      </c>
      <c r="K259" s="63">
        <f t="shared" si="51"/>
        <v>0</v>
      </c>
    </row>
    <row r="260" spans="1:11" s="680" customFormat="1">
      <c r="A260" s="111">
        <f t="shared" si="48"/>
        <v>196</v>
      </c>
      <c r="B260" s="640" t="s">
        <v>190</v>
      </c>
      <c r="C260" s="641">
        <v>2018</v>
      </c>
      <c r="D260" s="1099">
        <v>0</v>
      </c>
      <c r="E260" s="63">
        <f>D260*'16-PlantAdditions'!$E$103</f>
        <v>0</v>
      </c>
      <c r="F260" s="63">
        <f t="shared" si="49"/>
        <v>0</v>
      </c>
      <c r="G260" s="1099">
        <v>0</v>
      </c>
      <c r="H260" s="1099">
        <v>0</v>
      </c>
      <c r="I260" s="63">
        <f>(G260-H260)*'16-PlantAdditions'!$E$103</f>
        <v>0</v>
      </c>
      <c r="J260" s="63">
        <f t="shared" si="50"/>
        <v>0</v>
      </c>
      <c r="K260" s="63">
        <f t="shared" si="51"/>
        <v>0</v>
      </c>
    </row>
    <row r="261" spans="1:11" s="680" customFormat="1">
      <c r="A261" s="111">
        <f t="shared" si="48"/>
        <v>197</v>
      </c>
      <c r="B261" s="640" t="s">
        <v>180</v>
      </c>
      <c r="C261" s="641">
        <v>2018</v>
      </c>
      <c r="D261" s="1099">
        <v>0</v>
      </c>
      <c r="E261" s="63">
        <f>D261*'16-PlantAdditions'!$E$103</f>
        <v>0</v>
      </c>
      <c r="F261" s="63">
        <f t="shared" si="49"/>
        <v>0</v>
      </c>
      <c r="G261" s="1099">
        <v>0</v>
      </c>
      <c r="H261" s="1099">
        <v>0</v>
      </c>
      <c r="I261" s="63">
        <f>(G261-H261)*'16-PlantAdditions'!$E$103</f>
        <v>0</v>
      </c>
      <c r="J261" s="63">
        <f t="shared" si="50"/>
        <v>0</v>
      </c>
      <c r="K261" s="63">
        <f t="shared" si="51"/>
        <v>0</v>
      </c>
    </row>
    <row r="262" spans="1:11" s="680" customFormat="1">
      <c r="A262" s="111">
        <f t="shared" si="48"/>
        <v>198</v>
      </c>
      <c r="B262" s="640" t="s">
        <v>181</v>
      </c>
      <c r="C262" s="641">
        <v>2019</v>
      </c>
      <c r="D262" s="1099">
        <v>0</v>
      </c>
      <c r="E262" s="63">
        <f>D262*'16-PlantAdditions'!$E$103</f>
        <v>0</v>
      </c>
      <c r="F262" s="63">
        <f t="shared" si="49"/>
        <v>0</v>
      </c>
      <c r="G262" s="1099">
        <v>0</v>
      </c>
      <c r="H262" s="1099">
        <v>0</v>
      </c>
      <c r="I262" s="63">
        <f>(G262-H262)*'16-PlantAdditions'!$E$103</f>
        <v>0</v>
      </c>
      <c r="J262" s="63">
        <f t="shared" si="50"/>
        <v>0</v>
      </c>
      <c r="K262" s="63">
        <f t="shared" si="51"/>
        <v>0</v>
      </c>
    </row>
    <row r="263" spans="1:11" s="680" customFormat="1">
      <c r="A263" s="111">
        <f t="shared" si="48"/>
        <v>199</v>
      </c>
      <c r="B263" s="643" t="s">
        <v>182</v>
      </c>
      <c r="C263" s="641">
        <v>2019</v>
      </c>
      <c r="D263" s="1099">
        <v>0</v>
      </c>
      <c r="E263" s="63">
        <f>D263*'16-PlantAdditions'!$E$103</f>
        <v>0</v>
      </c>
      <c r="F263" s="63">
        <f t="shared" si="49"/>
        <v>0</v>
      </c>
      <c r="G263" s="1099">
        <v>0</v>
      </c>
      <c r="H263" s="1099">
        <v>0</v>
      </c>
      <c r="I263" s="63">
        <f>(G263-H263)*'16-PlantAdditions'!$E$103</f>
        <v>0</v>
      </c>
      <c r="J263" s="63">
        <f t="shared" si="50"/>
        <v>0</v>
      </c>
      <c r="K263" s="63">
        <f t="shared" si="51"/>
        <v>0</v>
      </c>
    </row>
    <row r="264" spans="1:11" s="680" customFormat="1">
      <c r="A264" s="111">
        <f t="shared" si="48"/>
        <v>200</v>
      </c>
      <c r="B264" s="643" t="s">
        <v>195</v>
      </c>
      <c r="C264" s="641">
        <v>2019</v>
      </c>
      <c r="D264" s="1099">
        <v>0</v>
      </c>
      <c r="E264" s="63">
        <f>D264*'16-PlantAdditions'!$E$103</f>
        <v>0</v>
      </c>
      <c r="F264" s="63">
        <f t="shared" si="49"/>
        <v>0</v>
      </c>
      <c r="G264" s="1099">
        <v>0</v>
      </c>
      <c r="H264" s="1099">
        <v>0</v>
      </c>
      <c r="I264" s="63">
        <f>(G264-H264)*'16-PlantAdditions'!$E$103</f>
        <v>0</v>
      </c>
      <c r="J264" s="63">
        <f t="shared" si="50"/>
        <v>0</v>
      </c>
      <c r="K264" s="63">
        <f t="shared" si="51"/>
        <v>0</v>
      </c>
    </row>
    <row r="265" spans="1:11" s="680" customFormat="1">
      <c r="A265" s="111">
        <f t="shared" si="48"/>
        <v>201</v>
      </c>
      <c r="B265" s="640" t="s">
        <v>183</v>
      </c>
      <c r="C265" s="641">
        <v>2019</v>
      </c>
      <c r="D265" s="1099">
        <v>0</v>
      </c>
      <c r="E265" s="63">
        <f>D265*'16-PlantAdditions'!$E$103</f>
        <v>0</v>
      </c>
      <c r="F265" s="63">
        <f t="shared" si="49"/>
        <v>0</v>
      </c>
      <c r="G265" s="1099">
        <v>0</v>
      </c>
      <c r="H265" s="1099">
        <v>0</v>
      </c>
      <c r="I265" s="63">
        <f>(G265-H265)*'16-PlantAdditions'!$E$103</f>
        <v>0</v>
      </c>
      <c r="J265" s="63">
        <f t="shared" si="50"/>
        <v>0</v>
      </c>
      <c r="K265" s="63">
        <f t="shared" si="51"/>
        <v>0</v>
      </c>
    </row>
    <row r="266" spans="1:11" s="680" customFormat="1">
      <c r="A266" s="111">
        <f t="shared" si="48"/>
        <v>202</v>
      </c>
      <c r="B266" s="643" t="s">
        <v>184</v>
      </c>
      <c r="C266" s="641">
        <v>2019</v>
      </c>
      <c r="D266" s="1099">
        <v>0</v>
      </c>
      <c r="E266" s="63">
        <f>D266*'16-PlantAdditions'!$E$103</f>
        <v>0</v>
      </c>
      <c r="F266" s="63">
        <f t="shared" si="49"/>
        <v>0</v>
      </c>
      <c r="G266" s="1099">
        <v>0</v>
      </c>
      <c r="H266" s="1099">
        <v>0</v>
      </c>
      <c r="I266" s="63">
        <f>(G266-H266)*'16-PlantAdditions'!$E$103</f>
        <v>0</v>
      </c>
      <c r="J266" s="63">
        <f t="shared" si="50"/>
        <v>0</v>
      </c>
      <c r="K266" s="63">
        <f t="shared" si="51"/>
        <v>0</v>
      </c>
    </row>
    <row r="267" spans="1:11" s="680" customFormat="1">
      <c r="A267" s="111">
        <f t="shared" si="48"/>
        <v>203</v>
      </c>
      <c r="B267" s="643" t="s">
        <v>1481</v>
      </c>
      <c r="C267" s="641">
        <v>2019</v>
      </c>
      <c r="D267" s="1099">
        <v>0</v>
      </c>
      <c r="E267" s="63">
        <f>D267*'16-PlantAdditions'!$E$103</f>
        <v>0</v>
      </c>
      <c r="F267" s="63">
        <f t="shared" si="49"/>
        <v>0</v>
      </c>
      <c r="G267" s="1099">
        <v>0</v>
      </c>
      <c r="H267" s="1099">
        <v>0</v>
      </c>
      <c r="I267" s="63">
        <f>(G267-H267)*'16-PlantAdditions'!$E$103</f>
        <v>0</v>
      </c>
      <c r="J267" s="63">
        <f t="shared" si="50"/>
        <v>0</v>
      </c>
      <c r="K267" s="63">
        <f t="shared" si="51"/>
        <v>0</v>
      </c>
    </row>
    <row r="268" spans="1:11" s="680" customFormat="1">
      <c r="A268" s="111">
        <f t="shared" si="48"/>
        <v>204</v>
      </c>
      <c r="B268" s="640" t="s">
        <v>186</v>
      </c>
      <c r="C268" s="641">
        <v>2019</v>
      </c>
      <c r="D268" s="1099">
        <v>0</v>
      </c>
      <c r="E268" s="63">
        <f>D268*'16-PlantAdditions'!$E$103</f>
        <v>0</v>
      </c>
      <c r="F268" s="63">
        <f t="shared" si="49"/>
        <v>0</v>
      </c>
      <c r="G268" s="1099">
        <v>0</v>
      </c>
      <c r="H268" s="1099">
        <v>0</v>
      </c>
      <c r="I268" s="63">
        <f>(G268-H268)*'16-PlantAdditions'!$E$103</f>
        <v>0</v>
      </c>
      <c r="J268" s="63">
        <f t="shared" si="50"/>
        <v>0</v>
      </c>
      <c r="K268" s="63">
        <f t="shared" si="51"/>
        <v>0</v>
      </c>
    </row>
    <row r="269" spans="1:11" s="680" customFormat="1">
      <c r="A269" s="111">
        <f t="shared" si="48"/>
        <v>205</v>
      </c>
      <c r="B269" s="643" t="s">
        <v>187</v>
      </c>
      <c r="C269" s="641">
        <v>2019</v>
      </c>
      <c r="D269" s="1099">
        <v>0</v>
      </c>
      <c r="E269" s="63">
        <f>D269*'16-PlantAdditions'!$E$103</f>
        <v>0</v>
      </c>
      <c r="F269" s="63">
        <f t="shared" si="49"/>
        <v>0</v>
      </c>
      <c r="G269" s="1099">
        <v>0</v>
      </c>
      <c r="H269" s="1099">
        <v>0</v>
      </c>
      <c r="I269" s="63">
        <f>(G269-H269)*'16-PlantAdditions'!$E$103</f>
        <v>0</v>
      </c>
      <c r="J269" s="63">
        <f t="shared" si="50"/>
        <v>0</v>
      </c>
      <c r="K269" s="63">
        <f t="shared" si="51"/>
        <v>0</v>
      </c>
    </row>
    <row r="270" spans="1:11" s="680" customFormat="1">
      <c r="A270" s="111">
        <f t="shared" si="48"/>
        <v>206</v>
      </c>
      <c r="B270" s="643" t="s">
        <v>188</v>
      </c>
      <c r="C270" s="641">
        <v>2019</v>
      </c>
      <c r="D270" s="1099">
        <v>0</v>
      </c>
      <c r="E270" s="63">
        <f>D270*'16-PlantAdditions'!$E$103</f>
        <v>0</v>
      </c>
      <c r="F270" s="63">
        <f t="shared" si="49"/>
        <v>0</v>
      </c>
      <c r="G270" s="1099">
        <v>0</v>
      </c>
      <c r="H270" s="1099">
        <v>0</v>
      </c>
      <c r="I270" s="63">
        <f>(G270-H270)*'16-PlantAdditions'!$E$103</f>
        <v>0</v>
      </c>
      <c r="J270" s="63">
        <f t="shared" si="50"/>
        <v>0</v>
      </c>
      <c r="K270" s="63">
        <f t="shared" si="51"/>
        <v>0</v>
      </c>
    </row>
    <row r="271" spans="1:11" s="680" customFormat="1">
      <c r="A271" s="111">
        <f t="shared" si="48"/>
        <v>207</v>
      </c>
      <c r="B271" s="643" t="s">
        <v>191</v>
      </c>
      <c r="C271" s="641">
        <v>2019</v>
      </c>
      <c r="D271" s="1099">
        <v>0</v>
      </c>
      <c r="E271" s="63">
        <f>D271*'16-PlantAdditions'!$E$103</f>
        <v>0</v>
      </c>
      <c r="F271" s="63">
        <f t="shared" ref="F271:F273" si="52">E271+D271</f>
        <v>0</v>
      </c>
      <c r="G271" s="1099">
        <v>0</v>
      </c>
      <c r="H271" s="1099">
        <v>0</v>
      </c>
      <c r="I271" s="63">
        <f>(G271-H271)*'16-PlantAdditions'!$E$103</f>
        <v>0</v>
      </c>
      <c r="J271" s="63">
        <f t="shared" ref="J271:J273" si="53">J270+F271-G271-I271</f>
        <v>0</v>
      </c>
      <c r="K271" s="63">
        <f t="shared" si="51"/>
        <v>0</v>
      </c>
    </row>
    <row r="272" spans="1:11" s="680" customFormat="1">
      <c r="A272" s="111">
        <f t="shared" si="48"/>
        <v>208</v>
      </c>
      <c r="B272" s="643" t="s">
        <v>190</v>
      </c>
      <c r="C272" s="641">
        <v>2019</v>
      </c>
      <c r="D272" s="1099">
        <v>0</v>
      </c>
      <c r="E272" s="63">
        <f>D272*'16-PlantAdditions'!$E$103</f>
        <v>0</v>
      </c>
      <c r="F272" s="63">
        <f t="shared" si="52"/>
        <v>0</v>
      </c>
      <c r="G272" s="1099">
        <v>0</v>
      </c>
      <c r="H272" s="1099">
        <v>0</v>
      </c>
      <c r="I272" s="63">
        <f>(G272-H272)*'16-PlantAdditions'!$E$103</f>
        <v>0</v>
      </c>
      <c r="J272" s="63">
        <f t="shared" si="53"/>
        <v>0</v>
      </c>
      <c r="K272" s="63">
        <f t="shared" si="51"/>
        <v>0</v>
      </c>
    </row>
    <row r="273" spans="1:13" s="680" customFormat="1">
      <c r="A273" s="111">
        <f t="shared" si="48"/>
        <v>209</v>
      </c>
      <c r="B273" s="643" t="s">
        <v>180</v>
      </c>
      <c r="C273" s="641">
        <v>2019</v>
      </c>
      <c r="D273" s="1099">
        <v>0</v>
      </c>
      <c r="E273" s="63">
        <f>D273*'16-PlantAdditions'!$E$103</f>
        <v>0</v>
      </c>
      <c r="F273" s="63">
        <f t="shared" si="52"/>
        <v>0</v>
      </c>
      <c r="G273" s="1099">
        <v>0</v>
      </c>
      <c r="H273" s="1099">
        <v>0</v>
      </c>
      <c r="I273" s="63">
        <f>(G273-H273)*'16-PlantAdditions'!$E$103</f>
        <v>0</v>
      </c>
      <c r="J273" s="63">
        <f t="shared" si="53"/>
        <v>0</v>
      </c>
      <c r="K273" s="112">
        <f t="shared" si="51"/>
        <v>0</v>
      </c>
    </row>
    <row r="274" spans="1:13" s="680" customFormat="1">
      <c r="A274" s="111">
        <f t="shared" si="48"/>
        <v>210</v>
      </c>
      <c r="B274"/>
      <c r="C274" s="679" t="s">
        <v>1633</v>
      </c>
      <c r="D274"/>
      <c r="E274"/>
      <c r="F274"/>
      <c r="G274"/>
      <c r="H274"/>
      <c r="I274"/>
      <c r="J274"/>
      <c r="K274" s="73">
        <f>AVERAGE(K261:K273)</f>
        <v>0</v>
      </c>
    </row>
    <row r="275" spans="1:13" s="680" customFormat="1" ht="12.75" customHeight="1">
      <c r="A275" s="111"/>
      <c r="B275"/>
      <c r="C275" s="679"/>
      <c r="D275"/>
      <c r="E275"/>
      <c r="F275"/>
      <c r="G275"/>
      <c r="H275"/>
      <c r="I275"/>
      <c r="J275"/>
      <c r="K275" s="73"/>
    </row>
    <row r="276" spans="1:13" s="680" customFormat="1">
      <c r="B276" s="681" t="s">
        <v>1972</v>
      </c>
      <c r="D276" s="1385" t="s">
        <v>1973</v>
      </c>
      <c r="E276" s="1385"/>
    </row>
    <row r="277" spans="1:13" s="680" customFormat="1">
      <c r="D277" s="682"/>
      <c r="E277" s="683"/>
      <c r="F277" s="684"/>
      <c r="G277" s="677" t="str">
        <f>G51</f>
        <v>Unloaded</v>
      </c>
      <c r="H277" s="682"/>
      <c r="I277" s="683"/>
      <c r="J277" s="683"/>
      <c r="K277" s="683"/>
    </row>
    <row r="278" spans="1:13" s="680" customFormat="1">
      <c r="A278" s="677"/>
      <c r="B278" s="677"/>
      <c r="C278" s="677"/>
      <c r="D278" s="677" t="str">
        <f>D$52</f>
        <v>Forecast</v>
      </c>
      <c r="E278" s="677" t="str">
        <f t="shared" ref="E278:J278" si="54">E$52</f>
        <v>Corporate</v>
      </c>
      <c r="F278" s="677" t="str">
        <f t="shared" si="54"/>
        <v xml:space="preserve">Total </v>
      </c>
      <c r="G278" s="677" t="str">
        <f>G52</f>
        <v>Total</v>
      </c>
      <c r="H278" s="677" t="str">
        <f t="shared" si="54"/>
        <v>Prior Period</v>
      </c>
      <c r="I278" s="677" t="str">
        <f t="shared" si="54"/>
        <v>Over Heads</v>
      </c>
      <c r="J278" s="677" t="str">
        <f t="shared" si="54"/>
        <v>Forecast</v>
      </c>
      <c r="K278" s="580" t="str">
        <f>K$52</f>
        <v>Forecast Period</v>
      </c>
    </row>
    <row r="279" spans="1:13" s="680" customFormat="1">
      <c r="A279" s="932" t="s">
        <v>332</v>
      </c>
      <c r="B279" s="639" t="s">
        <v>192</v>
      </c>
      <c r="C279" s="639" t="s">
        <v>193</v>
      </c>
      <c r="D279" s="675" t="str">
        <f>D$53</f>
        <v>Expenditures</v>
      </c>
      <c r="E279" s="675" t="str">
        <f t="shared" ref="E279:J279" si="55">E$53</f>
        <v>Overheads</v>
      </c>
      <c r="F279" s="675" t="str">
        <f t="shared" si="55"/>
        <v>CWIP Exp</v>
      </c>
      <c r="G279" s="675" t="str">
        <f>G53</f>
        <v>Plant Adds</v>
      </c>
      <c r="H279" s="675" t="str">
        <f t="shared" si="55"/>
        <v>CWIP Closed</v>
      </c>
      <c r="I279" s="675" t="str">
        <f t="shared" si="55"/>
        <v>Closed to PIS</v>
      </c>
      <c r="J279" s="675" t="str">
        <f t="shared" si="55"/>
        <v>Period CWIP</v>
      </c>
      <c r="K279" s="675" t="str">
        <f>K$53</f>
        <v>Incremental CWIP</v>
      </c>
    </row>
    <row r="280" spans="1:13" s="680" customFormat="1">
      <c r="A280" s="111">
        <f>A274+1</f>
        <v>211</v>
      </c>
      <c r="B280" s="640" t="s">
        <v>180</v>
      </c>
      <c r="C280" s="641">
        <v>2017</v>
      </c>
      <c r="D280" s="684" t="s">
        <v>76</v>
      </c>
      <c r="E280" s="684" t="s">
        <v>76</v>
      </c>
      <c r="F280" s="684" t="s">
        <v>76</v>
      </c>
      <c r="G280" s="684" t="s">
        <v>76</v>
      </c>
      <c r="H280" s="684" t="s">
        <v>76</v>
      </c>
      <c r="I280" s="684" t="s">
        <v>76</v>
      </c>
      <c r="J280" s="63">
        <f>E45</f>
        <v>0</v>
      </c>
      <c r="K280" s="684" t="s">
        <v>76</v>
      </c>
    </row>
    <row r="281" spans="1:13" s="680" customFormat="1">
      <c r="A281" s="111">
        <f>A280+1</f>
        <v>212</v>
      </c>
      <c r="B281" s="640" t="s">
        <v>181</v>
      </c>
      <c r="C281" s="641">
        <v>2018</v>
      </c>
      <c r="D281" s="1099">
        <v>728</v>
      </c>
      <c r="E281" s="63">
        <f>D281*'16-PlantAdditions'!$E$103</f>
        <v>54.6</v>
      </c>
      <c r="F281" s="63">
        <f>E281+D281</f>
        <v>782.6</v>
      </c>
      <c r="G281" s="1099">
        <v>728</v>
      </c>
      <c r="H281" s="1099">
        <v>0</v>
      </c>
      <c r="I281" s="63">
        <f>(G281-H281)*'16-PlantAdditions'!$E$103</f>
        <v>54.6</v>
      </c>
      <c r="J281" s="63">
        <f>J280+F281-G281-I281</f>
        <v>0</v>
      </c>
      <c r="K281" s="63">
        <f>J281-$J$280</f>
        <v>0</v>
      </c>
    </row>
    <row r="282" spans="1:13" s="680" customFormat="1">
      <c r="A282" s="111">
        <f t="shared" ref="A282:A305" si="56">A281+1</f>
        <v>213</v>
      </c>
      <c r="B282" s="643" t="s">
        <v>182</v>
      </c>
      <c r="C282" s="641">
        <v>2018</v>
      </c>
      <c r="D282" s="1099">
        <v>1158</v>
      </c>
      <c r="E282" s="63">
        <f>D282*'16-PlantAdditions'!$E$103</f>
        <v>86.85</v>
      </c>
      <c r="F282" s="63">
        <f t="shared" ref="F282:F301" si="57">E282+D282</f>
        <v>1244.8499999999999</v>
      </c>
      <c r="G282" s="1099">
        <v>1158</v>
      </c>
      <c r="H282" s="1099">
        <v>0</v>
      </c>
      <c r="I282" s="63">
        <f>(G282-H282)*'16-PlantAdditions'!$E$103</f>
        <v>86.85</v>
      </c>
      <c r="J282" s="63">
        <f t="shared" ref="J282:J301" si="58">J281+F282-G282-I282</f>
        <v>0</v>
      </c>
      <c r="K282" s="63">
        <f t="shared" ref="K282:K304" si="59">J282-$J$280</f>
        <v>0</v>
      </c>
    </row>
    <row r="283" spans="1:13" s="680" customFormat="1">
      <c r="A283" s="111">
        <f t="shared" si="56"/>
        <v>214</v>
      </c>
      <c r="B283" s="643" t="s">
        <v>195</v>
      </c>
      <c r="C283" s="641">
        <v>2018</v>
      </c>
      <c r="D283" s="1099">
        <v>780</v>
      </c>
      <c r="E283" s="63">
        <f>D283*'16-PlantAdditions'!$E$103</f>
        <v>58.5</v>
      </c>
      <c r="F283" s="63">
        <f t="shared" si="57"/>
        <v>838.5</v>
      </c>
      <c r="G283" s="1099">
        <v>780</v>
      </c>
      <c r="H283" s="1099">
        <v>0</v>
      </c>
      <c r="I283" s="63">
        <f>(G283-H283)*'16-PlantAdditions'!$E$103</f>
        <v>58.5</v>
      </c>
      <c r="J283" s="63">
        <f t="shared" si="58"/>
        <v>0</v>
      </c>
      <c r="K283" s="63">
        <f t="shared" si="59"/>
        <v>0</v>
      </c>
    </row>
    <row r="284" spans="1:13" s="680" customFormat="1">
      <c r="A284" s="111">
        <f t="shared" si="56"/>
        <v>215</v>
      </c>
      <c r="B284" s="640" t="s">
        <v>183</v>
      </c>
      <c r="C284" s="641">
        <v>2018</v>
      </c>
      <c r="D284" s="1099">
        <v>0</v>
      </c>
      <c r="E284" s="63">
        <f>D284*'16-PlantAdditions'!$E$103</f>
        <v>0</v>
      </c>
      <c r="F284" s="63">
        <f t="shared" si="57"/>
        <v>0</v>
      </c>
      <c r="G284" s="1099">
        <v>0</v>
      </c>
      <c r="H284" s="1099">
        <v>0</v>
      </c>
      <c r="I284" s="63">
        <f>(G284-H284)*'16-PlantAdditions'!$E$103</f>
        <v>0</v>
      </c>
      <c r="J284" s="63">
        <f t="shared" si="58"/>
        <v>0</v>
      </c>
      <c r="K284" s="63">
        <f t="shared" si="59"/>
        <v>0</v>
      </c>
    </row>
    <row r="285" spans="1:13" s="680" customFormat="1">
      <c r="A285" s="111">
        <f t="shared" si="56"/>
        <v>216</v>
      </c>
      <c r="B285" s="643" t="s">
        <v>184</v>
      </c>
      <c r="C285" s="641">
        <v>2018</v>
      </c>
      <c r="D285" s="1099">
        <v>0</v>
      </c>
      <c r="E285" s="63">
        <f>D285*'16-PlantAdditions'!$E$103</f>
        <v>0</v>
      </c>
      <c r="F285" s="63">
        <f t="shared" si="57"/>
        <v>0</v>
      </c>
      <c r="G285" s="1099">
        <v>0</v>
      </c>
      <c r="H285" s="1099">
        <v>0</v>
      </c>
      <c r="I285" s="63">
        <f>(G285-H285)*'16-PlantAdditions'!$E$103</f>
        <v>0</v>
      </c>
      <c r="J285" s="63">
        <f t="shared" si="58"/>
        <v>0</v>
      </c>
      <c r="K285" s="63">
        <f t="shared" si="59"/>
        <v>0</v>
      </c>
      <c r="L285" s="677"/>
      <c r="M285" s="677"/>
    </row>
    <row r="286" spans="1:13" s="680" customFormat="1">
      <c r="A286" s="111">
        <f t="shared" si="56"/>
        <v>217</v>
      </c>
      <c r="B286" s="643" t="s">
        <v>1481</v>
      </c>
      <c r="C286" s="641">
        <v>2018</v>
      </c>
      <c r="D286" s="1099">
        <v>334</v>
      </c>
      <c r="E286" s="63">
        <f>D286*'16-PlantAdditions'!$E$103</f>
        <v>25.05</v>
      </c>
      <c r="F286" s="63">
        <f t="shared" si="57"/>
        <v>359.05</v>
      </c>
      <c r="G286" s="1099">
        <v>334</v>
      </c>
      <c r="H286" s="1099">
        <v>0</v>
      </c>
      <c r="I286" s="63">
        <f>(G286-H286)*'16-PlantAdditions'!$E$103</f>
        <v>25.05</v>
      </c>
      <c r="J286" s="63">
        <f t="shared" si="58"/>
        <v>0</v>
      </c>
      <c r="K286" s="63">
        <f t="shared" si="59"/>
        <v>0</v>
      </c>
      <c r="L286" s="675"/>
      <c r="M286" s="675"/>
    </row>
    <row r="287" spans="1:13" s="680" customFormat="1">
      <c r="A287" s="111">
        <f t="shared" si="56"/>
        <v>218</v>
      </c>
      <c r="B287" s="640" t="s">
        <v>186</v>
      </c>
      <c r="C287" s="641">
        <v>2018</v>
      </c>
      <c r="D287" s="1099">
        <v>0</v>
      </c>
      <c r="E287" s="63">
        <f>D287*'16-PlantAdditions'!$E$103</f>
        <v>0</v>
      </c>
      <c r="F287" s="63">
        <f t="shared" si="57"/>
        <v>0</v>
      </c>
      <c r="G287" s="1099">
        <v>0</v>
      </c>
      <c r="H287" s="1099">
        <v>0</v>
      </c>
      <c r="I287" s="63">
        <f>(G287-H287)*'16-PlantAdditions'!$E$103</f>
        <v>0</v>
      </c>
      <c r="J287" s="63">
        <f t="shared" si="58"/>
        <v>0</v>
      </c>
      <c r="K287" s="63">
        <f t="shared" si="59"/>
        <v>0</v>
      </c>
    </row>
    <row r="288" spans="1:13" s="680" customFormat="1">
      <c r="A288" s="111">
        <f t="shared" si="56"/>
        <v>219</v>
      </c>
      <c r="B288" s="643" t="s">
        <v>187</v>
      </c>
      <c r="C288" s="641">
        <v>2018</v>
      </c>
      <c r="D288" s="1099">
        <v>0</v>
      </c>
      <c r="E288" s="63">
        <f>D288*'16-PlantAdditions'!$E$103</f>
        <v>0</v>
      </c>
      <c r="F288" s="63">
        <f t="shared" si="57"/>
        <v>0</v>
      </c>
      <c r="G288" s="1099">
        <v>0</v>
      </c>
      <c r="H288" s="1099">
        <v>0</v>
      </c>
      <c r="I288" s="63">
        <f>(G288-H288)*'16-PlantAdditions'!$E$103</f>
        <v>0</v>
      </c>
      <c r="J288" s="63">
        <f t="shared" si="58"/>
        <v>0</v>
      </c>
      <c r="K288" s="63">
        <f t="shared" si="59"/>
        <v>0</v>
      </c>
    </row>
    <row r="289" spans="1:11" s="680" customFormat="1">
      <c r="A289" s="111">
        <f t="shared" si="56"/>
        <v>220</v>
      </c>
      <c r="B289" s="643" t="s">
        <v>188</v>
      </c>
      <c r="C289" s="641">
        <v>2018</v>
      </c>
      <c r="D289" s="1099">
        <v>0</v>
      </c>
      <c r="E289" s="63">
        <f>D289*'16-PlantAdditions'!$E$103</f>
        <v>0</v>
      </c>
      <c r="F289" s="63">
        <f t="shared" si="57"/>
        <v>0</v>
      </c>
      <c r="G289" s="1099">
        <v>0</v>
      </c>
      <c r="H289" s="1099">
        <v>0</v>
      </c>
      <c r="I289" s="63">
        <f>(G289-H289)*'16-PlantAdditions'!$E$103</f>
        <v>0</v>
      </c>
      <c r="J289" s="63">
        <f t="shared" si="58"/>
        <v>0</v>
      </c>
      <c r="K289" s="63">
        <f t="shared" si="59"/>
        <v>0</v>
      </c>
    </row>
    <row r="290" spans="1:11" s="680" customFormat="1">
      <c r="A290" s="111">
        <f t="shared" si="56"/>
        <v>221</v>
      </c>
      <c r="B290" s="640" t="s">
        <v>191</v>
      </c>
      <c r="C290" s="641">
        <v>2018</v>
      </c>
      <c r="D290" s="1099">
        <v>0</v>
      </c>
      <c r="E290" s="63">
        <f>D290*'16-PlantAdditions'!$E$103</f>
        <v>0</v>
      </c>
      <c r="F290" s="63">
        <f t="shared" si="57"/>
        <v>0</v>
      </c>
      <c r="G290" s="1099">
        <v>0</v>
      </c>
      <c r="H290" s="1099">
        <v>0</v>
      </c>
      <c r="I290" s="63">
        <f>(G290-H290)*'16-PlantAdditions'!$E$103</f>
        <v>0</v>
      </c>
      <c r="J290" s="63">
        <f t="shared" si="58"/>
        <v>0</v>
      </c>
      <c r="K290" s="63">
        <f t="shared" si="59"/>
        <v>0</v>
      </c>
    </row>
    <row r="291" spans="1:11" s="680" customFormat="1">
      <c r="A291" s="111">
        <f t="shared" si="56"/>
        <v>222</v>
      </c>
      <c r="B291" s="640" t="s">
        <v>190</v>
      </c>
      <c r="C291" s="641">
        <v>2018</v>
      </c>
      <c r="D291" s="1099">
        <v>0</v>
      </c>
      <c r="E291" s="63">
        <f>D291*'16-PlantAdditions'!$E$103</f>
        <v>0</v>
      </c>
      <c r="F291" s="63">
        <f t="shared" si="57"/>
        <v>0</v>
      </c>
      <c r="G291" s="1099">
        <v>0</v>
      </c>
      <c r="H291" s="1099">
        <v>0</v>
      </c>
      <c r="I291" s="63">
        <f>(G291-H291)*'16-PlantAdditions'!$E$103</f>
        <v>0</v>
      </c>
      <c r="J291" s="63">
        <f t="shared" si="58"/>
        <v>0</v>
      </c>
      <c r="K291" s="63">
        <f t="shared" si="59"/>
        <v>0</v>
      </c>
    </row>
    <row r="292" spans="1:11" s="680" customFormat="1">
      <c r="A292" s="111">
        <f t="shared" si="56"/>
        <v>223</v>
      </c>
      <c r="B292" s="640" t="s">
        <v>180</v>
      </c>
      <c r="C292" s="641">
        <v>2018</v>
      </c>
      <c r="D292" s="1099">
        <v>0</v>
      </c>
      <c r="E292" s="63">
        <f>D292*'16-PlantAdditions'!$E$103</f>
        <v>0</v>
      </c>
      <c r="F292" s="63">
        <f t="shared" si="57"/>
        <v>0</v>
      </c>
      <c r="G292" s="1099">
        <v>0</v>
      </c>
      <c r="H292" s="1099">
        <v>0</v>
      </c>
      <c r="I292" s="63">
        <f>(G292-H292)*'16-PlantAdditions'!$E$103</f>
        <v>0</v>
      </c>
      <c r="J292" s="63">
        <f t="shared" si="58"/>
        <v>0</v>
      </c>
      <c r="K292" s="63">
        <f t="shared" si="59"/>
        <v>0</v>
      </c>
    </row>
    <row r="293" spans="1:11" s="680" customFormat="1">
      <c r="A293" s="111">
        <f t="shared" si="56"/>
        <v>224</v>
      </c>
      <c r="B293" s="640" t="s">
        <v>181</v>
      </c>
      <c r="C293" s="641">
        <v>2019</v>
      </c>
      <c r="D293" s="1099">
        <v>0</v>
      </c>
      <c r="E293" s="63">
        <f>D293*'16-PlantAdditions'!$E$103</f>
        <v>0</v>
      </c>
      <c r="F293" s="63">
        <f t="shared" si="57"/>
        <v>0</v>
      </c>
      <c r="G293" s="1099">
        <v>0</v>
      </c>
      <c r="H293" s="1099">
        <v>0</v>
      </c>
      <c r="I293" s="63">
        <f>(G293-H293)*'16-PlantAdditions'!$E$103</f>
        <v>0</v>
      </c>
      <c r="J293" s="63">
        <f t="shared" si="58"/>
        <v>0</v>
      </c>
      <c r="K293" s="63">
        <f t="shared" si="59"/>
        <v>0</v>
      </c>
    </row>
    <row r="294" spans="1:11" s="680" customFormat="1">
      <c r="A294" s="111">
        <f t="shared" si="56"/>
        <v>225</v>
      </c>
      <c r="B294" s="643" t="s">
        <v>182</v>
      </c>
      <c r="C294" s="641">
        <v>2019</v>
      </c>
      <c r="D294" s="1099">
        <v>0</v>
      </c>
      <c r="E294" s="63">
        <f>D294*'16-PlantAdditions'!$E$103</f>
        <v>0</v>
      </c>
      <c r="F294" s="63">
        <f t="shared" si="57"/>
        <v>0</v>
      </c>
      <c r="G294" s="1099">
        <v>0</v>
      </c>
      <c r="H294" s="1099">
        <v>0</v>
      </c>
      <c r="I294" s="63">
        <f>(G294-H294)*'16-PlantAdditions'!$E$103</f>
        <v>0</v>
      </c>
      <c r="J294" s="63">
        <f t="shared" si="58"/>
        <v>0</v>
      </c>
      <c r="K294" s="63">
        <f t="shared" si="59"/>
        <v>0</v>
      </c>
    </row>
    <row r="295" spans="1:11" s="680" customFormat="1">
      <c r="A295" s="111">
        <f t="shared" si="56"/>
        <v>226</v>
      </c>
      <c r="B295" s="643" t="s">
        <v>195</v>
      </c>
      <c r="C295" s="641">
        <v>2019</v>
      </c>
      <c r="D295" s="1099">
        <v>0</v>
      </c>
      <c r="E295" s="63">
        <f>D295*'16-PlantAdditions'!$E$103</f>
        <v>0</v>
      </c>
      <c r="F295" s="63">
        <f t="shared" si="57"/>
        <v>0</v>
      </c>
      <c r="G295" s="1099">
        <v>0</v>
      </c>
      <c r="H295" s="1099">
        <v>0</v>
      </c>
      <c r="I295" s="63">
        <f>(G295-H295)*'16-PlantAdditions'!$E$103</f>
        <v>0</v>
      </c>
      <c r="J295" s="63">
        <f t="shared" si="58"/>
        <v>0</v>
      </c>
      <c r="K295" s="63">
        <f t="shared" si="59"/>
        <v>0</v>
      </c>
    </row>
    <row r="296" spans="1:11" s="680" customFormat="1">
      <c r="A296" s="111">
        <f t="shared" si="56"/>
        <v>227</v>
      </c>
      <c r="B296" s="640" t="s">
        <v>183</v>
      </c>
      <c r="C296" s="641">
        <v>2019</v>
      </c>
      <c r="D296" s="1099">
        <v>0</v>
      </c>
      <c r="E296" s="63">
        <f>D296*'16-PlantAdditions'!$E$103</f>
        <v>0</v>
      </c>
      <c r="F296" s="63">
        <f t="shared" si="57"/>
        <v>0</v>
      </c>
      <c r="G296" s="1099">
        <v>0</v>
      </c>
      <c r="H296" s="1099">
        <v>0</v>
      </c>
      <c r="I296" s="63">
        <f>(G296-H296)*'16-PlantAdditions'!$E$103</f>
        <v>0</v>
      </c>
      <c r="J296" s="63">
        <f t="shared" si="58"/>
        <v>0</v>
      </c>
      <c r="K296" s="63">
        <f t="shared" si="59"/>
        <v>0</v>
      </c>
    </row>
    <row r="297" spans="1:11" s="680" customFormat="1">
      <c r="A297" s="111">
        <f t="shared" si="56"/>
        <v>228</v>
      </c>
      <c r="B297" s="643" t="s">
        <v>184</v>
      </c>
      <c r="C297" s="641">
        <v>2019</v>
      </c>
      <c r="D297" s="1099">
        <v>0</v>
      </c>
      <c r="E297" s="63">
        <f>D297*'16-PlantAdditions'!$E$103</f>
        <v>0</v>
      </c>
      <c r="F297" s="63">
        <f t="shared" si="57"/>
        <v>0</v>
      </c>
      <c r="G297" s="1099">
        <v>0</v>
      </c>
      <c r="H297" s="1099">
        <v>0</v>
      </c>
      <c r="I297" s="63">
        <f>(G297-H297)*'16-PlantAdditions'!$E$103</f>
        <v>0</v>
      </c>
      <c r="J297" s="63">
        <f t="shared" si="58"/>
        <v>0</v>
      </c>
      <c r="K297" s="63">
        <f t="shared" si="59"/>
        <v>0</v>
      </c>
    </row>
    <row r="298" spans="1:11" s="680" customFormat="1">
      <c r="A298" s="111">
        <f t="shared" si="56"/>
        <v>229</v>
      </c>
      <c r="B298" s="643" t="s">
        <v>1481</v>
      </c>
      <c r="C298" s="641">
        <v>2019</v>
      </c>
      <c r="D298" s="1099">
        <v>0</v>
      </c>
      <c r="E298" s="63">
        <f>D298*'16-PlantAdditions'!$E$103</f>
        <v>0</v>
      </c>
      <c r="F298" s="63">
        <f t="shared" si="57"/>
        <v>0</v>
      </c>
      <c r="G298" s="1099">
        <v>0</v>
      </c>
      <c r="H298" s="1099">
        <v>0</v>
      </c>
      <c r="I298" s="63">
        <f>(G298-H298)*'16-PlantAdditions'!$E$103</f>
        <v>0</v>
      </c>
      <c r="J298" s="63">
        <f t="shared" si="58"/>
        <v>0</v>
      </c>
      <c r="K298" s="63">
        <f t="shared" si="59"/>
        <v>0</v>
      </c>
    </row>
    <row r="299" spans="1:11" s="680" customFormat="1">
      <c r="A299" s="111">
        <f t="shared" si="56"/>
        <v>230</v>
      </c>
      <c r="B299" s="640" t="s">
        <v>186</v>
      </c>
      <c r="C299" s="641">
        <v>2019</v>
      </c>
      <c r="D299" s="1099">
        <v>0</v>
      </c>
      <c r="E299" s="63">
        <f>D299*'16-PlantAdditions'!$E$103</f>
        <v>0</v>
      </c>
      <c r="F299" s="63">
        <f t="shared" si="57"/>
        <v>0</v>
      </c>
      <c r="G299" s="1099">
        <v>0</v>
      </c>
      <c r="H299" s="1099">
        <v>0</v>
      </c>
      <c r="I299" s="63">
        <f>(G299-H299)*'16-PlantAdditions'!$E$103</f>
        <v>0</v>
      </c>
      <c r="J299" s="63">
        <f t="shared" si="58"/>
        <v>0</v>
      </c>
      <c r="K299" s="63">
        <f t="shared" si="59"/>
        <v>0</v>
      </c>
    </row>
    <row r="300" spans="1:11" s="680" customFormat="1">
      <c r="A300" s="111">
        <f t="shared" si="56"/>
        <v>231</v>
      </c>
      <c r="B300" s="643" t="s">
        <v>187</v>
      </c>
      <c r="C300" s="641">
        <v>2019</v>
      </c>
      <c r="D300" s="1099">
        <v>0</v>
      </c>
      <c r="E300" s="63">
        <f>D300*'16-PlantAdditions'!$E$103</f>
        <v>0</v>
      </c>
      <c r="F300" s="63">
        <f t="shared" si="57"/>
        <v>0</v>
      </c>
      <c r="G300" s="1099">
        <v>0</v>
      </c>
      <c r="H300" s="1099">
        <v>0</v>
      </c>
      <c r="I300" s="63">
        <f>(G300-H300)*'16-PlantAdditions'!$E$103</f>
        <v>0</v>
      </c>
      <c r="J300" s="63">
        <f t="shared" si="58"/>
        <v>0</v>
      </c>
      <c r="K300" s="63">
        <f t="shared" si="59"/>
        <v>0</v>
      </c>
    </row>
    <row r="301" spans="1:11" s="680" customFormat="1">
      <c r="A301" s="111">
        <f t="shared" si="56"/>
        <v>232</v>
      </c>
      <c r="B301" s="643" t="s">
        <v>188</v>
      </c>
      <c r="C301" s="641">
        <v>2019</v>
      </c>
      <c r="D301" s="1099">
        <v>0</v>
      </c>
      <c r="E301" s="63">
        <f>D301*'16-PlantAdditions'!$E$103</f>
        <v>0</v>
      </c>
      <c r="F301" s="63">
        <f t="shared" si="57"/>
        <v>0</v>
      </c>
      <c r="G301" s="1099">
        <v>0</v>
      </c>
      <c r="H301" s="1099">
        <v>0</v>
      </c>
      <c r="I301" s="63">
        <f>(G301-H301)*'16-PlantAdditions'!$E$103</f>
        <v>0</v>
      </c>
      <c r="J301" s="63">
        <f t="shared" si="58"/>
        <v>0</v>
      </c>
      <c r="K301" s="63">
        <f t="shared" si="59"/>
        <v>0</v>
      </c>
    </row>
    <row r="302" spans="1:11" s="680" customFormat="1">
      <c r="A302" s="111">
        <f t="shared" si="56"/>
        <v>233</v>
      </c>
      <c r="B302" s="643" t="s">
        <v>191</v>
      </c>
      <c r="C302" s="641">
        <v>2019</v>
      </c>
      <c r="D302" s="1099">
        <v>0</v>
      </c>
      <c r="E302" s="63">
        <f>D302*'16-PlantAdditions'!$E$103</f>
        <v>0</v>
      </c>
      <c r="F302" s="63">
        <f t="shared" ref="F302:F304" si="60">E302+D302</f>
        <v>0</v>
      </c>
      <c r="G302" s="1099">
        <v>0</v>
      </c>
      <c r="H302" s="1099">
        <v>0</v>
      </c>
      <c r="I302" s="63">
        <f>(G302-H302)*'16-PlantAdditions'!$E$103</f>
        <v>0</v>
      </c>
      <c r="J302" s="63">
        <f t="shared" ref="J302:J304" si="61">J301+F302-G302-I302</f>
        <v>0</v>
      </c>
      <c r="K302" s="63">
        <f t="shared" si="59"/>
        <v>0</v>
      </c>
    </row>
    <row r="303" spans="1:11" s="680" customFormat="1">
      <c r="A303" s="111">
        <f t="shared" si="56"/>
        <v>234</v>
      </c>
      <c r="B303" s="643" t="s">
        <v>190</v>
      </c>
      <c r="C303" s="641">
        <v>2019</v>
      </c>
      <c r="D303" s="1099">
        <v>0</v>
      </c>
      <c r="E303" s="63">
        <f>D303*'16-PlantAdditions'!$E$103</f>
        <v>0</v>
      </c>
      <c r="F303" s="63">
        <f t="shared" si="60"/>
        <v>0</v>
      </c>
      <c r="G303" s="1099">
        <v>0</v>
      </c>
      <c r="H303" s="1099">
        <v>0</v>
      </c>
      <c r="I303" s="63">
        <f>(G303-H303)*'16-PlantAdditions'!$E$103</f>
        <v>0</v>
      </c>
      <c r="J303" s="63">
        <f t="shared" si="61"/>
        <v>0</v>
      </c>
      <c r="K303" s="63">
        <f t="shared" si="59"/>
        <v>0</v>
      </c>
    </row>
    <row r="304" spans="1:11" s="680" customFormat="1">
      <c r="A304" s="111">
        <f t="shared" si="56"/>
        <v>235</v>
      </c>
      <c r="B304" s="643" t="s">
        <v>180</v>
      </c>
      <c r="C304" s="641">
        <v>2019</v>
      </c>
      <c r="D304" s="1099">
        <v>0</v>
      </c>
      <c r="E304" s="63">
        <f>D304*'16-PlantAdditions'!$E$103</f>
        <v>0</v>
      </c>
      <c r="F304" s="63">
        <f t="shared" si="60"/>
        <v>0</v>
      </c>
      <c r="G304" s="1099">
        <v>0</v>
      </c>
      <c r="H304" s="1099">
        <v>0</v>
      </c>
      <c r="I304" s="63">
        <f>(G304-H304)*'16-PlantAdditions'!$E$103</f>
        <v>0</v>
      </c>
      <c r="J304" s="63">
        <f t="shared" si="61"/>
        <v>0</v>
      </c>
      <c r="K304" s="112">
        <f t="shared" si="59"/>
        <v>0</v>
      </c>
    </row>
    <row r="305" spans="1:12" s="680" customFormat="1">
      <c r="A305" s="111">
        <f t="shared" si="56"/>
        <v>236</v>
      </c>
      <c r="B305"/>
      <c r="C305" s="679" t="s">
        <v>1633</v>
      </c>
      <c r="D305"/>
      <c r="E305"/>
      <c r="F305"/>
      <c r="G305"/>
      <c r="H305"/>
      <c r="I305"/>
      <c r="J305"/>
      <c r="K305" s="73">
        <f>AVERAGE(K292:K304)</f>
        <v>0</v>
      </c>
    </row>
    <row r="306" spans="1:12" s="680" customFormat="1">
      <c r="A306" s="111"/>
      <c r="B306"/>
      <c r="C306" s="679"/>
      <c r="D306"/>
      <c r="E306"/>
      <c r="F306"/>
      <c r="G306"/>
      <c r="H306"/>
      <c r="I306"/>
      <c r="J306"/>
      <c r="K306" s="73"/>
    </row>
    <row r="307" spans="1:12" s="680" customFormat="1">
      <c r="B307" s="681" t="s">
        <v>1974</v>
      </c>
      <c r="D307" s="1385" t="s">
        <v>2657</v>
      </c>
      <c r="E307" s="1385"/>
    </row>
    <row r="308" spans="1:12" s="680" customFormat="1">
      <c r="A308" s="675"/>
      <c r="B308" s="675"/>
      <c r="C308" s="675"/>
      <c r="D308" s="675" t="s">
        <v>363</v>
      </c>
      <c r="E308" s="675" t="s">
        <v>347</v>
      </c>
      <c r="F308" s="675" t="s">
        <v>348</v>
      </c>
      <c r="G308" s="675" t="s">
        <v>349</v>
      </c>
      <c r="H308" s="675" t="s">
        <v>350</v>
      </c>
      <c r="I308" s="675" t="s">
        <v>351</v>
      </c>
      <c r="J308" s="675" t="s">
        <v>352</v>
      </c>
      <c r="K308" s="675" t="s">
        <v>544</v>
      </c>
    </row>
    <row r="309" spans="1:12" s="680" customFormat="1" ht="38.25">
      <c r="D309" s="682"/>
      <c r="E309" s="683" t="s">
        <v>2104</v>
      </c>
      <c r="F309" s="684" t="s">
        <v>1961</v>
      </c>
      <c r="G309" s="492"/>
      <c r="H309" s="682"/>
      <c r="I309" s="683" t="s">
        <v>2105</v>
      </c>
      <c r="J309" s="683" t="s">
        <v>1962</v>
      </c>
      <c r="K309" s="683" t="s">
        <v>1963</v>
      </c>
    </row>
    <row r="310" spans="1:12" s="680" customFormat="1">
      <c r="D310" s="682"/>
      <c r="E310" s="682"/>
      <c r="F310" s="682"/>
      <c r="G310" s="580" t="str">
        <f>G51</f>
        <v>Unloaded</v>
      </c>
      <c r="H310" s="682"/>
      <c r="I310" s="682"/>
    </row>
    <row r="311" spans="1:12" s="680" customFormat="1">
      <c r="A311" s="677"/>
      <c r="B311" s="677"/>
      <c r="C311" s="677"/>
      <c r="D311" s="677" t="str">
        <f>D$52</f>
        <v>Forecast</v>
      </c>
      <c r="E311" s="677" t="str">
        <f t="shared" ref="E311:J311" si="62">E$52</f>
        <v>Corporate</v>
      </c>
      <c r="F311" s="677" t="str">
        <f t="shared" si="62"/>
        <v xml:space="preserve">Total </v>
      </c>
      <c r="G311" s="580" t="str">
        <f>G52</f>
        <v>Total</v>
      </c>
      <c r="H311" s="677" t="str">
        <f t="shared" si="62"/>
        <v>Prior Period</v>
      </c>
      <c r="I311" s="677" t="str">
        <f t="shared" si="62"/>
        <v>Over Heads</v>
      </c>
      <c r="J311" s="677" t="str">
        <f t="shared" si="62"/>
        <v>Forecast</v>
      </c>
      <c r="K311" s="580" t="str">
        <f>K$52</f>
        <v>Forecast Period</v>
      </c>
    </row>
    <row r="312" spans="1:12" s="680" customFormat="1">
      <c r="A312" s="932" t="s">
        <v>332</v>
      </c>
      <c r="B312" s="639" t="s">
        <v>192</v>
      </c>
      <c r="C312" s="639" t="s">
        <v>193</v>
      </c>
      <c r="D312" s="675" t="str">
        <f>D$53</f>
        <v>Expenditures</v>
      </c>
      <c r="E312" s="675" t="str">
        <f t="shared" ref="E312:J312" si="63">E$53</f>
        <v>Overheads</v>
      </c>
      <c r="F312" s="675" t="str">
        <f t="shared" si="63"/>
        <v>CWIP Exp</v>
      </c>
      <c r="G312" s="3" t="str">
        <f>G53</f>
        <v>Plant Adds</v>
      </c>
      <c r="H312" s="675" t="str">
        <f t="shared" si="63"/>
        <v>CWIP Closed</v>
      </c>
      <c r="I312" s="675" t="str">
        <f t="shared" si="63"/>
        <v>Closed to PIS</v>
      </c>
      <c r="J312" s="675" t="str">
        <f t="shared" si="63"/>
        <v>Period CWIP</v>
      </c>
      <c r="K312" s="675" t="str">
        <f>K$53</f>
        <v>Incremental CWIP</v>
      </c>
    </row>
    <row r="313" spans="1:12" s="680" customFormat="1">
      <c r="A313" s="111">
        <f>A305+1</f>
        <v>237</v>
      </c>
      <c r="B313" s="640" t="s">
        <v>180</v>
      </c>
      <c r="C313" s="641">
        <v>2017</v>
      </c>
      <c r="D313" s="684" t="s">
        <v>76</v>
      </c>
      <c r="E313" s="684" t="s">
        <v>76</v>
      </c>
      <c r="F313" s="684" t="s">
        <v>76</v>
      </c>
      <c r="G313" s="684" t="s">
        <v>76</v>
      </c>
      <c r="H313" s="684" t="s">
        <v>76</v>
      </c>
      <c r="I313" s="684" t="s">
        <v>76</v>
      </c>
      <c r="J313" s="63">
        <f>F45</f>
        <v>46788115.939999998</v>
      </c>
      <c r="K313" s="684" t="s">
        <v>76</v>
      </c>
    </row>
    <row r="314" spans="1:12" s="680" customFormat="1">
      <c r="A314" s="111">
        <f>A313+1</f>
        <v>238</v>
      </c>
      <c r="B314" s="640" t="s">
        <v>181</v>
      </c>
      <c r="C314" s="641">
        <v>2018</v>
      </c>
      <c r="D314" s="1099">
        <v>6150624.7251600064</v>
      </c>
      <c r="E314" s="63">
        <f>D314*'16-PlantAdditions'!$E$103</f>
        <v>461296.85438700049</v>
      </c>
      <c r="F314" s="63">
        <f>E314+D314</f>
        <v>6611921.5795470066</v>
      </c>
      <c r="G314" s="1099">
        <v>4835162.0016000001</v>
      </c>
      <c r="H314" s="1099">
        <v>4098416.9471999994</v>
      </c>
      <c r="I314" s="63">
        <f>(G314-H314)*'16-PlantAdditions'!$E$103</f>
        <v>55255.87908000005</v>
      </c>
      <c r="J314" s="63">
        <f>J313+F314-G314-I314</f>
        <v>48509619.638867006</v>
      </c>
      <c r="K314" s="63">
        <f>J314-$J$313</f>
        <v>1721503.6988670081</v>
      </c>
      <c r="L314" s="677"/>
    </row>
    <row r="315" spans="1:12" s="680" customFormat="1">
      <c r="A315" s="111">
        <f t="shared" ref="A315:A338" si="64">A314+1</f>
        <v>239</v>
      </c>
      <c r="B315" s="643" t="s">
        <v>182</v>
      </c>
      <c r="C315" s="641">
        <v>2018</v>
      </c>
      <c r="D315" s="1099">
        <v>6764841.5648300042</v>
      </c>
      <c r="E315" s="63">
        <f>D315*'16-PlantAdditions'!$E$103</f>
        <v>507363.11736225028</v>
      </c>
      <c r="F315" s="63">
        <f t="shared" ref="F315:F334" si="65">E315+D315</f>
        <v>7272204.6821922548</v>
      </c>
      <c r="G315" s="1099">
        <v>716614.37999999966</v>
      </c>
      <c r="H315" s="1099">
        <v>0</v>
      </c>
      <c r="I315" s="63">
        <f>(G315-H315)*'16-PlantAdditions'!$E$103</f>
        <v>53746.078499999974</v>
      </c>
      <c r="J315" s="63">
        <f t="shared" ref="J315:J334" si="66">J314+F315-G315-I315</f>
        <v>55011463.862559251</v>
      </c>
      <c r="K315" s="63">
        <f t="shared" ref="K315:K337" si="67">J315-$J$313</f>
        <v>8223347.9225592539</v>
      </c>
      <c r="L315" s="677"/>
    </row>
    <row r="316" spans="1:12" s="680" customFormat="1">
      <c r="A316" s="111">
        <f t="shared" si="64"/>
        <v>240</v>
      </c>
      <c r="B316" s="643" t="s">
        <v>195</v>
      </c>
      <c r="C316" s="641">
        <v>2018</v>
      </c>
      <c r="D316" s="1099">
        <v>6728747.118437971</v>
      </c>
      <c r="E316" s="63">
        <f>D316*'16-PlantAdditions'!$E$103</f>
        <v>504656.03388284781</v>
      </c>
      <c r="F316" s="63">
        <f t="shared" si="65"/>
        <v>7233403.152320819</v>
      </c>
      <c r="G316" s="1099">
        <v>428364.69119999994</v>
      </c>
      <c r="H316" s="1099">
        <v>0</v>
      </c>
      <c r="I316" s="63">
        <f>(G316-H316)*'16-PlantAdditions'!$E$103</f>
        <v>32127.351839999996</v>
      </c>
      <c r="J316" s="63">
        <f t="shared" si="66"/>
        <v>61784374.971840069</v>
      </c>
      <c r="K316" s="63">
        <f t="shared" si="67"/>
        <v>14996259.031840071</v>
      </c>
      <c r="L316" s="677"/>
    </row>
    <row r="317" spans="1:12" s="680" customFormat="1">
      <c r="A317" s="111">
        <f t="shared" si="64"/>
        <v>241</v>
      </c>
      <c r="B317" s="640" t="s">
        <v>183</v>
      </c>
      <c r="C317" s="641">
        <v>2018</v>
      </c>
      <c r="D317" s="1099">
        <v>2637958.1582040256</v>
      </c>
      <c r="E317" s="63">
        <f>D317*'16-PlantAdditions'!$E$103</f>
        <v>197846.86186530191</v>
      </c>
      <c r="F317" s="63">
        <f t="shared" si="65"/>
        <v>2835805.0200693277</v>
      </c>
      <c r="G317" s="1099">
        <v>36000</v>
      </c>
      <c r="H317" s="1099">
        <v>0</v>
      </c>
      <c r="I317" s="63">
        <f>(G317-H317)*'16-PlantAdditions'!$E$103</f>
        <v>2700</v>
      </c>
      <c r="J317" s="63">
        <f t="shared" si="66"/>
        <v>64581479.9919094</v>
      </c>
      <c r="K317" s="63">
        <f t="shared" si="67"/>
        <v>17793364.051909402</v>
      </c>
      <c r="L317" s="675"/>
    </row>
    <row r="318" spans="1:12" s="680" customFormat="1">
      <c r="A318" s="111">
        <f t="shared" si="64"/>
        <v>242</v>
      </c>
      <c r="B318" s="643" t="s">
        <v>184</v>
      </c>
      <c r="C318" s="641">
        <v>2018</v>
      </c>
      <c r="D318" s="1099">
        <v>7602991.4540854283</v>
      </c>
      <c r="E318" s="63">
        <f>D318*'16-PlantAdditions'!$E$103</f>
        <v>570224.35905640712</v>
      </c>
      <c r="F318" s="63">
        <f t="shared" si="65"/>
        <v>8173215.8131418359</v>
      </c>
      <c r="G318" s="1099">
        <v>0</v>
      </c>
      <c r="H318" s="1099">
        <v>0</v>
      </c>
      <c r="I318" s="63">
        <f>(G318-H318)*'16-PlantAdditions'!$E$103</f>
        <v>0</v>
      </c>
      <c r="J318" s="63">
        <f t="shared" si="66"/>
        <v>72754695.805051237</v>
      </c>
      <c r="K318" s="63">
        <f t="shared" si="67"/>
        <v>25966579.86505124</v>
      </c>
    </row>
    <row r="319" spans="1:12" s="680" customFormat="1">
      <c r="A319" s="111">
        <f t="shared" si="64"/>
        <v>243</v>
      </c>
      <c r="B319" s="643" t="s">
        <v>1481</v>
      </c>
      <c r="C319" s="641">
        <v>2018</v>
      </c>
      <c r="D319" s="1099">
        <v>9514013.2149350662</v>
      </c>
      <c r="E319" s="63">
        <f>D319*'16-PlantAdditions'!$E$103</f>
        <v>713550.99112012994</v>
      </c>
      <c r="F319" s="63">
        <f t="shared" si="65"/>
        <v>10227564.206055196</v>
      </c>
      <c r="G319" s="1099">
        <v>0</v>
      </c>
      <c r="H319" s="1099">
        <v>0</v>
      </c>
      <c r="I319" s="63">
        <f>(G319-H319)*'16-PlantAdditions'!$E$103</f>
        <v>0</v>
      </c>
      <c r="J319" s="63">
        <f t="shared" si="66"/>
        <v>82982260.011106431</v>
      </c>
      <c r="K319" s="63">
        <f t="shared" si="67"/>
        <v>36194144.071106434</v>
      </c>
    </row>
    <row r="320" spans="1:12" s="680" customFormat="1">
      <c r="A320" s="111">
        <f t="shared" si="64"/>
        <v>244</v>
      </c>
      <c r="B320" s="640" t="s">
        <v>186</v>
      </c>
      <c r="C320" s="641">
        <v>2018</v>
      </c>
      <c r="D320" s="1099">
        <v>4760538.4822819205</v>
      </c>
      <c r="E320" s="63">
        <f>D320*'16-PlantAdditions'!$E$103</f>
        <v>357040.38617114403</v>
      </c>
      <c r="F320" s="63">
        <f t="shared" si="65"/>
        <v>5117578.8684530649</v>
      </c>
      <c r="G320" s="1099">
        <v>0</v>
      </c>
      <c r="H320" s="1099">
        <v>0</v>
      </c>
      <c r="I320" s="63">
        <f>(G320-H320)*'16-PlantAdditions'!$E$103</f>
        <v>0</v>
      </c>
      <c r="J320" s="63">
        <f t="shared" si="66"/>
        <v>88099838.879559502</v>
      </c>
      <c r="K320" s="63">
        <f t="shared" si="67"/>
        <v>41311722.939559504</v>
      </c>
    </row>
    <row r="321" spans="1:11" s="680" customFormat="1">
      <c r="A321" s="111">
        <f t="shared" si="64"/>
        <v>245</v>
      </c>
      <c r="B321" s="643" t="s">
        <v>187</v>
      </c>
      <c r="C321" s="641">
        <v>2018</v>
      </c>
      <c r="D321" s="1099">
        <v>7813914.9122097539</v>
      </c>
      <c r="E321" s="63">
        <f>D321*'16-PlantAdditions'!$E$103</f>
        <v>586043.61841573147</v>
      </c>
      <c r="F321" s="63">
        <f t="shared" si="65"/>
        <v>8399958.5306254849</v>
      </c>
      <c r="G321" s="1099">
        <v>0</v>
      </c>
      <c r="H321" s="1099">
        <v>0</v>
      </c>
      <c r="I321" s="63">
        <f>(G321-H321)*'16-PlantAdditions'!$E$103</f>
        <v>0</v>
      </c>
      <c r="J321" s="63">
        <f t="shared" si="66"/>
        <v>96499797.410184979</v>
      </c>
      <c r="K321" s="63">
        <f t="shared" si="67"/>
        <v>49711681.470184982</v>
      </c>
    </row>
    <row r="322" spans="1:11" s="680" customFormat="1">
      <c r="A322" s="111">
        <f t="shared" si="64"/>
        <v>246</v>
      </c>
      <c r="B322" s="643" t="s">
        <v>188</v>
      </c>
      <c r="C322" s="641">
        <v>2018</v>
      </c>
      <c r="D322" s="1099">
        <v>4860922.1068712259</v>
      </c>
      <c r="E322" s="63">
        <f>D322*'16-PlantAdditions'!$E$103</f>
        <v>364569.15801534191</v>
      </c>
      <c r="F322" s="63">
        <f t="shared" si="65"/>
        <v>5225491.2648865674</v>
      </c>
      <c r="G322" s="1099">
        <v>0</v>
      </c>
      <c r="H322" s="1099">
        <v>0</v>
      </c>
      <c r="I322" s="63">
        <f>(G322-H322)*'16-PlantAdditions'!$E$103</f>
        <v>0</v>
      </c>
      <c r="J322" s="63">
        <f t="shared" si="66"/>
        <v>101725288.67507155</v>
      </c>
      <c r="K322" s="63">
        <f t="shared" si="67"/>
        <v>54937172.735071555</v>
      </c>
    </row>
    <row r="323" spans="1:11" s="680" customFormat="1">
      <c r="A323" s="111">
        <f t="shared" si="64"/>
        <v>247</v>
      </c>
      <c r="B323" s="640" t="s">
        <v>191</v>
      </c>
      <c r="C323" s="641">
        <v>2018</v>
      </c>
      <c r="D323" s="1099">
        <v>5232286.1741804592</v>
      </c>
      <c r="E323" s="63">
        <f>D323*'16-PlantAdditions'!$E$103</f>
        <v>392421.46306353441</v>
      </c>
      <c r="F323" s="63">
        <f t="shared" si="65"/>
        <v>5624707.6372439936</v>
      </c>
      <c r="G323" s="1099">
        <v>0</v>
      </c>
      <c r="H323" s="1099">
        <v>0</v>
      </c>
      <c r="I323" s="63">
        <f>(G323-H323)*'16-PlantAdditions'!$E$103</f>
        <v>0</v>
      </c>
      <c r="J323" s="63">
        <f t="shared" si="66"/>
        <v>107349996.31231555</v>
      </c>
      <c r="K323" s="63">
        <f t="shared" si="67"/>
        <v>60561880.372315556</v>
      </c>
    </row>
    <row r="324" spans="1:11" s="680" customFormat="1">
      <c r="A324" s="111">
        <f t="shared" si="64"/>
        <v>248</v>
      </c>
      <c r="B324" s="640" t="s">
        <v>190</v>
      </c>
      <c r="C324" s="641">
        <v>2018</v>
      </c>
      <c r="D324" s="1099">
        <v>3062452.8605415537</v>
      </c>
      <c r="E324" s="63">
        <f>D324*'16-PlantAdditions'!$E$103</f>
        <v>229683.96454061652</v>
      </c>
      <c r="F324" s="63">
        <f t="shared" si="65"/>
        <v>3292136.8250821703</v>
      </c>
      <c r="G324" s="1099">
        <v>0</v>
      </c>
      <c r="H324" s="1099">
        <v>0</v>
      </c>
      <c r="I324" s="63">
        <f>(G324-H324)*'16-PlantAdditions'!$E$103</f>
        <v>0</v>
      </c>
      <c r="J324" s="63">
        <f t="shared" si="66"/>
        <v>110642133.13739772</v>
      </c>
      <c r="K324" s="63">
        <f t="shared" si="67"/>
        <v>63854017.197397724</v>
      </c>
    </row>
    <row r="325" spans="1:11" s="680" customFormat="1">
      <c r="A325" s="111">
        <f t="shared" si="64"/>
        <v>249</v>
      </c>
      <c r="B325" s="640" t="s">
        <v>180</v>
      </c>
      <c r="C325" s="641">
        <v>2018</v>
      </c>
      <c r="D325" s="1099">
        <v>4668878.1724084513</v>
      </c>
      <c r="E325" s="63">
        <f>D325*'16-PlantAdditions'!$E$103</f>
        <v>350165.86293063383</v>
      </c>
      <c r="F325" s="63">
        <f t="shared" si="65"/>
        <v>5019044.0353390854</v>
      </c>
      <c r="G325" s="1099">
        <v>23755.014288000231</v>
      </c>
      <c r="H325" s="1099">
        <v>0</v>
      </c>
      <c r="I325" s="63">
        <f>(G325-H325)*'16-PlantAdditions'!$E$103</f>
        <v>1781.6260716000172</v>
      </c>
      <c r="J325" s="63">
        <f t="shared" si="66"/>
        <v>115635640.53237721</v>
      </c>
      <c r="K325" s="63">
        <f t="shared" si="67"/>
        <v>68847524.592377216</v>
      </c>
    </row>
    <row r="326" spans="1:11" s="680" customFormat="1">
      <c r="A326" s="111">
        <f t="shared" si="64"/>
        <v>250</v>
      </c>
      <c r="B326" s="640" t="s">
        <v>181</v>
      </c>
      <c r="C326" s="641">
        <v>2019</v>
      </c>
      <c r="D326" s="1099">
        <v>5133735.8804469276</v>
      </c>
      <c r="E326" s="63">
        <f>D326*'16-PlantAdditions'!$E$103</f>
        <v>385030.19103351957</v>
      </c>
      <c r="F326" s="63">
        <f t="shared" si="65"/>
        <v>5518766.0714804474</v>
      </c>
      <c r="G326" s="1099">
        <v>0</v>
      </c>
      <c r="H326" s="1099">
        <v>0</v>
      </c>
      <c r="I326" s="63">
        <f>(G326-H326)*'16-PlantAdditions'!$E$103</f>
        <v>0</v>
      </c>
      <c r="J326" s="63">
        <f t="shared" si="66"/>
        <v>121154406.60385767</v>
      </c>
      <c r="K326" s="63">
        <f t="shared" si="67"/>
        <v>74366290.663857669</v>
      </c>
    </row>
    <row r="327" spans="1:11" s="680" customFormat="1">
      <c r="A327" s="111">
        <f t="shared" si="64"/>
        <v>251</v>
      </c>
      <c r="B327" s="643" t="s">
        <v>182</v>
      </c>
      <c r="C327" s="641">
        <v>2019</v>
      </c>
      <c r="D327" s="1099">
        <v>11785379.758468928</v>
      </c>
      <c r="E327" s="63">
        <f>D327*'16-PlantAdditions'!$E$103</f>
        <v>883903.48188516952</v>
      </c>
      <c r="F327" s="63">
        <f t="shared" si="65"/>
        <v>12669283.240354097</v>
      </c>
      <c r="G327" s="1099">
        <v>0</v>
      </c>
      <c r="H327" s="1099">
        <v>0</v>
      </c>
      <c r="I327" s="63">
        <f>(G327-H327)*'16-PlantAdditions'!$E$103</f>
        <v>0</v>
      </c>
      <c r="J327" s="63">
        <f t="shared" si="66"/>
        <v>133823689.84421176</v>
      </c>
      <c r="K327" s="63">
        <f t="shared" si="67"/>
        <v>87035573.90421176</v>
      </c>
    </row>
    <row r="328" spans="1:11" s="680" customFormat="1">
      <c r="A328" s="111">
        <f t="shared" si="64"/>
        <v>252</v>
      </c>
      <c r="B328" s="643" t="s">
        <v>195</v>
      </c>
      <c r="C328" s="641">
        <v>2019</v>
      </c>
      <c r="D328" s="1099">
        <v>7424714.7980069276</v>
      </c>
      <c r="E328" s="63">
        <f>D328*'16-PlantAdditions'!$E$103</f>
        <v>556853.60985051957</v>
      </c>
      <c r="F328" s="63">
        <f t="shared" si="65"/>
        <v>7981568.4078574469</v>
      </c>
      <c r="G328" s="1099">
        <v>0</v>
      </c>
      <c r="H328" s="1099">
        <v>0</v>
      </c>
      <c r="I328" s="63">
        <f>(G328-H328)*'16-PlantAdditions'!$E$103</f>
        <v>0</v>
      </c>
      <c r="J328" s="63">
        <f t="shared" si="66"/>
        <v>141805258.25206921</v>
      </c>
      <c r="K328" s="63">
        <f t="shared" si="67"/>
        <v>95017142.312069207</v>
      </c>
    </row>
    <row r="329" spans="1:11" s="680" customFormat="1">
      <c r="A329" s="111">
        <f t="shared" si="64"/>
        <v>253</v>
      </c>
      <c r="B329" s="640" t="s">
        <v>183</v>
      </c>
      <c r="C329" s="641">
        <v>2019</v>
      </c>
      <c r="D329" s="1099">
        <v>4022696.5530957235</v>
      </c>
      <c r="E329" s="63">
        <f>D329*'16-PlantAdditions'!$E$103</f>
        <v>301702.24148217926</v>
      </c>
      <c r="F329" s="63">
        <f t="shared" si="65"/>
        <v>4324398.7945779031</v>
      </c>
      <c r="G329" s="1099">
        <v>0</v>
      </c>
      <c r="H329" s="1099">
        <v>0</v>
      </c>
      <c r="I329" s="63">
        <f>(G329-H329)*'16-PlantAdditions'!$E$103</f>
        <v>0</v>
      </c>
      <c r="J329" s="63">
        <f t="shared" si="66"/>
        <v>146129657.0466471</v>
      </c>
      <c r="K329" s="63">
        <f t="shared" si="67"/>
        <v>99341541.106647104</v>
      </c>
    </row>
    <row r="330" spans="1:11" s="680" customFormat="1">
      <c r="A330" s="111">
        <f t="shared" si="64"/>
        <v>254</v>
      </c>
      <c r="B330" s="643" t="s">
        <v>184</v>
      </c>
      <c r="C330" s="641">
        <v>2019</v>
      </c>
      <c r="D330" s="1099">
        <v>3957356.2278797245</v>
      </c>
      <c r="E330" s="63">
        <f>D330*'16-PlantAdditions'!$E$103</f>
        <v>296801.71709097933</v>
      </c>
      <c r="F330" s="63">
        <f t="shared" si="65"/>
        <v>4254157.9449707037</v>
      </c>
      <c r="G330" s="1099">
        <v>0</v>
      </c>
      <c r="H330" s="1099">
        <v>0</v>
      </c>
      <c r="I330" s="63">
        <f>(G330-H330)*'16-PlantAdditions'!$E$103</f>
        <v>0</v>
      </c>
      <c r="J330" s="63">
        <f t="shared" si="66"/>
        <v>150383814.9916178</v>
      </c>
      <c r="K330" s="63">
        <f t="shared" si="67"/>
        <v>103595699.0516178</v>
      </c>
    </row>
    <row r="331" spans="1:11" s="680" customFormat="1">
      <c r="A331" s="111">
        <f t="shared" si="64"/>
        <v>255</v>
      </c>
      <c r="B331" s="643" t="s">
        <v>1481</v>
      </c>
      <c r="C331" s="641">
        <v>2019</v>
      </c>
      <c r="D331" s="1099">
        <v>4386910.7519597234</v>
      </c>
      <c r="E331" s="63">
        <f>D331*'16-PlantAdditions'!$E$103</f>
        <v>329018.30639697926</v>
      </c>
      <c r="F331" s="63">
        <f t="shared" si="65"/>
        <v>4715929.0583567023</v>
      </c>
      <c r="G331" s="1099">
        <v>0</v>
      </c>
      <c r="H331" s="1099">
        <v>0</v>
      </c>
      <c r="I331" s="63">
        <f>(G331-H331)*'16-PlantAdditions'!$E$103</f>
        <v>0</v>
      </c>
      <c r="J331" s="63">
        <f t="shared" si="66"/>
        <v>155099744.0499745</v>
      </c>
      <c r="K331" s="63">
        <f t="shared" si="67"/>
        <v>108311628.1099745</v>
      </c>
    </row>
    <row r="332" spans="1:11" s="680" customFormat="1">
      <c r="A332" s="111">
        <f t="shared" si="64"/>
        <v>256</v>
      </c>
      <c r="B332" s="640" t="s">
        <v>186</v>
      </c>
      <c r="C332" s="641">
        <v>2019</v>
      </c>
      <c r="D332" s="1099">
        <v>5763632.1158857271</v>
      </c>
      <c r="E332" s="63">
        <f>D332*'16-PlantAdditions'!$E$103</f>
        <v>432272.40869142953</v>
      </c>
      <c r="F332" s="63">
        <f t="shared" si="65"/>
        <v>6195904.5245771566</v>
      </c>
      <c r="G332" s="1099">
        <v>0</v>
      </c>
      <c r="H332" s="1099">
        <v>0</v>
      </c>
      <c r="I332" s="63">
        <f>(G332-H332)*'16-PlantAdditions'!$E$103</f>
        <v>0</v>
      </c>
      <c r="J332" s="63">
        <f t="shared" si="66"/>
        <v>161295648.57455167</v>
      </c>
      <c r="K332" s="63">
        <f t="shared" si="67"/>
        <v>114507532.63455167</v>
      </c>
    </row>
    <row r="333" spans="1:11" s="680" customFormat="1">
      <c r="A333" s="111">
        <f t="shared" si="64"/>
        <v>257</v>
      </c>
      <c r="B333" s="643" t="s">
        <v>187</v>
      </c>
      <c r="C333" s="641">
        <v>2019</v>
      </c>
      <c r="D333" s="1099">
        <v>6352933.1061144127</v>
      </c>
      <c r="E333" s="63">
        <f>D333*'16-PlantAdditions'!$E$103</f>
        <v>476469.98295858095</v>
      </c>
      <c r="F333" s="63">
        <f t="shared" si="65"/>
        <v>6829403.089072994</v>
      </c>
      <c r="G333" s="1099">
        <v>0</v>
      </c>
      <c r="H333" s="1099">
        <v>0</v>
      </c>
      <c r="I333" s="63">
        <f>(G333-H333)*'16-PlantAdditions'!$E$103</f>
        <v>0</v>
      </c>
      <c r="J333" s="63">
        <f t="shared" si="66"/>
        <v>168125051.66362467</v>
      </c>
      <c r="K333" s="63">
        <f t="shared" si="67"/>
        <v>121336935.72362468</v>
      </c>
    </row>
    <row r="334" spans="1:11" s="680" customFormat="1">
      <c r="A334" s="111">
        <f t="shared" si="64"/>
        <v>258</v>
      </c>
      <c r="B334" s="643" t="s">
        <v>188</v>
      </c>
      <c r="C334" s="641">
        <v>2019</v>
      </c>
      <c r="D334" s="1099">
        <v>8352168.5186073864</v>
      </c>
      <c r="E334" s="63">
        <f>D334*'16-PlantAdditions'!$E$103</f>
        <v>626412.638895554</v>
      </c>
      <c r="F334" s="63">
        <f t="shared" si="65"/>
        <v>8978581.1575029399</v>
      </c>
      <c r="G334" s="1099">
        <v>0</v>
      </c>
      <c r="H334" s="1099">
        <v>0</v>
      </c>
      <c r="I334" s="63">
        <f>(G334-H334)*'16-PlantAdditions'!$E$103</f>
        <v>0</v>
      </c>
      <c r="J334" s="63">
        <f t="shared" si="66"/>
        <v>177103632.82112762</v>
      </c>
      <c r="K334" s="63">
        <f t="shared" si="67"/>
        <v>130315516.88112763</v>
      </c>
    </row>
    <row r="335" spans="1:11" s="680" customFormat="1">
      <c r="A335" s="111">
        <f t="shared" si="64"/>
        <v>259</v>
      </c>
      <c r="B335" s="643" t="s">
        <v>191</v>
      </c>
      <c r="C335" s="641">
        <v>2019</v>
      </c>
      <c r="D335" s="1099">
        <v>3995869.764987723</v>
      </c>
      <c r="E335" s="63">
        <f>D335*'16-PlantAdditions'!$E$103</f>
        <v>299690.23237407923</v>
      </c>
      <c r="F335" s="63">
        <f t="shared" ref="F335:F337" si="68">E335+D335</f>
        <v>4295559.9973618025</v>
      </c>
      <c r="G335" s="1099">
        <v>0</v>
      </c>
      <c r="H335" s="1099">
        <v>0</v>
      </c>
      <c r="I335" s="63">
        <f>(G335-H335)*'16-PlantAdditions'!$E$103</f>
        <v>0</v>
      </c>
      <c r="J335" s="63">
        <f t="shared" ref="J335:J337" si="69">J334+F335-G335-I335</f>
        <v>181399192.81848943</v>
      </c>
      <c r="K335" s="63">
        <f t="shared" si="67"/>
        <v>134611076.87848943</v>
      </c>
    </row>
    <row r="336" spans="1:11" s="680" customFormat="1">
      <c r="A336" s="111">
        <f t="shared" si="64"/>
        <v>260</v>
      </c>
      <c r="B336" s="643" t="s">
        <v>190</v>
      </c>
      <c r="C336" s="641">
        <v>2019</v>
      </c>
      <c r="D336" s="1099">
        <v>14262524.372708354</v>
      </c>
      <c r="E336" s="63">
        <f>D336*'16-PlantAdditions'!$E$103</f>
        <v>1069689.3279531265</v>
      </c>
      <c r="F336" s="63">
        <f t="shared" si="68"/>
        <v>15332213.70066148</v>
      </c>
      <c r="G336" s="1099">
        <v>0</v>
      </c>
      <c r="H336" s="1099">
        <v>0</v>
      </c>
      <c r="I336" s="63">
        <f>(G336-H336)*'16-PlantAdditions'!$E$103</f>
        <v>0</v>
      </c>
      <c r="J336" s="63">
        <f t="shared" si="69"/>
        <v>196731406.51915091</v>
      </c>
      <c r="K336" s="63">
        <f t="shared" si="67"/>
        <v>149943290.57915092</v>
      </c>
    </row>
    <row r="337" spans="1:11" s="680" customFormat="1">
      <c r="A337" s="111">
        <f t="shared" si="64"/>
        <v>261</v>
      </c>
      <c r="B337" s="643" t="s">
        <v>180</v>
      </c>
      <c r="C337" s="641">
        <v>2019</v>
      </c>
      <c r="D337" s="1099">
        <v>9312567.7527164258</v>
      </c>
      <c r="E337" s="63">
        <f>D337*'16-PlantAdditions'!$E$103</f>
        <v>698442.58145373187</v>
      </c>
      <c r="F337" s="63">
        <f t="shared" si="68"/>
        <v>10011010.334170157</v>
      </c>
      <c r="G337" s="1099">
        <v>4179168.2611999996</v>
      </c>
      <c r="H337" s="1099">
        <v>2531642.4799999995</v>
      </c>
      <c r="I337" s="63">
        <f>(G337-H337)*'16-PlantAdditions'!$E$103</f>
        <v>123564.43359</v>
      </c>
      <c r="J337" s="63">
        <f t="shared" si="69"/>
        <v>202439684.15853107</v>
      </c>
      <c r="K337" s="112">
        <f t="shared" si="67"/>
        <v>155651568.21853107</v>
      </c>
    </row>
    <row r="338" spans="1:11" s="680" customFormat="1">
      <c r="A338" s="111">
        <f t="shared" si="64"/>
        <v>262</v>
      </c>
      <c r="B338"/>
      <c r="C338" s="679" t="s">
        <v>1633</v>
      </c>
      <c r="D338"/>
      <c r="E338"/>
      <c r="F338"/>
      <c r="G338"/>
      <c r="H338"/>
      <c r="I338"/>
      <c r="J338"/>
      <c r="K338" s="73">
        <f>AVERAGE(K325:K337)</f>
        <v>110990870.81971005</v>
      </c>
    </row>
    <row r="339" spans="1:11" s="680" customFormat="1">
      <c r="A339" s="111"/>
      <c r="B339"/>
      <c r="C339" s="679"/>
      <c r="D339"/>
      <c r="E339"/>
      <c r="F339"/>
      <c r="G339"/>
      <c r="H339"/>
      <c r="I339"/>
      <c r="J339"/>
      <c r="K339" s="73"/>
    </row>
    <row r="340" spans="1:11" s="680" customFormat="1">
      <c r="B340" s="681" t="s">
        <v>1976</v>
      </c>
      <c r="D340" s="1385" t="s">
        <v>2658</v>
      </c>
      <c r="E340" s="1385"/>
    </row>
    <row r="341" spans="1:11" s="680" customFormat="1">
      <c r="D341" s="682"/>
      <c r="E341" s="682"/>
      <c r="F341" s="682"/>
      <c r="G341" s="580" t="str">
        <f>G51</f>
        <v>Unloaded</v>
      </c>
      <c r="H341" s="682"/>
      <c r="I341" s="682"/>
    </row>
    <row r="342" spans="1:11" s="680" customFormat="1">
      <c r="A342" s="677"/>
      <c r="B342" s="677"/>
      <c r="C342" s="677"/>
      <c r="D342" s="677" t="str">
        <f>D$52</f>
        <v>Forecast</v>
      </c>
      <c r="E342" s="677" t="str">
        <f t="shared" ref="E342:J342" si="70">E$52</f>
        <v>Corporate</v>
      </c>
      <c r="F342" s="677" t="str">
        <f t="shared" si="70"/>
        <v xml:space="preserve">Total </v>
      </c>
      <c r="G342" s="580" t="str">
        <f>G52</f>
        <v>Total</v>
      </c>
      <c r="H342" s="677" t="str">
        <f t="shared" si="70"/>
        <v>Prior Period</v>
      </c>
      <c r="I342" s="677" t="str">
        <f t="shared" si="70"/>
        <v>Over Heads</v>
      </c>
      <c r="J342" s="677" t="str">
        <f t="shared" si="70"/>
        <v>Forecast</v>
      </c>
      <c r="K342" s="580" t="str">
        <f>K$52</f>
        <v>Forecast Period</v>
      </c>
    </row>
    <row r="343" spans="1:11" s="680" customFormat="1">
      <c r="A343" s="932" t="s">
        <v>332</v>
      </c>
      <c r="B343" s="639" t="s">
        <v>192</v>
      </c>
      <c r="C343" s="639" t="s">
        <v>193</v>
      </c>
      <c r="D343" s="675" t="str">
        <f>D$53</f>
        <v>Expenditures</v>
      </c>
      <c r="E343" s="675" t="str">
        <f t="shared" ref="E343:J343" si="71">E$53</f>
        <v>Overheads</v>
      </c>
      <c r="F343" s="675" t="str">
        <f t="shared" si="71"/>
        <v>CWIP Exp</v>
      </c>
      <c r="G343" s="3" t="str">
        <f>G53</f>
        <v>Plant Adds</v>
      </c>
      <c r="H343" s="675" t="str">
        <f t="shared" si="71"/>
        <v>CWIP Closed</v>
      </c>
      <c r="I343" s="675" t="str">
        <f t="shared" si="71"/>
        <v>Closed to PIS</v>
      </c>
      <c r="J343" s="675" t="str">
        <f t="shared" si="71"/>
        <v>Period CWIP</v>
      </c>
      <c r="K343" s="675" t="str">
        <f>K$53</f>
        <v>Incremental CWIP</v>
      </c>
    </row>
    <row r="344" spans="1:11" s="680" customFormat="1">
      <c r="A344" s="111">
        <f>A338+1</f>
        <v>263</v>
      </c>
      <c r="B344" s="640" t="s">
        <v>180</v>
      </c>
      <c r="C344" s="641">
        <v>2017</v>
      </c>
      <c r="D344" s="684" t="s">
        <v>76</v>
      </c>
      <c r="E344" s="684" t="s">
        <v>76</v>
      </c>
      <c r="F344" s="684" t="s">
        <v>76</v>
      </c>
      <c r="G344" s="684" t="s">
        <v>76</v>
      </c>
      <c r="H344" s="684" t="s">
        <v>76</v>
      </c>
      <c r="I344" s="684" t="s">
        <v>76</v>
      </c>
      <c r="J344" s="63">
        <f>G45</f>
        <v>36155802.810000002</v>
      </c>
      <c r="K344" s="684" t="s">
        <v>76</v>
      </c>
    </row>
    <row r="345" spans="1:11" s="680" customFormat="1">
      <c r="A345" s="111">
        <f>A344+1</f>
        <v>264</v>
      </c>
      <c r="B345" s="640" t="s">
        <v>181</v>
      </c>
      <c r="C345" s="641">
        <v>2018</v>
      </c>
      <c r="D345" s="1099">
        <v>15724.8</v>
      </c>
      <c r="E345" s="63">
        <f>D345*'16-PlantAdditions'!$E$103</f>
        <v>1179.3599999999999</v>
      </c>
      <c r="F345" s="63">
        <f>E345+D345</f>
        <v>16904.16</v>
      </c>
      <c r="G345" s="1099">
        <v>0</v>
      </c>
      <c r="H345" s="1099">
        <v>0</v>
      </c>
      <c r="I345" s="63">
        <f>(G345-H345)*'16-PlantAdditions'!$E$103</f>
        <v>0</v>
      </c>
      <c r="J345" s="63">
        <f>J344+F345-G345-I345</f>
        <v>36172706.969999999</v>
      </c>
      <c r="K345" s="63">
        <f>J345-$J$344</f>
        <v>16904.159999996424</v>
      </c>
    </row>
    <row r="346" spans="1:11" s="680" customFormat="1">
      <c r="A346" s="111">
        <f t="shared" ref="A346:A369" si="72">A345+1</f>
        <v>265</v>
      </c>
      <c r="B346" s="643" t="s">
        <v>182</v>
      </c>
      <c r="C346" s="641">
        <v>2018</v>
      </c>
      <c r="D346" s="1099">
        <v>39608.180000000008</v>
      </c>
      <c r="E346" s="63">
        <f>D346*'16-PlantAdditions'!$E$103</f>
        <v>2970.6135000000004</v>
      </c>
      <c r="F346" s="63">
        <f t="shared" ref="F346:F365" si="73">E346+D346</f>
        <v>42578.793500000007</v>
      </c>
      <c r="G346" s="1099">
        <v>0</v>
      </c>
      <c r="H346" s="1099">
        <v>0</v>
      </c>
      <c r="I346" s="63">
        <f>(G346-H346)*'16-PlantAdditions'!$E$103</f>
        <v>0</v>
      </c>
      <c r="J346" s="63">
        <f t="shared" ref="J346:J365" si="74">J345+F346-G346-I346</f>
        <v>36215285.763499998</v>
      </c>
      <c r="K346" s="63">
        <f t="shared" ref="K346:K368" si="75">J346-$J$344</f>
        <v>59482.953499995172</v>
      </c>
    </row>
    <row r="347" spans="1:11" s="680" customFormat="1">
      <c r="A347" s="111">
        <f t="shared" si="72"/>
        <v>266</v>
      </c>
      <c r="B347" s="643" t="s">
        <v>195</v>
      </c>
      <c r="C347" s="641">
        <v>2018</v>
      </c>
      <c r="D347" s="1099">
        <v>43159.880000000005</v>
      </c>
      <c r="E347" s="63">
        <f>D347*'16-PlantAdditions'!$E$103</f>
        <v>3236.9910000000004</v>
      </c>
      <c r="F347" s="63">
        <f t="shared" si="73"/>
        <v>46396.871000000006</v>
      </c>
      <c r="G347" s="1099">
        <v>0</v>
      </c>
      <c r="H347" s="1099">
        <v>0</v>
      </c>
      <c r="I347" s="63">
        <f>(G347-H347)*'16-PlantAdditions'!$E$103</f>
        <v>0</v>
      </c>
      <c r="J347" s="63">
        <f t="shared" si="74"/>
        <v>36261682.634499997</v>
      </c>
      <c r="K347" s="63">
        <f t="shared" si="75"/>
        <v>105879.82449999452</v>
      </c>
    </row>
    <row r="348" spans="1:11" s="680" customFormat="1">
      <c r="A348" s="111">
        <f t="shared" si="72"/>
        <v>267</v>
      </c>
      <c r="B348" s="640" t="s">
        <v>183</v>
      </c>
      <c r="C348" s="641">
        <v>2018</v>
      </c>
      <c r="D348" s="1099">
        <v>116634.96</v>
      </c>
      <c r="E348" s="63">
        <f>D348*'16-PlantAdditions'!$E$103</f>
        <v>8747.6219999999994</v>
      </c>
      <c r="F348" s="63">
        <f t="shared" si="73"/>
        <v>125382.58200000001</v>
      </c>
      <c r="G348" s="1099">
        <v>0</v>
      </c>
      <c r="H348" s="1099">
        <v>0</v>
      </c>
      <c r="I348" s="63">
        <f>(G348-H348)*'16-PlantAdditions'!$E$103</f>
        <v>0</v>
      </c>
      <c r="J348" s="63">
        <f t="shared" si="74"/>
        <v>36387065.216499999</v>
      </c>
      <c r="K348" s="63">
        <f t="shared" si="75"/>
        <v>231262.40649999678</v>
      </c>
    </row>
    <row r="349" spans="1:11" s="680" customFormat="1">
      <c r="A349" s="111">
        <f t="shared" si="72"/>
        <v>268</v>
      </c>
      <c r="B349" s="643" t="s">
        <v>184</v>
      </c>
      <c r="C349" s="641">
        <v>2018</v>
      </c>
      <c r="D349" s="1099">
        <v>89339.64</v>
      </c>
      <c r="E349" s="63">
        <f>D349*'16-PlantAdditions'!$E$103</f>
        <v>6700.473</v>
      </c>
      <c r="F349" s="63">
        <f t="shared" si="73"/>
        <v>96040.112999999998</v>
      </c>
      <c r="G349" s="1099">
        <v>0</v>
      </c>
      <c r="H349" s="1099">
        <v>0</v>
      </c>
      <c r="I349" s="63">
        <f>(G349-H349)*'16-PlantAdditions'!$E$103</f>
        <v>0</v>
      </c>
      <c r="J349" s="63">
        <f t="shared" si="74"/>
        <v>36483105.329499997</v>
      </c>
      <c r="K349" s="63">
        <f t="shared" si="75"/>
        <v>327302.51949999481</v>
      </c>
    </row>
    <row r="350" spans="1:11" s="680" customFormat="1">
      <c r="A350" s="111">
        <f t="shared" si="72"/>
        <v>269</v>
      </c>
      <c r="B350" s="643" t="s">
        <v>1481</v>
      </c>
      <c r="C350" s="641">
        <v>2018</v>
      </c>
      <c r="D350" s="1099">
        <v>86306.48</v>
      </c>
      <c r="E350" s="63">
        <f>D350*'16-PlantAdditions'!$E$103</f>
        <v>6472.9859999999999</v>
      </c>
      <c r="F350" s="63">
        <f t="shared" si="73"/>
        <v>92779.466</v>
      </c>
      <c r="G350" s="1099">
        <v>89671.5</v>
      </c>
      <c r="H350" s="1099">
        <v>89572.52</v>
      </c>
      <c r="I350" s="63">
        <f>(G350-H350)*'16-PlantAdditions'!$E$103</f>
        <v>7.4234999999996942</v>
      </c>
      <c r="J350" s="63">
        <f t="shared" si="74"/>
        <v>36486205.871999994</v>
      </c>
      <c r="K350" s="63">
        <f t="shared" si="75"/>
        <v>330403.06199999154</v>
      </c>
    </row>
    <row r="351" spans="1:11" s="680" customFormat="1">
      <c r="A351" s="111">
        <f t="shared" si="72"/>
        <v>270</v>
      </c>
      <c r="B351" s="640" t="s">
        <v>186</v>
      </c>
      <c r="C351" s="641">
        <v>2018</v>
      </c>
      <c r="D351" s="1099">
        <v>126590.88</v>
      </c>
      <c r="E351" s="63">
        <f>D351*'16-PlantAdditions'!$E$103</f>
        <v>9494.3160000000007</v>
      </c>
      <c r="F351" s="63">
        <f t="shared" si="73"/>
        <v>136085.196</v>
      </c>
      <c r="G351" s="1099">
        <v>0</v>
      </c>
      <c r="H351" s="1099">
        <v>0</v>
      </c>
      <c r="I351" s="63">
        <f>(G351-H351)*'16-PlantAdditions'!$E$103</f>
        <v>0</v>
      </c>
      <c r="J351" s="63">
        <f t="shared" si="74"/>
        <v>36622291.067999996</v>
      </c>
      <c r="K351" s="63">
        <f t="shared" si="75"/>
        <v>466488.25799999386</v>
      </c>
    </row>
    <row r="352" spans="1:11" s="680" customFormat="1">
      <c r="A352" s="111">
        <f t="shared" si="72"/>
        <v>271</v>
      </c>
      <c r="B352" s="643" t="s">
        <v>187</v>
      </c>
      <c r="C352" s="641">
        <v>2018</v>
      </c>
      <c r="D352" s="1099">
        <v>170144</v>
      </c>
      <c r="E352" s="63">
        <f>D352*'16-PlantAdditions'!$E$103</f>
        <v>12760.8</v>
      </c>
      <c r="F352" s="63">
        <f t="shared" si="73"/>
        <v>182904.8</v>
      </c>
      <c r="G352" s="1099">
        <v>0</v>
      </c>
      <c r="H352" s="1099">
        <v>0</v>
      </c>
      <c r="I352" s="63">
        <f>(G352-H352)*'16-PlantAdditions'!$E$103</f>
        <v>0</v>
      </c>
      <c r="J352" s="63">
        <f t="shared" si="74"/>
        <v>36805195.867999993</v>
      </c>
      <c r="K352" s="63">
        <f t="shared" si="75"/>
        <v>649393.05799999088</v>
      </c>
    </row>
    <row r="353" spans="1:11" s="680" customFormat="1">
      <c r="A353" s="111">
        <f t="shared" si="72"/>
        <v>272</v>
      </c>
      <c r="B353" s="643" t="s">
        <v>188</v>
      </c>
      <c r="C353" s="641">
        <v>2018</v>
      </c>
      <c r="D353" s="1099">
        <v>147616.56</v>
      </c>
      <c r="E353" s="63">
        <f>D353*'16-PlantAdditions'!$E$103</f>
        <v>11071.242</v>
      </c>
      <c r="F353" s="63">
        <f t="shared" si="73"/>
        <v>158687.802</v>
      </c>
      <c r="G353" s="1099">
        <v>0</v>
      </c>
      <c r="H353" s="1099">
        <v>0</v>
      </c>
      <c r="I353" s="63">
        <f>(G353-H353)*'16-PlantAdditions'!$E$103</f>
        <v>0</v>
      </c>
      <c r="J353" s="63">
        <f t="shared" si="74"/>
        <v>36963883.669999994</v>
      </c>
      <c r="K353" s="63">
        <f t="shared" si="75"/>
        <v>808080.85999999195</v>
      </c>
    </row>
    <row r="354" spans="1:11" s="680" customFormat="1">
      <c r="A354" s="111">
        <f t="shared" si="72"/>
        <v>273</v>
      </c>
      <c r="B354" s="640" t="s">
        <v>191</v>
      </c>
      <c r="C354" s="641">
        <v>2018</v>
      </c>
      <c r="D354" s="1099">
        <v>98842.64</v>
      </c>
      <c r="E354" s="63">
        <f>D354*'16-PlantAdditions'!$E$103</f>
        <v>7413.1979999999994</v>
      </c>
      <c r="F354" s="63">
        <f t="shared" si="73"/>
        <v>106255.838</v>
      </c>
      <c r="G354" s="1099">
        <v>0</v>
      </c>
      <c r="H354" s="1099">
        <v>0</v>
      </c>
      <c r="I354" s="63">
        <f>(G354-H354)*'16-PlantAdditions'!$E$103</f>
        <v>0</v>
      </c>
      <c r="J354" s="63">
        <f t="shared" si="74"/>
        <v>37070139.507999994</v>
      </c>
      <c r="K354" s="63">
        <f t="shared" si="75"/>
        <v>914336.69799999148</v>
      </c>
    </row>
    <row r="355" spans="1:11" s="680" customFormat="1">
      <c r="A355" s="111">
        <f t="shared" si="72"/>
        <v>274</v>
      </c>
      <c r="B355" s="640" t="s">
        <v>190</v>
      </c>
      <c r="C355" s="641">
        <v>2018</v>
      </c>
      <c r="D355" s="1099">
        <v>315181.88000000006</v>
      </c>
      <c r="E355" s="63">
        <f>D355*'16-PlantAdditions'!$E$103</f>
        <v>23638.641000000003</v>
      </c>
      <c r="F355" s="63">
        <f t="shared" si="73"/>
        <v>338820.52100000007</v>
      </c>
      <c r="G355" s="1099">
        <v>0</v>
      </c>
      <c r="H355" s="1099">
        <v>0</v>
      </c>
      <c r="I355" s="63">
        <f>(G355-H355)*'16-PlantAdditions'!$E$103</f>
        <v>0</v>
      </c>
      <c r="J355" s="63">
        <f t="shared" si="74"/>
        <v>37408960.028999992</v>
      </c>
      <c r="K355" s="63">
        <f t="shared" si="75"/>
        <v>1253157.2189999893</v>
      </c>
    </row>
    <row r="356" spans="1:11" s="680" customFormat="1">
      <c r="A356" s="111">
        <f t="shared" si="72"/>
        <v>275</v>
      </c>
      <c r="B356" s="640" t="s">
        <v>180</v>
      </c>
      <c r="C356" s="641">
        <v>2018</v>
      </c>
      <c r="D356" s="1099">
        <v>63376.04</v>
      </c>
      <c r="E356" s="63">
        <f>D356*'16-PlantAdditions'!$E$103</f>
        <v>4753.2029999999995</v>
      </c>
      <c r="F356" s="63">
        <f t="shared" si="73"/>
        <v>68129.243000000002</v>
      </c>
      <c r="G356" s="1099">
        <v>0</v>
      </c>
      <c r="H356" s="1099">
        <v>0</v>
      </c>
      <c r="I356" s="63">
        <f>(G356-H356)*'16-PlantAdditions'!$E$103</f>
        <v>0</v>
      </c>
      <c r="J356" s="63">
        <f t="shared" si="74"/>
        <v>37477089.271999992</v>
      </c>
      <c r="K356" s="63">
        <f t="shared" si="75"/>
        <v>1321286.46199999</v>
      </c>
    </row>
    <row r="357" spans="1:11" s="680" customFormat="1">
      <c r="A357" s="111">
        <f t="shared" si="72"/>
        <v>276</v>
      </c>
      <c r="B357" s="640" t="s">
        <v>181</v>
      </c>
      <c r="C357" s="641">
        <v>2019</v>
      </c>
      <c r="D357" s="1099">
        <v>273332.80000000005</v>
      </c>
      <c r="E357" s="63">
        <f>D357*'16-PlantAdditions'!$E$103</f>
        <v>20499.960000000003</v>
      </c>
      <c r="F357" s="63">
        <f t="shared" si="73"/>
        <v>293832.76000000007</v>
      </c>
      <c r="G357" s="1099">
        <v>0</v>
      </c>
      <c r="H357" s="1099">
        <v>0</v>
      </c>
      <c r="I357" s="63">
        <f>(G357-H357)*'16-PlantAdditions'!$E$103</f>
        <v>0</v>
      </c>
      <c r="J357" s="63">
        <f t="shared" si="74"/>
        <v>37770922.03199999</v>
      </c>
      <c r="K357" s="63">
        <f t="shared" si="75"/>
        <v>1615119.221999988</v>
      </c>
    </row>
    <row r="358" spans="1:11" s="680" customFormat="1">
      <c r="A358" s="111">
        <f t="shared" si="72"/>
        <v>277</v>
      </c>
      <c r="B358" s="643" t="s">
        <v>182</v>
      </c>
      <c r="C358" s="641">
        <v>2019</v>
      </c>
      <c r="D358" s="1099">
        <v>108141.04</v>
      </c>
      <c r="E358" s="63">
        <f>D358*'16-PlantAdditions'!$E$103</f>
        <v>8110.5779999999995</v>
      </c>
      <c r="F358" s="63">
        <f t="shared" si="73"/>
        <v>116251.61799999999</v>
      </c>
      <c r="G358" s="1099">
        <v>12782.63</v>
      </c>
      <c r="H358" s="1099">
        <v>0</v>
      </c>
      <c r="I358" s="63">
        <f>(G358-H358)*'16-PlantAdditions'!$E$103</f>
        <v>958.69724999999994</v>
      </c>
      <c r="J358" s="63">
        <f t="shared" si="74"/>
        <v>37873432.322749987</v>
      </c>
      <c r="K358" s="63">
        <f t="shared" si="75"/>
        <v>1717629.5127499849</v>
      </c>
    </row>
    <row r="359" spans="1:11" s="680" customFormat="1">
      <c r="A359" s="111">
        <f t="shared" si="72"/>
        <v>278</v>
      </c>
      <c r="B359" s="643" t="s">
        <v>195</v>
      </c>
      <c r="C359" s="641">
        <v>2019</v>
      </c>
      <c r="D359" s="1099">
        <v>189543.75000000003</v>
      </c>
      <c r="E359" s="63">
        <f>D359*'16-PlantAdditions'!$E$103</f>
        <v>14215.781250000002</v>
      </c>
      <c r="F359" s="63">
        <f t="shared" si="73"/>
        <v>203759.53125000003</v>
      </c>
      <c r="G359" s="1099">
        <v>19173.7</v>
      </c>
      <c r="H359" s="1099">
        <v>0</v>
      </c>
      <c r="I359" s="63">
        <f>(G359-H359)*'16-PlantAdditions'!$E$103</f>
        <v>1438.0274999999999</v>
      </c>
      <c r="J359" s="63">
        <f t="shared" si="74"/>
        <v>38056580.126499981</v>
      </c>
      <c r="K359" s="63">
        <f t="shared" si="75"/>
        <v>1900777.3164999783</v>
      </c>
    </row>
    <row r="360" spans="1:11" s="680" customFormat="1">
      <c r="A360" s="111">
        <f t="shared" si="72"/>
        <v>279</v>
      </c>
      <c r="B360" s="640" t="s">
        <v>183</v>
      </c>
      <c r="C360" s="641">
        <v>2019</v>
      </c>
      <c r="D360" s="1099">
        <v>243016.54</v>
      </c>
      <c r="E360" s="63">
        <f>D360*'16-PlantAdditions'!$E$103</f>
        <v>18226.2405</v>
      </c>
      <c r="F360" s="63">
        <f t="shared" si="73"/>
        <v>261242.78049999999</v>
      </c>
      <c r="G360" s="1099">
        <v>31956.329999999998</v>
      </c>
      <c r="H360" s="1099">
        <v>0</v>
      </c>
      <c r="I360" s="63">
        <f>(G360-H360)*'16-PlantAdditions'!$E$103</f>
        <v>2396.7247499999999</v>
      </c>
      <c r="J360" s="63">
        <f t="shared" si="74"/>
        <v>38283469.852249987</v>
      </c>
      <c r="K360" s="63">
        <f t="shared" si="75"/>
        <v>2127667.042249985</v>
      </c>
    </row>
    <row r="361" spans="1:11" s="680" customFormat="1">
      <c r="A361" s="111">
        <f t="shared" si="72"/>
        <v>280</v>
      </c>
      <c r="B361" s="643" t="s">
        <v>184</v>
      </c>
      <c r="C361" s="641">
        <v>2019</v>
      </c>
      <c r="D361" s="1099">
        <v>323229.66000000003</v>
      </c>
      <c r="E361" s="63">
        <f>D361*'16-PlantAdditions'!$E$103</f>
        <v>24242.2245</v>
      </c>
      <c r="F361" s="63">
        <f t="shared" si="73"/>
        <v>347471.88450000004</v>
      </c>
      <c r="G361" s="1099">
        <v>51130.52</v>
      </c>
      <c r="H361" s="1099">
        <v>0</v>
      </c>
      <c r="I361" s="63">
        <f>(G361-H361)*'16-PlantAdditions'!$E$103</f>
        <v>3834.7889999999998</v>
      </c>
      <c r="J361" s="63">
        <f t="shared" si="74"/>
        <v>38575976.427749984</v>
      </c>
      <c r="K361" s="63">
        <f t="shared" si="75"/>
        <v>2420173.6177499816</v>
      </c>
    </row>
    <row r="362" spans="1:11" s="680" customFormat="1">
      <c r="A362" s="111">
        <f t="shared" si="72"/>
        <v>281</v>
      </c>
      <c r="B362" s="643" t="s">
        <v>1481</v>
      </c>
      <c r="C362" s="641">
        <v>2019</v>
      </c>
      <c r="D362" s="1099">
        <v>376704.14</v>
      </c>
      <c r="E362" s="63">
        <f>D362*'16-PlantAdditions'!$E$103</f>
        <v>28252.8105</v>
      </c>
      <c r="F362" s="63">
        <f t="shared" si="73"/>
        <v>404956.95050000004</v>
      </c>
      <c r="G362" s="1099">
        <v>63913.15</v>
      </c>
      <c r="H362" s="1099">
        <v>0</v>
      </c>
      <c r="I362" s="63">
        <f>(G362-H362)*'16-PlantAdditions'!$E$103</f>
        <v>4793.4862499999999</v>
      </c>
      <c r="J362" s="63">
        <f t="shared" si="74"/>
        <v>38912226.741999984</v>
      </c>
      <c r="K362" s="63">
        <f t="shared" si="75"/>
        <v>2756423.9319999814</v>
      </c>
    </row>
    <row r="363" spans="1:11" s="680" customFormat="1">
      <c r="A363" s="111">
        <f t="shared" si="72"/>
        <v>282</v>
      </c>
      <c r="B363" s="640" t="s">
        <v>186</v>
      </c>
      <c r="C363" s="641">
        <v>2019</v>
      </c>
      <c r="D363" s="1099">
        <v>456914.76999999996</v>
      </c>
      <c r="E363" s="63">
        <f>D363*'16-PlantAdditions'!$E$103</f>
        <v>34268.607749999996</v>
      </c>
      <c r="F363" s="63">
        <f t="shared" si="73"/>
        <v>491183.37774999999</v>
      </c>
      <c r="G363" s="1099">
        <v>83086.849999999991</v>
      </c>
      <c r="H363" s="1099">
        <v>0</v>
      </c>
      <c r="I363" s="63">
        <f>(G363-H363)*'16-PlantAdditions'!$E$103</f>
        <v>6231.5137499999992</v>
      </c>
      <c r="J363" s="63">
        <f t="shared" si="74"/>
        <v>39314091.755999982</v>
      </c>
      <c r="K363" s="63">
        <f t="shared" si="75"/>
        <v>3158288.94599998</v>
      </c>
    </row>
    <row r="364" spans="1:11" s="680" customFormat="1">
      <c r="A364" s="111">
        <f t="shared" si="72"/>
        <v>283</v>
      </c>
      <c r="B364" s="643" t="s">
        <v>187</v>
      </c>
      <c r="C364" s="641">
        <v>2019</v>
      </c>
      <c r="D364" s="1099">
        <v>483650.41000000003</v>
      </c>
      <c r="E364" s="63">
        <f>D364*'16-PlantAdditions'!$E$103</f>
        <v>36273.780749999998</v>
      </c>
      <c r="F364" s="63">
        <f t="shared" si="73"/>
        <v>519924.19075000001</v>
      </c>
      <c r="G364" s="1099">
        <v>89478.41</v>
      </c>
      <c r="H364" s="1099">
        <v>0</v>
      </c>
      <c r="I364" s="63">
        <f>(G364-H364)*'16-PlantAdditions'!$E$103</f>
        <v>6710.8807500000003</v>
      </c>
      <c r="J364" s="63">
        <f t="shared" si="74"/>
        <v>39737826.655999988</v>
      </c>
      <c r="K364" s="63">
        <f t="shared" si="75"/>
        <v>3582023.8459999859</v>
      </c>
    </row>
    <row r="365" spans="1:11" s="680" customFormat="1">
      <c r="A365" s="111">
        <f t="shared" si="72"/>
        <v>284</v>
      </c>
      <c r="B365" s="643" t="s">
        <v>188</v>
      </c>
      <c r="C365" s="641">
        <v>2019</v>
      </c>
      <c r="D365" s="1099">
        <v>483650.41000000003</v>
      </c>
      <c r="E365" s="63">
        <f>D365*'16-PlantAdditions'!$E$103</f>
        <v>36273.780749999998</v>
      </c>
      <c r="F365" s="63">
        <f t="shared" si="73"/>
        <v>519924.19075000001</v>
      </c>
      <c r="G365" s="1099">
        <v>89478.41</v>
      </c>
      <c r="H365" s="1099">
        <v>0</v>
      </c>
      <c r="I365" s="63">
        <f>(G365-H365)*'16-PlantAdditions'!$E$103</f>
        <v>6710.8807500000003</v>
      </c>
      <c r="J365" s="63">
        <f t="shared" si="74"/>
        <v>40161561.555999994</v>
      </c>
      <c r="K365" s="63">
        <f t="shared" si="75"/>
        <v>4005758.7459999919</v>
      </c>
    </row>
    <row r="366" spans="1:11" s="680" customFormat="1">
      <c r="A366" s="111">
        <f t="shared" si="72"/>
        <v>285</v>
      </c>
      <c r="B366" s="643" t="s">
        <v>191</v>
      </c>
      <c r="C366" s="641">
        <v>2019</v>
      </c>
      <c r="D366" s="1099">
        <v>483651.97</v>
      </c>
      <c r="E366" s="63">
        <f>D366*'16-PlantAdditions'!$E$103</f>
        <v>36273.897749999996</v>
      </c>
      <c r="F366" s="63">
        <f t="shared" ref="F366:F368" si="76">E366+D366</f>
        <v>519925.86774999998</v>
      </c>
      <c r="G366" s="1099">
        <v>89478.41</v>
      </c>
      <c r="H366" s="1099">
        <v>0</v>
      </c>
      <c r="I366" s="63">
        <f>(G366-H366)*'16-PlantAdditions'!$E$103</f>
        <v>6710.8807500000003</v>
      </c>
      <c r="J366" s="63">
        <f t="shared" ref="J366:J368" si="77">J365+F366-G366-I366</f>
        <v>40585298.132999994</v>
      </c>
      <c r="K366" s="63">
        <f t="shared" si="75"/>
        <v>4429495.3229999915</v>
      </c>
    </row>
    <row r="367" spans="1:11" s="680" customFormat="1">
      <c r="A367" s="111">
        <f t="shared" si="72"/>
        <v>286</v>
      </c>
      <c r="B367" s="643" t="s">
        <v>190</v>
      </c>
      <c r="C367" s="641">
        <v>2019</v>
      </c>
      <c r="D367" s="1099">
        <v>320844.81</v>
      </c>
      <c r="E367" s="63">
        <f>D367*'16-PlantAdditions'!$E$103</f>
        <v>24063.36075</v>
      </c>
      <c r="F367" s="63">
        <f t="shared" si="76"/>
        <v>344908.17074999999</v>
      </c>
      <c r="G367" s="1099">
        <v>76695.78</v>
      </c>
      <c r="H367" s="1099">
        <v>0</v>
      </c>
      <c r="I367" s="63">
        <f>(G367-H367)*'16-PlantAdditions'!$E$103</f>
        <v>5752.1835000000001</v>
      </c>
      <c r="J367" s="63">
        <f t="shared" si="77"/>
        <v>40847758.340249993</v>
      </c>
      <c r="K367" s="63">
        <f t="shared" si="75"/>
        <v>4691955.5302499905</v>
      </c>
    </row>
    <row r="368" spans="1:11" s="680" customFormat="1">
      <c r="A368" s="111">
        <f t="shared" si="72"/>
        <v>287</v>
      </c>
      <c r="B368" s="643" t="s">
        <v>180</v>
      </c>
      <c r="C368" s="641">
        <v>2019</v>
      </c>
      <c r="D368" s="1099">
        <v>4917683.42</v>
      </c>
      <c r="E368" s="63">
        <f>D368*'16-PlantAdditions'!$E$103</f>
        <v>368826.25649999996</v>
      </c>
      <c r="F368" s="63">
        <f t="shared" si="76"/>
        <v>5286509.6765000001</v>
      </c>
      <c r="G368" s="1099">
        <v>31956.329999999998</v>
      </c>
      <c r="H368" s="1099">
        <v>0</v>
      </c>
      <c r="I368" s="63">
        <f>(G368-H368)*'16-PlantAdditions'!$E$103</f>
        <v>2396.7247499999999</v>
      </c>
      <c r="J368" s="63">
        <f t="shared" si="77"/>
        <v>46099914.961999997</v>
      </c>
      <c r="K368" s="871">
        <f t="shared" si="75"/>
        <v>9944112.1519999951</v>
      </c>
    </row>
    <row r="369" spans="1:11" s="680" customFormat="1">
      <c r="A369" s="111">
        <f t="shared" si="72"/>
        <v>288</v>
      </c>
      <c r="B369"/>
      <c r="C369" s="679" t="s">
        <v>1633</v>
      </c>
      <c r="D369"/>
      <c r="E369"/>
      <c r="F369"/>
      <c r="G369"/>
      <c r="H369"/>
      <c r="I369"/>
      <c r="J369"/>
      <c r="K369" s="73">
        <f>AVERAGE(K356:K368)</f>
        <v>3359285.5114230635</v>
      </c>
    </row>
    <row r="370" spans="1:11" s="680" customFormat="1">
      <c r="A370" s="111"/>
      <c r="B370"/>
      <c r="C370" s="679"/>
      <c r="D370"/>
      <c r="E370"/>
      <c r="F370"/>
      <c r="G370"/>
      <c r="H370"/>
      <c r="I370"/>
      <c r="J370"/>
      <c r="K370" s="73"/>
    </row>
    <row r="371" spans="1:11" s="680" customFormat="1">
      <c r="B371" s="681" t="s">
        <v>1978</v>
      </c>
      <c r="D371" s="1385" t="s">
        <v>2660</v>
      </c>
      <c r="E371" s="1385"/>
      <c r="F371" s="1384"/>
      <c r="G371" s="1384"/>
    </row>
    <row r="372" spans="1:11" s="680" customFormat="1">
      <c r="A372" s="675"/>
      <c r="B372" s="675"/>
      <c r="C372" s="675"/>
      <c r="D372" s="675" t="s">
        <v>363</v>
      </c>
      <c r="E372" s="675" t="s">
        <v>347</v>
      </c>
      <c r="F372" s="675" t="s">
        <v>348</v>
      </c>
      <c r="G372" s="675" t="s">
        <v>349</v>
      </c>
      <c r="H372" s="675" t="s">
        <v>350</v>
      </c>
      <c r="I372" s="675" t="s">
        <v>351</v>
      </c>
      <c r="J372" s="675" t="s">
        <v>352</v>
      </c>
      <c r="K372" s="675" t="s">
        <v>544</v>
      </c>
    </row>
    <row r="373" spans="1:11" s="680" customFormat="1" ht="38.25">
      <c r="D373" s="682"/>
      <c r="E373" s="683" t="s">
        <v>2104</v>
      </c>
      <c r="F373" s="684" t="s">
        <v>1961</v>
      </c>
      <c r="G373" s="492"/>
      <c r="H373" s="682"/>
      <c r="I373" s="683" t="s">
        <v>2105</v>
      </c>
      <c r="J373" s="683" t="s">
        <v>1962</v>
      </c>
      <c r="K373" s="683" t="s">
        <v>1963</v>
      </c>
    </row>
    <row r="374" spans="1:11" s="680" customFormat="1">
      <c r="D374" s="682"/>
      <c r="E374" s="683"/>
      <c r="F374" s="684"/>
      <c r="G374" s="4" t="str">
        <f>G51</f>
        <v>Unloaded</v>
      </c>
      <c r="H374" s="682"/>
      <c r="I374" s="683"/>
      <c r="J374" s="683"/>
      <c r="K374" s="683"/>
    </row>
    <row r="375" spans="1:11" s="680" customFormat="1">
      <c r="A375" s="677"/>
      <c r="B375" s="677"/>
      <c r="C375" s="677"/>
      <c r="D375" s="677" t="str">
        <f>D$52</f>
        <v>Forecast</v>
      </c>
      <c r="E375" s="677" t="str">
        <f t="shared" ref="E375:J375" si="78">E$52</f>
        <v>Corporate</v>
      </c>
      <c r="F375" s="677" t="str">
        <f t="shared" si="78"/>
        <v xml:space="preserve">Total </v>
      </c>
      <c r="G375" s="4" t="str">
        <f>G52</f>
        <v>Total</v>
      </c>
      <c r="H375" s="677" t="str">
        <f t="shared" si="78"/>
        <v>Prior Period</v>
      </c>
      <c r="I375" s="677" t="str">
        <f t="shared" si="78"/>
        <v>Over Heads</v>
      </c>
      <c r="J375" s="677" t="str">
        <f t="shared" si="78"/>
        <v>Forecast</v>
      </c>
      <c r="K375" s="677" t="str">
        <f>K$52</f>
        <v>Forecast Period</v>
      </c>
    </row>
    <row r="376" spans="1:11" s="680" customFormat="1">
      <c r="A376" s="932" t="s">
        <v>332</v>
      </c>
      <c r="B376" s="639" t="s">
        <v>192</v>
      </c>
      <c r="C376" s="639" t="s">
        <v>193</v>
      </c>
      <c r="D376" s="675" t="str">
        <f>D$53</f>
        <v>Expenditures</v>
      </c>
      <c r="E376" s="675" t="str">
        <f t="shared" ref="E376:J376" si="79">E$53</f>
        <v>Overheads</v>
      </c>
      <c r="F376" s="675" t="str">
        <f t="shared" si="79"/>
        <v>CWIP Exp</v>
      </c>
      <c r="G376" s="84" t="str">
        <f>G53</f>
        <v>Plant Adds</v>
      </c>
      <c r="H376" s="675" t="str">
        <f t="shared" si="79"/>
        <v>CWIP Closed</v>
      </c>
      <c r="I376" s="675" t="str">
        <f t="shared" si="79"/>
        <v>Closed to PIS</v>
      </c>
      <c r="J376" s="675" t="str">
        <f t="shared" si="79"/>
        <v>Period CWIP</v>
      </c>
      <c r="K376" s="675" t="str">
        <f>K$53</f>
        <v>Incremental CWIP</v>
      </c>
    </row>
    <row r="377" spans="1:11" s="680" customFormat="1">
      <c r="A377" s="111">
        <f>A369+1</f>
        <v>289</v>
      </c>
      <c r="B377" s="640" t="s">
        <v>180</v>
      </c>
      <c r="C377" s="641">
        <v>2017</v>
      </c>
      <c r="D377" s="684" t="s">
        <v>76</v>
      </c>
      <c r="E377" s="684" t="s">
        <v>76</v>
      </c>
      <c r="F377" s="684" t="s">
        <v>76</v>
      </c>
      <c r="G377" s="684" t="s">
        <v>76</v>
      </c>
      <c r="H377" s="684" t="s">
        <v>76</v>
      </c>
      <c r="I377" s="684" t="s">
        <v>76</v>
      </c>
      <c r="J377" s="63">
        <v>0</v>
      </c>
      <c r="K377" s="684" t="s">
        <v>76</v>
      </c>
    </row>
    <row r="378" spans="1:11" s="680" customFormat="1">
      <c r="A378" s="111">
        <f>A377+1</f>
        <v>290</v>
      </c>
      <c r="B378" s="640" t="s">
        <v>181</v>
      </c>
      <c r="C378" s="641">
        <v>2018</v>
      </c>
      <c r="D378" s="107">
        <v>2147654</v>
      </c>
      <c r="E378" s="63">
        <f>D378*'16-PlantAdditions'!$E$103</f>
        <v>161074.04999999999</v>
      </c>
      <c r="F378" s="63">
        <f>E378+D378</f>
        <v>2308728.0499999998</v>
      </c>
      <c r="G378" s="1099">
        <v>0</v>
      </c>
      <c r="H378" s="1099">
        <v>0</v>
      </c>
      <c r="I378" s="63">
        <f>(G378-H378)*'16-PlantAdditions'!$E$103</f>
        <v>0</v>
      </c>
      <c r="J378" s="63">
        <f>J377+F378-G378-I378</f>
        <v>2308728.0499999998</v>
      </c>
      <c r="K378" s="63">
        <f>J378-$J$377</f>
        <v>2308728.0499999998</v>
      </c>
    </row>
    <row r="379" spans="1:11" s="680" customFormat="1">
      <c r="A379" s="111">
        <f t="shared" ref="A379:A402" si="80">A378+1</f>
        <v>291</v>
      </c>
      <c r="B379" s="643" t="s">
        <v>182</v>
      </c>
      <c r="C379" s="641">
        <v>2018</v>
      </c>
      <c r="D379" s="1099">
        <v>218055</v>
      </c>
      <c r="E379" s="63">
        <f>D379*'16-PlantAdditions'!$E$103</f>
        <v>16354.125</v>
      </c>
      <c r="F379" s="63">
        <f t="shared" ref="F379:F398" si="81">E379+D379</f>
        <v>234409.125</v>
      </c>
      <c r="G379" s="1099">
        <v>0</v>
      </c>
      <c r="H379" s="1099">
        <v>0</v>
      </c>
      <c r="I379" s="63">
        <f>(G379-H379)*'16-PlantAdditions'!$E$103</f>
        <v>0</v>
      </c>
      <c r="J379" s="63">
        <f t="shared" ref="J379:J398" si="82">J378+F379-G379-I379</f>
        <v>2543137.1749999998</v>
      </c>
      <c r="K379" s="63">
        <f t="shared" ref="K379:K401" si="83">J379-$J$377</f>
        <v>2543137.1749999998</v>
      </c>
    </row>
    <row r="380" spans="1:11" s="680" customFormat="1">
      <c r="A380" s="111">
        <f t="shared" si="80"/>
        <v>292</v>
      </c>
      <c r="B380" s="643" t="s">
        <v>195</v>
      </c>
      <c r="C380" s="641">
        <v>2018</v>
      </c>
      <c r="D380" s="1099">
        <v>9974740.459999999</v>
      </c>
      <c r="E380" s="63">
        <f>D380*'16-PlantAdditions'!$E$103</f>
        <v>748105.53449999995</v>
      </c>
      <c r="F380" s="63">
        <f t="shared" si="81"/>
        <v>10722845.994499998</v>
      </c>
      <c r="G380" s="1099">
        <v>0</v>
      </c>
      <c r="H380" s="1099">
        <v>0</v>
      </c>
      <c r="I380" s="63">
        <f>(G380-H380)*'16-PlantAdditions'!$E$103</f>
        <v>0</v>
      </c>
      <c r="J380" s="63">
        <f t="shared" si="82"/>
        <v>13265983.169499997</v>
      </c>
      <c r="K380" s="63">
        <f t="shared" si="83"/>
        <v>13265983.169499997</v>
      </c>
    </row>
    <row r="381" spans="1:11" s="680" customFormat="1">
      <c r="A381" s="111">
        <f t="shared" si="80"/>
        <v>293</v>
      </c>
      <c r="B381" s="640" t="s">
        <v>183</v>
      </c>
      <c r="C381" s="641">
        <v>2018</v>
      </c>
      <c r="D381" s="1099">
        <v>853930.00000000012</v>
      </c>
      <c r="E381" s="63">
        <f>D381*'16-PlantAdditions'!$E$103</f>
        <v>64044.750000000007</v>
      </c>
      <c r="F381" s="63">
        <f t="shared" si="81"/>
        <v>917974.75000000012</v>
      </c>
      <c r="G381" s="1099">
        <v>0</v>
      </c>
      <c r="H381" s="1099">
        <v>0</v>
      </c>
      <c r="I381" s="63">
        <f>(G381-H381)*'16-PlantAdditions'!$E$103</f>
        <v>0</v>
      </c>
      <c r="J381" s="63">
        <f t="shared" si="82"/>
        <v>14183957.919499997</v>
      </c>
      <c r="K381" s="63">
        <f t="shared" si="83"/>
        <v>14183957.919499997</v>
      </c>
    </row>
    <row r="382" spans="1:11" s="680" customFormat="1">
      <c r="A382" s="111">
        <f t="shared" si="80"/>
        <v>294</v>
      </c>
      <c r="B382" s="643" t="s">
        <v>184</v>
      </c>
      <c r="C382" s="641">
        <v>2018</v>
      </c>
      <c r="D382" s="1099">
        <v>882930.00000000012</v>
      </c>
      <c r="E382" s="63">
        <f>D382*'16-PlantAdditions'!$E$103</f>
        <v>66219.75</v>
      </c>
      <c r="F382" s="63">
        <f t="shared" si="81"/>
        <v>949149.75000000012</v>
      </c>
      <c r="G382" s="1099">
        <v>0</v>
      </c>
      <c r="H382" s="1099">
        <v>0</v>
      </c>
      <c r="I382" s="63">
        <f>(G382-H382)*'16-PlantAdditions'!$E$103</f>
        <v>0</v>
      </c>
      <c r="J382" s="63">
        <f t="shared" si="82"/>
        <v>15133107.669499997</v>
      </c>
      <c r="K382" s="63">
        <f t="shared" si="83"/>
        <v>15133107.669499997</v>
      </c>
    </row>
    <row r="383" spans="1:11" s="680" customFormat="1">
      <c r="A383" s="111">
        <f t="shared" si="80"/>
        <v>295</v>
      </c>
      <c r="B383" s="643" t="s">
        <v>1481</v>
      </c>
      <c r="C383" s="641">
        <v>2018</v>
      </c>
      <c r="D383" s="1099">
        <v>895930.00000000012</v>
      </c>
      <c r="E383" s="63">
        <f>D383*'16-PlantAdditions'!$E$103</f>
        <v>67194.75</v>
      </c>
      <c r="F383" s="63">
        <f t="shared" si="81"/>
        <v>963124.75000000012</v>
      </c>
      <c r="G383" s="1099">
        <v>0</v>
      </c>
      <c r="H383" s="1099">
        <v>0</v>
      </c>
      <c r="I383" s="63">
        <f>(G383-H383)*'16-PlantAdditions'!$E$103</f>
        <v>0</v>
      </c>
      <c r="J383" s="63">
        <f t="shared" si="82"/>
        <v>16096232.419499997</v>
      </c>
      <c r="K383" s="63">
        <f t="shared" si="83"/>
        <v>16096232.419499997</v>
      </c>
    </row>
    <row r="384" spans="1:11" s="680" customFormat="1">
      <c r="A384" s="111">
        <f t="shared" si="80"/>
        <v>296</v>
      </c>
      <c r="B384" s="640" t="s">
        <v>186</v>
      </c>
      <c r="C384" s="641">
        <v>2018</v>
      </c>
      <c r="D384" s="1099">
        <v>880860</v>
      </c>
      <c r="E384" s="63">
        <f>D384*'16-PlantAdditions'!$E$103</f>
        <v>66064.5</v>
      </c>
      <c r="F384" s="63">
        <f t="shared" si="81"/>
        <v>946924.5</v>
      </c>
      <c r="G384" s="1099">
        <v>0</v>
      </c>
      <c r="H384" s="1099">
        <v>0</v>
      </c>
      <c r="I384" s="63">
        <f>(G384-H384)*'16-PlantAdditions'!$E$103</f>
        <v>0</v>
      </c>
      <c r="J384" s="63">
        <f t="shared" si="82"/>
        <v>17043156.919499997</v>
      </c>
      <c r="K384" s="63">
        <f t="shared" si="83"/>
        <v>17043156.919499997</v>
      </c>
    </row>
    <row r="385" spans="1:11" s="680" customFormat="1">
      <c r="A385" s="111">
        <f t="shared" si="80"/>
        <v>297</v>
      </c>
      <c r="B385" s="643" t="s">
        <v>187</v>
      </c>
      <c r="C385" s="641">
        <v>2018</v>
      </c>
      <c r="D385" s="1099">
        <v>882860</v>
      </c>
      <c r="E385" s="63">
        <f>D385*'16-PlantAdditions'!$E$103</f>
        <v>66214.5</v>
      </c>
      <c r="F385" s="63">
        <f t="shared" si="81"/>
        <v>949074.5</v>
      </c>
      <c r="G385" s="1099">
        <v>0</v>
      </c>
      <c r="H385" s="1099">
        <v>0</v>
      </c>
      <c r="I385" s="63">
        <f>(G385-H385)*'16-PlantAdditions'!$E$103</f>
        <v>0</v>
      </c>
      <c r="J385" s="63">
        <f t="shared" si="82"/>
        <v>17992231.419499997</v>
      </c>
      <c r="K385" s="63">
        <f t="shared" si="83"/>
        <v>17992231.419499997</v>
      </c>
    </row>
    <row r="386" spans="1:11" s="680" customFormat="1">
      <c r="A386" s="111">
        <f t="shared" si="80"/>
        <v>298</v>
      </c>
      <c r="B386" s="643" t="s">
        <v>188</v>
      </c>
      <c r="C386" s="641">
        <v>2018</v>
      </c>
      <c r="D386" s="1099">
        <v>945860</v>
      </c>
      <c r="E386" s="63">
        <f>D386*'16-PlantAdditions'!$E$103</f>
        <v>70939.5</v>
      </c>
      <c r="F386" s="63">
        <f t="shared" si="81"/>
        <v>1016799.5</v>
      </c>
      <c r="G386" s="1099">
        <v>0</v>
      </c>
      <c r="H386" s="1099">
        <v>0</v>
      </c>
      <c r="I386" s="63">
        <f>(G386-H386)*'16-PlantAdditions'!$E$103</f>
        <v>0</v>
      </c>
      <c r="J386" s="63">
        <f t="shared" si="82"/>
        <v>19009030.919499997</v>
      </c>
      <c r="K386" s="63">
        <f t="shared" si="83"/>
        <v>19009030.919499997</v>
      </c>
    </row>
    <row r="387" spans="1:11" s="680" customFormat="1">
      <c r="A387" s="111">
        <f t="shared" si="80"/>
        <v>299</v>
      </c>
      <c r="B387" s="640" t="s">
        <v>191</v>
      </c>
      <c r="C387" s="641">
        <v>2018</v>
      </c>
      <c r="D387" s="1099">
        <v>598790</v>
      </c>
      <c r="E387" s="63">
        <f>D387*'16-PlantAdditions'!$E$103</f>
        <v>44909.25</v>
      </c>
      <c r="F387" s="63">
        <f t="shared" si="81"/>
        <v>643699.25</v>
      </c>
      <c r="G387" s="1099">
        <v>0</v>
      </c>
      <c r="H387" s="1099">
        <v>0</v>
      </c>
      <c r="I387" s="63">
        <f>(G387-H387)*'16-PlantAdditions'!$E$103</f>
        <v>0</v>
      </c>
      <c r="J387" s="63">
        <f t="shared" si="82"/>
        <v>19652730.169499997</v>
      </c>
      <c r="K387" s="63">
        <f t="shared" si="83"/>
        <v>19652730.169499997</v>
      </c>
    </row>
    <row r="388" spans="1:11" s="680" customFormat="1">
      <c r="A388" s="111">
        <f t="shared" si="80"/>
        <v>300</v>
      </c>
      <c r="B388" s="640" t="s">
        <v>190</v>
      </c>
      <c r="C388" s="641">
        <v>2018</v>
      </c>
      <c r="D388" s="1099">
        <v>304720</v>
      </c>
      <c r="E388" s="63">
        <f>D388*'16-PlantAdditions'!$E$103</f>
        <v>22854</v>
      </c>
      <c r="F388" s="63">
        <f t="shared" si="81"/>
        <v>327574</v>
      </c>
      <c r="G388" s="1099">
        <v>0</v>
      </c>
      <c r="H388" s="1099">
        <v>0</v>
      </c>
      <c r="I388" s="63">
        <f>(G388-H388)*'16-PlantAdditions'!$E$103</f>
        <v>0</v>
      </c>
      <c r="J388" s="63">
        <f t="shared" si="82"/>
        <v>19980304.169499997</v>
      </c>
      <c r="K388" s="63">
        <f t="shared" si="83"/>
        <v>19980304.169499997</v>
      </c>
    </row>
    <row r="389" spans="1:11" s="680" customFormat="1">
      <c r="A389" s="111">
        <f t="shared" si="80"/>
        <v>301</v>
      </c>
      <c r="B389" s="640" t="s">
        <v>180</v>
      </c>
      <c r="C389" s="641">
        <v>2018</v>
      </c>
      <c r="D389" s="1099">
        <v>846161</v>
      </c>
      <c r="E389" s="63">
        <f>D389*'16-PlantAdditions'!$E$103</f>
        <v>63462.074999999997</v>
      </c>
      <c r="F389" s="63">
        <f t="shared" si="81"/>
        <v>909623.07499999995</v>
      </c>
      <c r="G389" s="1099">
        <v>36717.159999999996</v>
      </c>
      <c r="H389" s="1099">
        <v>15957.7</v>
      </c>
      <c r="I389" s="63">
        <f>(G389-H389)*'16-PlantAdditions'!$E$103</f>
        <v>1556.9594999999997</v>
      </c>
      <c r="J389" s="63">
        <f t="shared" si="82"/>
        <v>20851653.124999996</v>
      </c>
      <c r="K389" s="63">
        <f t="shared" si="83"/>
        <v>20851653.124999996</v>
      </c>
    </row>
    <row r="390" spans="1:11" s="680" customFormat="1">
      <c r="A390" s="111">
        <f t="shared" si="80"/>
        <v>302</v>
      </c>
      <c r="B390" s="640" t="s">
        <v>181</v>
      </c>
      <c r="C390" s="641">
        <v>2019</v>
      </c>
      <c r="D390" s="1099">
        <v>467930</v>
      </c>
      <c r="E390" s="63">
        <f>D390*'16-PlantAdditions'!$E$103</f>
        <v>35094.75</v>
      </c>
      <c r="F390" s="63">
        <f t="shared" si="81"/>
        <v>503024.75</v>
      </c>
      <c r="G390" s="1099">
        <v>930</v>
      </c>
      <c r="H390" s="1099">
        <v>0</v>
      </c>
      <c r="I390" s="63">
        <f>(G390-H390)*'16-PlantAdditions'!$E$103</f>
        <v>69.75</v>
      </c>
      <c r="J390" s="63">
        <f t="shared" si="82"/>
        <v>21353678.124999996</v>
      </c>
      <c r="K390" s="63">
        <f t="shared" si="83"/>
        <v>21353678.124999996</v>
      </c>
    </row>
    <row r="391" spans="1:11" s="680" customFormat="1">
      <c r="A391" s="111">
        <f t="shared" si="80"/>
        <v>303</v>
      </c>
      <c r="B391" s="643" t="s">
        <v>182</v>
      </c>
      <c r="C391" s="641">
        <v>2019</v>
      </c>
      <c r="D391" s="1099">
        <v>1274860.0000000002</v>
      </c>
      <c r="E391" s="63">
        <f>D391*'16-PlantAdditions'!$E$103</f>
        <v>95614.500000000015</v>
      </c>
      <c r="F391" s="63">
        <f t="shared" si="81"/>
        <v>1370474.5000000002</v>
      </c>
      <c r="G391" s="1099">
        <v>1860</v>
      </c>
      <c r="H391" s="1099">
        <v>0</v>
      </c>
      <c r="I391" s="63">
        <f>(G391-H391)*'16-PlantAdditions'!$E$103</f>
        <v>139.5</v>
      </c>
      <c r="J391" s="63">
        <f t="shared" si="82"/>
        <v>22722153.124999996</v>
      </c>
      <c r="K391" s="63">
        <f t="shared" si="83"/>
        <v>22722153.124999996</v>
      </c>
    </row>
    <row r="392" spans="1:11" s="680" customFormat="1">
      <c r="A392" s="111">
        <f t="shared" si="80"/>
        <v>304</v>
      </c>
      <c r="B392" s="643" t="s">
        <v>195</v>
      </c>
      <c r="C392" s="641">
        <v>2019</v>
      </c>
      <c r="D392" s="1099">
        <v>1280860.0000000002</v>
      </c>
      <c r="E392" s="63">
        <f>D392*'16-PlantAdditions'!$E$103</f>
        <v>96064.500000000015</v>
      </c>
      <c r="F392" s="63">
        <f t="shared" si="81"/>
        <v>1376924.5000000002</v>
      </c>
      <c r="G392" s="1099">
        <v>1860</v>
      </c>
      <c r="H392" s="1099">
        <v>0</v>
      </c>
      <c r="I392" s="63">
        <f>(G392-H392)*'16-PlantAdditions'!$E$103</f>
        <v>139.5</v>
      </c>
      <c r="J392" s="63">
        <f t="shared" si="82"/>
        <v>24097078.124999996</v>
      </c>
      <c r="K392" s="63">
        <f t="shared" si="83"/>
        <v>24097078.124999996</v>
      </c>
    </row>
    <row r="393" spans="1:11" s="680" customFormat="1">
      <c r="A393" s="111">
        <f t="shared" si="80"/>
        <v>305</v>
      </c>
      <c r="B393" s="640" t="s">
        <v>183</v>
      </c>
      <c r="C393" s="641">
        <v>2019</v>
      </c>
      <c r="D393" s="1099">
        <v>1268860.0000000002</v>
      </c>
      <c r="E393" s="63">
        <f>D393*'16-PlantAdditions'!$E$103</f>
        <v>95164.500000000015</v>
      </c>
      <c r="F393" s="63">
        <f t="shared" si="81"/>
        <v>1364024.5000000002</v>
      </c>
      <c r="G393" s="1099">
        <v>1860</v>
      </c>
      <c r="H393" s="1099">
        <v>0</v>
      </c>
      <c r="I393" s="63">
        <f>(G393-H393)*'16-PlantAdditions'!$E$103</f>
        <v>139.5</v>
      </c>
      <c r="J393" s="63">
        <f t="shared" si="82"/>
        <v>25459103.124999996</v>
      </c>
      <c r="K393" s="63">
        <f t="shared" si="83"/>
        <v>25459103.124999996</v>
      </c>
    </row>
    <row r="394" spans="1:11" s="680" customFormat="1">
      <c r="A394" s="111">
        <f t="shared" si="80"/>
        <v>306</v>
      </c>
      <c r="B394" s="643" t="s">
        <v>184</v>
      </c>
      <c r="C394" s="641">
        <v>2019</v>
      </c>
      <c r="D394" s="1099">
        <v>1337300</v>
      </c>
      <c r="E394" s="63">
        <f>D394*'16-PlantAdditions'!$E$103</f>
        <v>100297.5</v>
      </c>
      <c r="F394" s="63">
        <f t="shared" si="81"/>
        <v>1437597.5</v>
      </c>
      <c r="G394" s="1099">
        <v>9300</v>
      </c>
      <c r="H394" s="1099">
        <v>0</v>
      </c>
      <c r="I394" s="63">
        <f>(G394-H394)*'16-PlantAdditions'!$E$103</f>
        <v>697.5</v>
      </c>
      <c r="J394" s="63">
        <f t="shared" si="82"/>
        <v>26886703.124999996</v>
      </c>
      <c r="K394" s="63">
        <f t="shared" si="83"/>
        <v>26886703.124999996</v>
      </c>
    </row>
    <row r="395" spans="1:11" s="680" customFormat="1">
      <c r="A395" s="111">
        <f t="shared" si="80"/>
        <v>307</v>
      </c>
      <c r="B395" s="643" t="s">
        <v>1481</v>
      </c>
      <c r="C395" s="641">
        <v>2019</v>
      </c>
      <c r="D395" s="1099">
        <v>15335150</v>
      </c>
      <c r="E395" s="63">
        <f>D395*'16-PlantAdditions'!$E$103</f>
        <v>1150136.25</v>
      </c>
      <c r="F395" s="63">
        <f t="shared" si="81"/>
        <v>16485286.25</v>
      </c>
      <c r="G395" s="1099">
        <v>9300</v>
      </c>
      <c r="H395" s="1099">
        <v>0</v>
      </c>
      <c r="I395" s="63">
        <f>(G395-H395)*'16-PlantAdditions'!$E$103</f>
        <v>697.5</v>
      </c>
      <c r="J395" s="63">
        <f t="shared" si="82"/>
        <v>43361991.875</v>
      </c>
      <c r="K395" s="63">
        <f t="shared" si="83"/>
        <v>43361991.875</v>
      </c>
    </row>
    <row r="396" spans="1:11" s="680" customFormat="1">
      <c r="A396" s="111">
        <f t="shared" si="80"/>
        <v>308</v>
      </c>
      <c r="B396" s="640" t="s">
        <v>186</v>
      </c>
      <c r="C396" s="641">
        <v>2019</v>
      </c>
      <c r="D396" s="1099">
        <v>698300</v>
      </c>
      <c r="E396" s="63">
        <f>D396*'16-PlantAdditions'!$E$103</f>
        <v>52372.5</v>
      </c>
      <c r="F396" s="63">
        <f t="shared" si="81"/>
        <v>750672.5</v>
      </c>
      <c r="G396" s="1099">
        <v>9300</v>
      </c>
      <c r="H396" s="1099">
        <v>0</v>
      </c>
      <c r="I396" s="63">
        <f>(G396-H396)*'16-PlantAdditions'!$E$103</f>
        <v>697.5</v>
      </c>
      <c r="J396" s="63">
        <f t="shared" si="82"/>
        <v>44102666.875</v>
      </c>
      <c r="K396" s="63">
        <f t="shared" si="83"/>
        <v>44102666.875</v>
      </c>
    </row>
    <row r="397" spans="1:11" s="680" customFormat="1">
      <c r="A397" s="111">
        <f t="shared" si="80"/>
        <v>309</v>
      </c>
      <c r="B397" s="643" t="s">
        <v>187</v>
      </c>
      <c r="C397" s="641">
        <v>2019</v>
      </c>
      <c r="D397" s="1099">
        <v>634300</v>
      </c>
      <c r="E397" s="63">
        <f>D397*'16-PlantAdditions'!$E$103</f>
        <v>47572.5</v>
      </c>
      <c r="F397" s="63">
        <f t="shared" si="81"/>
        <v>681872.5</v>
      </c>
      <c r="G397" s="1099">
        <v>13998455.939999999</v>
      </c>
      <c r="H397" s="1099">
        <v>8470082.9399999995</v>
      </c>
      <c r="I397" s="63">
        <f>(G397-H397)*'16-PlantAdditions'!$E$103</f>
        <v>414627.97499999998</v>
      </c>
      <c r="J397" s="63">
        <f t="shared" si="82"/>
        <v>30371455.460000001</v>
      </c>
      <c r="K397" s="63">
        <f t="shared" si="83"/>
        <v>30371455.460000001</v>
      </c>
    </row>
    <row r="398" spans="1:11" s="680" customFormat="1">
      <c r="A398" s="111">
        <f t="shared" si="80"/>
        <v>310</v>
      </c>
      <c r="B398" s="643" t="s">
        <v>188</v>
      </c>
      <c r="C398" s="641">
        <v>2019</v>
      </c>
      <c r="D398" s="1099">
        <v>475600</v>
      </c>
      <c r="E398" s="63">
        <f>D398*'16-PlantAdditions'!$E$103</f>
        <v>35670</v>
      </c>
      <c r="F398" s="63">
        <f t="shared" si="81"/>
        <v>511270</v>
      </c>
      <c r="G398" s="1099">
        <v>23600</v>
      </c>
      <c r="H398" s="1099">
        <v>0</v>
      </c>
      <c r="I398" s="63">
        <f>(G398-H398)*'16-PlantAdditions'!$E$103</f>
        <v>1770</v>
      </c>
      <c r="J398" s="63">
        <f t="shared" si="82"/>
        <v>30857355.460000001</v>
      </c>
      <c r="K398" s="63">
        <f t="shared" si="83"/>
        <v>30857355.460000001</v>
      </c>
    </row>
    <row r="399" spans="1:11" s="680" customFormat="1">
      <c r="A399" s="111">
        <f t="shared" si="80"/>
        <v>311</v>
      </c>
      <c r="B399" s="643" t="s">
        <v>191</v>
      </c>
      <c r="C399" s="641">
        <v>2019</v>
      </c>
      <c r="D399" s="1099">
        <v>15244900</v>
      </c>
      <c r="E399" s="63">
        <f>D399*'16-PlantAdditions'!$E$103</f>
        <v>1143367.5</v>
      </c>
      <c r="F399" s="63">
        <f t="shared" ref="F399:F401" si="84">E399+D399</f>
        <v>16388267.5</v>
      </c>
      <c r="G399" s="1099">
        <v>14191373.269999998</v>
      </c>
      <c r="H399" s="1099">
        <v>6167259.2699999996</v>
      </c>
      <c r="I399" s="63">
        <f>(G399-H399)*'16-PlantAdditions'!$E$103</f>
        <v>601808.54999999981</v>
      </c>
      <c r="J399" s="63">
        <f t="shared" ref="J399:J401" si="85">J398+F399-G399-I399</f>
        <v>32452441.140000004</v>
      </c>
      <c r="K399" s="63">
        <f t="shared" si="83"/>
        <v>32452441.140000004</v>
      </c>
    </row>
    <row r="400" spans="1:11" s="680" customFormat="1">
      <c r="A400" s="111">
        <f t="shared" si="80"/>
        <v>312</v>
      </c>
      <c r="B400" s="643" t="s">
        <v>190</v>
      </c>
      <c r="C400" s="641">
        <v>2019</v>
      </c>
      <c r="D400" s="1099">
        <v>4581991</v>
      </c>
      <c r="E400" s="63">
        <f>D400*'16-PlantAdditions'!$E$103</f>
        <v>343649.32500000001</v>
      </c>
      <c r="F400" s="63">
        <f t="shared" si="84"/>
        <v>4925640.3250000002</v>
      </c>
      <c r="G400" s="1099">
        <v>16164858.359999998</v>
      </c>
      <c r="H400" s="1099">
        <v>6140181.3599999994</v>
      </c>
      <c r="I400" s="63">
        <f>(G400-H400)*'16-PlantAdditions'!$E$103</f>
        <v>751850.77499999979</v>
      </c>
      <c r="J400" s="63">
        <f t="shared" si="85"/>
        <v>20461372.330000006</v>
      </c>
      <c r="K400" s="63">
        <f t="shared" si="83"/>
        <v>20461372.330000006</v>
      </c>
    </row>
    <row r="401" spans="1:11" s="680" customFormat="1">
      <c r="A401" s="111">
        <f t="shared" si="80"/>
        <v>313</v>
      </c>
      <c r="B401" s="643" t="s">
        <v>180</v>
      </c>
      <c r="C401" s="641">
        <v>2019</v>
      </c>
      <c r="D401" s="1099">
        <v>4343830.0000000019</v>
      </c>
      <c r="E401" s="63">
        <f>D401*'16-PlantAdditions'!$E$103</f>
        <v>325787.25000000012</v>
      </c>
      <c r="F401" s="63">
        <f t="shared" si="84"/>
        <v>4669617.2500000019</v>
      </c>
      <c r="G401" s="1099">
        <v>1285159.9999999998</v>
      </c>
      <c r="H401" s="1099">
        <v>0</v>
      </c>
      <c r="I401" s="63">
        <f>(G401-H401)*'16-PlantAdditions'!$E$103</f>
        <v>96386.999999999985</v>
      </c>
      <c r="J401" s="63">
        <f t="shared" si="85"/>
        <v>23749442.580000006</v>
      </c>
      <c r="K401" s="112">
        <f t="shared" si="83"/>
        <v>23749442.580000006</v>
      </c>
    </row>
    <row r="402" spans="1:11" s="680" customFormat="1">
      <c r="A402" s="111">
        <f t="shared" si="80"/>
        <v>314</v>
      </c>
      <c r="B402"/>
      <c r="C402" s="679" t="s">
        <v>1633</v>
      </c>
      <c r="H402" s="684"/>
      <c r="I402" s="684"/>
      <c r="K402" s="73">
        <f>AVERAGE(K389:K401)</f>
        <v>28209776.497692302</v>
      </c>
    </row>
    <row r="403" spans="1:11" s="680" customFormat="1">
      <c r="A403" s="111"/>
      <c r="B403"/>
      <c r="C403" s="679"/>
      <c r="H403" s="684"/>
      <c r="I403" s="684"/>
      <c r="K403" s="73"/>
    </row>
    <row r="404" spans="1:11" s="680" customFormat="1">
      <c r="B404" s="681" t="s">
        <v>2670</v>
      </c>
      <c r="D404" s="1192" t="s">
        <v>2671</v>
      </c>
      <c r="E404" s="1192"/>
      <c r="F404" s="97"/>
      <c r="G404" s="97"/>
    </row>
    <row r="405" spans="1:11" s="680" customFormat="1">
      <c r="A405" s="675"/>
      <c r="B405" s="675"/>
      <c r="C405" s="675"/>
      <c r="D405" s="675" t="s">
        <v>363</v>
      </c>
      <c r="E405" s="675" t="s">
        <v>347</v>
      </c>
      <c r="F405" s="675" t="s">
        <v>348</v>
      </c>
      <c r="G405" s="675" t="s">
        <v>349</v>
      </c>
      <c r="H405" s="675" t="s">
        <v>350</v>
      </c>
      <c r="I405" s="675" t="s">
        <v>351</v>
      </c>
      <c r="J405" s="675" t="s">
        <v>352</v>
      </c>
      <c r="K405" s="675" t="s">
        <v>544</v>
      </c>
    </row>
    <row r="406" spans="1:11" s="680" customFormat="1" ht="38.25">
      <c r="D406" s="682"/>
      <c r="E406" s="683" t="s">
        <v>2104</v>
      </c>
      <c r="F406" s="684" t="s">
        <v>1961</v>
      </c>
      <c r="G406" s="492"/>
      <c r="H406" s="682"/>
      <c r="I406" s="683" t="s">
        <v>2105</v>
      </c>
      <c r="J406" s="683" t="s">
        <v>1962</v>
      </c>
      <c r="K406" s="683" t="s">
        <v>1963</v>
      </c>
    </row>
    <row r="407" spans="1:11" s="680" customFormat="1">
      <c r="D407" s="682"/>
      <c r="E407" s="683"/>
      <c r="F407" s="684"/>
      <c r="G407" s="4" t="str">
        <f>G85</f>
        <v>Unloaded</v>
      </c>
      <c r="H407" s="682"/>
      <c r="I407" s="683"/>
      <c r="J407" s="683"/>
      <c r="K407" s="683"/>
    </row>
    <row r="408" spans="1:11" s="680" customFormat="1">
      <c r="A408" s="677"/>
      <c r="B408" s="677"/>
      <c r="C408" s="677"/>
      <c r="D408" s="677" t="str">
        <f>D$52</f>
        <v>Forecast</v>
      </c>
      <c r="E408" s="677" t="str">
        <f t="shared" ref="E408:J408" si="86">E$52</f>
        <v>Corporate</v>
      </c>
      <c r="F408" s="677" t="str">
        <f t="shared" si="86"/>
        <v xml:space="preserve">Total </v>
      </c>
      <c r="G408" s="4" t="str">
        <f>G86</f>
        <v>Total</v>
      </c>
      <c r="H408" s="677" t="str">
        <f t="shared" si="86"/>
        <v>Prior Period</v>
      </c>
      <c r="I408" s="677" t="str">
        <f t="shared" si="86"/>
        <v>Over Heads</v>
      </c>
      <c r="J408" s="677" t="str">
        <f t="shared" si="86"/>
        <v>Forecast</v>
      </c>
      <c r="K408" s="677" t="str">
        <f>K$52</f>
        <v>Forecast Period</v>
      </c>
    </row>
    <row r="409" spans="1:11" s="680" customFormat="1">
      <c r="A409" s="932" t="s">
        <v>332</v>
      </c>
      <c r="B409" s="639" t="s">
        <v>192</v>
      </c>
      <c r="C409" s="639" t="s">
        <v>193</v>
      </c>
      <c r="D409" s="675" t="str">
        <f>D$53</f>
        <v>Expenditures</v>
      </c>
      <c r="E409" s="675" t="str">
        <f t="shared" ref="E409:J409" si="87">E$53</f>
        <v>Overheads</v>
      </c>
      <c r="F409" s="675" t="str">
        <f t="shared" si="87"/>
        <v>CWIP Exp</v>
      </c>
      <c r="G409" s="84" t="str">
        <f>G87</f>
        <v>Plant Adds</v>
      </c>
      <c r="H409" s="675" t="str">
        <f t="shared" si="87"/>
        <v>CWIP Closed</v>
      </c>
      <c r="I409" s="675" t="str">
        <f t="shared" si="87"/>
        <v>Closed to PIS</v>
      </c>
      <c r="J409" s="675" t="str">
        <f t="shared" si="87"/>
        <v>Period CWIP</v>
      </c>
      <c r="K409" s="675" t="str">
        <f>K$53</f>
        <v>Incremental CWIP</v>
      </c>
    </row>
    <row r="410" spans="1:11" s="680" customFormat="1">
      <c r="A410" s="111">
        <f>A402+1</f>
        <v>315</v>
      </c>
      <c r="B410" s="640" t="s">
        <v>180</v>
      </c>
      <c r="C410" s="641">
        <v>2017</v>
      </c>
      <c r="D410" s="684" t="s">
        <v>76</v>
      </c>
      <c r="E410" s="684" t="s">
        <v>76</v>
      </c>
      <c r="F410" s="684" t="s">
        <v>76</v>
      </c>
      <c r="G410" s="684" t="s">
        <v>76</v>
      </c>
      <c r="H410" s="684" t="s">
        <v>76</v>
      </c>
      <c r="I410" s="684" t="s">
        <v>76</v>
      </c>
      <c r="J410" s="63">
        <v>0</v>
      </c>
      <c r="K410" s="684" t="s">
        <v>76</v>
      </c>
    </row>
    <row r="411" spans="1:11" s="680" customFormat="1">
      <c r="A411" s="111">
        <f>A410+1</f>
        <v>316</v>
      </c>
      <c r="B411" s="640" t="s">
        <v>181</v>
      </c>
      <c r="C411" s="641">
        <v>2018</v>
      </c>
      <c r="D411" s="1099"/>
      <c r="E411" s="63">
        <f>D411*'16-PlantAdditions'!$E$103</f>
        <v>0</v>
      </c>
      <c r="F411" s="63">
        <f>E411+D411</f>
        <v>0</v>
      </c>
      <c r="G411" s="1099"/>
      <c r="H411" s="1099"/>
      <c r="I411" s="63">
        <f>(G411-H411)*'16-PlantAdditions'!$E$103</f>
        <v>0</v>
      </c>
      <c r="J411" s="63">
        <f>J410+F411-G411-I411</f>
        <v>0</v>
      </c>
      <c r="K411" s="63">
        <f>J411-$J$377</f>
        <v>0</v>
      </c>
    </row>
    <row r="412" spans="1:11" s="680" customFormat="1">
      <c r="A412" s="111">
        <f t="shared" ref="A412:A435" si="88">A411+1</f>
        <v>317</v>
      </c>
      <c r="B412" s="643" t="s">
        <v>182</v>
      </c>
      <c r="C412" s="641">
        <v>2018</v>
      </c>
      <c r="D412" s="1099"/>
      <c r="E412" s="63">
        <f>D412*'16-PlantAdditions'!$E$103</f>
        <v>0</v>
      </c>
      <c r="F412" s="63">
        <f t="shared" ref="F412:F434" si="89">E412+D412</f>
        <v>0</v>
      </c>
      <c r="G412" s="1099"/>
      <c r="H412" s="1099"/>
      <c r="I412" s="63">
        <f>(G412-H412)*'16-PlantAdditions'!$E$103</f>
        <v>0</v>
      </c>
      <c r="J412" s="63">
        <f t="shared" ref="J412:J434" si="90">J411+F412-G412-I412</f>
        <v>0</v>
      </c>
      <c r="K412" s="63">
        <f t="shared" ref="K412:K434" si="91">J412-$J$377</f>
        <v>0</v>
      </c>
    </row>
    <row r="413" spans="1:11" s="680" customFormat="1">
      <c r="A413" s="111">
        <f t="shared" si="88"/>
        <v>318</v>
      </c>
      <c r="B413" s="643" t="s">
        <v>195</v>
      </c>
      <c r="C413" s="641">
        <v>2018</v>
      </c>
      <c r="D413" s="1099"/>
      <c r="E413" s="63">
        <f>D413*'16-PlantAdditions'!$E$103</f>
        <v>0</v>
      </c>
      <c r="F413" s="63">
        <f t="shared" si="89"/>
        <v>0</v>
      </c>
      <c r="G413" s="1099"/>
      <c r="H413" s="1099"/>
      <c r="I413" s="63">
        <f>(G413-H413)*'16-PlantAdditions'!$E$103</f>
        <v>0</v>
      </c>
      <c r="J413" s="63">
        <f t="shared" si="90"/>
        <v>0</v>
      </c>
      <c r="K413" s="63">
        <f t="shared" si="91"/>
        <v>0</v>
      </c>
    </row>
    <row r="414" spans="1:11" s="680" customFormat="1">
      <c r="A414" s="111">
        <f t="shared" si="88"/>
        <v>319</v>
      </c>
      <c r="B414" s="640" t="s">
        <v>183</v>
      </c>
      <c r="C414" s="641">
        <v>2018</v>
      </c>
      <c r="D414" s="1099"/>
      <c r="E414" s="63">
        <f>D414*'16-PlantAdditions'!$E$103</f>
        <v>0</v>
      </c>
      <c r="F414" s="63">
        <f t="shared" si="89"/>
        <v>0</v>
      </c>
      <c r="G414" s="1099"/>
      <c r="H414" s="1099"/>
      <c r="I414" s="63">
        <f>(G414-H414)*'16-PlantAdditions'!$E$103</f>
        <v>0</v>
      </c>
      <c r="J414" s="63">
        <f t="shared" si="90"/>
        <v>0</v>
      </c>
      <c r="K414" s="63">
        <f t="shared" si="91"/>
        <v>0</v>
      </c>
    </row>
    <row r="415" spans="1:11" s="680" customFormat="1">
      <c r="A415" s="111">
        <f t="shared" si="88"/>
        <v>320</v>
      </c>
      <c r="B415" s="643" t="s">
        <v>184</v>
      </c>
      <c r="C415" s="641">
        <v>2018</v>
      </c>
      <c r="D415" s="1099"/>
      <c r="E415" s="63">
        <f>D415*'16-PlantAdditions'!$E$103</f>
        <v>0</v>
      </c>
      <c r="F415" s="63">
        <f t="shared" si="89"/>
        <v>0</v>
      </c>
      <c r="G415" s="1099"/>
      <c r="H415" s="1099"/>
      <c r="I415" s="63">
        <f>(G415-H415)*'16-PlantAdditions'!$E$103</f>
        <v>0</v>
      </c>
      <c r="J415" s="63">
        <f t="shared" si="90"/>
        <v>0</v>
      </c>
      <c r="K415" s="63">
        <f t="shared" si="91"/>
        <v>0</v>
      </c>
    </row>
    <row r="416" spans="1:11" s="680" customFormat="1">
      <c r="A416" s="111">
        <f t="shared" si="88"/>
        <v>321</v>
      </c>
      <c r="B416" s="643" t="s">
        <v>1481</v>
      </c>
      <c r="C416" s="641">
        <v>2018</v>
      </c>
      <c r="D416" s="1099"/>
      <c r="E416" s="63">
        <f>D416*'16-PlantAdditions'!$E$103</f>
        <v>0</v>
      </c>
      <c r="F416" s="63">
        <f t="shared" si="89"/>
        <v>0</v>
      </c>
      <c r="G416" s="1099"/>
      <c r="H416" s="1099"/>
      <c r="I416" s="63">
        <f>(G416-H416)*'16-PlantAdditions'!$E$103</f>
        <v>0</v>
      </c>
      <c r="J416" s="63">
        <f t="shared" si="90"/>
        <v>0</v>
      </c>
      <c r="K416" s="63">
        <f t="shared" si="91"/>
        <v>0</v>
      </c>
    </row>
    <row r="417" spans="1:11" s="680" customFormat="1">
      <c r="A417" s="111">
        <f t="shared" si="88"/>
        <v>322</v>
      </c>
      <c r="B417" s="640" t="s">
        <v>186</v>
      </c>
      <c r="C417" s="641">
        <v>2018</v>
      </c>
      <c r="D417" s="1099"/>
      <c r="E417" s="63">
        <f>D417*'16-PlantAdditions'!$E$103</f>
        <v>0</v>
      </c>
      <c r="F417" s="63">
        <f t="shared" si="89"/>
        <v>0</v>
      </c>
      <c r="G417" s="1099"/>
      <c r="H417" s="1099"/>
      <c r="I417" s="63">
        <f>(G417-H417)*'16-PlantAdditions'!$E$103</f>
        <v>0</v>
      </c>
      <c r="J417" s="63">
        <f t="shared" si="90"/>
        <v>0</v>
      </c>
      <c r="K417" s="63">
        <f t="shared" si="91"/>
        <v>0</v>
      </c>
    </row>
    <row r="418" spans="1:11" s="680" customFormat="1">
      <c r="A418" s="111">
        <f t="shared" si="88"/>
        <v>323</v>
      </c>
      <c r="B418" s="643" t="s">
        <v>187</v>
      </c>
      <c r="C418" s="641">
        <v>2018</v>
      </c>
      <c r="D418" s="1099"/>
      <c r="E418" s="63">
        <f>D418*'16-PlantAdditions'!$E$103</f>
        <v>0</v>
      </c>
      <c r="F418" s="63">
        <f t="shared" si="89"/>
        <v>0</v>
      </c>
      <c r="G418" s="1099"/>
      <c r="H418" s="1099"/>
      <c r="I418" s="63">
        <f>(G418-H418)*'16-PlantAdditions'!$E$103</f>
        <v>0</v>
      </c>
      <c r="J418" s="63">
        <f t="shared" si="90"/>
        <v>0</v>
      </c>
      <c r="K418" s="63">
        <f t="shared" si="91"/>
        <v>0</v>
      </c>
    </row>
    <row r="419" spans="1:11" s="680" customFormat="1">
      <c r="A419" s="111">
        <f t="shared" si="88"/>
        <v>324</v>
      </c>
      <c r="B419" s="643" t="s">
        <v>188</v>
      </c>
      <c r="C419" s="641">
        <v>2018</v>
      </c>
      <c r="D419" s="1099"/>
      <c r="E419" s="63">
        <f>D419*'16-PlantAdditions'!$E$103</f>
        <v>0</v>
      </c>
      <c r="F419" s="63">
        <f t="shared" si="89"/>
        <v>0</v>
      </c>
      <c r="G419" s="1099"/>
      <c r="H419" s="1099"/>
      <c r="I419" s="63">
        <f>(G419-H419)*'16-PlantAdditions'!$E$103</f>
        <v>0</v>
      </c>
      <c r="J419" s="63">
        <f t="shared" si="90"/>
        <v>0</v>
      </c>
      <c r="K419" s="63">
        <f t="shared" si="91"/>
        <v>0</v>
      </c>
    </row>
    <row r="420" spans="1:11" s="680" customFormat="1">
      <c r="A420" s="111">
        <f t="shared" si="88"/>
        <v>325</v>
      </c>
      <c r="B420" s="640" t="s">
        <v>191</v>
      </c>
      <c r="C420" s="641">
        <v>2018</v>
      </c>
      <c r="D420" s="1099"/>
      <c r="E420" s="63">
        <f>D420*'16-PlantAdditions'!$E$103</f>
        <v>0</v>
      </c>
      <c r="F420" s="63">
        <f t="shared" si="89"/>
        <v>0</v>
      </c>
      <c r="G420" s="1099"/>
      <c r="H420" s="1099"/>
      <c r="I420" s="63">
        <f>(G420-H420)*'16-PlantAdditions'!$E$103</f>
        <v>0</v>
      </c>
      <c r="J420" s="63">
        <f t="shared" si="90"/>
        <v>0</v>
      </c>
      <c r="K420" s="63">
        <f t="shared" si="91"/>
        <v>0</v>
      </c>
    </row>
    <row r="421" spans="1:11" s="680" customFormat="1">
      <c r="A421" s="111">
        <f t="shared" si="88"/>
        <v>326</v>
      </c>
      <c r="B421" s="640" t="s">
        <v>190</v>
      </c>
      <c r="C421" s="641">
        <v>2018</v>
      </c>
      <c r="D421" s="1099"/>
      <c r="E421" s="63">
        <f>D421*'16-PlantAdditions'!$E$103</f>
        <v>0</v>
      </c>
      <c r="F421" s="63">
        <f t="shared" si="89"/>
        <v>0</v>
      </c>
      <c r="G421" s="1099"/>
      <c r="H421" s="1099"/>
      <c r="I421" s="63">
        <f>(G421-H421)*'16-PlantAdditions'!$E$103</f>
        <v>0</v>
      </c>
      <c r="J421" s="63">
        <f t="shared" si="90"/>
        <v>0</v>
      </c>
      <c r="K421" s="63">
        <f t="shared" si="91"/>
        <v>0</v>
      </c>
    </row>
    <row r="422" spans="1:11" s="680" customFormat="1">
      <c r="A422" s="111">
        <f t="shared" si="88"/>
        <v>327</v>
      </c>
      <c r="B422" s="640" t="s">
        <v>180</v>
      </c>
      <c r="C422" s="641">
        <v>2018</v>
      </c>
      <c r="D422" s="1099"/>
      <c r="E422" s="63">
        <f>D422*'16-PlantAdditions'!$E$103</f>
        <v>0</v>
      </c>
      <c r="F422" s="63">
        <f t="shared" si="89"/>
        <v>0</v>
      </c>
      <c r="G422" s="1099"/>
      <c r="H422" s="1099"/>
      <c r="I422" s="63">
        <f>(G422-H422)*'16-PlantAdditions'!$E$103</f>
        <v>0</v>
      </c>
      <c r="J422" s="63">
        <f t="shared" si="90"/>
        <v>0</v>
      </c>
      <c r="K422" s="63">
        <f t="shared" si="91"/>
        <v>0</v>
      </c>
    </row>
    <row r="423" spans="1:11" s="680" customFormat="1">
      <c r="A423" s="111">
        <f t="shared" si="88"/>
        <v>328</v>
      </c>
      <c r="B423" s="640" t="s">
        <v>181</v>
      </c>
      <c r="C423" s="641">
        <v>2019</v>
      </c>
      <c r="D423" s="1099"/>
      <c r="E423" s="63">
        <f>D423*'16-PlantAdditions'!$E$103</f>
        <v>0</v>
      </c>
      <c r="F423" s="63">
        <f t="shared" si="89"/>
        <v>0</v>
      </c>
      <c r="G423" s="1099"/>
      <c r="H423" s="1099"/>
      <c r="I423" s="63">
        <f>(G423-H423)*'16-PlantAdditions'!$E$103</f>
        <v>0</v>
      </c>
      <c r="J423" s="63">
        <f t="shared" si="90"/>
        <v>0</v>
      </c>
      <c r="K423" s="63">
        <f t="shared" si="91"/>
        <v>0</v>
      </c>
    </row>
    <row r="424" spans="1:11" s="680" customFormat="1">
      <c r="A424" s="111">
        <f t="shared" si="88"/>
        <v>329</v>
      </c>
      <c r="B424" s="643" t="s">
        <v>182</v>
      </c>
      <c r="C424" s="641">
        <v>2019</v>
      </c>
      <c r="D424" s="1099"/>
      <c r="E424" s="63">
        <f>D424*'16-PlantAdditions'!$E$103</f>
        <v>0</v>
      </c>
      <c r="F424" s="63">
        <f t="shared" si="89"/>
        <v>0</v>
      </c>
      <c r="G424" s="1099"/>
      <c r="H424" s="1099"/>
      <c r="I424" s="63">
        <f>(G424-H424)*'16-PlantAdditions'!$E$103</f>
        <v>0</v>
      </c>
      <c r="J424" s="63">
        <f t="shared" si="90"/>
        <v>0</v>
      </c>
      <c r="K424" s="63">
        <f t="shared" si="91"/>
        <v>0</v>
      </c>
    </row>
    <row r="425" spans="1:11" s="680" customFormat="1">
      <c r="A425" s="111">
        <f t="shared" si="88"/>
        <v>330</v>
      </c>
      <c r="B425" s="643" t="s">
        <v>195</v>
      </c>
      <c r="C425" s="641">
        <v>2019</v>
      </c>
      <c r="D425" s="1099"/>
      <c r="E425" s="63">
        <f>D425*'16-PlantAdditions'!$E$103</f>
        <v>0</v>
      </c>
      <c r="F425" s="63">
        <f t="shared" si="89"/>
        <v>0</v>
      </c>
      <c r="G425" s="1099"/>
      <c r="H425" s="1099"/>
      <c r="I425" s="63">
        <f>(G425-H425)*'16-PlantAdditions'!$E$103</f>
        <v>0</v>
      </c>
      <c r="J425" s="63">
        <f t="shared" si="90"/>
        <v>0</v>
      </c>
      <c r="K425" s="63">
        <f t="shared" si="91"/>
        <v>0</v>
      </c>
    </row>
    <row r="426" spans="1:11" s="680" customFormat="1">
      <c r="A426" s="111">
        <f t="shared" si="88"/>
        <v>331</v>
      </c>
      <c r="B426" s="640" t="s">
        <v>183</v>
      </c>
      <c r="C426" s="641">
        <v>2019</v>
      </c>
      <c r="D426" s="1099"/>
      <c r="E426" s="63">
        <f>D426*'16-PlantAdditions'!$E$103</f>
        <v>0</v>
      </c>
      <c r="F426" s="63">
        <f t="shared" si="89"/>
        <v>0</v>
      </c>
      <c r="G426" s="1099"/>
      <c r="H426" s="1099"/>
      <c r="I426" s="63">
        <f>(G426-H426)*'16-PlantAdditions'!$E$103</f>
        <v>0</v>
      </c>
      <c r="J426" s="63">
        <f t="shared" si="90"/>
        <v>0</v>
      </c>
      <c r="K426" s="63">
        <f t="shared" si="91"/>
        <v>0</v>
      </c>
    </row>
    <row r="427" spans="1:11" s="680" customFormat="1">
      <c r="A427" s="111">
        <f t="shared" si="88"/>
        <v>332</v>
      </c>
      <c r="B427" s="643" t="s">
        <v>184</v>
      </c>
      <c r="C427" s="641">
        <v>2019</v>
      </c>
      <c r="D427" s="1099"/>
      <c r="E427" s="63">
        <f>D427*'16-PlantAdditions'!$E$103</f>
        <v>0</v>
      </c>
      <c r="F427" s="63">
        <f t="shared" si="89"/>
        <v>0</v>
      </c>
      <c r="G427" s="1099"/>
      <c r="H427" s="1099"/>
      <c r="I427" s="63">
        <f>(G427-H427)*'16-PlantAdditions'!$E$103</f>
        <v>0</v>
      </c>
      <c r="J427" s="63">
        <f t="shared" si="90"/>
        <v>0</v>
      </c>
      <c r="K427" s="63">
        <f t="shared" si="91"/>
        <v>0</v>
      </c>
    </row>
    <row r="428" spans="1:11" s="680" customFormat="1">
      <c r="A428" s="111">
        <f t="shared" si="88"/>
        <v>333</v>
      </c>
      <c r="B428" s="643" t="s">
        <v>1481</v>
      </c>
      <c r="C428" s="641">
        <v>2019</v>
      </c>
      <c r="D428" s="1099"/>
      <c r="E428" s="63">
        <f>D428*'16-PlantAdditions'!$E$103</f>
        <v>0</v>
      </c>
      <c r="F428" s="63">
        <f t="shared" si="89"/>
        <v>0</v>
      </c>
      <c r="G428" s="1099"/>
      <c r="H428" s="1099"/>
      <c r="I428" s="63">
        <f>(G428-H428)*'16-PlantAdditions'!$E$103</f>
        <v>0</v>
      </c>
      <c r="J428" s="63">
        <f t="shared" si="90"/>
        <v>0</v>
      </c>
      <c r="K428" s="63">
        <f t="shared" si="91"/>
        <v>0</v>
      </c>
    </row>
    <row r="429" spans="1:11" s="680" customFormat="1">
      <c r="A429" s="111">
        <f t="shared" si="88"/>
        <v>334</v>
      </c>
      <c r="B429" s="640" t="s">
        <v>186</v>
      </c>
      <c r="C429" s="641">
        <v>2019</v>
      </c>
      <c r="D429" s="1099"/>
      <c r="E429" s="63">
        <f>D429*'16-PlantAdditions'!$E$103</f>
        <v>0</v>
      </c>
      <c r="F429" s="63">
        <f t="shared" si="89"/>
        <v>0</v>
      </c>
      <c r="G429" s="1099"/>
      <c r="H429" s="1099"/>
      <c r="I429" s="63">
        <f>(G429-H429)*'16-PlantAdditions'!$E$103</f>
        <v>0</v>
      </c>
      <c r="J429" s="63">
        <f t="shared" si="90"/>
        <v>0</v>
      </c>
      <c r="K429" s="63">
        <f t="shared" si="91"/>
        <v>0</v>
      </c>
    </row>
    <row r="430" spans="1:11" s="680" customFormat="1">
      <c r="A430" s="111">
        <f t="shared" si="88"/>
        <v>335</v>
      </c>
      <c r="B430" s="643" t="s">
        <v>187</v>
      </c>
      <c r="C430" s="641">
        <v>2019</v>
      </c>
      <c r="D430" s="1099"/>
      <c r="E430" s="63">
        <f>D430*'16-PlantAdditions'!$E$103</f>
        <v>0</v>
      </c>
      <c r="F430" s="63">
        <f t="shared" si="89"/>
        <v>0</v>
      </c>
      <c r="G430" s="1099"/>
      <c r="H430" s="1099"/>
      <c r="I430" s="63">
        <f>(G430-H430)*'16-PlantAdditions'!$E$103</f>
        <v>0</v>
      </c>
      <c r="J430" s="63">
        <f t="shared" si="90"/>
        <v>0</v>
      </c>
      <c r="K430" s="63">
        <f t="shared" si="91"/>
        <v>0</v>
      </c>
    </row>
    <row r="431" spans="1:11" s="680" customFormat="1">
      <c r="A431" s="111">
        <f t="shared" si="88"/>
        <v>336</v>
      </c>
      <c r="B431" s="643" t="s">
        <v>188</v>
      </c>
      <c r="C431" s="641">
        <v>2019</v>
      </c>
      <c r="D431" s="1099"/>
      <c r="E431" s="63">
        <f>D431*'16-PlantAdditions'!$E$103</f>
        <v>0</v>
      </c>
      <c r="F431" s="63">
        <f t="shared" si="89"/>
        <v>0</v>
      </c>
      <c r="G431" s="1099"/>
      <c r="H431" s="1099"/>
      <c r="I431" s="63">
        <f>(G431-H431)*'16-PlantAdditions'!$E$103</f>
        <v>0</v>
      </c>
      <c r="J431" s="63">
        <f t="shared" si="90"/>
        <v>0</v>
      </c>
      <c r="K431" s="63">
        <f t="shared" si="91"/>
        <v>0</v>
      </c>
    </row>
    <row r="432" spans="1:11" s="680" customFormat="1">
      <c r="A432" s="111">
        <f t="shared" si="88"/>
        <v>337</v>
      </c>
      <c r="B432" s="643" t="s">
        <v>191</v>
      </c>
      <c r="C432" s="641">
        <v>2019</v>
      </c>
      <c r="D432" s="1099"/>
      <c r="E432" s="63">
        <f>D432*'16-PlantAdditions'!$E$103</f>
        <v>0</v>
      </c>
      <c r="F432" s="63">
        <f t="shared" si="89"/>
        <v>0</v>
      </c>
      <c r="G432" s="1099"/>
      <c r="H432" s="1099"/>
      <c r="I432" s="63">
        <f>(G432-H432)*'16-PlantAdditions'!$E$103</f>
        <v>0</v>
      </c>
      <c r="J432" s="63">
        <f t="shared" si="90"/>
        <v>0</v>
      </c>
      <c r="K432" s="63">
        <f t="shared" si="91"/>
        <v>0</v>
      </c>
    </row>
    <row r="433" spans="1:11" s="680" customFormat="1">
      <c r="A433" s="111">
        <f t="shared" si="88"/>
        <v>338</v>
      </c>
      <c r="B433" s="643" t="s">
        <v>190</v>
      </c>
      <c r="C433" s="641">
        <v>2019</v>
      </c>
      <c r="D433" s="1099"/>
      <c r="E433" s="63">
        <f>D433*'16-PlantAdditions'!$E$103</f>
        <v>0</v>
      </c>
      <c r="F433" s="63">
        <f t="shared" si="89"/>
        <v>0</v>
      </c>
      <c r="G433" s="1099"/>
      <c r="H433" s="1099"/>
      <c r="I433" s="63">
        <f>(G433-H433)*'16-PlantAdditions'!$E$103</f>
        <v>0</v>
      </c>
      <c r="J433" s="63">
        <f t="shared" si="90"/>
        <v>0</v>
      </c>
      <c r="K433" s="63">
        <f t="shared" si="91"/>
        <v>0</v>
      </c>
    </row>
    <row r="434" spans="1:11" s="680" customFormat="1">
      <c r="A434" s="111">
        <f t="shared" si="88"/>
        <v>339</v>
      </c>
      <c r="B434" s="643" t="s">
        <v>180</v>
      </c>
      <c r="C434" s="641">
        <v>2019</v>
      </c>
      <c r="D434" s="1099"/>
      <c r="E434" s="63">
        <f>D434*'16-PlantAdditions'!$E$103</f>
        <v>0</v>
      </c>
      <c r="F434" s="63">
        <f t="shared" si="89"/>
        <v>0</v>
      </c>
      <c r="G434" s="1099"/>
      <c r="H434" s="1099"/>
      <c r="I434" s="63">
        <f>(G434-H434)*'16-PlantAdditions'!$E$103</f>
        <v>0</v>
      </c>
      <c r="J434" s="63">
        <f t="shared" si="90"/>
        <v>0</v>
      </c>
      <c r="K434" s="112">
        <f t="shared" si="91"/>
        <v>0</v>
      </c>
    </row>
    <row r="435" spans="1:11" s="680" customFormat="1">
      <c r="A435" s="111">
        <f t="shared" si="88"/>
        <v>340</v>
      </c>
      <c r="B435" s="1075"/>
      <c r="C435" s="679" t="s">
        <v>1633</v>
      </c>
      <c r="H435" s="684"/>
      <c r="I435" s="684"/>
      <c r="K435" s="73">
        <f>AVERAGE(K422:K434)</f>
        <v>0</v>
      </c>
    </row>
    <row r="437" spans="1:11">
      <c r="B437" s="648" t="s">
        <v>232</v>
      </c>
    </row>
    <row r="438" spans="1:11">
      <c r="B438" s="643" t="s">
        <v>2101</v>
      </c>
    </row>
    <row r="439" spans="1:11">
      <c r="B439" s="643" t="s">
        <v>2102</v>
      </c>
    </row>
    <row r="441" spans="1:11">
      <c r="B441" s="1" t="s">
        <v>382</v>
      </c>
    </row>
    <row r="442" spans="1:11">
      <c r="B442" s="483" t="s">
        <v>1002</v>
      </c>
    </row>
    <row r="443" spans="1:11">
      <c r="B443" s="483" t="s">
        <v>2103</v>
      </c>
    </row>
    <row r="444" spans="1:11">
      <c r="B444" s="485" t="s">
        <v>1979</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&amp;RTO2019 Draft Annual Update 
Attachment1</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topLeftCell="A2" zoomScaleNormal="100" workbookViewId="0">
      <selection activeCell="D41" sqref="D41"/>
    </sheetView>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1215</v>
      </c>
      <c r="B1" s="121"/>
      <c r="C1" s="39"/>
      <c r="D1" s="39"/>
      <c r="E1" s="39"/>
      <c r="F1" s="39"/>
    </row>
    <row r="2" spans="1:6">
      <c r="A2" s="123"/>
      <c r="B2" s="14"/>
      <c r="C2" s="124"/>
      <c r="D2" s="124"/>
      <c r="F2" s="43" t="s">
        <v>17</v>
      </c>
    </row>
    <row r="3" spans="1:6">
      <c r="A3" s="123"/>
      <c r="B3" s="15" t="s">
        <v>502</v>
      </c>
      <c r="C3" s="124"/>
      <c r="D3" s="124"/>
      <c r="E3" s="124"/>
    </row>
    <row r="4" spans="1:6">
      <c r="A4" s="123"/>
      <c r="B4" s="15" t="s">
        <v>391</v>
      </c>
      <c r="C4" s="124"/>
      <c r="D4" s="124"/>
      <c r="E4" s="124"/>
    </row>
    <row r="5" spans="1:6">
      <c r="A5" s="123"/>
      <c r="B5" s="15" t="s">
        <v>396</v>
      </c>
      <c r="C5" s="124"/>
      <c r="D5" s="124"/>
      <c r="E5" s="124"/>
    </row>
    <row r="6" spans="1:6">
      <c r="A6" s="123"/>
    </row>
    <row r="7" spans="1:6">
      <c r="A7" s="51" t="s">
        <v>332</v>
      </c>
      <c r="B7" s="14"/>
      <c r="C7" s="124"/>
      <c r="D7" s="3" t="s">
        <v>394</v>
      </c>
      <c r="E7" s="122" t="s">
        <v>393</v>
      </c>
      <c r="F7" s="125" t="s">
        <v>179</v>
      </c>
    </row>
    <row r="8" spans="1:6">
      <c r="A8" s="2">
        <v>1</v>
      </c>
      <c r="B8" s="15" t="s">
        <v>405</v>
      </c>
      <c r="D8" s="6">
        <v>16261841</v>
      </c>
      <c r="E8" s="6">
        <v>15781292</v>
      </c>
      <c r="F8" s="13" t="s">
        <v>1228</v>
      </c>
    </row>
    <row r="9" spans="1:6">
      <c r="A9" s="2"/>
      <c r="B9" s="15"/>
      <c r="D9" s="14"/>
      <c r="E9" s="12"/>
    </row>
    <row r="10" spans="1:6">
      <c r="A10" s="2"/>
      <c r="B10" s="15" t="s">
        <v>399</v>
      </c>
      <c r="D10" s="14"/>
      <c r="E10" s="12"/>
    </row>
    <row r="11" spans="1:6">
      <c r="A11" s="2"/>
      <c r="B11" s="15"/>
      <c r="D11" s="14"/>
      <c r="E11" s="12"/>
    </row>
    <row r="12" spans="1:6">
      <c r="A12" s="2"/>
      <c r="B12" s="84" t="s">
        <v>363</v>
      </c>
      <c r="C12" s="84" t="s">
        <v>347</v>
      </c>
      <c r="D12" s="84" t="s">
        <v>348</v>
      </c>
      <c r="E12" s="84" t="s">
        <v>349</v>
      </c>
      <c r="F12" s="84" t="s">
        <v>350</v>
      </c>
    </row>
    <row r="13" spans="1:6">
      <c r="A13" s="2"/>
      <c r="B13" s="15"/>
      <c r="C13" s="2" t="s">
        <v>402</v>
      </c>
      <c r="D13" s="14"/>
      <c r="E13" s="12"/>
    </row>
    <row r="14" spans="1:6">
      <c r="A14" s="2"/>
      <c r="B14" s="51" t="s">
        <v>100</v>
      </c>
      <c r="C14" s="3" t="s">
        <v>401</v>
      </c>
      <c r="D14" s="3" t="s">
        <v>394</v>
      </c>
      <c r="E14" s="122" t="s">
        <v>393</v>
      </c>
      <c r="F14" s="122" t="s">
        <v>179</v>
      </c>
    </row>
    <row r="15" spans="1:6">
      <c r="A15" s="2" t="s">
        <v>516</v>
      </c>
      <c r="B15" s="1081" t="s">
        <v>2733</v>
      </c>
      <c r="C15" s="97" t="s">
        <v>2734</v>
      </c>
      <c r="D15" s="6">
        <v>9942155</v>
      </c>
      <c r="E15" s="6">
        <v>9942155</v>
      </c>
      <c r="F15" s="97" t="s">
        <v>2735</v>
      </c>
    </row>
    <row r="16" spans="1:6">
      <c r="A16" s="2" t="s">
        <v>517</v>
      </c>
      <c r="B16" s="116"/>
      <c r="C16" s="97"/>
      <c r="D16" s="6"/>
      <c r="E16" s="6"/>
      <c r="F16" s="97"/>
    </row>
    <row r="17" spans="1:6">
      <c r="A17" s="2" t="s">
        <v>518</v>
      </c>
      <c r="B17" s="116"/>
      <c r="C17" s="97"/>
      <c r="D17" s="6"/>
      <c r="E17" s="6"/>
      <c r="F17" s="97"/>
    </row>
    <row r="18" spans="1:6">
      <c r="A18" s="2" t="s">
        <v>519</v>
      </c>
      <c r="B18" s="116"/>
      <c r="C18" s="97"/>
      <c r="D18" s="6"/>
      <c r="E18" s="6"/>
      <c r="F18" s="97"/>
    </row>
    <row r="19" spans="1:6">
      <c r="A19" s="2" t="s">
        <v>520</v>
      </c>
      <c r="B19" s="116"/>
      <c r="C19" s="97"/>
      <c r="D19" s="6"/>
      <c r="E19" s="6"/>
      <c r="F19" s="97"/>
    </row>
    <row r="20" spans="1:6">
      <c r="A20" s="2" t="s">
        <v>521</v>
      </c>
      <c r="B20" s="116"/>
      <c r="C20" s="97"/>
      <c r="D20" s="6"/>
      <c r="E20" s="6"/>
      <c r="F20" s="97"/>
    </row>
    <row r="21" spans="1:6">
      <c r="A21" s="2" t="s">
        <v>522</v>
      </c>
      <c r="B21" s="116"/>
      <c r="C21" s="97"/>
      <c r="D21" s="6"/>
      <c r="E21" s="6"/>
      <c r="F21" s="97"/>
    </row>
    <row r="22" spans="1:6">
      <c r="A22" s="2" t="s">
        <v>523</v>
      </c>
      <c r="B22" s="116"/>
      <c r="C22" s="97"/>
      <c r="D22" s="6"/>
      <c r="E22" s="6"/>
      <c r="F22" s="97"/>
    </row>
    <row r="23" spans="1:6">
      <c r="A23" s="189"/>
      <c r="B23" s="402" t="s">
        <v>513</v>
      </c>
      <c r="C23" s="97"/>
      <c r="D23" s="403"/>
      <c r="E23" s="403"/>
      <c r="F23" s="97"/>
    </row>
    <row r="24" spans="1:6">
      <c r="A24" s="2">
        <v>3</v>
      </c>
      <c r="C24" s="12" t="s">
        <v>4</v>
      </c>
      <c r="D24" s="7">
        <f>SUM(D15:D22)</f>
        <v>9942155</v>
      </c>
      <c r="E24" s="7">
        <f>SUM(E15:E22)</f>
        <v>9942155</v>
      </c>
      <c r="F24" s="13" t="s">
        <v>525</v>
      </c>
    </row>
    <row r="25" spans="1:6">
      <c r="C25" s="12"/>
    </row>
    <row r="26" spans="1:6">
      <c r="C26" s="12"/>
      <c r="D26" s="3" t="s">
        <v>394</v>
      </c>
      <c r="E26" s="122" t="s">
        <v>393</v>
      </c>
      <c r="F26" s="125" t="s">
        <v>179</v>
      </c>
    </row>
    <row r="27" spans="1:6">
      <c r="A27" s="2">
        <v>4</v>
      </c>
      <c r="B27" s="12" t="s">
        <v>395</v>
      </c>
      <c r="C27" s="12"/>
      <c r="D27" s="6">
        <v>0</v>
      </c>
      <c r="E27" s="6">
        <v>0</v>
      </c>
      <c r="F27" s="46" t="s">
        <v>392</v>
      </c>
    </row>
    <row r="28" spans="1:6">
      <c r="A28" s="2">
        <v>5</v>
      </c>
      <c r="B28" s="12" t="s">
        <v>305</v>
      </c>
      <c r="D28" s="126">
        <f>'27-Allocators'!G14</f>
        <v>6.0143362776597958E-2</v>
      </c>
      <c r="E28" s="126">
        <f>'27-Allocators'!G14</f>
        <v>6.0143362776597958E-2</v>
      </c>
      <c r="F28" s="46" t="str">
        <f>"27-Allocators, L "&amp;'27-Allocators'!A14&amp;""</f>
        <v>27-Allocators, L 9</v>
      </c>
    </row>
    <row r="29" spans="1:6">
      <c r="A29" s="2">
        <v>6</v>
      </c>
      <c r="B29" s="12" t="s">
        <v>403</v>
      </c>
      <c r="C29" s="12"/>
      <c r="D29" s="63">
        <f>D27*D28</f>
        <v>0</v>
      </c>
      <c r="E29" s="63">
        <f>E27*E28</f>
        <v>0</v>
      </c>
      <c r="F29" s="13" t="str">
        <f>"L "&amp;A27&amp;" * L "&amp;A28&amp;""</f>
        <v>L 4 * L 5</v>
      </c>
    </row>
    <row r="30" spans="1:6">
      <c r="C30" s="12"/>
    </row>
    <row r="31" spans="1:6">
      <c r="B31" s="12" t="s">
        <v>400</v>
      </c>
    </row>
    <row r="32" spans="1:6">
      <c r="C32" s="32"/>
      <c r="D32" s="33"/>
      <c r="E32" s="35"/>
    </row>
    <row r="33" spans="1:6">
      <c r="D33" s="3" t="s">
        <v>394</v>
      </c>
      <c r="E33" s="122" t="s">
        <v>393</v>
      </c>
      <c r="F33" s="125" t="s">
        <v>179</v>
      </c>
    </row>
    <row r="34" spans="1:6">
      <c r="A34" s="2">
        <v>7</v>
      </c>
      <c r="C34" s="12"/>
      <c r="D34" s="6">
        <v>6319686</v>
      </c>
      <c r="E34" s="6">
        <v>5839137</v>
      </c>
      <c r="F34" s="13" t="s">
        <v>364</v>
      </c>
    </row>
    <row r="37" spans="1:6">
      <c r="B37" s="12" t="s">
        <v>404</v>
      </c>
      <c r="D37" s="3" t="s">
        <v>394</v>
      </c>
      <c r="E37" s="122" t="s">
        <v>393</v>
      </c>
      <c r="F37" s="125" t="s">
        <v>179</v>
      </c>
    </row>
    <row r="38" spans="1:6">
      <c r="A38" s="2">
        <v>8</v>
      </c>
      <c r="D38" s="101">
        <f>D24+D29</f>
        <v>9942155</v>
      </c>
      <c r="E38" s="101">
        <f>E24+E29</f>
        <v>9942155</v>
      </c>
      <c r="F38" s="13" t="str">
        <f>"L "&amp;A24&amp;" + L "&amp;A29&amp;""</f>
        <v>L 3 + L 6</v>
      </c>
    </row>
    <row r="39" spans="1:6">
      <c r="A39" s="2"/>
      <c r="D39" s="101"/>
      <c r="E39" s="101"/>
      <c r="F39" s="13"/>
    </row>
    <row r="40" spans="1:6">
      <c r="B40" t="s">
        <v>406</v>
      </c>
    </row>
    <row r="41" spans="1:6">
      <c r="A41" s="2">
        <v>9</v>
      </c>
      <c r="B41" s="12" t="s">
        <v>404</v>
      </c>
      <c r="D41" s="47">
        <f>(D38+E38)/2</f>
        <v>9942155</v>
      </c>
      <c r="E41" s="101"/>
      <c r="F41" s="13" t="str">
        <f>"Sum of Line "&amp;A38&amp;" / 2"</f>
        <v>Sum of Line 8 / 2</v>
      </c>
    </row>
    <row r="42" spans="1:6">
      <c r="B42" s="12"/>
    </row>
    <row r="43" spans="1:6">
      <c r="B43" s="1" t="s">
        <v>504</v>
      </c>
      <c r="C43" s="12"/>
    </row>
    <row r="44" spans="1:6">
      <c r="C44" s="12"/>
    </row>
    <row r="45" spans="1:6">
      <c r="A45" s="2"/>
      <c r="F45" s="125" t="s">
        <v>179</v>
      </c>
    </row>
    <row r="46" spans="1:6">
      <c r="A46" s="2">
        <v>10</v>
      </c>
      <c r="B46" s="12" t="s">
        <v>503</v>
      </c>
      <c r="E46" s="1092">
        <v>0</v>
      </c>
      <c r="F46" s="13" t="s">
        <v>33</v>
      </c>
    </row>
    <row r="49" spans="2:2">
      <c r="B49" s="1" t="s">
        <v>382</v>
      </c>
    </row>
    <row r="50" spans="2:2">
      <c r="B50" s="12" t="s">
        <v>397</v>
      </c>
    </row>
    <row r="51" spans="2:2">
      <c r="B51" s="12" t="s">
        <v>1219</v>
      </c>
    </row>
    <row r="52" spans="2:2">
      <c r="B52" s="12" t="s">
        <v>1220</v>
      </c>
    </row>
    <row r="53" spans="2:2">
      <c r="B53" s="12" t="s">
        <v>524</v>
      </c>
    </row>
    <row r="54" spans="2:2">
      <c r="B54" s="12" t="str">
        <f>"2) For any Electric Plant Held for Future Use classified as General note amount on Line "&amp;A27&amp;"."</f>
        <v>2) For any Electric Plant Held for Future Use classified as General note amount on Line 4.</v>
      </c>
    </row>
    <row r="55" spans="2:2">
      <c r="B55" s="12" t="s">
        <v>1221</v>
      </c>
    </row>
    <row r="56" spans="2:2">
      <c r="B56" s="12" t="s">
        <v>398</v>
      </c>
    </row>
    <row r="57" spans="2:2">
      <c r="B57" s="483" t="s">
        <v>1672</v>
      </c>
    </row>
    <row r="58" spans="2:2">
      <c r="B58" s="12" t="s">
        <v>1218</v>
      </c>
    </row>
    <row r="59" spans="2:2">
      <c r="B59" s="12"/>
    </row>
    <row r="60" spans="2:2">
      <c r="B60" s="1" t="s">
        <v>232</v>
      </c>
    </row>
    <row r="61" spans="2:2">
      <c r="B61" s="12" t="s">
        <v>1229</v>
      </c>
    </row>
  </sheetData>
  <pageMargins left="0.7" right="0.7" top="0.75" bottom="0.75" header="0.3" footer="0.3"/>
  <pageSetup scale="80" orientation="portrait" cellComments="asDisplayed" r:id="rId1"/>
  <headerFooter>
    <oddHeader>&amp;CSchedule 11
Plant Held for Future Use
&amp;RTO2019 Draft Annual Update 
Attachment1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election activeCell="G24" sqref="G24"/>
    </sheetView>
  </sheetViews>
  <sheetFormatPr defaultRowHeight="12.75"/>
  <cols>
    <col min="1" max="1" width="4.7109375" customWidth="1"/>
    <col min="2" max="2" width="5.7109375" customWidth="1"/>
    <col min="3" max="10" width="12.7109375" customWidth="1"/>
    <col min="12" max="12" width="9.140625" style="14"/>
  </cols>
  <sheetData>
    <row r="1" spans="1:10">
      <c r="A1" s="1" t="s">
        <v>293</v>
      </c>
    </row>
    <row r="2" spans="1:10">
      <c r="I2" s="535" t="s">
        <v>248</v>
      </c>
      <c r="J2" s="535"/>
    </row>
    <row r="3" spans="1:10">
      <c r="B3" t="s">
        <v>318</v>
      </c>
    </row>
    <row r="5" spans="1:10">
      <c r="B5" t="s">
        <v>313</v>
      </c>
    </row>
    <row r="6" spans="1:10">
      <c r="B6" t="s">
        <v>319</v>
      </c>
    </row>
    <row r="7" spans="1:10">
      <c r="F7" s="75" t="s">
        <v>226</v>
      </c>
      <c r="H7" s="75" t="s">
        <v>1836</v>
      </c>
    </row>
    <row r="8" spans="1:10">
      <c r="B8" s="14" t="s">
        <v>1835</v>
      </c>
      <c r="C8" s="14"/>
      <c r="D8" s="14"/>
      <c r="E8" s="14"/>
      <c r="F8" s="1081"/>
      <c r="G8" s="97"/>
      <c r="H8" s="1081"/>
      <c r="I8" s="97"/>
      <c r="J8" s="97"/>
    </row>
    <row r="9" spans="1:10">
      <c r="B9" s="14"/>
      <c r="C9" s="14"/>
      <c r="D9" s="14"/>
      <c r="E9" s="14"/>
      <c r="F9" s="1081"/>
      <c r="G9" s="97"/>
      <c r="H9" s="97"/>
      <c r="I9" s="97"/>
      <c r="J9" s="97"/>
    </row>
    <row r="10" spans="1:10">
      <c r="B10" s="14"/>
      <c r="C10" s="14"/>
      <c r="D10" s="14"/>
      <c r="E10" s="14"/>
      <c r="F10" s="968" t="s">
        <v>513</v>
      </c>
      <c r="G10" s="14"/>
      <c r="H10" s="968" t="s">
        <v>513</v>
      </c>
      <c r="I10" s="14"/>
    </row>
    <row r="12" spans="1:10">
      <c r="B12" s="483" t="s">
        <v>380</v>
      </c>
    </row>
    <row r="13" spans="1:10">
      <c r="B13" s="483"/>
    </row>
    <row r="14" spans="1:10">
      <c r="B14" s="483" t="s">
        <v>378</v>
      </c>
    </row>
    <row r="15" spans="1:10">
      <c r="B15" s="483" t="s">
        <v>379</v>
      </c>
    </row>
    <row r="16" spans="1:10">
      <c r="B16" s="483"/>
      <c r="G16" s="580" t="s">
        <v>381</v>
      </c>
    </row>
    <row r="17" spans="1:12">
      <c r="A17" s="51" t="s">
        <v>332</v>
      </c>
      <c r="G17" s="3" t="s">
        <v>63</v>
      </c>
      <c r="I17" s="51" t="s">
        <v>238</v>
      </c>
    </row>
    <row r="18" spans="1:12">
      <c r="A18" s="580">
        <v>1</v>
      </c>
      <c r="F18" s="37" t="s">
        <v>314</v>
      </c>
      <c r="G18" s="63">
        <f>SUM(IF(B31='1-BaseTRR'!$K$4,E31+I31,0),IF(B32='1-BaseTRR'!$K$4,E32+I32,0),IF(B33='1-BaseTRR'!$K$4,E33+I33,0),IF(B34='1-BaseTRR'!$K$4,E34+I34,0),IF(B35='1-BaseTRR'!$K$4,E35+I35,0),IF(B36='1-BaseTRR'!$K$4,E36+I36,0),IF(B37='1-BaseTRR'!$K$4,E37+I37,0),IF(B38='1-BaseTRR'!$K$4,E38+I38,0),IF(B39='1-BaseTRR'!$K$4,E39+I39,0),IF(B40='1-BaseTRR'!$K$4,E40+I40,0),IF(B41='1-BaseTRR'!$K$4,E41+I41,0))</f>
        <v>0</v>
      </c>
      <c r="I18" s="483" t="s">
        <v>390</v>
      </c>
    </row>
    <row r="19" spans="1:12">
      <c r="A19" s="580">
        <v>2</v>
      </c>
      <c r="F19" s="481" t="s">
        <v>384</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83" t="s">
        <v>390</v>
      </c>
    </row>
    <row r="20" spans="1:12">
      <c r="A20" s="580">
        <v>3</v>
      </c>
      <c r="F20" s="37" t="s">
        <v>316</v>
      </c>
      <c r="G20" s="63">
        <f>SUM(IF(B31='1-BaseTRR'!$K$4,C31+G31,0),IF(B32='1-BaseTRR'!$K$4,C32+G32,0),IF(B33='1-BaseTRR'!$K$4,C33+G33,0),IF(B34='1-BaseTRR'!$K$4,C34+G34,0),IF(B35='1-BaseTRR'!$K$4,C35+G35,0),IF(B36='1-BaseTRR'!$K$4,C36+G36,0),IF(B37='1-BaseTRR'!$K$4,C37+G37,0),IF(B38='1-BaseTRR'!$K$4,C38+G38,0),IF(B39='1-BaseTRR'!$K$4,C39+G39,0),IF(B40='1-BaseTRR'!$K$4,C40+G40,0),IF(B41='1-BaseTRR'!$K$4,C41+G41,0))</f>
        <v>0</v>
      </c>
      <c r="I20" s="483" t="s">
        <v>390</v>
      </c>
    </row>
    <row r="21" spans="1:12">
      <c r="A21" s="580">
        <v>4</v>
      </c>
      <c r="F21" s="37" t="s">
        <v>317</v>
      </c>
      <c r="G21" s="63">
        <f>(G19+G20)/2</f>
        <v>0</v>
      </c>
      <c r="I21" s="483" t="str">
        <f>"Average of Lines "&amp;A19&amp;" and "&amp;A20&amp;"."</f>
        <v>Average of Lines 2 and 3.</v>
      </c>
    </row>
    <row r="22" spans="1:12" s="1075" customFormat="1">
      <c r="A22" s="580">
        <v>5</v>
      </c>
      <c r="E22" s="485"/>
      <c r="F22" s="941" t="s">
        <v>2368</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85"/>
      <c r="I22" s="485" t="s">
        <v>390</v>
      </c>
      <c r="J22" s="485"/>
      <c r="L22" s="14"/>
    </row>
    <row r="23" spans="1:12">
      <c r="I23" s="483"/>
    </row>
    <row r="25" spans="1:12">
      <c r="A25" s="580">
        <v>6</v>
      </c>
      <c r="C25" s="1" t="s">
        <v>511</v>
      </c>
      <c r="D25" s="1081" t="s">
        <v>512</v>
      </c>
      <c r="G25" s="152" t="s">
        <v>514</v>
      </c>
      <c r="H25" s="493" t="s">
        <v>512</v>
      </c>
      <c r="I25" s="582"/>
      <c r="J25" s="485"/>
    </row>
    <row r="26" spans="1:12">
      <c r="A26" s="580"/>
      <c r="C26" s="1"/>
      <c r="D26" s="485"/>
      <c r="E26" s="14"/>
      <c r="G26" s="582"/>
      <c r="H26" s="485"/>
      <c r="I26" s="582"/>
      <c r="J26" s="485"/>
    </row>
    <row r="27" spans="1:12">
      <c r="D27" s="111" t="s">
        <v>1707</v>
      </c>
      <c r="E27" s="111" t="s">
        <v>375</v>
      </c>
      <c r="F27" s="14"/>
      <c r="G27" s="14"/>
      <c r="H27" s="111" t="s">
        <v>1707</v>
      </c>
      <c r="I27" s="580" t="s">
        <v>375</v>
      </c>
      <c r="J27" s="111"/>
    </row>
    <row r="28" spans="1:12">
      <c r="C28" s="580" t="s">
        <v>302</v>
      </c>
      <c r="D28" s="111" t="s">
        <v>375</v>
      </c>
      <c r="E28" s="111" t="s">
        <v>376</v>
      </c>
      <c r="F28" s="14"/>
      <c r="G28" s="111" t="s">
        <v>302</v>
      </c>
      <c r="H28" s="111" t="s">
        <v>375</v>
      </c>
      <c r="I28" s="580" t="s">
        <v>376</v>
      </c>
      <c r="J28" s="111"/>
    </row>
    <row r="29" spans="1:12">
      <c r="C29" s="580" t="s">
        <v>375</v>
      </c>
      <c r="D29" s="111" t="s">
        <v>376</v>
      </c>
      <c r="E29" s="111" t="s">
        <v>377</v>
      </c>
      <c r="F29" s="14"/>
      <c r="G29" s="111" t="s">
        <v>375</v>
      </c>
      <c r="H29" s="111" t="s">
        <v>376</v>
      </c>
      <c r="I29" s="580" t="s">
        <v>377</v>
      </c>
      <c r="J29" s="111"/>
    </row>
    <row r="30" spans="1:12">
      <c r="A30" s="580"/>
      <c r="B30" s="3" t="s">
        <v>193</v>
      </c>
      <c r="C30" s="3" t="s">
        <v>376</v>
      </c>
      <c r="D30" s="125" t="s">
        <v>1708</v>
      </c>
      <c r="E30" s="125" t="s">
        <v>326</v>
      </c>
      <c r="F30" s="14"/>
      <c r="G30" s="125" t="s">
        <v>376</v>
      </c>
      <c r="H30" s="125" t="s">
        <v>1708</v>
      </c>
      <c r="I30" s="3" t="s">
        <v>326</v>
      </c>
      <c r="J30" s="125"/>
    </row>
    <row r="31" spans="1:12">
      <c r="A31" s="580">
        <v>7</v>
      </c>
      <c r="B31">
        <v>2015</v>
      </c>
      <c r="C31" s="1185"/>
      <c r="D31" s="1185"/>
      <c r="E31" s="1185"/>
      <c r="G31" s="97"/>
      <c r="H31" s="97"/>
      <c r="I31" s="97"/>
      <c r="J31" s="14"/>
    </row>
    <row r="32" spans="1:12">
      <c r="A32" s="580">
        <v>8</v>
      </c>
      <c r="B32">
        <v>2016</v>
      </c>
      <c r="C32" s="1185"/>
      <c r="D32" s="1185"/>
      <c r="E32" s="1185"/>
      <c r="G32" s="97"/>
      <c r="H32" s="97"/>
      <c r="I32" s="97"/>
      <c r="J32" s="14"/>
    </row>
    <row r="33" spans="1:10">
      <c r="A33" s="580">
        <v>9</v>
      </c>
      <c r="B33">
        <v>2017</v>
      </c>
      <c r="C33" s="97"/>
      <c r="D33" s="97"/>
      <c r="E33" s="97"/>
      <c r="G33" s="97"/>
      <c r="H33" s="97"/>
      <c r="I33" s="97"/>
      <c r="J33" s="14"/>
    </row>
    <row r="34" spans="1:10">
      <c r="A34" s="580">
        <v>10</v>
      </c>
      <c r="B34">
        <v>2018</v>
      </c>
      <c r="C34" s="97"/>
      <c r="D34" s="97"/>
      <c r="E34" s="97"/>
      <c r="G34" s="97"/>
      <c r="H34" s="97"/>
      <c r="I34" s="97"/>
      <c r="J34" s="14"/>
    </row>
    <row r="35" spans="1:10">
      <c r="A35" s="580">
        <v>11</v>
      </c>
      <c r="B35">
        <v>2019</v>
      </c>
      <c r="C35" s="97"/>
      <c r="D35" s="97"/>
      <c r="E35" s="97"/>
      <c r="G35" s="97"/>
      <c r="H35" s="97"/>
      <c r="I35" s="97"/>
      <c r="J35" s="14"/>
    </row>
    <row r="36" spans="1:10">
      <c r="A36" s="580">
        <v>12</v>
      </c>
      <c r="B36">
        <v>2020</v>
      </c>
      <c r="C36" s="97"/>
      <c r="D36" s="97"/>
      <c r="E36" s="97"/>
      <c r="G36" s="97"/>
      <c r="H36" s="97"/>
      <c r="I36" s="97"/>
      <c r="J36" s="14"/>
    </row>
    <row r="37" spans="1:10">
      <c r="A37" s="580">
        <v>13</v>
      </c>
      <c r="B37">
        <v>2021</v>
      </c>
      <c r="C37" s="97"/>
      <c r="D37" s="97"/>
      <c r="E37" s="97"/>
      <c r="G37" s="97"/>
      <c r="H37" s="97"/>
      <c r="I37" s="97"/>
      <c r="J37" s="14"/>
    </row>
    <row r="38" spans="1:10">
      <c r="A38" s="580">
        <v>14</v>
      </c>
      <c r="B38">
        <v>2022</v>
      </c>
      <c r="C38" s="97"/>
      <c r="D38" s="97"/>
      <c r="E38" s="97"/>
      <c r="G38" s="97"/>
      <c r="H38" s="97"/>
      <c r="I38" s="97"/>
      <c r="J38" s="14"/>
    </row>
    <row r="39" spans="1:10">
      <c r="A39" s="580">
        <v>15</v>
      </c>
      <c r="B39">
        <v>2023</v>
      </c>
      <c r="C39" s="97"/>
      <c r="D39" s="97"/>
      <c r="E39" s="97"/>
      <c r="G39" s="97"/>
      <c r="H39" s="97"/>
      <c r="I39" s="97"/>
      <c r="J39" s="14"/>
    </row>
    <row r="40" spans="1:10">
      <c r="A40" s="580">
        <v>16</v>
      </c>
      <c r="B40">
        <v>2024</v>
      </c>
      <c r="C40" s="97"/>
      <c r="D40" s="97"/>
      <c r="E40" s="97"/>
      <c r="G40" s="97"/>
      <c r="H40" s="97"/>
      <c r="I40" s="97"/>
      <c r="J40" s="14"/>
    </row>
    <row r="41" spans="1:10">
      <c r="A41" s="580">
        <v>17</v>
      </c>
      <c r="B41">
        <v>2025</v>
      </c>
      <c r="C41" s="97"/>
      <c r="D41" s="97"/>
      <c r="E41" s="97"/>
      <c r="G41" s="97"/>
      <c r="H41" s="97"/>
      <c r="I41" s="97"/>
      <c r="J41" s="14"/>
    </row>
    <row r="42" spans="1:10">
      <c r="A42" s="580">
        <v>18</v>
      </c>
      <c r="B42" s="583" t="s">
        <v>513</v>
      </c>
    </row>
    <row r="43" spans="1:10">
      <c r="A43" s="580"/>
      <c r="B43" s="583"/>
    </row>
    <row r="44" spans="1:10">
      <c r="A44" s="580"/>
      <c r="B44" s="44" t="s">
        <v>232</v>
      </c>
      <c r="C44" s="14"/>
      <c r="D44" s="14"/>
      <c r="E44" s="14"/>
      <c r="F44" s="14"/>
      <c r="G44" s="14"/>
      <c r="H44" s="14"/>
      <c r="I44" s="14"/>
      <c r="J44" s="14"/>
    </row>
    <row r="45" spans="1:10">
      <c r="A45" s="580"/>
      <c r="B45" s="485" t="s">
        <v>1709</v>
      </c>
      <c r="C45" s="14"/>
      <c r="D45" s="14"/>
      <c r="E45" s="14"/>
      <c r="F45" s="14"/>
      <c r="G45" s="14"/>
      <c r="H45" s="14"/>
      <c r="I45" s="14"/>
      <c r="J45" s="14"/>
    </row>
    <row r="46" spans="1:10">
      <c r="A46" s="580"/>
      <c r="B46" s="14"/>
      <c r="C46" s="14"/>
      <c r="D46" s="14"/>
      <c r="E46" s="14"/>
      <c r="F46" s="14"/>
      <c r="G46" s="14"/>
      <c r="H46" s="14"/>
      <c r="I46" s="14"/>
      <c r="J46" s="14"/>
    </row>
    <row r="47" spans="1:10">
      <c r="A47" s="580"/>
      <c r="B47" s="44" t="s">
        <v>382</v>
      </c>
      <c r="C47" s="14"/>
      <c r="D47" s="14"/>
      <c r="E47" s="14"/>
      <c r="F47" s="14"/>
      <c r="G47" s="14"/>
      <c r="H47" s="14"/>
      <c r="I47" s="14"/>
      <c r="J47" s="14"/>
    </row>
    <row r="48" spans="1:10">
      <c r="A48" s="580"/>
      <c r="B48" s="485" t="s">
        <v>383</v>
      </c>
      <c r="C48" s="14"/>
      <c r="D48" s="14"/>
      <c r="E48" s="14"/>
      <c r="F48" s="14"/>
      <c r="G48" s="14"/>
      <c r="H48" s="14"/>
      <c r="I48" s="14"/>
      <c r="J48" s="14"/>
    </row>
    <row r="49" spans="1:10">
      <c r="A49" s="580"/>
      <c r="B49" s="482" t="s">
        <v>1710</v>
      </c>
      <c r="C49" s="14"/>
      <c r="D49" s="14"/>
      <c r="E49" s="14"/>
      <c r="F49" s="14"/>
      <c r="G49" s="14"/>
      <c r="H49" s="14"/>
      <c r="I49" s="14"/>
      <c r="J49" s="14"/>
    </row>
    <row r="50" spans="1:10">
      <c r="A50" s="580"/>
      <c r="B50" s="482" t="s">
        <v>1711</v>
      </c>
      <c r="C50" s="14"/>
      <c r="D50" s="14"/>
      <c r="E50" s="14"/>
      <c r="F50" s="14"/>
      <c r="G50" s="14"/>
      <c r="H50" s="14"/>
      <c r="I50" s="14"/>
      <c r="J50" s="14"/>
    </row>
    <row r="51" spans="1:10">
      <c r="A51" s="580"/>
      <c r="B51" s="482" t="s">
        <v>388</v>
      </c>
      <c r="C51" s="14"/>
      <c r="D51" s="14"/>
      <c r="E51" s="14"/>
      <c r="F51" s="14"/>
      <c r="G51" s="14"/>
      <c r="H51" s="14"/>
      <c r="I51" s="14"/>
      <c r="J51" s="14"/>
    </row>
    <row r="52" spans="1:10">
      <c r="A52" s="580"/>
      <c r="B52" s="482" t="s">
        <v>389</v>
      </c>
      <c r="C52" s="14"/>
      <c r="D52" s="14"/>
      <c r="E52" s="14"/>
      <c r="F52" s="14"/>
      <c r="G52" s="14"/>
      <c r="H52" s="14"/>
      <c r="I52" s="14"/>
      <c r="J52" s="14"/>
    </row>
    <row r="53" spans="1:10">
      <c r="B53" s="482" t="s">
        <v>386</v>
      </c>
      <c r="C53" s="14"/>
      <c r="D53" s="14"/>
      <c r="E53" s="14"/>
      <c r="F53" s="14"/>
      <c r="G53" s="14"/>
      <c r="H53" s="14"/>
      <c r="I53" s="14"/>
      <c r="J53" s="14"/>
    </row>
    <row r="54" spans="1:10">
      <c r="B54" s="948" t="s">
        <v>515</v>
      </c>
      <c r="C54" s="14"/>
      <c r="D54" s="14"/>
      <c r="E54" s="14"/>
      <c r="F54" s="14"/>
      <c r="G54" s="14"/>
      <c r="H54" s="14"/>
      <c r="I54" s="14"/>
      <c r="J54" s="14"/>
    </row>
    <row r="55" spans="1:10">
      <c r="B55" s="485" t="s">
        <v>387</v>
      </c>
      <c r="C55" s="14"/>
      <c r="D55" s="14"/>
      <c r="E55" s="14"/>
      <c r="F55" s="14"/>
      <c r="G55" s="14"/>
      <c r="H55" s="14"/>
      <c r="I55" s="14"/>
      <c r="J55" s="14"/>
    </row>
    <row r="56" spans="1:10">
      <c r="B56" s="485" t="s">
        <v>2367</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&amp;RTO2019 Draft Annual Update 
Attachment1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3" t="s">
        <v>17</v>
      </c>
    </row>
    <row r="3" spans="1:7">
      <c r="B3" s="1" t="s">
        <v>159</v>
      </c>
    </row>
    <row r="4" spans="1:7">
      <c r="C4" s="12" t="s">
        <v>559</v>
      </c>
      <c r="E4" s="18"/>
      <c r="F4" s="28"/>
      <c r="G4" s="27"/>
    </row>
    <row r="5" spans="1:7">
      <c r="C5" s="12" t="s">
        <v>560</v>
      </c>
      <c r="E5" s="18"/>
      <c r="F5" s="28"/>
      <c r="G5" s="27"/>
    </row>
    <row r="6" spans="1:7">
      <c r="E6" s="18"/>
      <c r="F6" s="74"/>
      <c r="G6" s="27"/>
    </row>
    <row r="7" spans="1:7">
      <c r="C7" s="21"/>
      <c r="D7" s="17"/>
      <c r="E7" s="26" t="s">
        <v>194</v>
      </c>
      <c r="F7" s="26" t="s">
        <v>1695</v>
      </c>
      <c r="G7" s="26"/>
    </row>
    <row r="8" spans="1:7">
      <c r="A8" s="53" t="s">
        <v>322</v>
      </c>
      <c r="C8" s="25" t="s">
        <v>192</v>
      </c>
      <c r="D8" s="25" t="s">
        <v>193</v>
      </c>
      <c r="E8" s="25" t="s">
        <v>179</v>
      </c>
      <c r="F8" s="31" t="s">
        <v>1694</v>
      </c>
      <c r="G8" s="29" t="s">
        <v>168</v>
      </c>
    </row>
    <row r="9" spans="1:7">
      <c r="A9" s="2">
        <v>1</v>
      </c>
      <c r="C9" s="19" t="s">
        <v>180</v>
      </c>
      <c r="D9" s="148">
        <v>2016</v>
      </c>
      <c r="E9" s="30" t="s">
        <v>558</v>
      </c>
      <c r="F9" s="1198">
        <v>237798844</v>
      </c>
      <c r="G9" s="30" t="s">
        <v>85</v>
      </c>
    </row>
    <row r="10" spans="1:7">
      <c r="A10" s="111">
        <f>A9+1</f>
        <v>2</v>
      </c>
      <c r="B10" s="14"/>
      <c r="C10" s="896" t="s">
        <v>181</v>
      </c>
      <c r="D10" s="148">
        <v>2017</v>
      </c>
      <c r="E10" s="521" t="s">
        <v>33</v>
      </c>
      <c r="F10" s="1099">
        <v>236701406.31</v>
      </c>
      <c r="G10" s="30"/>
    </row>
    <row r="11" spans="1:7">
      <c r="A11" s="111">
        <f t="shared" ref="A11:A21" si="0">A10+1</f>
        <v>3</v>
      </c>
      <c r="B11" s="14"/>
      <c r="C11" s="896" t="s">
        <v>182</v>
      </c>
      <c r="D11" s="148">
        <v>2017</v>
      </c>
      <c r="E11" s="521" t="s">
        <v>33</v>
      </c>
      <c r="F11" s="1099">
        <v>235215053.5</v>
      </c>
      <c r="G11" s="30"/>
    </row>
    <row r="12" spans="1:7">
      <c r="A12" s="111">
        <f t="shared" si="0"/>
        <v>4</v>
      </c>
      <c r="B12" s="14"/>
      <c r="C12" s="896" t="s">
        <v>195</v>
      </c>
      <c r="D12" s="148">
        <v>2017</v>
      </c>
      <c r="E12" s="521" t="s">
        <v>33</v>
      </c>
      <c r="F12" s="1099">
        <v>234227485.83000001</v>
      </c>
      <c r="G12" s="30"/>
    </row>
    <row r="13" spans="1:7">
      <c r="A13" s="111">
        <f t="shared" si="0"/>
        <v>5</v>
      </c>
      <c r="B13" s="14"/>
      <c r="C13" s="896" t="s">
        <v>183</v>
      </c>
      <c r="D13" s="148">
        <v>2017</v>
      </c>
      <c r="E13" s="521" t="s">
        <v>33</v>
      </c>
      <c r="F13" s="1099">
        <v>229290189.47999999</v>
      </c>
      <c r="G13" s="30"/>
    </row>
    <row r="14" spans="1:7">
      <c r="A14" s="111">
        <f t="shared" si="0"/>
        <v>6</v>
      </c>
      <c r="B14" s="14"/>
      <c r="C14" s="896" t="s">
        <v>184</v>
      </c>
      <c r="D14" s="148">
        <v>2017</v>
      </c>
      <c r="E14" s="521" t="s">
        <v>33</v>
      </c>
      <c r="F14" s="1099">
        <v>227387008.77000001</v>
      </c>
      <c r="G14" s="30"/>
    </row>
    <row r="15" spans="1:7">
      <c r="A15" s="111">
        <f t="shared" si="0"/>
        <v>7</v>
      </c>
      <c r="B15" s="14"/>
      <c r="C15" s="896" t="s">
        <v>1481</v>
      </c>
      <c r="D15" s="148">
        <v>2017</v>
      </c>
      <c r="E15" s="521" t="s">
        <v>33</v>
      </c>
      <c r="F15" s="1099">
        <v>229834302.22</v>
      </c>
      <c r="G15" s="30"/>
    </row>
    <row r="16" spans="1:7">
      <c r="A16" s="111">
        <f t="shared" si="0"/>
        <v>8</v>
      </c>
      <c r="B16" s="14"/>
      <c r="C16" s="896" t="s">
        <v>186</v>
      </c>
      <c r="D16" s="148">
        <v>2017</v>
      </c>
      <c r="E16" s="521" t="s">
        <v>33</v>
      </c>
      <c r="F16" s="1099">
        <v>231240887.40000001</v>
      </c>
      <c r="G16" s="30"/>
    </row>
    <row r="17" spans="1:7">
      <c r="A17" s="111">
        <f t="shared" si="0"/>
        <v>9</v>
      </c>
      <c r="B17" s="14"/>
      <c r="C17" s="896" t="s">
        <v>187</v>
      </c>
      <c r="D17" s="148">
        <v>2017</v>
      </c>
      <c r="E17" s="521" t="s">
        <v>33</v>
      </c>
      <c r="F17" s="1099">
        <v>229531352.55000001</v>
      </c>
      <c r="G17" s="30"/>
    </row>
    <row r="18" spans="1:7">
      <c r="A18" s="111">
        <f t="shared" si="0"/>
        <v>10</v>
      </c>
      <c r="B18" s="14"/>
      <c r="C18" s="896" t="s">
        <v>188</v>
      </c>
      <c r="D18" s="148">
        <v>2017</v>
      </c>
      <c r="E18" s="521" t="s">
        <v>33</v>
      </c>
      <c r="F18" s="1099">
        <v>226308482.90000001</v>
      </c>
      <c r="G18" s="30"/>
    </row>
    <row r="19" spans="1:7">
      <c r="A19" s="111">
        <f t="shared" si="0"/>
        <v>11</v>
      </c>
      <c r="B19" s="14"/>
      <c r="C19" s="896" t="s">
        <v>191</v>
      </c>
      <c r="D19" s="148">
        <v>2017</v>
      </c>
      <c r="E19" s="521" t="s">
        <v>33</v>
      </c>
      <c r="F19" s="1099">
        <v>229185237.25</v>
      </c>
      <c r="G19" s="30"/>
    </row>
    <row r="20" spans="1:7">
      <c r="A20" s="111">
        <f t="shared" si="0"/>
        <v>12</v>
      </c>
      <c r="B20" s="14"/>
      <c r="C20" s="896" t="s">
        <v>190</v>
      </c>
      <c r="D20" s="148">
        <v>2017</v>
      </c>
      <c r="E20" s="521" t="s">
        <v>33</v>
      </c>
      <c r="F20" s="517">
        <v>230757405.63999999</v>
      </c>
      <c r="G20" s="30"/>
    </row>
    <row r="21" spans="1:7">
      <c r="A21" s="111">
        <f t="shared" si="0"/>
        <v>13</v>
      </c>
      <c r="B21" s="14"/>
      <c r="C21" s="21" t="s">
        <v>180</v>
      </c>
      <c r="D21" s="148">
        <v>2017</v>
      </c>
      <c r="E21" s="30" t="s">
        <v>557</v>
      </c>
      <c r="F21" s="1198">
        <v>238006741</v>
      </c>
      <c r="G21" s="16" t="s">
        <v>89</v>
      </c>
    </row>
    <row r="22" spans="1:7">
      <c r="A22" s="14"/>
      <c r="B22" s="14"/>
      <c r="C22" s="22"/>
      <c r="D22" s="22"/>
      <c r="E22" s="18"/>
      <c r="G22" s="30"/>
    </row>
    <row r="23" spans="1:7">
      <c r="A23" s="111">
        <f>A21+1</f>
        <v>14</v>
      </c>
      <c r="B23" s="14"/>
      <c r="C23" s="22"/>
      <c r="D23" s="22"/>
      <c r="E23" s="519" t="s">
        <v>1846</v>
      </c>
      <c r="F23" s="33">
        <f>SUM(F9:F21)/13</f>
        <v>231960338.21923077</v>
      </c>
      <c r="G23" s="114" t="str">
        <f>"(Sum Line "&amp;A9&amp;" to Line "&amp;A21&amp;") / 13"</f>
        <v>(Sum Line 1 to Line 13) / 13</v>
      </c>
    </row>
    <row r="24" spans="1:7">
      <c r="A24" s="111">
        <f>A23+1</f>
        <v>15</v>
      </c>
      <c r="B24" s="14"/>
      <c r="C24" s="22"/>
      <c r="D24" s="22"/>
      <c r="E24" s="34" t="s">
        <v>312</v>
      </c>
      <c r="F24" s="109">
        <f>'27-Allocators'!G14</f>
        <v>6.0143362776597958E-2</v>
      </c>
      <c r="G24" s="114" t="str">
        <f>"27-Allocators, Line "&amp;'27-Allocators'!A14&amp;""</f>
        <v>27-Allocators, Line 9</v>
      </c>
    </row>
    <row r="25" spans="1:7">
      <c r="A25" s="14"/>
      <c r="B25" s="14"/>
      <c r="C25" s="14"/>
      <c r="D25" s="22"/>
      <c r="E25" s="34"/>
      <c r="F25" s="33"/>
      <c r="G25" s="16"/>
    </row>
    <row r="26" spans="1:7">
      <c r="A26" s="111">
        <f>A24+1</f>
        <v>16</v>
      </c>
      <c r="B26" s="14"/>
      <c r="C26" s="22" t="s">
        <v>91</v>
      </c>
      <c r="D26" s="22"/>
      <c r="E26" s="365" t="s">
        <v>156</v>
      </c>
      <c r="F26" s="33">
        <f>F21*F24</f>
        <v>14314525.767238792</v>
      </c>
      <c r="G26" s="13" t="str">
        <f>"Line "&amp;A21&amp;" * Line "&amp;A24&amp;""</f>
        <v>Line 13 * Line 15</v>
      </c>
    </row>
    <row r="27" spans="1:7">
      <c r="A27" s="111">
        <f>A26+1</f>
        <v>17</v>
      </c>
      <c r="B27" s="14"/>
      <c r="C27" s="22"/>
      <c r="D27" s="22"/>
      <c r="E27" s="519" t="s">
        <v>1847</v>
      </c>
      <c r="F27" s="33">
        <f>F23*F24</f>
        <v>13950874.771301556</v>
      </c>
      <c r="G27" s="13" t="str">
        <f>"Line "&amp;A23&amp;" * Line "&amp;A24&amp;""</f>
        <v>Line 14 * Line 15</v>
      </c>
    </row>
    <row r="28" spans="1:7">
      <c r="A28" s="14"/>
      <c r="B28" s="14"/>
      <c r="C28" s="14"/>
      <c r="D28" s="14"/>
      <c r="E28" s="14"/>
      <c r="F28" s="14"/>
    </row>
    <row r="29" spans="1:7">
      <c r="A29" s="14"/>
      <c r="B29" s="44" t="s">
        <v>158</v>
      </c>
      <c r="C29" s="14"/>
      <c r="D29" s="14"/>
      <c r="E29" s="14"/>
      <c r="F29" s="14"/>
    </row>
    <row r="30" spans="1:7">
      <c r="A30" s="14"/>
      <c r="B30" s="14"/>
      <c r="C30" s="14" t="s">
        <v>7</v>
      </c>
      <c r="D30" s="14"/>
      <c r="E30" s="528"/>
      <c r="F30" s="28"/>
      <c r="G30" s="27"/>
    </row>
    <row r="31" spans="1:7">
      <c r="A31" s="14"/>
      <c r="B31" s="14"/>
      <c r="C31" s="14" t="s">
        <v>1784</v>
      </c>
      <c r="D31" s="14"/>
      <c r="E31" s="528"/>
      <c r="F31" s="28"/>
      <c r="G31" s="27"/>
    </row>
    <row r="32" spans="1:7">
      <c r="C32" s="21"/>
      <c r="D32" s="17"/>
      <c r="E32" s="26" t="s">
        <v>194</v>
      </c>
      <c r="F32" s="74" t="s">
        <v>244</v>
      </c>
      <c r="G32" s="26"/>
    </row>
    <row r="33" spans="1:11">
      <c r="C33" s="25" t="s">
        <v>192</v>
      </c>
      <c r="D33" s="25" t="s">
        <v>193</v>
      </c>
      <c r="E33" s="25" t="s">
        <v>179</v>
      </c>
      <c r="F33" s="31" t="s">
        <v>2</v>
      </c>
      <c r="G33" s="29" t="s">
        <v>168</v>
      </c>
    </row>
    <row r="34" spans="1:11">
      <c r="A34" s="111">
        <f>A27+1</f>
        <v>18</v>
      </c>
      <c r="B34" s="14"/>
      <c r="C34" s="289" t="s">
        <v>180</v>
      </c>
      <c r="D34" s="148">
        <v>2016</v>
      </c>
      <c r="E34" s="1186" t="s">
        <v>2377</v>
      </c>
      <c r="F34" s="63">
        <f>F63</f>
        <v>99369093</v>
      </c>
      <c r="G34" s="1186" t="s">
        <v>2375</v>
      </c>
    </row>
    <row r="35" spans="1:11">
      <c r="A35" s="111">
        <f>A34+1</f>
        <v>19</v>
      </c>
      <c r="B35" s="14"/>
      <c r="C35" s="896" t="s">
        <v>181</v>
      </c>
      <c r="D35" s="148">
        <v>2017</v>
      </c>
      <c r="E35" s="521" t="s">
        <v>33</v>
      </c>
      <c r="F35" s="1099">
        <v>120656390.95999999</v>
      </c>
      <c r="G35" s="1186"/>
      <c r="J35" s="7"/>
      <c r="K35" s="7"/>
    </row>
    <row r="36" spans="1:11">
      <c r="A36" s="111">
        <f t="shared" ref="A36:A46" si="1">A35+1</f>
        <v>20</v>
      </c>
      <c r="B36" s="14"/>
      <c r="C36" s="896" t="s">
        <v>182</v>
      </c>
      <c r="D36" s="148">
        <v>2017</v>
      </c>
      <c r="E36" s="521" t="s">
        <v>33</v>
      </c>
      <c r="F36" s="1099">
        <v>110804400.62</v>
      </c>
      <c r="G36" s="1186"/>
      <c r="J36" s="7"/>
      <c r="K36" s="7"/>
    </row>
    <row r="37" spans="1:11">
      <c r="A37" s="111">
        <f t="shared" si="1"/>
        <v>21</v>
      </c>
      <c r="B37" s="14"/>
      <c r="C37" s="896" t="s">
        <v>195</v>
      </c>
      <c r="D37" s="148">
        <v>2017</v>
      </c>
      <c r="E37" s="521" t="s">
        <v>33</v>
      </c>
      <c r="F37" s="1099">
        <v>169364348.41</v>
      </c>
      <c r="G37" s="1186"/>
      <c r="J37" s="7"/>
      <c r="K37" s="7"/>
    </row>
    <row r="38" spans="1:11">
      <c r="A38" s="111">
        <f t="shared" si="1"/>
        <v>22</v>
      </c>
      <c r="B38" s="14"/>
      <c r="C38" s="896" t="s">
        <v>183</v>
      </c>
      <c r="D38" s="148">
        <v>2017</v>
      </c>
      <c r="E38" s="521" t="s">
        <v>33</v>
      </c>
      <c r="F38" s="1099">
        <v>230958816.71000001</v>
      </c>
      <c r="G38" s="1186"/>
      <c r="J38" s="7"/>
      <c r="K38" s="7"/>
    </row>
    <row r="39" spans="1:11">
      <c r="A39" s="111">
        <f t="shared" si="1"/>
        <v>23</v>
      </c>
      <c r="B39" s="14"/>
      <c r="C39" s="896" t="s">
        <v>184</v>
      </c>
      <c r="D39" s="148">
        <v>2017</v>
      </c>
      <c r="E39" s="521" t="s">
        <v>33</v>
      </c>
      <c r="F39" s="1099">
        <v>190396525.66999999</v>
      </c>
      <c r="G39" s="1186"/>
      <c r="J39" s="7"/>
      <c r="K39" s="7"/>
    </row>
    <row r="40" spans="1:11">
      <c r="A40" s="111">
        <f t="shared" si="1"/>
        <v>24</v>
      </c>
      <c r="B40" s="14"/>
      <c r="C40" s="896" t="s">
        <v>1481</v>
      </c>
      <c r="D40" s="148">
        <v>2017</v>
      </c>
      <c r="E40" s="521" t="s">
        <v>33</v>
      </c>
      <c r="F40" s="1099">
        <v>135529209.09</v>
      </c>
      <c r="G40" s="1186"/>
      <c r="J40" s="7"/>
      <c r="K40" s="7"/>
    </row>
    <row r="41" spans="1:11">
      <c r="A41" s="111">
        <f t="shared" si="1"/>
        <v>25</v>
      </c>
      <c r="B41" s="14"/>
      <c r="C41" s="896" t="s">
        <v>186</v>
      </c>
      <c r="D41" s="148">
        <v>2017</v>
      </c>
      <c r="E41" s="521" t="s">
        <v>33</v>
      </c>
      <c r="F41" s="1099">
        <v>144680436.28</v>
      </c>
      <c r="G41" s="1186"/>
      <c r="J41" s="7"/>
      <c r="K41" s="7"/>
    </row>
    <row r="42" spans="1:11">
      <c r="A42" s="111">
        <f t="shared" si="1"/>
        <v>26</v>
      </c>
      <c r="B42" s="14"/>
      <c r="C42" s="896" t="s">
        <v>187</v>
      </c>
      <c r="D42" s="148">
        <v>2017</v>
      </c>
      <c r="E42" s="521" t="s">
        <v>33</v>
      </c>
      <c r="F42" s="1099">
        <v>136252208.72</v>
      </c>
      <c r="G42" s="1186"/>
      <c r="J42" s="7"/>
      <c r="K42" s="7"/>
    </row>
    <row r="43" spans="1:11">
      <c r="A43" s="111">
        <f t="shared" si="1"/>
        <v>27</v>
      </c>
      <c r="B43" s="14"/>
      <c r="C43" s="896" t="s">
        <v>188</v>
      </c>
      <c r="D43" s="148">
        <v>2017</v>
      </c>
      <c r="E43" s="521" t="s">
        <v>33</v>
      </c>
      <c r="F43" s="1099">
        <v>306743337.38999999</v>
      </c>
      <c r="G43" s="1186"/>
      <c r="J43" s="7"/>
      <c r="K43" s="7"/>
    </row>
    <row r="44" spans="1:11">
      <c r="A44" s="111">
        <f t="shared" si="1"/>
        <v>28</v>
      </c>
      <c r="B44" s="14"/>
      <c r="C44" s="896" t="s">
        <v>191</v>
      </c>
      <c r="D44" s="148">
        <v>2017</v>
      </c>
      <c r="E44" s="521" t="s">
        <v>33</v>
      </c>
      <c r="F44" s="1099">
        <v>290763947.26999998</v>
      </c>
      <c r="G44" s="1186"/>
      <c r="J44" s="7"/>
      <c r="K44" s="7"/>
    </row>
    <row r="45" spans="1:11">
      <c r="A45" s="111">
        <f t="shared" si="1"/>
        <v>29</v>
      </c>
      <c r="B45" s="14"/>
      <c r="C45" s="896" t="s">
        <v>190</v>
      </c>
      <c r="D45" s="148">
        <v>2017</v>
      </c>
      <c r="E45" s="521" t="s">
        <v>33</v>
      </c>
      <c r="F45" s="117">
        <v>295532250.55000001</v>
      </c>
      <c r="G45" s="1186"/>
      <c r="J45" s="7"/>
      <c r="K45" s="7"/>
    </row>
    <row r="46" spans="1:11">
      <c r="A46" s="111">
        <f t="shared" si="1"/>
        <v>30</v>
      </c>
      <c r="B46" s="14"/>
      <c r="C46" s="21" t="s">
        <v>180</v>
      </c>
      <c r="D46" s="148">
        <v>2017</v>
      </c>
      <c r="E46" s="1186" t="s">
        <v>2378</v>
      </c>
      <c r="F46" s="63">
        <f>F69</f>
        <v>227852643</v>
      </c>
      <c r="G46" s="1186" t="s">
        <v>2376</v>
      </c>
    </row>
    <row r="47" spans="1:11">
      <c r="A47" s="14"/>
      <c r="B47" s="14"/>
      <c r="C47" s="21"/>
      <c r="D47" s="24"/>
      <c r="E47" s="23"/>
      <c r="F47" s="33"/>
      <c r="G47" s="16"/>
    </row>
    <row r="48" spans="1:11">
      <c r="A48" s="14"/>
      <c r="B48" s="14"/>
      <c r="C48" s="648" t="s">
        <v>1782</v>
      </c>
      <c r="D48" s="648"/>
      <c r="E48" s="970"/>
      <c r="F48" s="14"/>
      <c r="G48" s="30"/>
    </row>
    <row r="49" spans="1:8">
      <c r="A49" s="111">
        <f>A46+1</f>
        <v>31</v>
      </c>
      <c r="B49" s="14"/>
      <c r="C49" s="22"/>
      <c r="D49" s="22"/>
      <c r="E49" s="686" t="s">
        <v>1783</v>
      </c>
      <c r="F49" s="969">
        <f>SUM(F34:F46)/13</f>
        <v>189146431.35923079</v>
      </c>
      <c r="G49" s="114" t="str">
        <f>"(Sum Line "&amp;A34&amp;" to Line "&amp;A46&amp;") / 13"</f>
        <v>(Sum Line 18 to Line 30) / 13</v>
      </c>
    </row>
    <row r="50" spans="1:8">
      <c r="A50" s="111">
        <f>A49+1</f>
        <v>32</v>
      </c>
      <c r="B50" s="14"/>
      <c r="C50" s="22"/>
      <c r="D50" s="22"/>
      <c r="E50" s="34" t="s">
        <v>312</v>
      </c>
      <c r="F50" s="36">
        <f>'27-Allocators'!G14</f>
        <v>6.0143362776597958E-2</v>
      </c>
      <c r="G50" s="114" t="str">
        <f>"27-Allocators, Line "&amp;'27-Allocators'!A14&amp;""</f>
        <v>27-Allocators, Line 9</v>
      </c>
    </row>
    <row r="51" spans="1:8">
      <c r="A51" s="111">
        <f>A50+1</f>
        <v>33</v>
      </c>
      <c r="B51" s="14"/>
      <c r="C51" s="22"/>
      <c r="D51" s="22"/>
      <c r="E51" s="971" t="s">
        <v>162</v>
      </c>
      <c r="F51" s="33">
        <f>F49*F50</f>
        <v>11375902.439137101</v>
      </c>
      <c r="G51" s="46" t="str">
        <f>"Line "&amp;A49&amp;" * Line "&amp;A50&amp;""</f>
        <v>Line 31 * Line 32</v>
      </c>
    </row>
    <row r="52" spans="1:8">
      <c r="A52" s="14"/>
      <c r="B52" s="14"/>
      <c r="C52" s="22" t="s">
        <v>243</v>
      </c>
      <c r="D52" s="22"/>
      <c r="E52" s="528"/>
      <c r="F52" s="14"/>
      <c r="G52" s="35"/>
    </row>
    <row r="53" spans="1:8">
      <c r="A53" s="111">
        <f>A51+1</f>
        <v>34</v>
      </c>
      <c r="B53" s="14"/>
      <c r="C53" s="22"/>
      <c r="D53" s="22"/>
      <c r="E53" s="34" t="s">
        <v>156</v>
      </c>
      <c r="F53" s="33">
        <f>F46</f>
        <v>227852643</v>
      </c>
      <c r="G53" s="35" t="str">
        <f>"Line "&amp;A46&amp;""</f>
        <v>Line 30</v>
      </c>
    </row>
    <row r="54" spans="1:8">
      <c r="A54" s="111">
        <f>A53+1</f>
        <v>35</v>
      </c>
      <c r="B54" s="14"/>
      <c r="C54" s="22"/>
      <c r="D54" s="22"/>
      <c r="E54" s="34" t="s">
        <v>312</v>
      </c>
      <c r="F54" s="36">
        <f>'27-Allocators'!G14</f>
        <v>6.0143362776597958E-2</v>
      </c>
      <c r="G54" s="114" t="str">
        <f>"27-Allocators, Line "&amp;'27-Allocators'!A14&amp;""</f>
        <v>27-Allocators, Line 9</v>
      </c>
    </row>
    <row r="55" spans="1:8">
      <c r="A55" s="111">
        <f>A54+1</f>
        <v>36</v>
      </c>
      <c r="B55" s="14"/>
      <c r="C55" s="22"/>
      <c r="D55" s="22"/>
      <c r="E55" s="32" t="s">
        <v>162</v>
      </c>
      <c r="F55" s="33">
        <f>F53*F54</f>
        <v>13703824.167555664</v>
      </c>
      <c r="G55" s="13" t="str">
        <f>"Line "&amp;A53&amp;" * Line "&amp;A54&amp;""</f>
        <v>Line 34 * Line 35</v>
      </c>
    </row>
    <row r="56" spans="1:8">
      <c r="B56" s="51" t="s">
        <v>232</v>
      </c>
      <c r="C56" s="485"/>
      <c r="D56" s="483"/>
      <c r="E56" s="485"/>
      <c r="F56" s="483"/>
      <c r="G56" s="483"/>
    </row>
    <row r="57" spans="1:8">
      <c r="B57" s="483" t="s">
        <v>2379</v>
      </c>
      <c r="C57" s="485" t="str">
        <f>"Remove any amounts related to years prior to 2012 on "&amp;B62&amp;" and "&amp;B68&amp;" below."</f>
        <v>Remove any amounts related to years prior to 2012 on b and e below.</v>
      </c>
      <c r="D57" s="483"/>
      <c r="E57" s="485"/>
      <c r="F57" s="483"/>
      <c r="G57" s="483"/>
    </row>
    <row r="58" spans="1:8">
      <c r="A58" s="2"/>
      <c r="B58" s="483"/>
      <c r="C58" s="485"/>
      <c r="D58" s="483"/>
      <c r="E58" s="941"/>
      <c r="F58" s="490"/>
      <c r="G58" s="487"/>
      <c r="H58" s="1"/>
    </row>
    <row r="59" spans="1:8">
      <c r="A59" s="2"/>
      <c r="B59" s="483"/>
      <c r="C59" s="485" t="s">
        <v>2380</v>
      </c>
      <c r="D59" s="483"/>
      <c r="E59" s="941"/>
      <c r="F59" s="1187" t="s">
        <v>92</v>
      </c>
      <c r="G59" s="482"/>
    </row>
    <row r="60" spans="1:8">
      <c r="A60" s="2"/>
      <c r="B60" s="483"/>
      <c r="C60" s="485"/>
      <c r="D60" s="483"/>
      <c r="E60" s="941"/>
      <c r="F60" s="652" t="s">
        <v>2</v>
      </c>
      <c r="G60" s="391" t="s">
        <v>179</v>
      </c>
    </row>
    <row r="61" spans="1:8">
      <c r="A61" s="578"/>
      <c r="B61" s="580" t="s">
        <v>1698</v>
      </c>
      <c r="C61" s="1188"/>
      <c r="D61" s="483"/>
      <c r="E61" s="941" t="s">
        <v>2381</v>
      </c>
      <c r="F61" s="1198">
        <v>114171737</v>
      </c>
      <c r="G61" s="1186" t="s">
        <v>160</v>
      </c>
    </row>
    <row r="62" spans="1:8">
      <c r="A62" s="578"/>
      <c r="B62" s="580" t="s">
        <v>1699</v>
      </c>
      <c r="C62" s="485"/>
      <c r="D62" s="483"/>
      <c r="E62" s="941" t="s">
        <v>2382</v>
      </c>
      <c r="F62" s="117">
        <v>14802644</v>
      </c>
      <c r="G62" s="487" t="s">
        <v>364</v>
      </c>
    </row>
    <row r="63" spans="1:8">
      <c r="A63" s="578"/>
      <c r="B63" s="580" t="s">
        <v>1700</v>
      </c>
      <c r="C63" s="485"/>
      <c r="D63" s="483"/>
      <c r="E63" s="941" t="s">
        <v>2383</v>
      </c>
      <c r="F63" s="1189">
        <f>F61-F62</f>
        <v>99369093</v>
      </c>
      <c r="G63" s="487" t="str">
        <f>""&amp;B61&amp;" - "&amp;B62&amp;""</f>
        <v>a - b</v>
      </c>
    </row>
    <row r="64" spans="1:8">
      <c r="A64" s="578"/>
      <c r="B64" s="483"/>
      <c r="C64" s="485"/>
      <c r="D64" s="483"/>
      <c r="E64" s="485"/>
      <c r="F64" s="483"/>
      <c r="G64" s="483"/>
    </row>
    <row r="65" spans="1:7">
      <c r="A65" s="578"/>
      <c r="B65" s="483"/>
      <c r="C65" s="485" t="s">
        <v>2384</v>
      </c>
      <c r="D65" s="483"/>
      <c r="E65" s="941"/>
      <c r="F65" s="1187" t="s">
        <v>92</v>
      </c>
      <c r="G65" s="482"/>
    </row>
    <row r="66" spans="1:7">
      <c r="A66" s="578"/>
      <c r="B66" s="483"/>
      <c r="C66" s="485"/>
      <c r="D66" s="483"/>
      <c r="E66" s="941"/>
      <c r="F66" s="652" t="s">
        <v>2</v>
      </c>
      <c r="G66" s="391" t="s">
        <v>179</v>
      </c>
    </row>
    <row r="67" spans="1:7">
      <c r="A67" s="578"/>
      <c r="B67" s="580" t="s">
        <v>1701</v>
      </c>
      <c r="C67" s="1188"/>
      <c r="D67" s="483"/>
      <c r="E67" s="941" t="s">
        <v>2381</v>
      </c>
      <c r="F67" s="1198">
        <v>227852643</v>
      </c>
      <c r="G67" s="1186" t="s">
        <v>161</v>
      </c>
    </row>
    <row r="68" spans="1:7">
      <c r="A68" s="578"/>
      <c r="B68" s="580" t="s">
        <v>1702</v>
      </c>
      <c r="C68" s="485"/>
      <c r="D68" s="483"/>
      <c r="E68" s="941" t="s">
        <v>2382</v>
      </c>
      <c r="F68" s="117">
        <v>0</v>
      </c>
      <c r="G68" s="487" t="s">
        <v>364</v>
      </c>
    </row>
    <row r="69" spans="1:7">
      <c r="A69" s="578"/>
      <c r="B69" s="580" t="s">
        <v>1703</v>
      </c>
      <c r="C69" s="485"/>
      <c r="D69" s="485"/>
      <c r="E69" s="941" t="s">
        <v>2385</v>
      </c>
      <c r="F69" s="1189">
        <f>F67-F68</f>
        <v>227852643</v>
      </c>
      <c r="G69" s="487" t="str">
        <f>""&amp;B67&amp;" - "&amp;B68&amp;""</f>
        <v>d - e</v>
      </c>
    </row>
    <row r="73" spans="1:7">
      <c r="F73" s="579"/>
    </row>
  </sheetData>
  <phoneticPr fontId="22" type="noConversion"/>
  <pageMargins left="0.75" right="0.75" top="1" bottom="1" header="0.5" footer="0.5"/>
  <pageSetup scale="73" orientation="portrait" cellComments="asDisplayed" r:id="rId1"/>
  <headerFooter alignWithMargins="0">
    <oddHeader>&amp;CSchedule 13
Working Capital
&amp;RTO2019 Draft Annual Update 
Attachment1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1145</v>
      </c>
      <c r="C1" s="1"/>
    </row>
    <row r="3" spans="1:4">
      <c r="B3" s="3" t="s">
        <v>1146</v>
      </c>
      <c r="C3" s="3" t="s">
        <v>1214</v>
      </c>
      <c r="D3" s="391" t="s">
        <v>528</v>
      </c>
    </row>
    <row r="4" spans="1:4">
      <c r="B4" s="374" t="s">
        <v>1091</v>
      </c>
      <c r="C4" s="61"/>
      <c r="D4" s="12" t="s">
        <v>1148</v>
      </c>
    </row>
    <row r="5" spans="1:4">
      <c r="B5" s="599" t="s">
        <v>1147</v>
      </c>
      <c r="C5" s="61">
        <v>1</v>
      </c>
      <c r="D5" s="483" t="s">
        <v>2206</v>
      </c>
    </row>
    <row r="6" spans="1:4">
      <c r="B6" s="599" t="s">
        <v>1102</v>
      </c>
      <c r="C6" s="61">
        <v>2</v>
      </c>
      <c r="D6" s="12" t="s">
        <v>1155</v>
      </c>
    </row>
    <row r="7" spans="1:4">
      <c r="B7" s="599" t="s">
        <v>1103</v>
      </c>
      <c r="C7" s="61">
        <v>3</v>
      </c>
      <c r="D7" s="12" t="s">
        <v>1156</v>
      </c>
    </row>
    <row r="8" spans="1:4">
      <c r="B8" s="599" t="s">
        <v>1504</v>
      </c>
      <c r="C8" s="61">
        <v>4</v>
      </c>
      <c r="D8" s="483" t="s">
        <v>1505</v>
      </c>
    </row>
    <row r="9" spans="1:4">
      <c r="B9" s="599" t="s">
        <v>1092</v>
      </c>
      <c r="C9" s="61">
        <v>5</v>
      </c>
      <c r="D9" s="12" t="s">
        <v>1149</v>
      </c>
    </row>
    <row r="10" spans="1:4">
      <c r="B10" s="599" t="s">
        <v>1095</v>
      </c>
      <c r="C10" s="61">
        <v>6</v>
      </c>
      <c r="D10" s="12" t="s">
        <v>1152</v>
      </c>
    </row>
    <row r="11" spans="1:4">
      <c r="B11" s="599" t="s">
        <v>1096</v>
      </c>
      <c r="C11" s="61">
        <v>7</v>
      </c>
      <c r="D11" s="12" t="s">
        <v>1451</v>
      </c>
    </row>
    <row r="12" spans="1:4">
      <c r="B12" s="599" t="s">
        <v>1105</v>
      </c>
      <c r="C12" s="61">
        <v>8</v>
      </c>
      <c r="D12" s="12" t="s">
        <v>1157</v>
      </c>
    </row>
    <row r="13" spans="1:4">
      <c r="B13" s="599" t="s">
        <v>201</v>
      </c>
      <c r="C13" s="61">
        <v>9</v>
      </c>
      <c r="D13" s="12" t="s">
        <v>98</v>
      </c>
    </row>
    <row r="14" spans="1:4">
      <c r="B14" s="599" t="s">
        <v>1</v>
      </c>
      <c r="C14" s="61">
        <v>10</v>
      </c>
      <c r="D14" s="483" t="s">
        <v>2207</v>
      </c>
    </row>
    <row r="15" spans="1:4">
      <c r="B15" s="599" t="s">
        <v>1097</v>
      </c>
      <c r="C15" s="61">
        <v>11</v>
      </c>
      <c r="D15" s="12" t="s">
        <v>1200</v>
      </c>
    </row>
    <row r="16" spans="1:4">
      <c r="B16" s="599" t="s">
        <v>1098</v>
      </c>
      <c r="C16" s="61">
        <v>12</v>
      </c>
      <c r="D16" s="12" t="s">
        <v>1153</v>
      </c>
    </row>
    <row r="17" spans="2:4">
      <c r="B17" s="599" t="s">
        <v>1104</v>
      </c>
      <c r="C17" s="61">
        <v>13</v>
      </c>
      <c r="D17" s="12" t="s">
        <v>1167</v>
      </c>
    </row>
    <row r="18" spans="2:4">
      <c r="B18" s="599" t="s">
        <v>1099</v>
      </c>
      <c r="C18" s="61">
        <v>14</v>
      </c>
      <c r="D18" s="12" t="s">
        <v>1154</v>
      </c>
    </row>
    <row r="19" spans="2:4">
      <c r="B19" s="599" t="s">
        <v>1100</v>
      </c>
      <c r="C19" s="61">
        <v>15</v>
      </c>
      <c r="D19" s="483" t="s">
        <v>1706</v>
      </c>
    </row>
    <row r="20" spans="2:4">
      <c r="B20" s="599" t="s">
        <v>1101</v>
      </c>
      <c r="C20" s="61">
        <v>16</v>
      </c>
      <c r="D20" s="12" t="s">
        <v>1207</v>
      </c>
    </row>
    <row r="21" spans="2:4">
      <c r="B21" s="599" t="s">
        <v>1093</v>
      </c>
      <c r="C21" s="61">
        <v>17</v>
      </c>
      <c r="D21" s="12" t="s">
        <v>1150</v>
      </c>
    </row>
    <row r="22" spans="2:4">
      <c r="B22" s="599" t="s">
        <v>1094</v>
      </c>
      <c r="C22" s="61">
        <v>18</v>
      </c>
      <c r="D22" s="12" t="s">
        <v>1151</v>
      </c>
    </row>
    <row r="23" spans="2:4">
      <c r="B23" s="599" t="s">
        <v>1106</v>
      </c>
      <c r="C23" s="61">
        <v>19</v>
      </c>
      <c r="D23" s="12" t="s">
        <v>1158</v>
      </c>
    </row>
    <row r="24" spans="2:4">
      <c r="B24" s="599" t="s">
        <v>1107</v>
      </c>
      <c r="C24" s="61">
        <v>20</v>
      </c>
      <c r="D24" s="483" t="s">
        <v>282</v>
      </c>
    </row>
    <row r="25" spans="2:4">
      <c r="B25" s="599" t="s">
        <v>1124</v>
      </c>
      <c r="C25" s="61">
        <v>21</v>
      </c>
      <c r="D25" s="12" t="s">
        <v>1159</v>
      </c>
    </row>
    <row r="26" spans="2:4">
      <c r="B26" s="599" t="s">
        <v>1125</v>
      </c>
      <c r="C26" s="61">
        <v>22</v>
      </c>
      <c r="D26" s="12" t="s">
        <v>1206</v>
      </c>
    </row>
    <row r="27" spans="2:4">
      <c r="B27" s="599" t="s">
        <v>1126</v>
      </c>
      <c r="C27" s="61">
        <v>23</v>
      </c>
      <c r="D27" s="12" t="s">
        <v>1160</v>
      </c>
    </row>
    <row r="28" spans="2:4" ht="12.75" customHeight="1">
      <c r="B28" s="599" t="s">
        <v>1438</v>
      </c>
      <c r="C28" s="61">
        <v>24</v>
      </c>
      <c r="D28" s="12" t="s">
        <v>1439</v>
      </c>
    </row>
    <row r="29" spans="2:4">
      <c r="B29" s="599" t="s">
        <v>1379</v>
      </c>
      <c r="C29" s="61">
        <v>25</v>
      </c>
      <c r="D29" s="12" t="s">
        <v>1380</v>
      </c>
    </row>
    <row r="30" spans="2:4">
      <c r="B30" s="599" t="s">
        <v>1129</v>
      </c>
      <c r="C30" s="61">
        <v>26</v>
      </c>
      <c r="D30" s="12" t="s">
        <v>1161</v>
      </c>
    </row>
    <row r="31" spans="2:4">
      <c r="B31" s="599" t="s">
        <v>1128</v>
      </c>
      <c r="C31" s="61">
        <v>27</v>
      </c>
      <c r="D31" s="12" t="s">
        <v>202</v>
      </c>
    </row>
    <row r="32" spans="2:4">
      <c r="B32" s="599" t="s">
        <v>1127</v>
      </c>
      <c r="C32" s="61">
        <v>28</v>
      </c>
      <c r="D32" s="12" t="s">
        <v>1162</v>
      </c>
    </row>
    <row r="33" spans="2:4">
      <c r="B33" s="599" t="s">
        <v>1130</v>
      </c>
      <c r="C33" s="61">
        <v>29</v>
      </c>
      <c r="D33" s="12" t="s">
        <v>1163</v>
      </c>
    </row>
    <row r="34" spans="2:4">
      <c r="B34" s="599" t="s">
        <v>1131</v>
      </c>
      <c r="C34" s="61">
        <v>30</v>
      </c>
      <c r="D34" s="12" t="s">
        <v>1208</v>
      </c>
    </row>
    <row r="35" spans="2:4">
      <c r="B35" s="599" t="s">
        <v>1132</v>
      </c>
      <c r="C35" s="61">
        <v>31</v>
      </c>
      <c r="D35" s="12" t="s">
        <v>1164</v>
      </c>
    </row>
    <row r="36" spans="2:4">
      <c r="B36" s="599" t="s">
        <v>1133</v>
      </c>
      <c r="C36" s="61">
        <v>32</v>
      </c>
      <c r="D36" s="12" t="s">
        <v>1165</v>
      </c>
    </row>
    <row r="37" spans="2:4">
      <c r="B37" s="599" t="s">
        <v>1134</v>
      </c>
      <c r="C37" s="474">
        <v>33</v>
      </c>
      <c r="D37" s="12" t="s">
        <v>1166</v>
      </c>
    </row>
    <row r="38" spans="2:4">
      <c r="B38" s="599" t="s">
        <v>1992</v>
      </c>
      <c r="C38" s="937">
        <v>34</v>
      </c>
      <c r="D38" s="485" t="s">
        <v>2016</v>
      </c>
    </row>
    <row r="39" spans="2:4">
      <c r="B39" s="12"/>
    </row>
    <row r="40" spans="2:4">
      <c r="B40" s="12"/>
    </row>
    <row r="41" spans="2:4">
      <c r="B41" s="12"/>
    </row>
    <row r="42" spans="2:4">
      <c r="B42"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8" location="'34-UnfundedReserves'!Print_Area" display="Unfunded Reserves"/>
  </hyperlinks>
  <pageMargins left="0.7" right="0.7" top="0.75" bottom="0.75" header="0.3" footer="0.3"/>
  <pageSetup scale="90" orientation="portrait" cellComments="asDisplayed" r:id="rId1"/>
  <headerFooter>
    <oddHeader>&amp;RTO2019 Draft Annual Update 
Attachment1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6"/>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246</v>
      </c>
    </row>
    <row r="2" spans="1:10">
      <c r="A2" s="1" t="s">
        <v>247</v>
      </c>
    </row>
    <row r="3" spans="1:10">
      <c r="B3" s="1"/>
      <c r="H3" s="187" t="s">
        <v>248</v>
      </c>
      <c r="I3" s="97"/>
      <c r="J3" s="56"/>
    </row>
    <row r="4" spans="1:10">
      <c r="B4" s="1" t="s">
        <v>249</v>
      </c>
    </row>
    <row r="5" spans="1:10">
      <c r="B5" s="55" t="s">
        <v>250</v>
      </c>
    </row>
    <row r="6" spans="1:10">
      <c r="B6" s="55" t="s">
        <v>300</v>
      </c>
    </row>
    <row r="7" spans="1:10">
      <c r="B7" s="103" t="s">
        <v>1004</v>
      </c>
    </row>
    <row r="8" spans="1:10">
      <c r="B8" s="103" t="s">
        <v>1506</v>
      </c>
    </row>
    <row r="9" spans="1:10">
      <c r="B9" s="103" t="s">
        <v>1507</v>
      </c>
      <c r="D9" s="1"/>
      <c r="E9" s="1"/>
    </row>
    <row r="10" spans="1:10">
      <c r="B10" s="55"/>
    </row>
    <row r="11" spans="1:10">
      <c r="B11" s="55"/>
      <c r="C11" s="12" t="s">
        <v>360</v>
      </c>
    </row>
    <row r="12" spans="1:10">
      <c r="B12" s="55"/>
      <c r="C12" s="487" t="s">
        <v>1509</v>
      </c>
    </row>
    <row r="13" spans="1:10">
      <c r="B13" s="55"/>
      <c r="C13" s="482" t="s">
        <v>1797</v>
      </c>
      <c r="D13" s="14"/>
      <c r="E13" s="14"/>
      <c r="F13" s="14"/>
      <c r="G13" s="14"/>
      <c r="H13" s="14"/>
      <c r="I13" s="14"/>
    </row>
    <row r="14" spans="1:10">
      <c r="B14" s="55"/>
      <c r="C14" s="482" t="s">
        <v>1510</v>
      </c>
      <c r="D14" s="14"/>
      <c r="E14" s="14"/>
      <c r="F14" s="14"/>
      <c r="G14" s="14"/>
      <c r="H14" s="14"/>
      <c r="I14" s="14"/>
    </row>
    <row r="15" spans="1:10">
      <c r="B15" s="55"/>
      <c r="C15" s="944" t="s">
        <v>1511</v>
      </c>
      <c r="D15" s="14"/>
      <c r="E15" s="14"/>
      <c r="F15" s="14"/>
      <c r="G15" s="14"/>
      <c r="H15" s="14"/>
      <c r="I15" s="14"/>
    </row>
    <row r="16" spans="1:10">
      <c r="B16" s="55"/>
      <c r="C16" s="482" t="s">
        <v>1513</v>
      </c>
      <c r="D16" s="14"/>
      <c r="E16" s="14"/>
      <c r="F16" s="14"/>
      <c r="G16" s="14"/>
      <c r="H16" s="14"/>
      <c r="I16" s="14"/>
    </row>
    <row r="17" spans="1:10">
      <c r="B17" s="55"/>
      <c r="C17" s="482" t="s">
        <v>1512</v>
      </c>
      <c r="D17" s="14"/>
      <c r="E17" s="14"/>
      <c r="F17" s="14"/>
      <c r="G17" s="14"/>
      <c r="H17" s="14"/>
      <c r="I17" s="14"/>
    </row>
    <row r="18" spans="1:10">
      <c r="B18" s="55"/>
      <c r="C18" s="46"/>
      <c r="D18" s="14"/>
      <c r="E18" s="14"/>
      <c r="F18" s="14"/>
      <c r="G18" s="14"/>
      <c r="H18" s="14"/>
      <c r="I18" s="14"/>
    </row>
    <row r="19" spans="1:10">
      <c r="C19" s="44" t="s">
        <v>1003</v>
      </c>
      <c r="D19" s="14"/>
      <c r="E19" s="14"/>
      <c r="F19" s="14"/>
      <c r="G19" s="14"/>
      <c r="H19" s="14"/>
      <c r="I19" s="14"/>
    </row>
    <row r="20" spans="1:10">
      <c r="C20" s="44"/>
      <c r="D20" s="14"/>
      <c r="E20" s="125" t="s">
        <v>363</v>
      </c>
      <c r="F20" s="125" t="s">
        <v>347</v>
      </c>
      <c r="G20" s="125" t="s">
        <v>348</v>
      </c>
      <c r="H20" s="14"/>
      <c r="I20" s="14"/>
    </row>
    <row r="21" spans="1:10">
      <c r="B21" s="1"/>
      <c r="C21" s="14"/>
      <c r="D21" s="14"/>
      <c r="E21" s="14"/>
      <c r="F21" s="111" t="s">
        <v>63</v>
      </c>
      <c r="G21" s="111" t="s">
        <v>18</v>
      </c>
      <c r="H21" s="14"/>
      <c r="I21" s="14"/>
    </row>
    <row r="22" spans="1:10">
      <c r="B22" s="1"/>
      <c r="C22" s="14"/>
      <c r="D22" s="14"/>
      <c r="E22" s="111" t="s">
        <v>63</v>
      </c>
      <c r="F22" s="953" t="s">
        <v>230</v>
      </c>
      <c r="G22" s="111" t="s">
        <v>299</v>
      </c>
      <c r="H22" s="14"/>
      <c r="I22" s="14"/>
    </row>
    <row r="23" spans="1:10">
      <c r="B23" s="1"/>
      <c r="C23" s="15"/>
      <c r="D23" s="14"/>
      <c r="E23" s="111" t="s">
        <v>229</v>
      </c>
      <c r="F23" s="111" t="s">
        <v>231</v>
      </c>
      <c r="G23" s="111" t="s">
        <v>1</v>
      </c>
      <c r="H23" s="14"/>
      <c r="I23" s="14"/>
    </row>
    <row r="24" spans="1:10">
      <c r="B24" s="1"/>
      <c r="C24" s="111" t="s">
        <v>8</v>
      </c>
      <c r="D24" s="14"/>
      <c r="E24" s="111" t="s">
        <v>242</v>
      </c>
      <c r="F24" s="111" t="s">
        <v>242</v>
      </c>
      <c r="G24" s="953" t="s">
        <v>10</v>
      </c>
      <c r="H24" s="14"/>
      <c r="I24" s="14"/>
    </row>
    <row r="25" spans="1:10">
      <c r="A25" s="51" t="s">
        <v>332</v>
      </c>
      <c r="B25" s="1"/>
      <c r="C25" s="125" t="s">
        <v>226</v>
      </c>
      <c r="D25" s="14"/>
      <c r="E25" s="125" t="s">
        <v>175</v>
      </c>
      <c r="F25" s="125" t="s">
        <v>175</v>
      </c>
      <c r="G25" s="125" t="s">
        <v>175</v>
      </c>
      <c r="H25" s="125" t="s">
        <v>232</v>
      </c>
      <c r="I25" s="110"/>
      <c r="J25" s="50"/>
    </row>
    <row r="26" spans="1:10">
      <c r="A26" s="2">
        <v>1</v>
      </c>
      <c r="B26" s="1"/>
      <c r="C26" s="15" t="s">
        <v>341</v>
      </c>
      <c r="D26" s="14"/>
      <c r="E26" s="63">
        <f>'10-CWIP'!E25</f>
        <v>150976.49</v>
      </c>
      <c r="F26" s="63">
        <f>'10-CWIP'!E26</f>
        <v>5894761.7546153832</v>
      </c>
      <c r="G26" s="63">
        <f>'10-CWIP'!K113</f>
        <v>-150976.49</v>
      </c>
      <c r="H26" s="46" t="str">
        <f>"10-CWIP Lines "&amp;'10-CWIP'!A25&amp;", "&amp;'10-CWIP'!A26&amp;", and "&amp;'10-CWIP'!A113&amp;""</f>
        <v>10-CWIP Lines 13, 14, and 80</v>
      </c>
      <c r="I26" s="14"/>
    </row>
    <row r="27" spans="1:10">
      <c r="A27" s="2">
        <f t="shared" ref="A27:A37" si="0">A26+1</f>
        <v>2</v>
      </c>
      <c r="B27" s="1"/>
      <c r="C27" s="15" t="s">
        <v>342</v>
      </c>
      <c r="D27" s="14"/>
      <c r="E27" s="63">
        <f>'10-CWIP'!F25</f>
        <v>0</v>
      </c>
      <c r="F27" s="63">
        <f>'10-CWIP'!F26</f>
        <v>0</v>
      </c>
      <c r="G27" s="63">
        <f>'10-CWIP'!K146</f>
        <v>0</v>
      </c>
      <c r="H27" s="46" t="str">
        <f>"10-CWIP Lines "&amp;'10-CWIP'!A25&amp;", "&amp;'10-CWIP'!A26&amp;", and "&amp;'10-CWIP'!A146&amp;""</f>
        <v>10-CWIP Lines 13, 14, and 106</v>
      </c>
      <c r="I27" s="14"/>
    </row>
    <row r="28" spans="1:10">
      <c r="A28" s="2">
        <f t="shared" si="0"/>
        <v>3</v>
      </c>
      <c r="B28" s="1"/>
      <c r="C28" s="485" t="s">
        <v>2410</v>
      </c>
      <c r="D28" s="14"/>
      <c r="E28" s="63">
        <f>'10-CWIP'!G25</f>
        <v>4884727.96</v>
      </c>
      <c r="F28" s="63">
        <f>'10-CWIP'!G26</f>
        <v>4594011.3792307694</v>
      </c>
      <c r="G28" s="63">
        <f>'10-CWIP'!K177</f>
        <v>628048.07692307688</v>
      </c>
      <c r="H28" s="46" t="str">
        <f>"10-CWIP Lines "&amp;'10-CWIP'!A25&amp;", "&amp;'10-CWIP'!A26&amp;", and "&amp;'10-CWIP'!A177&amp;""</f>
        <v>10-CWIP Lines 13, 14, and 132</v>
      </c>
      <c r="I28" s="14"/>
    </row>
    <row r="29" spans="1:10">
      <c r="A29" s="2">
        <f t="shared" si="0"/>
        <v>4</v>
      </c>
      <c r="B29" s="1"/>
      <c r="C29" s="485" t="s">
        <v>2411</v>
      </c>
      <c r="D29" s="14"/>
      <c r="E29" s="63">
        <f>'10-CWIP'!H25</f>
        <v>98805811.510000005</v>
      </c>
      <c r="F29" s="63">
        <f>'10-CWIP'!H26</f>
        <v>80157512.240769237</v>
      </c>
      <c r="G29" s="63">
        <f>'10-CWIP'!K210</f>
        <v>158421232.23461542</v>
      </c>
      <c r="H29" s="46" t="str">
        <f>"10-CWIP Lines "&amp;'10-CWIP'!A25&amp;", "&amp;'10-CWIP'!A26&amp;", and "&amp;'10-CWIP'!A210&amp;""</f>
        <v>10-CWIP Lines 13, 14, and 158</v>
      </c>
      <c r="I29" s="14"/>
    </row>
    <row r="30" spans="1:10">
      <c r="A30" s="2">
        <f t="shared" si="0"/>
        <v>5</v>
      </c>
      <c r="B30" s="1"/>
      <c r="C30" s="15" t="s">
        <v>1009</v>
      </c>
      <c r="D30" s="14"/>
      <c r="E30" s="63">
        <f>'10-CWIP'!I25</f>
        <v>0</v>
      </c>
      <c r="F30" s="63">
        <f>'10-CWIP'!I26</f>
        <v>0</v>
      </c>
      <c r="G30" s="63">
        <f>'10-CWIP'!K241</f>
        <v>0</v>
      </c>
      <c r="H30" s="46" t="str">
        <f>"10-CWIP Lines "&amp;'10-CWIP'!A25&amp;", "&amp;'10-CWIP'!A26&amp;", and "&amp;'10-CWIP'!A241&amp;""</f>
        <v>10-CWIP Lines 13, 14, and 184</v>
      </c>
      <c r="I30" s="14"/>
    </row>
    <row r="31" spans="1:10">
      <c r="A31" s="2">
        <f t="shared" si="0"/>
        <v>6</v>
      </c>
      <c r="B31" s="1"/>
      <c r="C31" s="15" t="s">
        <v>1010</v>
      </c>
      <c r="D31" s="14"/>
      <c r="E31" s="63">
        <f>'10-CWIP'!D45</f>
        <v>0</v>
      </c>
      <c r="F31" s="63">
        <f>'10-CWIP'!D46</f>
        <v>9253542.2723076921</v>
      </c>
      <c r="G31" s="63">
        <f>'10-CWIP'!K274</f>
        <v>0</v>
      </c>
      <c r="H31" s="46" t="str">
        <f>"10-CWIP Lines "&amp;'10-CWIP'!A45&amp;", "&amp;'10-CWIP'!A46&amp;", and "&amp;'10-CWIP'!A274&amp;""</f>
        <v>10-CWIP Lines 27, 28, and 210</v>
      </c>
      <c r="I31" s="14"/>
    </row>
    <row r="32" spans="1:10">
      <c r="A32" s="2">
        <f t="shared" si="0"/>
        <v>7</v>
      </c>
      <c r="B32" s="1"/>
      <c r="C32" s="15" t="s">
        <v>1011</v>
      </c>
      <c r="D32" s="14"/>
      <c r="E32" s="63">
        <f>'10-CWIP'!E45</f>
        <v>0</v>
      </c>
      <c r="F32" s="63">
        <f>'10-CWIP'!E46</f>
        <v>0</v>
      </c>
      <c r="G32" s="63">
        <f>'10-CWIP'!K305</f>
        <v>0</v>
      </c>
      <c r="H32" s="46" t="str">
        <f>"10-CWIP Lines "&amp;'10-CWIP'!A45&amp;", "&amp;'10-CWIP'!A46&amp;", and "&amp;'10-CWIP'!A305&amp;""</f>
        <v>10-CWIP Lines 27, 28, and 236</v>
      </c>
      <c r="I32" s="14"/>
    </row>
    <row r="33" spans="1:10">
      <c r="A33" s="2">
        <f t="shared" si="0"/>
        <v>8</v>
      </c>
      <c r="B33" s="1"/>
      <c r="C33" s="1081" t="s">
        <v>2666</v>
      </c>
      <c r="D33" s="14"/>
      <c r="E33" s="63">
        <f>'10-CWIP'!F45</f>
        <v>46788115.939999998</v>
      </c>
      <c r="F33" s="63">
        <f>'10-CWIP'!F46</f>
        <v>6541655.1407692302</v>
      </c>
      <c r="G33" s="63">
        <f>'10-CWIP'!K338</f>
        <v>110990870.81971005</v>
      </c>
      <c r="H33" s="46" t="str">
        <f>"10-CWIP Lines "&amp;'10-CWIP'!A45&amp;", "&amp;'10-CWIP'!A46&amp;", and "&amp;'10-CWIP'!A338&amp;""</f>
        <v>10-CWIP Lines 27, 28, and 262</v>
      </c>
      <c r="I33" s="14"/>
    </row>
    <row r="34" spans="1:10">
      <c r="A34" s="2">
        <f t="shared" si="0"/>
        <v>9</v>
      </c>
      <c r="B34" s="1"/>
      <c r="C34" s="1081" t="s">
        <v>2667</v>
      </c>
      <c r="D34" s="14"/>
      <c r="E34" s="63">
        <f>'10-CWIP'!G45</f>
        <v>36155802.810000002</v>
      </c>
      <c r="F34" s="63">
        <f>'10-CWIP'!G46</f>
        <v>2781215.6007692311</v>
      </c>
      <c r="G34" s="63">
        <f>'10-CWIP'!K369</f>
        <v>3359285.5114230635</v>
      </c>
      <c r="H34" s="46" t="str">
        <f>"10-CWIP Lines "&amp;'10-CWIP'!A45&amp;", "&amp;'10-CWIP'!A46&amp;", and "&amp;'10-CWIP'!A369&amp;""</f>
        <v>10-CWIP Lines 27, 28, and 288</v>
      </c>
      <c r="I34" s="14"/>
    </row>
    <row r="35" spans="1:10">
      <c r="A35" s="2">
        <f t="shared" si="0"/>
        <v>10</v>
      </c>
      <c r="B35" s="1"/>
      <c r="C35" s="1081" t="s">
        <v>2668</v>
      </c>
      <c r="E35" s="63">
        <f>'10-CWIP'!H45</f>
        <v>34993045.010000005</v>
      </c>
      <c r="F35" s="63">
        <f>'10-CWIP'!H46</f>
        <v>2691772.6930769235</v>
      </c>
      <c r="G35" s="63">
        <f>'10-CWIP'!K402</f>
        <v>28209776.497692302</v>
      </c>
      <c r="H35" s="46" t="str">
        <f>"10-CWIP Lines "&amp;'10-CWIP'!A45&amp;", "&amp;'10-CWIP'!A46&amp;", and "&amp;'10-CWIP'!A402&amp;""</f>
        <v>10-CWIP Lines 27, 28, and 314</v>
      </c>
      <c r="I35" s="14"/>
      <c r="J35" s="14"/>
    </row>
    <row r="36" spans="1:10">
      <c r="A36" s="2">
        <f t="shared" si="0"/>
        <v>11</v>
      </c>
      <c r="B36" s="1"/>
      <c r="C36" s="549" t="s">
        <v>513</v>
      </c>
      <c r="E36" s="193" t="s">
        <v>76</v>
      </c>
      <c r="F36" s="193" t="s">
        <v>76</v>
      </c>
      <c r="G36" s="193" t="s">
        <v>76</v>
      </c>
      <c r="H36" s="549" t="s">
        <v>513</v>
      </c>
    </row>
    <row r="37" spans="1:10">
      <c r="A37" s="2">
        <f t="shared" si="0"/>
        <v>12</v>
      </c>
      <c r="B37" s="1"/>
      <c r="D37" s="37" t="s">
        <v>197</v>
      </c>
      <c r="E37" s="7">
        <f>SUM(E26:E35)</f>
        <v>221778479.72000003</v>
      </c>
      <c r="F37" s="7">
        <f>SUM(F26:F35)</f>
        <v>111914471.08153847</v>
      </c>
      <c r="G37" s="7">
        <f>SUM(G26:G35)</f>
        <v>301458236.65036386</v>
      </c>
      <c r="H37" s="52"/>
    </row>
    <row r="38" spans="1:10">
      <c r="B38" s="1"/>
    </row>
    <row r="39" spans="1:10">
      <c r="B39" s="1"/>
      <c r="C39" s="1" t="s">
        <v>1262</v>
      </c>
    </row>
    <row r="40" spans="1:10">
      <c r="B40" s="1"/>
      <c r="C40" s="1"/>
    </row>
    <row r="41" spans="1:10">
      <c r="B41" s="1"/>
      <c r="E41" s="3" t="s">
        <v>363</v>
      </c>
      <c r="F41" s="3" t="s">
        <v>347</v>
      </c>
      <c r="G41" s="3" t="s">
        <v>348</v>
      </c>
    </row>
    <row r="42" spans="1:10">
      <c r="B42" s="1"/>
      <c r="E42" s="492" t="s">
        <v>1484</v>
      </c>
      <c r="F42" s="3"/>
      <c r="G42" s="3"/>
    </row>
    <row r="43" spans="1:10">
      <c r="B43" s="1"/>
      <c r="E43" s="2" t="s">
        <v>63</v>
      </c>
      <c r="F43" s="2" t="s">
        <v>302</v>
      </c>
      <c r="G43" s="2" t="s">
        <v>302</v>
      </c>
    </row>
    <row r="44" spans="1:10">
      <c r="B44" s="1"/>
      <c r="E44" s="2" t="s">
        <v>8</v>
      </c>
      <c r="F44" s="2" t="s">
        <v>1</v>
      </c>
      <c r="G44" s="2" t="s">
        <v>301</v>
      </c>
    </row>
    <row r="45" spans="1:10">
      <c r="B45" s="1"/>
      <c r="E45" s="3" t="s">
        <v>173</v>
      </c>
      <c r="F45" s="3" t="s">
        <v>251</v>
      </c>
      <c r="G45" s="3" t="s">
        <v>3</v>
      </c>
      <c r="H45" s="3" t="s">
        <v>232</v>
      </c>
    </row>
    <row r="46" spans="1:10">
      <c r="A46" s="2">
        <f>A37+1</f>
        <v>13</v>
      </c>
      <c r="B46" s="1"/>
      <c r="C46" t="s">
        <v>227</v>
      </c>
      <c r="E46" s="101">
        <f>F46+G46</f>
        <v>150232042.80208787</v>
      </c>
      <c r="F46" s="63">
        <v>0</v>
      </c>
      <c r="G46" s="63">
        <f>H84</f>
        <v>150232042.80208787</v>
      </c>
      <c r="H46" s="13" t="str">
        <f>"Line "&amp;A84&amp;", C4"</f>
        <v>Line 37, C4</v>
      </c>
    </row>
    <row r="47" spans="1:10">
      <c r="A47" s="2">
        <f>A46+1</f>
        <v>14</v>
      </c>
      <c r="B47" s="1"/>
      <c r="C47" t="s">
        <v>228</v>
      </c>
      <c r="E47" s="101">
        <f>F47+G47</f>
        <v>2728701252.9784455</v>
      </c>
      <c r="F47" s="63">
        <f>E26</f>
        <v>150976.49</v>
      </c>
      <c r="G47" s="63">
        <f>F84</f>
        <v>2728550276.4884458</v>
      </c>
      <c r="H47" s="13" t="str">
        <f>"Line "&amp;A26&amp;", C1, and Line "&amp;A84&amp;", C2"</f>
        <v>Line 1, C1, and Line 37, C2</v>
      </c>
    </row>
    <row r="48" spans="1:10">
      <c r="A48" s="2">
        <f>A47+1</f>
        <v>15</v>
      </c>
      <c r="B48" s="1"/>
      <c r="C48" s="483" t="s">
        <v>1673</v>
      </c>
      <c r="E48" s="101">
        <f>F48+G48</f>
        <v>687752339.98307264</v>
      </c>
      <c r="F48" s="63">
        <f>E27</f>
        <v>0</v>
      </c>
      <c r="G48" s="63">
        <f>G84</f>
        <v>687752339.98307264</v>
      </c>
      <c r="H48" s="13" t="str">
        <f>"Line "&amp;A27&amp;", C1, and Line "&amp;A84&amp;", C3"</f>
        <v>Line 2, C1, and Line 37, C3</v>
      </c>
    </row>
    <row r="49" spans="1:8">
      <c r="A49" s="2">
        <f>A48+1</f>
        <v>16</v>
      </c>
      <c r="B49" s="1"/>
      <c r="C49" s="549" t="s">
        <v>513</v>
      </c>
      <c r="E49" s="96" t="s">
        <v>76</v>
      </c>
      <c r="F49" s="96" t="s">
        <v>76</v>
      </c>
      <c r="G49" s="96" t="s">
        <v>76</v>
      </c>
      <c r="H49" s="549" t="s">
        <v>513</v>
      </c>
    </row>
    <row r="50" spans="1:8">
      <c r="A50" s="2">
        <f>A49+1</f>
        <v>17</v>
      </c>
      <c r="B50" s="1"/>
      <c r="C50" s="188"/>
      <c r="E50" s="96"/>
      <c r="F50" s="96"/>
      <c r="G50" s="96"/>
      <c r="H50" s="13"/>
    </row>
    <row r="51" spans="1:8">
      <c r="A51" s="2">
        <f>A50+1</f>
        <v>18</v>
      </c>
      <c r="B51" s="1"/>
      <c r="D51" s="481" t="s">
        <v>1677</v>
      </c>
      <c r="E51" s="7">
        <f>SUM(E46:E48)</f>
        <v>3566685635.7636061</v>
      </c>
      <c r="F51" s="96"/>
      <c r="G51" s="96"/>
      <c r="H51" s="487" t="s">
        <v>1678</v>
      </c>
    </row>
    <row r="52" spans="1:8">
      <c r="B52" s="1"/>
    </row>
    <row r="53" spans="1:8">
      <c r="B53" s="1"/>
      <c r="C53" s="1" t="s">
        <v>1508</v>
      </c>
    </row>
    <row r="54" spans="1:8">
      <c r="B54" s="1"/>
      <c r="C54" s="1"/>
    </row>
    <row r="55" spans="1:8">
      <c r="B55" s="1"/>
      <c r="C55" s="1"/>
      <c r="E55" s="3" t="s">
        <v>363</v>
      </c>
      <c r="F55" s="3" t="s">
        <v>347</v>
      </c>
      <c r="G55" s="3" t="s">
        <v>348</v>
      </c>
    </row>
    <row r="56" spans="1:8">
      <c r="B56" s="1"/>
      <c r="E56" s="492" t="s">
        <v>1484</v>
      </c>
      <c r="G56" s="2" t="s">
        <v>10</v>
      </c>
    </row>
    <row r="57" spans="1:8">
      <c r="B57" s="1"/>
      <c r="E57" s="2" t="s">
        <v>63</v>
      </c>
      <c r="F57" s="2" t="s">
        <v>10</v>
      </c>
      <c r="G57" s="2" t="s">
        <v>301</v>
      </c>
    </row>
    <row r="58" spans="1:8">
      <c r="B58" s="1"/>
      <c r="C58" s="2" t="s">
        <v>8</v>
      </c>
      <c r="E58" s="2" t="s">
        <v>8</v>
      </c>
      <c r="F58" s="2" t="s">
        <v>1</v>
      </c>
      <c r="G58" s="2" t="s">
        <v>3</v>
      </c>
    </row>
    <row r="59" spans="1:8" ht="12.75" customHeight="1">
      <c r="B59" s="1"/>
      <c r="C59" s="3" t="s">
        <v>226</v>
      </c>
      <c r="E59" s="3" t="s">
        <v>173</v>
      </c>
      <c r="F59" s="3" t="s">
        <v>251</v>
      </c>
      <c r="G59" s="3" t="s">
        <v>251</v>
      </c>
      <c r="H59" s="3" t="s">
        <v>232</v>
      </c>
    </row>
    <row r="60" spans="1:8">
      <c r="A60" s="2">
        <f>A51+1</f>
        <v>19</v>
      </c>
      <c r="B60" s="1"/>
      <c r="C60" t="s">
        <v>227</v>
      </c>
      <c r="E60" s="101">
        <f>F60+G60</f>
        <v>152604253.61173245</v>
      </c>
      <c r="F60" s="63">
        <v>0</v>
      </c>
      <c r="G60" s="104">
        <f>H85</f>
        <v>152604253.61173245</v>
      </c>
      <c r="H60" s="13" t="str">
        <f>"Line "&amp;A85&amp;", C4"</f>
        <v>Line 38, C4</v>
      </c>
    </row>
    <row r="61" spans="1:8">
      <c r="A61" s="2">
        <f>A60+1</f>
        <v>20</v>
      </c>
      <c r="B61" s="1"/>
      <c r="C61" t="s">
        <v>228</v>
      </c>
      <c r="E61" s="101">
        <f>F61+G61</f>
        <v>2756592235.1223397</v>
      </c>
      <c r="F61" s="63">
        <f>F26</f>
        <v>5894761.7546153832</v>
      </c>
      <c r="G61" s="104">
        <f>F85</f>
        <v>2750697473.3677244</v>
      </c>
      <c r="H61" s="13" t="str">
        <f>"Line "&amp;A26&amp;", C2, and Line "&amp;A85&amp;", C2"</f>
        <v>Line 1, C2, and Line 38, C2</v>
      </c>
    </row>
    <row r="62" spans="1:8">
      <c r="A62" s="2">
        <f>A61+1</f>
        <v>21</v>
      </c>
      <c r="B62" s="1"/>
      <c r="C62" s="12" t="s">
        <v>549</v>
      </c>
      <c r="E62" s="101">
        <f>F62+G62</f>
        <v>697660501.26822519</v>
      </c>
      <c r="F62" s="63">
        <f>F27</f>
        <v>0</v>
      </c>
      <c r="G62" s="104">
        <f>G85</f>
        <v>697660501.26822519</v>
      </c>
      <c r="H62" s="13" t="str">
        <f>"Line "&amp;A27&amp;", C2, and Line "&amp;A85&amp;", C3"</f>
        <v>Line 2, C2, and Line 38, C3</v>
      </c>
    </row>
    <row r="63" spans="1:8">
      <c r="A63" s="2">
        <f>A62+1</f>
        <v>22</v>
      </c>
      <c r="B63" s="1"/>
      <c r="C63" s="549" t="s">
        <v>513</v>
      </c>
      <c r="E63" s="96" t="s">
        <v>76</v>
      </c>
      <c r="F63" s="96" t="s">
        <v>76</v>
      </c>
      <c r="G63" s="96" t="s">
        <v>76</v>
      </c>
      <c r="H63" s="549" t="s">
        <v>513</v>
      </c>
    </row>
    <row r="64" spans="1:8">
      <c r="A64" s="2">
        <f>A63+1</f>
        <v>23</v>
      </c>
      <c r="B64" s="1"/>
      <c r="C64" s="188"/>
      <c r="E64" s="96"/>
      <c r="F64" s="96"/>
      <c r="G64" s="96"/>
      <c r="H64" s="13"/>
    </row>
    <row r="65" spans="1:11">
      <c r="A65" s="2">
        <f>A64+1</f>
        <v>24</v>
      </c>
      <c r="B65" s="1"/>
      <c r="D65" s="481" t="s">
        <v>1677</v>
      </c>
      <c r="E65" s="7">
        <f>SUM(E60:E62)</f>
        <v>3606856990.0022974</v>
      </c>
      <c r="H65" s="568" t="s">
        <v>1679</v>
      </c>
    </row>
    <row r="66" spans="1:11">
      <c r="A66" s="529"/>
      <c r="B66" s="1"/>
      <c r="D66" s="94"/>
      <c r="E66" s="7"/>
    </row>
    <row r="67" spans="1:11">
      <c r="C67" s="1" t="s">
        <v>1012</v>
      </c>
    </row>
    <row r="68" spans="1:11">
      <c r="E68" s="84" t="s">
        <v>363</v>
      </c>
      <c r="F68" s="84" t="s">
        <v>347</v>
      </c>
      <c r="G68" s="84" t="s">
        <v>348</v>
      </c>
      <c r="H68" s="84" t="s">
        <v>349</v>
      </c>
      <c r="I68" s="84" t="s">
        <v>350</v>
      </c>
      <c r="J68" s="84"/>
    </row>
    <row r="69" spans="1:11">
      <c r="C69" s="2" t="s">
        <v>538</v>
      </c>
      <c r="E69" s="2" t="s">
        <v>541</v>
      </c>
      <c r="F69" s="937" t="str">
        <f>"L "&amp;A117&amp;" to L "&amp;A129&amp;", C3"</f>
        <v>L 53 to L 65, C3</v>
      </c>
      <c r="G69" s="937" t="str">
        <f>"L "&amp;A157&amp;" to L "&amp;A169&amp;", C3"</f>
        <v>L 79 to L 91, C3</v>
      </c>
      <c r="H69" s="937" t="str">
        <f>"L "&amp;A137&amp;" to L "&amp;A149&amp;", C3"</f>
        <v>L 66 to L 78, C3</v>
      </c>
      <c r="I69" s="97"/>
      <c r="K69" s="2"/>
    </row>
    <row r="70" spans="1:11">
      <c r="C70" s="2" t="s">
        <v>193</v>
      </c>
      <c r="E70" s="2" t="s">
        <v>542</v>
      </c>
      <c r="F70" s="14"/>
      <c r="G70" s="111" t="s">
        <v>345</v>
      </c>
      <c r="H70" s="111" t="s">
        <v>539</v>
      </c>
      <c r="I70" s="189"/>
      <c r="J70" s="364"/>
      <c r="K70" s="2"/>
    </row>
    <row r="71" spans="1:11">
      <c r="A71" s="51"/>
      <c r="C71" s="25" t="s">
        <v>192</v>
      </c>
      <c r="D71" s="25" t="s">
        <v>193</v>
      </c>
      <c r="E71" s="3" t="s">
        <v>3</v>
      </c>
      <c r="F71" s="125" t="s">
        <v>225</v>
      </c>
      <c r="G71" s="125" t="s">
        <v>346</v>
      </c>
      <c r="H71" s="125" t="s">
        <v>540</v>
      </c>
      <c r="I71" s="190"/>
      <c r="J71" s="3" t="s">
        <v>168</v>
      </c>
    </row>
    <row r="72" spans="1:11">
      <c r="A72" s="2">
        <f>A65+1</f>
        <v>25</v>
      </c>
      <c r="C72" s="20" t="s">
        <v>180</v>
      </c>
      <c r="D72" s="1199">
        <v>2016</v>
      </c>
      <c r="E72" s="59">
        <f>SUM(F72:H72)</f>
        <v>3623644583.4649796</v>
      </c>
      <c r="F72" s="972">
        <f>G117</f>
        <v>2761096353.8102016</v>
      </c>
      <c r="G72" s="972">
        <f>G157</f>
        <v>707569233.3452605</v>
      </c>
      <c r="H72" s="972">
        <f>G137</f>
        <v>154978996.30951726</v>
      </c>
      <c r="I72" s="364" t="s">
        <v>76</v>
      </c>
      <c r="J72" s="50" t="s">
        <v>1016</v>
      </c>
    </row>
    <row r="73" spans="1:11">
      <c r="A73" s="2">
        <f>A72+1</f>
        <v>26</v>
      </c>
      <c r="C73" s="20" t="s">
        <v>181</v>
      </c>
      <c r="D73" s="641">
        <v>2017</v>
      </c>
      <c r="E73" s="59">
        <f t="shared" ref="E73:E84" si="1">SUM(F73:H73)</f>
        <v>3615880494.7592592</v>
      </c>
      <c r="F73" s="972">
        <f t="shared" ref="F73:F84" si="2">G118</f>
        <v>2755369096.2820368</v>
      </c>
      <c r="G73" s="972">
        <f t="shared" ref="G73:G84" si="3">G158</f>
        <v>705927339.04713356</v>
      </c>
      <c r="H73" s="972">
        <f t="shared" ref="H73:H84" si="4">G138</f>
        <v>154584059.43008918</v>
      </c>
      <c r="I73" s="364" t="s">
        <v>76</v>
      </c>
      <c r="J73" s="13" t="s">
        <v>1015</v>
      </c>
    </row>
    <row r="74" spans="1:11">
      <c r="A74" s="2">
        <f t="shared" ref="A74:A85" si="5">A73+1</f>
        <v>27</v>
      </c>
      <c r="C74" s="21" t="s">
        <v>182</v>
      </c>
      <c r="D74" s="641">
        <v>2017</v>
      </c>
      <c r="E74" s="59">
        <f t="shared" si="1"/>
        <v>3614032507.8598137</v>
      </c>
      <c r="F74" s="972">
        <f t="shared" si="2"/>
        <v>2755580398.2908025</v>
      </c>
      <c r="G74" s="972">
        <f t="shared" si="3"/>
        <v>704262987.01835036</v>
      </c>
      <c r="H74" s="972">
        <f t="shared" si="4"/>
        <v>154189122.55066112</v>
      </c>
      <c r="I74" s="364" t="s">
        <v>76</v>
      </c>
      <c r="J74" s="364" t="s">
        <v>1014</v>
      </c>
      <c r="K74" s="2"/>
    </row>
    <row r="75" spans="1:11">
      <c r="A75" s="2">
        <f t="shared" si="5"/>
        <v>28</v>
      </c>
      <c r="C75" s="21" t="s">
        <v>195</v>
      </c>
      <c r="D75" s="641">
        <v>2017</v>
      </c>
      <c r="E75" s="59">
        <f t="shared" si="1"/>
        <v>3610703590.121047</v>
      </c>
      <c r="F75" s="972">
        <f t="shared" si="2"/>
        <v>2754293880.9851642</v>
      </c>
      <c r="G75" s="972">
        <f t="shared" si="3"/>
        <v>702621119.58465004</v>
      </c>
      <c r="H75" s="972">
        <f t="shared" si="4"/>
        <v>153788589.55123302</v>
      </c>
      <c r="I75" s="364" t="s">
        <v>76</v>
      </c>
      <c r="J75" s="364"/>
      <c r="K75" s="2"/>
    </row>
    <row r="76" spans="1:11">
      <c r="A76" s="2">
        <f t="shared" si="5"/>
        <v>29</v>
      </c>
      <c r="C76" s="20" t="s">
        <v>183</v>
      </c>
      <c r="D76" s="641">
        <v>2017</v>
      </c>
      <c r="E76" s="59">
        <f t="shared" si="1"/>
        <v>3603732187.2109303</v>
      </c>
      <c r="F76" s="972">
        <f t="shared" si="2"/>
        <v>2749366950.1302528</v>
      </c>
      <c r="G76" s="972">
        <f t="shared" si="3"/>
        <v>700971572.61038721</v>
      </c>
      <c r="H76" s="972">
        <f t="shared" si="4"/>
        <v>153393664.47029027</v>
      </c>
      <c r="I76" s="364" t="s">
        <v>76</v>
      </c>
      <c r="J76" s="364"/>
      <c r="K76" s="2"/>
    </row>
    <row r="77" spans="1:11">
      <c r="A77" s="2">
        <f t="shared" si="5"/>
        <v>30</v>
      </c>
      <c r="C77" s="21" t="s">
        <v>184</v>
      </c>
      <c r="D77" s="641">
        <v>2017</v>
      </c>
      <c r="E77" s="59">
        <f t="shared" si="1"/>
        <v>3617080146.8861885</v>
      </c>
      <c r="F77" s="972">
        <f t="shared" si="2"/>
        <v>2764751667.296186</v>
      </c>
      <c r="G77" s="972">
        <f t="shared" si="3"/>
        <v>699329740.20065498</v>
      </c>
      <c r="H77" s="972">
        <f t="shared" si="4"/>
        <v>152998739.38934752</v>
      </c>
      <c r="I77" s="364" t="s">
        <v>76</v>
      </c>
      <c r="J77" s="364"/>
      <c r="K77" s="2"/>
    </row>
    <row r="78" spans="1:11">
      <c r="A78" s="2">
        <f t="shared" si="5"/>
        <v>31</v>
      </c>
      <c r="C78" s="21" t="s">
        <v>185</v>
      </c>
      <c r="D78" s="641">
        <v>2017</v>
      </c>
      <c r="E78" s="59">
        <f t="shared" si="1"/>
        <v>3611530160.2316108</v>
      </c>
      <c r="F78" s="972">
        <f t="shared" si="2"/>
        <v>2761235317.0400362</v>
      </c>
      <c r="G78" s="972">
        <f t="shared" si="3"/>
        <v>697691028.82316971</v>
      </c>
      <c r="H78" s="972">
        <f t="shared" si="4"/>
        <v>152603814.36840478</v>
      </c>
      <c r="I78" s="364" t="s">
        <v>76</v>
      </c>
      <c r="J78" s="364"/>
      <c r="K78" s="2"/>
    </row>
    <row r="79" spans="1:11">
      <c r="A79" s="2">
        <f t="shared" si="5"/>
        <v>32</v>
      </c>
      <c r="C79" s="20" t="s">
        <v>186</v>
      </c>
      <c r="D79" s="641">
        <v>2017</v>
      </c>
      <c r="E79" s="59">
        <f t="shared" si="1"/>
        <v>3604314876.9233866</v>
      </c>
      <c r="F79" s="972">
        <f t="shared" si="2"/>
        <v>2756061325.125977</v>
      </c>
      <c r="G79" s="972">
        <f t="shared" si="3"/>
        <v>696044662.47007406</v>
      </c>
      <c r="H79" s="972">
        <f t="shared" si="4"/>
        <v>152208889.32733521</v>
      </c>
      <c r="I79" s="364" t="s">
        <v>76</v>
      </c>
      <c r="J79" s="364"/>
      <c r="K79" s="83"/>
    </row>
    <row r="80" spans="1:11">
      <c r="A80" s="2">
        <f t="shared" si="5"/>
        <v>33</v>
      </c>
      <c r="C80" s="21" t="s">
        <v>187</v>
      </c>
      <c r="D80" s="641">
        <v>2017</v>
      </c>
      <c r="E80" s="59">
        <f t="shared" si="1"/>
        <v>3597373680.8535147</v>
      </c>
      <c r="F80" s="972">
        <f t="shared" si="2"/>
        <v>2751250376.9770298</v>
      </c>
      <c r="G80" s="972">
        <f t="shared" si="3"/>
        <v>694311578.05030334</v>
      </c>
      <c r="H80" s="972">
        <f t="shared" si="4"/>
        <v>151811725.82618162</v>
      </c>
      <c r="I80" s="364" t="s">
        <v>76</v>
      </c>
      <c r="J80" s="364"/>
      <c r="K80" s="2"/>
    </row>
    <row r="81" spans="1:11">
      <c r="A81" s="2">
        <f t="shared" si="5"/>
        <v>34</v>
      </c>
      <c r="C81" s="21" t="s">
        <v>188</v>
      </c>
      <c r="D81" s="641">
        <v>2017</v>
      </c>
      <c r="E81" s="59">
        <f t="shared" si="1"/>
        <v>3590313709.990726</v>
      </c>
      <c r="F81" s="972">
        <f t="shared" si="2"/>
        <v>2746221604.1963224</v>
      </c>
      <c r="G81" s="972">
        <f t="shared" si="3"/>
        <v>692675300.7317611</v>
      </c>
      <c r="H81" s="972">
        <f t="shared" si="4"/>
        <v>151416805.06264254</v>
      </c>
      <c r="I81" s="364" t="s">
        <v>76</v>
      </c>
      <c r="J81" s="364"/>
      <c r="K81" s="2"/>
    </row>
    <row r="82" spans="1:11">
      <c r="A82" s="2">
        <f t="shared" si="5"/>
        <v>35</v>
      </c>
      <c r="C82" s="20" t="s">
        <v>189</v>
      </c>
      <c r="D82" s="641">
        <v>2017</v>
      </c>
      <c r="E82" s="59">
        <f t="shared" si="1"/>
        <v>3584010798.5742407</v>
      </c>
      <c r="F82" s="972">
        <f t="shared" si="2"/>
        <v>2741953296.3629708</v>
      </c>
      <c r="G82" s="972">
        <f t="shared" si="3"/>
        <v>691035617.90214503</v>
      </c>
      <c r="H82" s="972">
        <f t="shared" si="4"/>
        <v>151021884.30912489</v>
      </c>
      <c r="I82" s="364" t="s">
        <v>76</v>
      </c>
      <c r="J82" s="364"/>
      <c r="K82" s="2"/>
    </row>
    <row r="83" spans="1:11">
      <c r="A83" s="2">
        <f t="shared" si="5"/>
        <v>36</v>
      </c>
      <c r="C83" s="20" t="s">
        <v>190</v>
      </c>
      <c r="D83" s="641">
        <v>2017</v>
      </c>
      <c r="E83" s="59">
        <f t="shared" si="1"/>
        <v>3573357571.0705538</v>
      </c>
      <c r="F83" s="972">
        <f t="shared" si="2"/>
        <v>2733336610.7949824</v>
      </c>
      <c r="G83" s="972">
        <f t="shared" si="3"/>
        <v>689393996.71996498</v>
      </c>
      <c r="H83" s="972">
        <f t="shared" si="4"/>
        <v>150626963.55560637</v>
      </c>
      <c r="I83" s="364" t="s">
        <v>76</v>
      </c>
      <c r="J83" s="364"/>
      <c r="K83" s="2"/>
    </row>
    <row r="84" spans="1:11">
      <c r="A84" s="2">
        <f t="shared" si="5"/>
        <v>37</v>
      </c>
      <c r="C84" s="20" t="s">
        <v>180</v>
      </c>
      <c r="D84" s="641">
        <v>2017</v>
      </c>
      <c r="E84" s="58">
        <f t="shared" si="1"/>
        <v>3566534659.2736063</v>
      </c>
      <c r="F84" s="366">
        <f t="shared" si="2"/>
        <v>2728550276.4884458</v>
      </c>
      <c r="G84" s="366">
        <f t="shared" si="3"/>
        <v>687752339.98307264</v>
      </c>
      <c r="H84" s="366">
        <f t="shared" si="4"/>
        <v>150232042.80208787</v>
      </c>
      <c r="I84" s="364" t="s">
        <v>76</v>
      </c>
      <c r="J84" s="364"/>
      <c r="K84" s="2"/>
    </row>
    <row r="85" spans="1:11">
      <c r="A85" s="2">
        <f t="shared" si="5"/>
        <v>38</v>
      </c>
      <c r="C85" s="20"/>
      <c r="D85" s="192" t="s">
        <v>546</v>
      </c>
      <c r="E85" s="105">
        <f>SUM(E72:E84)/13</f>
        <v>3600962228.2476811</v>
      </c>
      <c r="F85" s="105">
        <f>SUM(F72:F84)/13</f>
        <v>2750697473.3677244</v>
      </c>
      <c r="G85" s="105">
        <f>SUM(G72:G84)/13</f>
        <v>697660501.26822519</v>
      </c>
      <c r="H85" s="105">
        <f>SUM(H72:H84)/13</f>
        <v>152604253.61173245</v>
      </c>
      <c r="I85" s="44"/>
      <c r="J85" s="1"/>
      <c r="K85" s="2"/>
    </row>
    <row r="87" spans="1:11">
      <c r="A87" s="529"/>
      <c r="C87" s="530" t="s">
        <v>1555</v>
      </c>
      <c r="D87" s="531"/>
      <c r="E87" s="532"/>
      <c r="F87" s="532"/>
      <c r="G87" s="532"/>
      <c r="H87" s="532"/>
      <c r="I87" s="1"/>
      <c r="J87" s="1"/>
    </row>
    <row r="88" spans="1:11">
      <c r="A88" s="529"/>
      <c r="C88" s="530"/>
      <c r="D88" s="531"/>
      <c r="E88" s="84" t="s">
        <v>363</v>
      </c>
      <c r="F88" s="84" t="s">
        <v>347</v>
      </c>
      <c r="G88" s="84" t="s">
        <v>348</v>
      </c>
      <c r="H88" s="532"/>
      <c r="I88" s="1"/>
      <c r="J88" s="1"/>
    </row>
    <row r="89" spans="1:11">
      <c r="A89" s="529"/>
      <c r="C89" s="518"/>
      <c r="D89" s="531"/>
      <c r="G89" s="492" t="s">
        <v>1674</v>
      </c>
      <c r="H89" s="532"/>
      <c r="I89" s="1"/>
      <c r="J89" s="1"/>
    </row>
    <row r="90" spans="1:11">
      <c r="A90" s="529"/>
      <c r="C90" s="518"/>
      <c r="D90" s="531"/>
      <c r="E90" s="361" t="s">
        <v>439</v>
      </c>
      <c r="F90" s="532"/>
      <c r="G90" s="533" t="s">
        <v>1556</v>
      </c>
      <c r="H90" s="532"/>
      <c r="I90" s="1"/>
      <c r="J90" s="1"/>
    </row>
    <row r="91" spans="1:11">
      <c r="A91" s="529"/>
      <c r="C91" s="529" t="s">
        <v>538</v>
      </c>
      <c r="E91" s="361" t="s">
        <v>1557</v>
      </c>
      <c r="F91" s="361" t="s">
        <v>99</v>
      </c>
      <c r="G91" s="361" t="s">
        <v>1557</v>
      </c>
      <c r="H91" s="532"/>
      <c r="I91" s="1"/>
      <c r="J91" s="1"/>
    </row>
    <row r="92" spans="1:11">
      <c r="A92" s="529"/>
      <c r="C92" s="529" t="s">
        <v>193</v>
      </c>
      <c r="E92" s="361" t="s">
        <v>8</v>
      </c>
      <c r="F92" s="4" t="s">
        <v>1558</v>
      </c>
      <c r="G92" s="361" t="s">
        <v>8</v>
      </c>
      <c r="H92" s="532"/>
      <c r="I92" s="1"/>
      <c r="J92" s="1"/>
    </row>
    <row r="93" spans="1:11">
      <c r="A93" s="529"/>
      <c r="C93" s="25" t="s">
        <v>192</v>
      </c>
      <c r="D93" s="25" t="s">
        <v>193</v>
      </c>
      <c r="E93" s="362" t="s">
        <v>1559</v>
      </c>
      <c r="F93" s="3" t="s">
        <v>1560</v>
      </c>
      <c r="G93" s="362" t="s">
        <v>1559</v>
      </c>
      <c r="H93" s="362" t="s">
        <v>1561</v>
      </c>
      <c r="I93" s="1"/>
      <c r="J93" s="1"/>
    </row>
    <row r="94" spans="1:11" ht="12.75" customHeight="1">
      <c r="A94" s="529">
        <f>A85+1</f>
        <v>39</v>
      </c>
      <c r="C94" s="518" t="s">
        <v>180</v>
      </c>
      <c r="D94" s="1199">
        <v>2016</v>
      </c>
      <c r="E94" s="7">
        <f>H117+H137+H157+H176+H195+H214+H233+H252+H271+H290</f>
        <v>0</v>
      </c>
      <c r="F94" s="534">
        <v>0</v>
      </c>
      <c r="G94" s="532">
        <f>E94-F94</f>
        <v>0</v>
      </c>
      <c r="H94" s="539" t="s">
        <v>1571</v>
      </c>
      <c r="I94" s="1"/>
      <c r="J94" s="7"/>
    </row>
    <row r="95" spans="1:11">
      <c r="A95" s="529">
        <f>A94+1</f>
        <v>40</v>
      </c>
      <c r="C95" s="518" t="s">
        <v>181</v>
      </c>
      <c r="D95" s="641">
        <v>2017</v>
      </c>
      <c r="E95" s="7">
        <f>H118+H138+H158+H177+H196+H215+H234+H253+H272+H291</f>
        <v>637077.46000011265</v>
      </c>
      <c r="F95" s="534">
        <v>0</v>
      </c>
      <c r="G95" s="532">
        <f t="shared" ref="G95:G106" si="6">E95-F95</f>
        <v>637077.46000011265</v>
      </c>
      <c r="H95" s="539" t="s">
        <v>1570</v>
      </c>
      <c r="I95" s="73"/>
      <c r="J95" s="7"/>
    </row>
    <row r="96" spans="1:11">
      <c r="A96" s="529">
        <f t="shared" ref="A96:A107" si="7">A95+1</f>
        <v>41</v>
      </c>
      <c r="C96" s="516" t="s">
        <v>182</v>
      </c>
      <c r="D96" s="641">
        <v>2017</v>
      </c>
      <c r="E96" s="7">
        <f t="shared" ref="E96:E106" si="8">H119+H139+H159+H178+H197+H216+H235+H254+H273+H292</f>
        <v>6682963.3300002217</v>
      </c>
      <c r="F96" s="534">
        <v>0</v>
      </c>
      <c r="G96" s="532">
        <f t="shared" si="6"/>
        <v>6682963.3300002217</v>
      </c>
      <c r="H96" s="539"/>
      <c r="I96" s="73"/>
      <c r="J96" s="7"/>
    </row>
    <row r="97" spans="1:10">
      <c r="A97" s="529">
        <f t="shared" si="7"/>
        <v>42</v>
      </c>
      <c r="C97" s="516" t="s">
        <v>195</v>
      </c>
      <c r="D97" s="641">
        <v>2017</v>
      </c>
      <c r="E97" s="7">
        <f t="shared" si="8"/>
        <v>5178669.0300000012</v>
      </c>
      <c r="F97" s="534">
        <v>0</v>
      </c>
      <c r="G97" s="532">
        <f t="shared" si="6"/>
        <v>5178669.0300000012</v>
      </c>
      <c r="H97" s="532"/>
      <c r="I97" s="73"/>
      <c r="J97" s="7"/>
    </row>
    <row r="98" spans="1:10">
      <c r="A98" s="529">
        <f t="shared" si="7"/>
        <v>43</v>
      </c>
      <c r="C98" s="518" t="s">
        <v>183</v>
      </c>
      <c r="D98" s="641">
        <v>2017</v>
      </c>
      <c r="E98" s="7">
        <f t="shared" si="8"/>
        <v>34083657.500000045</v>
      </c>
      <c r="F98" s="534">
        <v>0</v>
      </c>
      <c r="G98" s="532">
        <f t="shared" si="6"/>
        <v>34083657.500000045</v>
      </c>
      <c r="H98" s="532"/>
      <c r="I98" s="73"/>
      <c r="J98" s="7"/>
    </row>
    <row r="99" spans="1:10">
      <c r="A99" s="529">
        <f t="shared" si="7"/>
        <v>44</v>
      </c>
      <c r="C99" s="516" t="s">
        <v>184</v>
      </c>
      <c r="D99" s="641">
        <v>2017</v>
      </c>
      <c r="E99" s="7">
        <f t="shared" si="8"/>
        <v>21945098.959999681</v>
      </c>
      <c r="F99" s="534">
        <v>0</v>
      </c>
      <c r="G99" s="532">
        <f t="shared" si="6"/>
        <v>21945098.959999681</v>
      </c>
      <c r="H99" s="532"/>
      <c r="I99" s="73"/>
      <c r="J99" s="7"/>
    </row>
    <row r="100" spans="1:10">
      <c r="A100" s="529">
        <f t="shared" si="7"/>
        <v>45</v>
      </c>
      <c r="C100" s="516" t="s">
        <v>185</v>
      </c>
      <c r="D100" s="641">
        <v>2017</v>
      </c>
      <c r="E100" s="7">
        <f t="shared" si="8"/>
        <v>2931169.269999817</v>
      </c>
      <c r="F100" s="534">
        <v>0</v>
      </c>
      <c r="G100" s="532">
        <f t="shared" si="6"/>
        <v>2931169.269999817</v>
      </c>
      <c r="H100" s="532"/>
      <c r="I100" s="73"/>
      <c r="J100" s="7"/>
    </row>
    <row r="101" spans="1:10">
      <c r="A101" s="529">
        <f t="shared" si="7"/>
        <v>46</v>
      </c>
      <c r="C101" s="518" t="s">
        <v>186</v>
      </c>
      <c r="D101" s="641">
        <v>2017</v>
      </c>
      <c r="E101" s="7">
        <f t="shared" si="8"/>
        <v>1250328.3899995685</v>
      </c>
      <c r="F101" s="534">
        <v>0</v>
      </c>
      <c r="G101" s="532">
        <f t="shared" si="6"/>
        <v>1250328.3899995685</v>
      </c>
      <c r="H101" s="532"/>
      <c r="I101" s="73"/>
      <c r="J101" s="7"/>
    </row>
    <row r="102" spans="1:10">
      <c r="A102" s="529">
        <f t="shared" si="7"/>
        <v>47</v>
      </c>
      <c r="C102" s="516" t="s">
        <v>187</v>
      </c>
      <c r="D102" s="641">
        <v>2017</v>
      </c>
      <c r="E102" s="7">
        <f t="shared" si="8"/>
        <v>1528249.1200005263</v>
      </c>
      <c r="F102" s="534">
        <v>0</v>
      </c>
      <c r="G102" s="532">
        <f t="shared" si="6"/>
        <v>1528249.1200005263</v>
      </c>
      <c r="H102" s="532"/>
      <c r="I102" s="73"/>
      <c r="J102" s="7"/>
    </row>
    <row r="103" spans="1:10">
      <c r="A103" s="529">
        <f t="shared" si="7"/>
        <v>48</v>
      </c>
      <c r="C103" s="516" t="s">
        <v>188</v>
      </c>
      <c r="D103" s="641">
        <v>2017</v>
      </c>
      <c r="E103" s="7">
        <f t="shared" si="8"/>
        <v>1390223.3499999493</v>
      </c>
      <c r="F103" s="534">
        <v>0</v>
      </c>
      <c r="G103" s="532">
        <f t="shared" si="6"/>
        <v>1390223.3499999493</v>
      </c>
      <c r="H103" s="532"/>
      <c r="I103" s="73"/>
      <c r="J103" s="7"/>
    </row>
    <row r="104" spans="1:10">
      <c r="A104" s="529">
        <f t="shared" si="7"/>
        <v>49</v>
      </c>
      <c r="C104" s="518" t="s">
        <v>189</v>
      </c>
      <c r="D104" s="641">
        <v>2017</v>
      </c>
      <c r="E104" s="7">
        <f t="shared" si="8"/>
        <v>2916673.340000242</v>
      </c>
      <c r="F104" s="534">
        <v>0</v>
      </c>
      <c r="G104" s="532">
        <f t="shared" si="6"/>
        <v>2916673.340000242</v>
      </c>
      <c r="H104" s="532"/>
      <c r="I104" s="73"/>
      <c r="J104" s="7"/>
    </row>
    <row r="105" spans="1:10">
      <c r="A105" s="529">
        <f t="shared" si="7"/>
        <v>50</v>
      </c>
      <c r="C105" s="518" t="s">
        <v>190</v>
      </c>
      <c r="D105" s="641">
        <v>2017</v>
      </c>
      <c r="E105" s="7">
        <f t="shared" si="8"/>
        <v>-517602.32250000839</v>
      </c>
      <c r="F105" s="534">
        <v>0</v>
      </c>
      <c r="G105" s="532">
        <f t="shared" si="6"/>
        <v>-517602.32250000839</v>
      </c>
      <c r="H105" s="532"/>
      <c r="I105" s="73"/>
      <c r="J105" s="7"/>
    </row>
    <row r="106" spans="1:10">
      <c r="A106" s="529">
        <f t="shared" si="7"/>
        <v>51</v>
      </c>
      <c r="C106" s="518" t="s">
        <v>180</v>
      </c>
      <c r="D106" s="641">
        <v>2017</v>
      </c>
      <c r="E106" s="91">
        <f t="shared" si="8"/>
        <v>1650013.2699999809</v>
      </c>
      <c r="F106" s="411">
        <v>0</v>
      </c>
      <c r="G106" s="366">
        <f t="shared" si="6"/>
        <v>1650013.2699999809</v>
      </c>
      <c r="H106" s="532"/>
      <c r="I106" s="73"/>
      <c r="J106" s="7"/>
    </row>
    <row r="107" spans="1:10">
      <c r="A107" s="529">
        <f t="shared" si="7"/>
        <v>52</v>
      </c>
      <c r="C107" s="518" t="s">
        <v>196</v>
      </c>
      <c r="D107" s="522"/>
      <c r="E107" s="63">
        <f>SUM(E94:E106)</f>
        <v>79676520.697500139</v>
      </c>
      <c r="F107" s="63">
        <f t="shared" ref="F107:G107" si="9">SUM(F94:F106)</f>
        <v>0</v>
      </c>
      <c r="G107" s="63">
        <f t="shared" si="9"/>
        <v>79676520.697500139</v>
      </c>
      <c r="H107" s="532"/>
      <c r="I107" s="73"/>
      <c r="J107" s="1"/>
    </row>
    <row r="108" spans="1:10">
      <c r="A108" s="529"/>
      <c r="C108" s="518"/>
      <c r="D108" s="522"/>
      <c r="E108" s="63"/>
      <c r="F108" s="532"/>
      <c r="G108" s="532"/>
      <c r="H108" s="532"/>
      <c r="I108" s="73"/>
      <c r="J108" s="1"/>
    </row>
    <row r="110" spans="1:10">
      <c r="C110" s="191" t="s">
        <v>1562</v>
      </c>
    </row>
    <row r="112" spans="1:10">
      <c r="C112" s="1" t="s">
        <v>1563</v>
      </c>
      <c r="E112" s="84" t="s">
        <v>363</v>
      </c>
      <c r="F112" s="84" t="s">
        <v>347</v>
      </c>
      <c r="G112" s="84" t="s">
        <v>348</v>
      </c>
      <c r="H112" s="84" t="s">
        <v>349</v>
      </c>
    </row>
    <row r="113" spans="1:9">
      <c r="G113" s="492" t="s">
        <v>1674</v>
      </c>
      <c r="H113" s="492" t="s">
        <v>1675</v>
      </c>
    </row>
    <row r="114" spans="1:9">
      <c r="C114" s="529" t="s">
        <v>538</v>
      </c>
      <c r="H114" s="484" t="s">
        <v>1676</v>
      </c>
    </row>
    <row r="115" spans="1:9">
      <c r="C115" s="529" t="s">
        <v>193</v>
      </c>
      <c r="E115" s="529" t="s">
        <v>376</v>
      </c>
      <c r="F115" s="529" t="s">
        <v>1564</v>
      </c>
      <c r="G115" s="529" t="s">
        <v>1005</v>
      </c>
      <c r="H115" s="529" t="s">
        <v>1138</v>
      </c>
    </row>
    <row r="116" spans="1:9">
      <c r="C116" s="25" t="s">
        <v>192</v>
      </c>
      <c r="D116" s="25" t="s">
        <v>193</v>
      </c>
      <c r="E116" s="3" t="s">
        <v>1565</v>
      </c>
      <c r="F116" s="3" t="s">
        <v>1093</v>
      </c>
      <c r="G116" s="3" t="s">
        <v>3</v>
      </c>
      <c r="H116" s="3" t="s">
        <v>1560</v>
      </c>
    </row>
    <row r="117" spans="1:9">
      <c r="A117" s="529">
        <f>A107+1</f>
        <v>53</v>
      </c>
      <c r="C117" s="518" t="s">
        <v>180</v>
      </c>
      <c r="D117" s="1199">
        <v>2016</v>
      </c>
      <c r="E117" s="1099">
        <v>2998641929.7072148</v>
      </c>
      <c r="F117" s="1099">
        <v>237545575.89701298</v>
      </c>
      <c r="G117" s="7">
        <f t="shared" ref="G117:G129" si="10">E117-F117</f>
        <v>2761096353.8102016</v>
      </c>
      <c r="H117" s="7">
        <f>E117-E117</f>
        <v>0</v>
      </c>
      <c r="I117" s="581"/>
    </row>
    <row r="118" spans="1:9">
      <c r="A118" s="529">
        <f>A117+1</f>
        <v>54</v>
      </c>
      <c r="C118" s="518" t="s">
        <v>181</v>
      </c>
      <c r="D118" s="641">
        <v>2017</v>
      </c>
      <c r="E118" s="1099">
        <v>2999220786.6472149</v>
      </c>
      <c r="F118" s="1099">
        <v>243851690.36517799</v>
      </c>
      <c r="G118" s="7">
        <f t="shared" si="10"/>
        <v>2755369096.2820368</v>
      </c>
      <c r="H118" s="7">
        <f>E118-E117</f>
        <v>578856.94000005722</v>
      </c>
    </row>
    <row r="119" spans="1:9">
      <c r="A119" s="529">
        <f t="shared" ref="A119:A129" si="11">A118+1</f>
        <v>55</v>
      </c>
      <c r="C119" s="516" t="s">
        <v>182</v>
      </c>
      <c r="D119" s="641">
        <v>2017</v>
      </c>
      <c r="E119" s="1099">
        <v>3005739539.3072152</v>
      </c>
      <c r="F119" s="1099">
        <v>250159141.01641271</v>
      </c>
      <c r="G119" s="7">
        <f t="shared" si="10"/>
        <v>2755580398.2908025</v>
      </c>
      <c r="H119" s="7">
        <f t="shared" ref="H119:H129" si="12">E119-E118</f>
        <v>6518752.6600003242</v>
      </c>
    </row>
    <row r="120" spans="1:9">
      <c r="A120" s="529">
        <f t="shared" si="11"/>
        <v>56</v>
      </c>
      <c r="C120" s="516" t="s">
        <v>195</v>
      </c>
      <c r="D120" s="641">
        <v>2017</v>
      </c>
      <c r="E120" s="1099">
        <v>3010773105.487215</v>
      </c>
      <c r="F120" s="1099">
        <v>256479224.50205076</v>
      </c>
      <c r="G120" s="7">
        <f t="shared" si="10"/>
        <v>2754293880.9851642</v>
      </c>
      <c r="H120" s="7">
        <f t="shared" si="12"/>
        <v>5033566.1799998283</v>
      </c>
    </row>
    <row r="121" spans="1:9">
      <c r="A121" s="529">
        <f t="shared" si="11"/>
        <v>57</v>
      </c>
      <c r="C121" s="518" t="s">
        <v>183</v>
      </c>
      <c r="D121" s="641">
        <v>2017</v>
      </c>
      <c r="E121" s="1099">
        <v>3012180174.9272151</v>
      </c>
      <c r="F121" s="1099">
        <v>262813224.79696241</v>
      </c>
      <c r="G121" s="7">
        <f t="shared" si="10"/>
        <v>2749366950.1302528</v>
      </c>
      <c r="H121" s="7">
        <f t="shared" si="12"/>
        <v>1407069.4400000572</v>
      </c>
    </row>
    <row r="122" spans="1:9">
      <c r="A122" s="529">
        <f t="shared" si="11"/>
        <v>58</v>
      </c>
      <c r="C122" s="516" t="s">
        <v>184</v>
      </c>
      <c r="D122" s="641">
        <v>2017</v>
      </c>
      <c r="E122" s="1099">
        <v>3033901664.4172149</v>
      </c>
      <c r="F122" s="1099">
        <v>269149997.12102902</v>
      </c>
      <c r="G122" s="7">
        <f t="shared" si="10"/>
        <v>2764751667.296186</v>
      </c>
      <c r="H122" s="7">
        <f t="shared" si="12"/>
        <v>21721489.489999771</v>
      </c>
    </row>
    <row r="123" spans="1:9">
      <c r="A123" s="529">
        <f t="shared" si="11"/>
        <v>59</v>
      </c>
      <c r="C123" s="516" t="s">
        <v>185</v>
      </c>
      <c r="D123" s="641">
        <v>2017</v>
      </c>
      <c r="E123" s="1099">
        <v>3036761061.5772147</v>
      </c>
      <c r="F123" s="1099">
        <v>275525744.53717864</v>
      </c>
      <c r="G123" s="7">
        <f t="shared" si="10"/>
        <v>2761235317.0400362</v>
      </c>
      <c r="H123" s="7">
        <f t="shared" si="12"/>
        <v>2859397.1599998474</v>
      </c>
    </row>
    <row r="124" spans="1:9">
      <c r="A124" s="529">
        <f t="shared" si="11"/>
        <v>60</v>
      </c>
      <c r="C124" s="518" t="s">
        <v>186</v>
      </c>
      <c r="D124" s="641">
        <v>2017</v>
      </c>
      <c r="E124" s="1099">
        <v>3037969274.8272142</v>
      </c>
      <c r="F124" s="1099">
        <v>281907949.70123726</v>
      </c>
      <c r="G124" s="7">
        <f t="shared" si="10"/>
        <v>2756061325.125977</v>
      </c>
      <c r="H124" s="7">
        <f t="shared" si="12"/>
        <v>1208213.2499995232</v>
      </c>
    </row>
    <row r="125" spans="1:9">
      <c r="A125" s="529">
        <f t="shared" si="11"/>
        <v>61</v>
      </c>
      <c r="C125" s="516" t="s">
        <v>187</v>
      </c>
      <c r="D125" s="641">
        <v>2017</v>
      </c>
      <c r="E125" s="1099">
        <v>3039542946.4772148</v>
      </c>
      <c r="F125" s="1099">
        <v>288292569.50018525</v>
      </c>
      <c r="G125" s="7">
        <f t="shared" si="10"/>
        <v>2751250376.9770298</v>
      </c>
      <c r="H125" s="7">
        <f t="shared" si="12"/>
        <v>1573671.6500005722</v>
      </c>
    </row>
    <row r="126" spans="1:9">
      <c r="A126" s="529">
        <f t="shared" si="11"/>
        <v>62</v>
      </c>
      <c r="C126" s="516" t="s">
        <v>188</v>
      </c>
      <c r="D126" s="641">
        <v>2017</v>
      </c>
      <c r="E126" s="1099">
        <v>3040901421.0572147</v>
      </c>
      <c r="F126" s="1099">
        <v>294679816.86089212</v>
      </c>
      <c r="G126" s="7">
        <f t="shared" si="10"/>
        <v>2746221604.1963224</v>
      </c>
      <c r="H126" s="7">
        <f t="shared" si="12"/>
        <v>1358474.5799999237</v>
      </c>
    </row>
    <row r="127" spans="1:9">
      <c r="A127" s="529">
        <f t="shared" si="11"/>
        <v>63</v>
      </c>
      <c r="C127" s="518" t="s">
        <v>189</v>
      </c>
      <c r="D127" s="641">
        <v>2017</v>
      </c>
      <c r="E127" s="1099">
        <v>3043025002.1272149</v>
      </c>
      <c r="F127" s="1099">
        <v>301071705.76424426</v>
      </c>
      <c r="G127" s="7">
        <f t="shared" si="10"/>
        <v>2741953296.3629708</v>
      </c>
      <c r="H127" s="7">
        <f t="shared" si="12"/>
        <v>2123581.0700001717</v>
      </c>
    </row>
    <row r="128" spans="1:9">
      <c r="A128" s="529">
        <f t="shared" si="11"/>
        <v>64</v>
      </c>
      <c r="C128" s="518" t="s">
        <v>190</v>
      </c>
      <c r="D128" s="641">
        <v>2017</v>
      </c>
      <c r="E128" s="1099">
        <v>3040804626.797215</v>
      </c>
      <c r="F128" s="1099">
        <v>307468016.00223261</v>
      </c>
      <c r="G128" s="7">
        <f t="shared" si="10"/>
        <v>2733336610.7949824</v>
      </c>
      <c r="H128" s="7">
        <f t="shared" si="12"/>
        <v>-2220375.3299999237</v>
      </c>
    </row>
    <row r="129" spans="1:8">
      <c r="A129" s="529">
        <f t="shared" si="11"/>
        <v>65</v>
      </c>
      <c r="C129" s="518" t="s">
        <v>180</v>
      </c>
      <c r="D129" s="641">
        <v>2017</v>
      </c>
      <c r="E129" s="1099">
        <v>3042408307.8372149</v>
      </c>
      <c r="F129" s="1099">
        <v>313858031.34876937</v>
      </c>
      <c r="G129" s="7">
        <f t="shared" si="10"/>
        <v>2728550276.4884458</v>
      </c>
      <c r="H129" s="7">
        <f t="shared" si="12"/>
        <v>1603681.0399999619</v>
      </c>
    </row>
    <row r="130" spans="1:8">
      <c r="A130" s="529"/>
      <c r="C130" s="518"/>
      <c r="D130" s="522"/>
    </row>
    <row r="132" spans="1:8">
      <c r="C132" s="191" t="s">
        <v>1566</v>
      </c>
      <c r="E132" s="84" t="s">
        <v>363</v>
      </c>
      <c r="F132" s="84" t="s">
        <v>347</v>
      </c>
      <c r="G132" s="84" t="s">
        <v>348</v>
      </c>
      <c r="H132" s="84" t="s">
        <v>349</v>
      </c>
    </row>
    <row r="133" spans="1:8">
      <c r="G133" s="492" t="s">
        <v>1674</v>
      </c>
      <c r="H133" s="492" t="s">
        <v>1675</v>
      </c>
    </row>
    <row r="134" spans="1:8">
      <c r="C134" s="529" t="s">
        <v>538</v>
      </c>
      <c r="H134" s="484" t="s">
        <v>1676</v>
      </c>
    </row>
    <row r="135" spans="1:8">
      <c r="C135" s="529" t="s">
        <v>193</v>
      </c>
      <c r="E135" s="529" t="s">
        <v>376</v>
      </c>
      <c r="F135" s="529" t="s">
        <v>1564</v>
      </c>
      <c r="G135" s="529" t="s">
        <v>1005</v>
      </c>
      <c r="H135" s="529" t="s">
        <v>1138</v>
      </c>
    </row>
    <row r="136" spans="1:8">
      <c r="C136" s="25" t="s">
        <v>192</v>
      </c>
      <c r="D136" s="25" t="s">
        <v>193</v>
      </c>
      <c r="E136" s="3" t="s">
        <v>1565</v>
      </c>
      <c r="F136" s="3" t="s">
        <v>1093</v>
      </c>
      <c r="G136" s="3" t="s">
        <v>3</v>
      </c>
      <c r="H136" s="3" t="s">
        <v>1560</v>
      </c>
    </row>
    <row r="137" spans="1:8">
      <c r="A137" s="529">
        <f>A129+1</f>
        <v>66</v>
      </c>
      <c r="C137" s="518" t="s">
        <v>180</v>
      </c>
      <c r="D137" s="1199">
        <v>2016</v>
      </c>
      <c r="E137" s="1099">
        <v>191508708.01999995</v>
      </c>
      <c r="F137" s="1099">
        <v>36529711.710482672</v>
      </c>
      <c r="G137" s="7">
        <f>E137-F137</f>
        <v>154978996.30951726</v>
      </c>
      <c r="H137" s="7">
        <f>E137-E137</f>
        <v>0</v>
      </c>
    </row>
    <row r="138" spans="1:8">
      <c r="A138" s="529">
        <f>A137+1</f>
        <v>67</v>
      </c>
      <c r="C138" s="518" t="s">
        <v>181</v>
      </c>
      <c r="D138" s="641">
        <v>2017</v>
      </c>
      <c r="E138" s="1099">
        <v>191508708.01999995</v>
      </c>
      <c r="F138" s="1099">
        <v>36924648.589910761</v>
      </c>
      <c r="G138" s="7">
        <f t="shared" ref="G138:G149" si="13">E138-F138</f>
        <v>154584059.43008918</v>
      </c>
      <c r="H138" s="7">
        <f>E138-E137</f>
        <v>0</v>
      </c>
    </row>
    <row r="139" spans="1:8">
      <c r="A139" s="529">
        <f t="shared" ref="A139:A149" si="14">A138+1</f>
        <v>68</v>
      </c>
      <c r="C139" s="516" t="s">
        <v>182</v>
      </c>
      <c r="D139" s="641">
        <v>2017</v>
      </c>
      <c r="E139" s="1099">
        <v>191508708.01999995</v>
      </c>
      <c r="F139" s="1099">
        <v>37319585.469338842</v>
      </c>
      <c r="G139" s="7">
        <f t="shared" si="13"/>
        <v>154189122.55066112</v>
      </c>
      <c r="H139" s="7">
        <f t="shared" ref="H139:H149" si="15">E139-E138</f>
        <v>0</v>
      </c>
    </row>
    <row r="140" spans="1:8">
      <c r="A140" s="529">
        <f t="shared" si="14"/>
        <v>69</v>
      </c>
      <c r="C140" s="516" t="s">
        <v>195</v>
      </c>
      <c r="D140" s="641">
        <v>2017</v>
      </c>
      <c r="E140" s="1099">
        <v>191503111.89999995</v>
      </c>
      <c r="F140" s="1099">
        <v>37714522.348766923</v>
      </c>
      <c r="G140" s="7">
        <f t="shared" si="13"/>
        <v>153788589.55123302</v>
      </c>
      <c r="H140" s="7">
        <f t="shared" si="15"/>
        <v>-5596.1200000047684</v>
      </c>
    </row>
    <row r="141" spans="1:8">
      <c r="A141" s="529">
        <f t="shared" si="14"/>
        <v>70</v>
      </c>
      <c r="C141" s="518" t="s">
        <v>183</v>
      </c>
      <c r="D141" s="641">
        <v>2017</v>
      </c>
      <c r="E141" s="1099">
        <v>191503111.89999995</v>
      </c>
      <c r="F141" s="1099">
        <v>38109447.429709665</v>
      </c>
      <c r="G141" s="7">
        <f t="shared" si="13"/>
        <v>153393664.47029027</v>
      </c>
      <c r="H141" s="7">
        <f t="shared" si="15"/>
        <v>0</v>
      </c>
    </row>
    <row r="142" spans="1:8">
      <c r="A142" s="529">
        <f t="shared" si="14"/>
        <v>71</v>
      </c>
      <c r="C142" s="516" t="s">
        <v>184</v>
      </c>
      <c r="D142" s="641">
        <v>2017</v>
      </c>
      <c r="E142" s="1099">
        <v>191503111.89999995</v>
      </c>
      <c r="F142" s="1099">
        <v>38504372.510652423</v>
      </c>
      <c r="G142" s="7">
        <f t="shared" si="13"/>
        <v>152998739.38934752</v>
      </c>
      <c r="H142" s="7">
        <f t="shared" si="15"/>
        <v>0</v>
      </c>
    </row>
    <row r="143" spans="1:8">
      <c r="A143" s="529">
        <f t="shared" si="14"/>
        <v>72</v>
      </c>
      <c r="C143" s="516" t="s">
        <v>185</v>
      </c>
      <c r="D143" s="641">
        <v>2017</v>
      </c>
      <c r="E143" s="1099">
        <v>191503111.95999995</v>
      </c>
      <c r="F143" s="1099">
        <v>38899297.59159518</v>
      </c>
      <c r="G143" s="7">
        <f t="shared" si="13"/>
        <v>152603814.36840478</v>
      </c>
      <c r="H143" s="7">
        <f t="shared" si="15"/>
        <v>6.0000002384185791E-2</v>
      </c>
    </row>
    <row r="144" spans="1:8">
      <c r="A144" s="529">
        <f t="shared" si="14"/>
        <v>73</v>
      </c>
      <c r="C144" s="518" t="s">
        <v>186</v>
      </c>
      <c r="D144" s="641">
        <v>2017</v>
      </c>
      <c r="E144" s="1099">
        <v>191503111.99999997</v>
      </c>
      <c r="F144" s="1099">
        <v>39294222.672664762</v>
      </c>
      <c r="G144" s="7">
        <f t="shared" si="13"/>
        <v>152208889.32733521</v>
      </c>
      <c r="H144" s="7">
        <f t="shared" si="15"/>
        <v>4.0000021457672119E-2</v>
      </c>
    </row>
    <row r="145" spans="1:8">
      <c r="A145" s="529">
        <f t="shared" si="14"/>
        <v>74</v>
      </c>
      <c r="C145" s="516" t="s">
        <v>187</v>
      </c>
      <c r="D145" s="641">
        <v>2017</v>
      </c>
      <c r="E145" s="1099">
        <v>191500873.57999995</v>
      </c>
      <c r="F145" s="1099">
        <v>39689147.753818341</v>
      </c>
      <c r="G145" s="7">
        <f t="shared" si="13"/>
        <v>151811725.82618162</v>
      </c>
      <c r="H145" s="7">
        <f t="shared" si="15"/>
        <v>-2238.4200000166893</v>
      </c>
    </row>
    <row r="146" spans="1:8">
      <c r="A146" s="529">
        <f t="shared" si="14"/>
        <v>75</v>
      </c>
      <c r="C146" s="516" t="s">
        <v>188</v>
      </c>
      <c r="D146" s="641">
        <v>2017</v>
      </c>
      <c r="E146" s="1099">
        <v>191500873.56999996</v>
      </c>
      <c r="F146" s="1099">
        <v>40084068.507357426</v>
      </c>
      <c r="G146" s="7">
        <f t="shared" si="13"/>
        <v>151416805.06264254</v>
      </c>
      <c r="H146" s="7">
        <f t="shared" si="15"/>
        <v>-9.9999904632568359E-3</v>
      </c>
    </row>
    <row r="147" spans="1:8">
      <c r="A147" s="529">
        <f t="shared" si="14"/>
        <v>76</v>
      </c>
      <c r="C147" s="518" t="s">
        <v>189</v>
      </c>
      <c r="D147" s="641">
        <v>2017</v>
      </c>
      <c r="E147" s="1099">
        <v>191500873.56999996</v>
      </c>
      <c r="F147" s="1099">
        <v>40478989.260875091</v>
      </c>
      <c r="G147" s="7">
        <f t="shared" si="13"/>
        <v>151021884.30912489</v>
      </c>
      <c r="H147" s="7">
        <f t="shared" si="15"/>
        <v>0</v>
      </c>
    </row>
    <row r="148" spans="1:8">
      <c r="A148" s="529">
        <f t="shared" si="14"/>
        <v>77</v>
      </c>
      <c r="C148" s="518" t="s">
        <v>190</v>
      </c>
      <c r="D148" s="641">
        <v>2017</v>
      </c>
      <c r="E148" s="1099">
        <v>191500873.56999996</v>
      </c>
      <c r="F148" s="1099">
        <v>40873910.01439359</v>
      </c>
      <c r="G148" s="7">
        <f t="shared" si="13"/>
        <v>150626963.55560637</v>
      </c>
      <c r="H148" s="7">
        <f t="shared" si="15"/>
        <v>0</v>
      </c>
    </row>
    <row r="149" spans="1:8">
      <c r="A149" s="529">
        <f t="shared" si="14"/>
        <v>78</v>
      </c>
      <c r="C149" s="518" t="s">
        <v>180</v>
      </c>
      <c r="D149" s="641">
        <v>2017</v>
      </c>
      <c r="E149" s="1099">
        <v>191500873.56999996</v>
      </c>
      <c r="F149" s="1099">
        <v>41268830.76791209</v>
      </c>
      <c r="G149" s="7">
        <f t="shared" si="13"/>
        <v>150232042.80208787</v>
      </c>
      <c r="H149" s="7">
        <f t="shared" si="15"/>
        <v>0</v>
      </c>
    </row>
    <row r="150" spans="1:8">
      <c r="A150" s="529"/>
    </row>
    <row r="151" spans="1:8" ht="12.75" customHeight="1"/>
    <row r="152" spans="1:8">
      <c r="C152" s="191" t="s">
        <v>1567</v>
      </c>
      <c r="E152" s="84" t="s">
        <v>363</v>
      </c>
      <c r="F152" s="84" t="s">
        <v>347</v>
      </c>
      <c r="G152" s="84" t="s">
        <v>348</v>
      </c>
      <c r="H152" s="84" t="s">
        <v>349</v>
      </c>
    </row>
    <row r="153" spans="1:8">
      <c r="G153" s="492" t="s">
        <v>1674</v>
      </c>
      <c r="H153" s="492" t="s">
        <v>1675</v>
      </c>
    </row>
    <row r="154" spans="1:8">
      <c r="C154" s="529" t="s">
        <v>538</v>
      </c>
      <c r="H154" s="484" t="s">
        <v>1676</v>
      </c>
    </row>
    <row r="155" spans="1:8">
      <c r="C155" s="529" t="s">
        <v>193</v>
      </c>
      <c r="E155" s="529" t="s">
        <v>376</v>
      </c>
      <c r="F155" s="529" t="s">
        <v>1564</v>
      </c>
      <c r="G155" s="529" t="s">
        <v>1005</v>
      </c>
      <c r="H155" s="529" t="s">
        <v>1138</v>
      </c>
    </row>
    <row r="156" spans="1:8">
      <c r="C156" s="25" t="s">
        <v>192</v>
      </c>
      <c r="D156" s="25" t="s">
        <v>193</v>
      </c>
      <c r="E156" s="3" t="s">
        <v>1565</v>
      </c>
      <c r="F156" s="3" t="s">
        <v>1093</v>
      </c>
      <c r="G156" s="3" t="s">
        <v>3</v>
      </c>
      <c r="H156" s="3" t="s">
        <v>1560</v>
      </c>
    </row>
    <row r="157" spans="1:8">
      <c r="A157" s="529">
        <f>A149+1</f>
        <v>79</v>
      </c>
      <c r="C157" s="518" t="s">
        <v>180</v>
      </c>
      <c r="D157" s="1199">
        <v>2016</v>
      </c>
      <c r="E157" s="1099">
        <v>773686036.61000001</v>
      </c>
      <c r="F157" s="1099">
        <v>66116803.264739498</v>
      </c>
      <c r="G157" s="7">
        <f t="shared" ref="G157:G169" si="16">E157-F157</f>
        <v>707569233.3452605</v>
      </c>
      <c r="H157" s="7">
        <f>E157-E157</f>
        <v>0</v>
      </c>
    </row>
    <row r="158" spans="1:8">
      <c r="A158" s="529">
        <f>A157+1</f>
        <v>80</v>
      </c>
      <c r="C158" s="518" t="s">
        <v>181</v>
      </c>
      <c r="D158" s="641">
        <v>2017</v>
      </c>
      <c r="E158" s="1099">
        <v>773686036.81000006</v>
      </c>
      <c r="F158" s="1099">
        <v>67758697.762866497</v>
      </c>
      <c r="G158" s="7">
        <f t="shared" si="16"/>
        <v>705927339.04713356</v>
      </c>
      <c r="H158" s="7">
        <f>E158-E157</f>
        <v>0.20000004768371582</v>
      </c>
    </row>
    <row r="159" spans="1:8">
      <c r="A159" s="529">
        <f t="shared" ref="A159:A169" si="17">A158+1</f>
        <v>81</v>
      </c>
      <c r="C159" s="516" t="s">
        <v>182</v>
      </c>
      <c r="D159" s="641">
        <v>2017</v>
      </c>
      <c r="E159" s="1099">
        <v>773663579.27999997</v>
      </c>
      <c r="F159" s="1099">
        <v>69400592.261649579</v>
      </c>
      <c r="G159" s="7">
        <f t="shared" si="16"/>
        <v>704262987.01835036</v>
      </c>
      <c r="H159" s="7">
        <f t="shared" ref="H159:H169" si="18">E159-E158</f>
        <v>-22457.530000090599</v>
      </c>
    </row>
    <row r="160" spans="1:8">
      <c r="A160" s="529">
        <f t="shared" si="17"/>
        <v>82</v>
      </c>
      <c r="C160" s="516" t="s">
        <v>195</v>
      </c>
      <c r="D160" s="641">
        <v>2017</v>
      </c>
      <c r="E160" s="1099">
        <v>773663560.12000012</v>
      </c>
      <c r="F160" s="1099">
        <v>71042440.535350055</v>
      </c>
      <c r="G160" s="7">
        <f t="shared" si="16"/>
        <v>702621119.58465004</v>
      </c>
      <c r="H160" s="7">
        <f t="shared" si="18"/>
        <v>-19.159999847412109</v>
      </c>
    </row>
    <row r="161" spans="1:8">
      <c r="A161" s="529">
        <f t="shared" si="17"/>
        <v>83</v>
      </c>
      <c r="C161" s="518" t="s">
        <v>183</v>
      </c>
      <c r="D161" s="641">
        <v>2017</v>
      </c>
      <c r="E161" s="1099">
        <v>773655861.38000011</v>
      </c>
      <c r="F161" s="1099">
        <v>72684288.769612908</v>
      </c>
      <c r="G161" s="7">
        <f t="shared" si="16"/>
        <v>700971572.61038721</v>
      </c>
      <c r="H161" s="7">
        <f t="shared" si="18"/>
        <v>-7698.7400000095367</v>
      </c>
    </row>
    <row r="162" spans="1:8">
      <c r="A162" s="529">
        <f t="shared" si="17"/>
        <v>84</v>
      </c>
      <c r="C162" s="516" t="s">
        <v>184</v>
      </c>
      <c r="D162" s="641">
        <v>2017</v>
      </c>
      <c r="E162" s="1099">
        <v>773655861.36000001</v>
      </c>
      <c r="F162" s="1099">
        <v>74326121.159345075</v>
      </c>
      <c r="G162" s="7">
        <f t="shared" si="16"/>
        <v>699329740.20065498</v>
      </c>
      <c r="H162" s="7">
        <f t="shared" si="18"/>
        <v>-2.0000100135803223E-2</v>
      </c>
    </row>
    <row r="163" spans="1:8">
      <c r="A163" s="529">
        <f t="shared" si="17"/>
        <v>85</v>
      </c>
      <c r="C163" s="516" t="s">
        <v>185</v>
      </c>
      <c r="D163" s="641">
        <v>2017</v>
      </c>
      <c r="E163" s="1099">
        <v>773658982.37</v>
      </c>
      <c r="F163" s="1099">
        <v>75967953.546830252</v>
      </c>
      <c r="G163" s="7">
        <f t="shared" si="16"/>
        <v>697691028.82316971</v>
      </c>
      <c r="H163" s="7">
        <f t="shared" si="18"/>
        <v>3121.0099999904633</v>
      </c>
    </row>
    <row r="164" spans="1:8">
      <c r="A164" s="529">
        <f t="shared" si="17"/>
        <v>86</v>
      </c>
      <c r="C164" s="518" t="s">
        <v>186</v>
      </c>
      <c r="D164" s="641">
        <v>2017</v>
      </c>
      <c r="E164" s="1099">
        <v>773654454.84000003</v>
      </c>
      <c r="F164" s="1099">
        <v>77609792.369925976</v>
      </c>
      <c r="G164" s="7">
        <f t="shared" si="16"/>
        <v>696044662.47007406</v>
      </c>
      <c r="H164" s="7">
        <f t="shared" si="18"/>
        <v>-4527.5299999713898</v>
      </c>
    </row>
    <row r="165" spans="1:8">
      <c r="A165" s="529">
        <f t="shared" si="17"/>
        <v>87</v>
      </c>
      <c r="C165" s="516" t="s">
        <v>187</v>
      </c>
      <c r="D165" s="641">
        <v>2017</v>
      </c>
      <c r="E165" s="1099">
        <v>773563195.36000001</v>
      </c>
      <c r="F165" s="1099">
        <v>79251617.30969663</v>
      </c>
      <c r="G165" s="7">
        <f t="shared" si="16"/>
        <v>694311578.05030334</v>
      </c>
      <c r="H165" s="7">
        <f t="shared" si="18"/>
        <v>-91259.480000019073</v>
      </c>
    </row>
    <row r="166" spans="1:8">
      <c r="A166" s="529">
        <f t="shared" si="17"/>
        <v>88</v>
      </c>
      <c r="C166" s="516" t="s">
        <v>188</v>
      </c>
      <c r="D166" s="641">
        <v>2017</v>
      </c>
      <c r="E166" s="1099">
        <v>773568549</v>
      </c>
      <c r="F166" s="1099">
        <v>80893248.268238902</v>
      </c>
      <c r="G166" s="7">
        <f t="shared" si="16"/>
        <v>692675300.7317611</v>
      </c>
      <c r="H166" s="7">
        <f t="shared" si="18"/>
        <v>5353.6399999856949</v>
      </c>
    </row>
    <row r="167" spans="1:8">
      <c r="A167" s="529">
        <f t="shared" si="17"/>
        <v>89</v>
      </c>
      <c r="C167" s="518" t="s">
        <v>189</v>
      </c>
      <c r="D167" s="641">
        <v>2017</v>
      </c>
      <c r="E167" s="1099">
        <v>773570518.29000008</v>
      </c>
      <c r="F167" s="1099">
        <v>82534900.387855068</v>
      </c>
      <c r="G167" s="7">
        <f t="shared" si="16"/>
        <v>691035617.90214503</v>
      </c>
      <c r="H167" s="7">
        <f t="shared" si="18"/>
        <v>1969.2900000810623</v>
      </c>
    </row>
    <row r="168" spans="1:8">
      <c r="A168" s="529">
        <f t="shared" si="17"/>
        <v>90</v>
      </c>
      <c r="C168" s="518" t="s">
        <v>190</v>
      </c>
      <c r="D168" s="641">
        <v>2017</v>
      </c>
      <c r="E168" s="1099">
        <v>773570553.75</v>
      </c>
      <c r="F168" s="1099">
        <v>84176557.030034974</v>
      </c>
      <c r="G168" s="7">
        <f t="shared" si="16"/>
        <v>689393996.71996498</v>
      </c>
      <c r="H168" s="7">
        <f t="shared" si="18"/>
        <v>35.459999918937683</v>
      </c>
    </row>
    <row r="169" spans="1:8">
      <c r="A169" s="529">
        <f t="shared" si="17"/>
        <v>91</v>
      </c>
      <c r="C169" s="518" t="s">
        <v>180</v>
      </c>
      <c r="D169" s="641">
        <v>2017</v>
      </c>
      <c r="E169" s="1099">
        <v>773570553.75</v>
      </c>
      <c r="F169" s="1099">
        <v>85818213.766927391</v>
      </c>
      <c r="G169" s="7">
        <f t="shared" si="16"/>
        <v>687752339.98307264</v>
      </c>
      <c r="H169" s="7">
        <f t="shared" si="18"/>
        <v>0</v>
      </c>
    </row>
    <row r="171" spans="1:8">
      <c r="C171" s="191" t="s">
        <v>2412</v>
      </c>
      <c r="E171" s="84" t="s">
        <v>363</v>
      </c>
      <c r="F171" s="84" t="s">
        <v>347</v>
      </c>
      <c r="G171" s="84" t="s">
        <v>348</v>
      </c>
      <c r="H171" s="84" t="s">
        <v>349</v>
      </c>
    </row>
    <row r="172" spans="1:8">
      <c r="G172" s="492" t="s">
        <v>1674</v>
      </c>
      <c r="H172" s="492" t="s">
        <v>1675</v>
      </c>
    </row>
    <row r="173" spans="1:8">
      <c r="C173" s="529" t="s">
        <v>538</v>
      </c>
      <c r="H173" s="484" t="s">
        <v>1676</v>
      </c>
    </row>
    <row r="174" spans="1:8">
      <c r="C174" s="529" t="s">
        <v>193</v>
      </c>
      <c r="E174" s="529" t="s">
        <v>376</v>
      </c>
      <c r="F174" s="529" t="s">
        <v>1564</v>
      </c>
      <c r="G174" s="529" t="s">
        <v>1005</v>
      </c>
      <c r="H174" s="529" t="s">
        <v>1138</v>
      </c>
    </row>
    <row r="175" spans="1:8">
      <c r="C175" s="25" t="s">
        <v>192</v>
      </c>
      <c r="D175" s="25" t="s">
        <v>193</v>
      </c>
      <c r="E175" s="3" t="s">
        <v>1565</v>
      </c>
      <c r="F175" s="3" t="s">
        <v>1093</v>
      </c>
      <c r="G175" s="3" t="s">
        <v>3</v>
      </c>
      <c r="H175" s="3" t="s">
        <v>1560</v>
      </c>
    </row>
    <row r="176" spans="1:8">
      <c r="A176" s="529">
        <f>A169+1</f>
        <v>92</v>
      </c>
      <c r="C176" s="518" t="s">
        <v>180</v>
      </c>
      <c r="D176" s="1199">
        <v>2016</v>
      </c>
      <c r="E176" s="1099">
        <v>0</v>
      </c>
      <c r="F176" s="1099">
        <v>0</v>
      </c>
      <c r="G176" s="7">
        <f t="shared" ref="G176:G188" si="19">E176-F176</f>
        <v>0</v>
      </c>
      <c r="H176" s="7">
        <f>E176-E176</f>
        <v>0</v>
      </c>
    </row>
    <row r="177" spans="1:8">
      <c r="A177" s="529">
        <f>A176+1</f>
        <v>93</v>
      </c>
      <c r="C177" s="518" t="s">
        <v>181</v>
      </c>
      <c r="D177" s="641">
        <v>2017</v>
      </c>
      <c r="E177" s="1099">
        <v>0</v>
      </c>
      <c r="F177" s="1099">
        <v>0</v>
      </c>
      <c r="G177" s="7">
        <f t="shared" si="19"/>
        <v>0</v>
      </c>
      <c r="H177" s="7">
        <f>E177-E176</f>
        <v>0</v>
      </c>
    </row>
    <row r="178" spans="1:8">
      <c r="A178" s="529">
        <f t="shared" ref="A178:A188" si="20">A177+1</f>
        <v>94</v>
      </c>
      <c r="C178" s="516" t="s">
        <v>182</v>
      </c>
      <c r="D178" s="641">
        <v>2017</v>
      </c>
      <c r="E178" s="1099">
        <v>0</v>
      </c>
      <c r="F178" s="1099">
        <v>0</v>
      </c>
      <c r="G178" s="7">
        <f t="shared" si="19"/>
        <v>0</v>
      </c>
      <c r="H178" s="7">
        <f t="shared" ref="H178:H188" si="21">E178-E177</f>
        <v>0</v>
      </c>
    </row>
    <row r="179" spans="1:8">
      <c r="A179" s="529">
        <f t="shared" si="20"/>
        <v>95</v>
      </c>
      <c r="C179" s="516" t="s">
        <v>195</v>
      </c>
      <c r="D179" s="641">
        <v>2017</v>
      </c>
      <c r="E179" s="1099">
        <v>0</v>
      </c>
      <c r="F179" s="1099">
        <v>0</v>
      </c>
      <c r="G179" s="7">
        <f t="shared" si="19"/>
        <v>0</v>
      </c>
      <c r="H179" s="7">
        <f t="shared" si="21"/>
        <v>0</v>
      </c>
    </row>
    <row r="180" spans="1:8">
      <c r="A180" s="529">
        <f t="shared" si="20"/>
        <v>96</v>
      </c>
      <c r="C180" s="518" t="s">
        <v>183</v>
      </c>
      <c r="D180" s="641">
        <v>2017</v>
      </c>
      <c r="E180" s="1099">
        <v>0</v>
      </c>
      <c r="F180" s="1099">
        <v>0</v>
      </c>
      <c r="G180" s="7">
        <f t="shared" si="19"/>
        <v>0</v>
      </c>
      <c r="H180" s="7">
        <f t="shared" si="21"/>
        <v>0</v>
      </c>
    </row>
    <row r="181" spans="1:8">
      <c r="A181" s="529">
        <f t="shared" si="20"/>
        <v>97</v>
      </c>
      <c r="C181" s="516" t="s">
        <v>184</v>
      </c>
      <c r="D181" s="641">
        <v>2017</v>
      </c>
      <c r="E181" s="1099">
        <v>0</v>
      </c>
      <c r="F181" s="1099">
        <v>0</v>
      </c>
      <c r="G181" s="7">
        <f t="shared" si="19"/>
        <v>0</v>
      </c>
      <c r="H181" s="7">
        <f t="shared" si="21"/>
        <v>0</v>
      </c>
    </row>
    <row r="182" spans="1:8">
      <c r="A182" s="529">
        <f t="shared" si="20"/>
        <v>98</v>
      </c>
      <c r="C182" s="516" t="s">
        <v>185</v>
      </c>
      <c r="D182" s="641">
        <v>2017</v>
      </c>
      <c r="E182" s="1099">
        <v>0</v>
      </c>
      <c r="F182" s="1099">
        <v>0</v>
      </c>
      <c r="G182" s="7">
        <f t="shared" si="19"/>
        <v>0</v>
      </c>
      <c r="H182" s="7">
        <f t="shared" si="21"/>
        <v>0</v>
      </c>
    </row>
    <row r="183" spans="1:8">
      <c r="A183" s="529">
        <f t="shared" si="20"/>
        <v>99</v>
      </c>
      <c r="C183" s="518" t="s">
        <v>186</v>
      </c>
      <c r="D183" s="641">
        <v>2017</v>
      </c>
      <c r="E183" s="1099">
        <v>0</v>
      </c>
      <c r="F183" s="1099">
        <v>0</v>
      </c>
      <c r="G183" s="7">
        <f t="shared" si="19"/>
        <v>0</v>
      </c>
      <c r="H183" s="7">
        <f t="shared" si="21"/>
        <v>0</v>
      </c>
    </row>
    <row r="184" spans="1:8">
      <c r="A184" s="529">
        <f t="shared" si="20"/>
        <v>100</v>
      </c>
      <c r="C184" s="516" t="s">
        <v>187</v>
      </c>
      <c r="D184" s="641">
        <v>2017</v>
      </c>
      <c r="E184" s="1099">
        <v>0</v>
      </c>
      <c r="F184" s="1099">
        <v>0</v>
      </c>
      <c r="G184" s="7">
        <f t="shared" si="19"/>
        <v>0</v>
      </c>
      <c r="H184" s="7">
        <f t="shared" si="21"/>
        <v>0</v>
      </c>
    </row>
    <row r="185" spans="1:8">
      <c r="A185" s="529">
        <f t="shared" si="20"/>
        <v>101</v>
      </c>
      <c r="C185" s="516" t="s">
        <v>188</v>
      </c>
      <c r="D185" s="641">
        <v>2017</v>
      </c>
      <c r="E185" s="1099">
        <v>0</v>
      </c>
      <c r="F185" s="1099">
        <v>0</v>
      </c>
      <c r="G185" s="7">
        <f t="shared" si="19"/>
        <v>0</v>
      </c>
      <c r="H185" s="7">
        <f t="shared" si="21"/>
        <v>0</v>
      </c>
    </row>
    <row r="186" spans="1:8">
      <c r="A186" s="529">
        <f t="shared" si="20"/>
        <v>102</v>
      </c>
      <c r="C186" s="518" t="s">
        <v>189</v>
      </c>
      <c r="D186" s="641">
        <v>2017</v>
      </c>
      <c r="E186" s="1099">
        <v>0</v>
      </c>
      <c r="F186" s="1099">
        <v>0</v>
      </c>
      <c r="G186" s="7">
        <f t="shared" si="19"/>
        <v>0</v>
      </c>
      <c r="H186" s="7">
        <f t="shared" si="21"/>
        <v>0</v>
      </c>
    </row>
    <row r="187" spans="1:8">
      <c r="A187" s="529">
        <f t="shared" si="20"/>
        <v>103</v>
      </c>
      <c r="C187" s="518" t="s">
        <v>190</v>
      </c>
      <c r="D187" s="641">
        <v>2017</v>
      </c>
      <c r="E187" s="1099">
        <v>0</v>
      </c>
      <c r="F187" s="1099">
        <v>0</v>
      </c>
      <c r="G187" s="7">
        <f t="shared" si="19"/>
        <v>0</v>
      </c>
      <c r="H187" s="7">
        <f t="shared" si="21"/>
        <v>0</v>
      </c>
    </row>
    <row r="188" spans="1:8">
      <c r="A188" s="529">
        <f t="shared" si="20"/>
        <v>104</v>
      </c>
      <c r="C188" s="518" t="s">
        <v>180</v>
      </c>
      <c r="D188" s="641">
        <v>2017</v>
      </c>
      <c r="E188" s="1099">
        <v>0</v>
      </c>
      <c r="F188" s="1099">
        <v>0</v>
      </c>
      <c r="G188" s="7">
        <f t="shared" si="19"/>
        <v>0</v>
      </c>
      <c r="H188" s="7">
        <f t="shared" si="21"/>
        <v>0</v>
      </c>
    </row>
    <row r="190" spans="1:8">
      <c r="C190" s="191" t="s">
        <v>2413</v>
      </c>
      <c r="E190" s="84" t="s">
        <v>363</v>
      </c>
      <c r="F190" s="84" t="s">
        <v>347</v>
      </c>
      <c r="G190" s="84" t="s">
        <v>348</v>
      </c>
      <c r="H190" s="84" t="s">
        <v>349</v>
      </c>
    </row>
    <row r="191" spans="1:8">
      <c r="G191" s="492" t="s">
        <v>1674</v>
      </c>
      <c r="H191" s="492" t="s">
        <v>1675</v>
      </c>
    </row>
    <row r="192" spans="1:8">
      <c r="C192" s="529" t="s">
        <v>538</v>
      </c>
      <c r="H192" s="484" t="s">
        <v>1676</v>
      </c>
    </row>
    <row r="193" spans="1:8">
      <c r="C193" s="529" t="s">
        <v>193</v>
      </c>
      <c r="E193" s="529" t="s">
        <v>376</v>
      </c>
      <c r="F193" s="529" t="s">
        <v>1564</v>
      </c>
      <c r="G193" s="529" t="s">
        <v>1005</v>
      </c>
      <c r="H193" s="529" t="s">
        <v>1138</v>
      </c>
    </row>
    <row r="194" spans="1:8">
      <c r="C194" s="25" t="s">
        <v>192</v>
      </c>
      <c r="D194" s="25" t="s">
        <v>193</v>
      </c>
      <c r="E194" s="3" t="s">
        <v>1565</v>
      </c>
      <c r="F194" s="3" t="s">
        <v>1093</v>
      </c>
      <c r="G194" s="3" t="s">
        <v>3</v>
      </c>
      <c r="H194" s="3" t="s">
        <v>1560</v>
      </c>
    </row>
    <row r="195" spans="1:8">
      <c r="A195" s="529">
        <f>A188+1</f>
        <v>105</v>
      </c>
      <c r="C195" s="518" t="s">
        <v>180</v>
      </c>
      <c r="D195" s="1199">
        <v>2016</v>
      </c>
      <c r="E195" s="1099">
        <v>0</v>
      </c>
      <c r="F195" s="1099">
        <v>0</v>
      </c>
      <c r="G195" s="7">
        <f t="shared" ref="G195:G207" si="22">E195-F195</f>
        <v>0</v>
      </c>
      <c r="H195" s="7">
        <f>E195-E195</f>
        <v>0</v>
      </c>
    </row>
    <row r="196" spans="1:8">
      <c r="A196" s="529">
        <f>A195+1</f>
        <v>106</v>
      </c>
      <c r="C196" s="518" t="s">
        <v>181</v>
      </c>
      <c r="D196" s="641">
        <v>2017</v>
      </c>
      <c r="E196" s="1099">
        <v>0</v>
      </c>
      <c r="F196" s="1099">
        <v>0</v>
      </c>
      <c r="G196" s="7">
        <f t="shared" si="22"/>
        <v>0</v>
      </c>
      <c r="H196" s="7">
        <f>E196-E195</f>
        <v>0</v>
      </c>
    </row>
    <row r="197" spans="1:8">
      <c r="A197" s="529">
        <f t="shared" ref="A197:A207" si="23">A196+1</f>
        <v>107</v>
      </c>
      <c r="C197" s="516" t="s">
        <v>182</v>
      </c>
      <c r="D197" s="641">
        <v>2017</v>
      </c>
      <c r="E197" s="1099">
        <v>0</v>
      </c>
      <c r="F197" s="1099">
        <v>0</v>
      </c>
      <c r="G197" s="7">
        <f t="shared" si="22"/>
        <v>0</v>
      </c>
      <c r="H197" s="7">
        <f t="shared" ref="H197:H207" si="24">E197-E196</f>
        <v>0</v>
      </c>
    </row>
    <row r="198" spans="1:8">
      <c r="A198" s="529">
        <f t="shared" si="23"/>
        <v>108</v>
      </c>
      <c r="C198" s="516" t="s">
        <v>195</v>
      </c>
      <c r="D198" s="641">
        <v>2017</v>
      </c>
      <c r="E198" s="1099">
        <v>0</v>
      </c>
      <c r="F198" s="1099">
        <v>0</v>
      </c>
      <c r="G198" s="7">
        <f t="shared" si="22"/>
        <v>0</v>
      </c>
      <c r="H198" s="7">
        <f t="shared" si="24"/>
        <v>0</v>
      </c>
    </row>
    <row r="199" spans="1:8">
      <c r="A199" s="529">
        <f t="shared" si="23"/>
        <v>109</v>
      </c>
      <c r="C199" s="518" t="s">
        <v>183</v>
      </c>
      <c r="D199" s="641">
        <v>2017</v>
      </c>
      <c r="E199" s="1099">
        <v>0</v>
      </c>
      <c r="F199" s="1099">
        <v>0</v>
      </c>
      <c r="G199" s="7">
        <f t="shared" si="22"/>
        <v>0</v>
      </c>
      <c r="H199" s="7">
        <f t="shared" si="24"/>
        <v>0</v>
      </c>
    </row>
    <row r="200" spans="1:8">
      <c r="A200" s="529">
        <f t="shared" si="23"/>
        <v>110</v>
      </c>
      <c r="C200" s="516" t="s">
        <v>184</v>
      </c>
      <c r="D200" s="641">
        <v>2017</v>
      </c>
      <c r="E200" s="1099">
        <v>0</v>
      </c>
      <c r="F200" s="1099">
        <v>0</v>
      </c>
      <c r="G200" s="7">
        <f t="shared" si="22"/>
        <v>0</v>
      </c>
      <c r="H200" s="7">
        <f t="shared" si="24"/>
        <v>0</v>
      </c>
    </row>
    <row r="201" spans="1:8">
      <c r="A201" s="529">
        <f t="shared" si="23"/>
        <v>111</v>
      </c>
      <c r="C201" s="516" t="s">
        <v>185</v>
      </c>
      <c r="D201" s="641">
        <v>2017</v>
      </c>
      <c r="E201" s="1099">
        <v>0</v>
      </c>
      <c r="F201" s="1099">
        <v>0</v>
      </c>
      <c r="G201" s="7">
        <f t="shared" si="22"/>
        <v>0</v>
      </c>
      <c r="H201" s="7">
        <f t="shared" si="24"/>
        <v>0</v>
      </c>
    </row>
    <row r="202" spans="1:8">
      <c r="A202" s="529">
        <f t="shared" si="23"/>
        <v>112</v>
      </c>
      <c r="C202" s="518" t="s">
        <v>186</v>
      </c>
      <c r="D202" s="641">
        <v>2017</v>
      </c>
      <c r="E202" s="1099">
        <v>0</v>
      </c>
      <c r="F202" s="1099">
        <v>0</v>
      </c>
      <c r="G202" s="7">
        <f t="shared" si="22"/>
        <v>0</v>
      </c>
      <c r="H202" s="7">
        <f t="shared" si="24"/>
        <v>0</v>
      </c>
    </row>
    <row r="203" spans="1:8">
      <c r="A203" s="529">
        <f t="shared" si="23"/>
        <v>113</v>
      </c>
      <c r="C203" s="516" t="s">
        <v>187</v>
      </c>
      <c r="D203" s="641">
        <v>2017</v>
      </c>
      <c r="E203" s="1099">
        <v>0</v>
      </c>
      <c r="F203" s="1099">
        <v>0</v>
      </c>
      <c r="G203" s="7">
        <f t="shared" si="22"/>
        <v>0</v>
      </c>
      <c r="H203" s="7">
        <f t="shared" si="24"/>
        <v>0</v>
      </c>
    </row>
    <row r="204" spans="1:8">
      <c r="A204" s="529">
        <f t="shared" si="23"/>
        <v>114</v>
      </c>
      <c r="C204" s="516" t="s">
        <v>188</v>
      </c>
      <c r="D204" s="641">
        <v>2017</v>
      </c>
      <c r="E204" s="1099">
        <v>0</v>
      </c>
      <c r="F204" s="1099">
        <v>0</v>
      </c>
      <c r="G204" s="7">
        <f t="shared" si="22"/>
        <v>0</v>
      </c>
      <c r="H204" s="7">
        <f t="shared" si="24"/>
        <v>0</v>
      </c>
    </row>
    <row r="205" spans="1:8">
      <c r="A205" s="529">
        <f t="shared" si="23"/>
        <v>115</v>
      </c>
      <c r="C205" s="518" t="s">
        <v>189</v>
      </c>
      <c r="D205" s="641">
        <v>2017</v>
      </c>
      <c r="E205" s="1099">
        <v>0</v>
      </c>
      <c r="F205" s="1099">
        <v>0</v>
      </c>
      <c r="G205" s="7">
        <f t="shared" si="22"/>
        <v>0</v>
      </c>
      <c r="H205" s="7">
        <f t="shared" si="24"/>
        <v>0</v>
      </c>
    </row>
    <row r="206" spans="1:8">
      <c r="A206" s="529">
        <f t="shared" si="23"/>
        <v>116</v>
      </c>
      <c r="C206" s="518" t="s">
        <v>190</v>
      </c>
      <c r="D206" s="641">
        <v>2017</v>
      </c>
      <c r="E206" s="1099">
        <v>0</v>
      </c>
      <c r="F206" s="1099">
        <v>0</v>
      </c>
      <c r="G206" s="7">
        <f t="shared" si="22"/>
        <v>0</v>
      </c>
      <c r="H206" s="7">
        <f t="shared" si="24"/>
        <v>0</v>
      </c>
    </row>
    <row r="207" spans="1:8">
      <c r="A207" s="529">
        <f t="shared" si="23"/>
        <v>117</v>
      </c>
      <c r="C207" s="518" t="s">
        <v>180</v>
      </c>
      <c r="D207" s="641">
        <v>2017</v>
      </c>
      <c r="E207" s="1099">
        <v>0</v>
      </c>
      <c r="F207" s="1099">
        <v>0</v>
      </c>
      <c r="G207" s="7">
        <f t="shared" si="22"/>
        <v>0</v>
      </c>
      <c r="H207" s="7">
        <f t="shared" si="24"/>
        <v>0</v>
      </c>
    </row>
    <row r="209" spans="1:8">
      <c r="C209" s="191" t="s">
        <v>1568</v>
      </c>
      <c r="E209" s="84" t="s">
        <v>363</v>
      </c>
      <c r="F209" s="84" t="s">
        <v>347</v>
      </c>
      <c r="G209" s="84" t="s">
        <v>348</v>
      </c>
      <c r="H209" s="84" t="s">
        <v>349</v>
      </c>
    </row>
    <row r="210" spans="1:8">
      <c r="G210" s="492" t="s">
        <v>1674</v>
      </c>
      <c r="H210" s="492" t="s">
        <v>1675</v>
      </c>
    </row>
    <row r="211" spans="1:8">
      <c r="C211" s="529" t="s">
        <v>538</v>
      </c>
      <c r="H211" s="484" t="s">
        <v>1676</v>
      </c>
    </row>
    <row r="212" spans="1:8">
      <c r="C212" s="529" t="s">
        <v>193</v>
      </c>
      <c r="E212" s="529" t="s">
        <v>376</v>
      </c>
      <c r="F212" s="529" t="s">
        <v>1564</v>
      </c>
      <c r="G212" s="529" t="s">
        <v>1005</v>
      </c>
      <c r="H212" s="529" t="s">
        <v>1138</v>
      </c>
    </row>
    <row r="213" spans="1:8">
      <c r="C213" s="25" t="s">
        <v>192</v>
      </c>
      <c r="D213" s="25" t="s">
        <v>193</v>
      </c>
      <c r="E213" s="3" t="s">
        <v>1565</v>
      </c>
      <c r="F213" s="3" t="s">
        <v>1093</v>
      </c>
      <c r="G213" s="3" t="s">
        <v>3</v>
      </c>
      <c r="H213" s="3" t="s">
        <v>1560</v>
      </c>
    </row>
    <row r="214" spans="1:8">
      <c r="A214" s="529">
        <f>A207+1</f>
        <v>118</v>
      </c>
      <c r="C214" s="518" t="s">
        <v>180</v>
      </c>
      <c r="D214" s="1199">
        <v>2016</v>
      </c>
      <c r="E214" s="1099">
        <v>235590583.02999994</v>
      </c>
      <c r="F214" s="1099">
        <v>19587100.488371003</v>
      </c>
      <c r="G214" s="7">
        <f t="shared" ref="G214:G226" si="25">E214-F214</f>
        <v>216003482.54162893</v>
      </c>
      <c r="H214" s="7">
        <f>E214-E214</f>
        <v>0</v>
      </c>
    </row>
    <row r="215" spans="1:8">
      <c r="A215" s="529">
        <f>A214+1</f>
        <v>119</v>
      </c>
      <c r="C215" s="518" t="s">
        <v>181</v>
      </c>
      <c r="D215" s="641">
        <v>2017</v>
      </c>
      <c r="E215" s="1099">
        <v>235590583.02999994</v>
      </c>
      <c r="F215" s="1099">
        <v>20083715.634848166</v>
      </c>
      <c r="G215" s="7">
        <f t="shared" si="25"/>
        <v>215506867.39515176</v>
      </c>
      <c r="H215" s="7">
        <f>E215-E214</f>
        <v>0</v>
      </c>
    </row>
    <row r="216" spans="1:8">
      <c r="A216" s="529">
        <f t="shared" ref="A216:A226" si="26">A215+1</f>
        <v>120</v>
      </c>
      <c r="C216" s="516" t="s">
        <v>182</v>
      </c>
      <c r="D216" s="641">
        <v>2017</v>
      </c>
      <c r="E216" s="1099">
        <v>235596527.09999993</v>
      </c>
      <c r="F216" s="1099">
        <v>20580330.98648617</v>
      </c>
      <c r="G216" s="7">
        <f t="shared" si="25"/>
        <v>215016196.11351377</v>
      </c>
      <c r="H216" s="7">
        <f t="shared" ref="H216:H226" si="27">E216-E215</f>
        <v>5944.0699999928474</v>
      </c>
    </row>
    <row r="217" spans="1:8">
      <c r="A217" s="529">
        <f t="shared" si="26"/>
        <v>121</v>
      </c>
      <c r="C217" s="516" t="s">
        <v>195</v>
      </c>
      <c r="D217" s="641">
        <v>2017</v>
      </c>
      <c r="E217" s="1099">
        <v>235599878.20999995</v>
      </c>
      <c r="F217" s="1099">
        <v>21076959.068340749</v>
      </c>
      <c r="G217" s="7">
        <f t="shared" si="25"/>
        <v>214522919.1416592</v>
      </c>
      <c r="H217" s="7">
        <f t="shared" si="27"/>
        <v>3351.1100000143051</v>
      </c>
    </row>
    <row r="218" spans="1:8">
      <c r="A218" s="529">
        <f t="shared" si="26"/>
        <v>122</v>
      </c>
      <c r="C218" s="518" t="s">
        <v>183</v>
      </c>
      <c r="D218" s="641">
        <v>2017</v>
      </c>
      <c r="E218" s="1099">
        <v>235602997.14999995</v>
      </c>
      <c r="F218" s="1099">
        <v>21573594.327155914</v>
      </c>
      <c r="G218" s="7">
        <f t="shared" si="25"/>
        <v>214029402.82284403</v>
      </c>
      <c r="H218" s="7">
        <f t="shared" si="27"/>
        <v>3118.9399999976158</v>
      </c>
    </row>
    <row r="219" spans="1:8">
      <c r="A219" s="529">
        <f t="shared" si="26"/>
        <v>123</v>
      </c>
      <c r="C219" s="516" t="s">
        <v>184</v>
      </c>
      <c r="D219" s="641">
        <v>2017</v>
      </c>
      <c r="E219" s="1099">
        <v>235602997.14999995</v>
      </c>
      <c r="F219" s="1099">
        <v>22070236.265700914</v>
      </c>
      <c r="G219" s="7">
        <f t="shared" si="25"/>
        <v>213532760.88429904</v>
      </c>
      <c r="H219" s="7">
        <f t="shared" si="27"/>
        <v>0</v>
      </c>
    </row>
    <row r="220" spans="1:8">
      <c r="A220" s="529">
        <f t="shared" si="26"/>
        <v>124</v>
      </c>
      <c r="C220" s="516" t="s">
        <v>185</v>
      </c>
      <c r="D220" s="641">
        <v>2017</v>
      </c>
      <c r="E220" s="1099">
        <v>235604617.73999992</v>
      </c>
      <c r="F220" s="1099">
        <v>22566878.204245914</v>
      </c>
      <c r="G220" s="7">
        <f t="shared" si="25"/>
        <v>213037739.535754</v>
      </c>
      <c r="H220" s="7">
        <f t="shared" si="27"/>
        <v>1620.589999973774</v>
      </c>
    </row>
    <row r="221" spans="1:8">
      <c r="A221" s="529">
        <f t="shared" si="26"/>
        <v>125</v>
      </c>
      <c r="C221" s="518" t="s">
        <v>186</v>
      </c>
      <c r="D221" s="641">
        <v>2017</v>
      </c>
      <c r="E221" s="1099">
        <v>235604617.67999992</v>
      </c>
      <c r="F221" s="1099">
        <v>23063523.568534493</v>
      </c>
      <c r="G221" s="7">
        <f t="shared" si="25"/>
        <v>212541094.11146542</v>
      </c>
      <c r="H221" s="7">
        <f t="shared" si="27"/>
        <v>-6.0000002384185791E-2</v>
      </c>
    </row>
    <row r="222" spans="1:8">
      <c r="A222" s="529">
        <f t="shared" si="26"/>
        <v>126</v>
      </c>
      <c r="C222" s="516" t="s">
        <v>187</v>
      </c>
      <c r="D222" s="641">
        <v>2017</v>
      </c>
      <c r="E222" s="1099">
        <v>235604617.67999992</v>
      </c>
      <c r="F222" s="1099">
        <v>23560168.97771458</v>
      </c>
      <c r="G222" s="7">
        <f t="shared" si="25"/>
        <v>212044448.70228535</v>
      </c>
      <c r="H222" s="7">
        <f t="shared" si="27"/>
        <v>0</v>
      </c>
    </row>
    <row r="223" spans="1:8">
      <c r="A223" s="529">
        <f t="shared" si="26"/>
        <v>127</v>
      </c>
      <c r="C223" s="516" t="s">
        <v>188</v>
      </c>
      <c r="D223" s="641">
        <v>2017</v>
      </c>
      <c r="E223" s="1099">
        <v>235604617.68999994</v>
      </c>
      <c r="F223" s="1099">
        <v>24056814.386894658</v>
      </c>
      <c r="G223" s="7">
        <f t="shared" si="25"/>
        <v>211547803.30310529</v>
      </c>
      <c r="H223" s="7">
        <f t="shared" si="27"/>
        <v>1.0000020265579224E-2</v>
      </c>
    </row>
    <row r="224" spans="1:8">
      <c r="A224" s="529">
        <f t="shared" si="26"/>
        <v>128</v>
      </c>
      <c r="C224" s="518" t="s">
        <v>189</v>
      </c>
      <c r="D224" s="641">
        <v>2017</v>
      </c>
      <c r="E224" s="1099">
        <v>235604617.68999994</v>
      </c>
      <c r="F224" s="1099">
        <v>24553459.796096165</v>
      </c>
      <c r="G224" s="7">
        <f t="shared" si="25"/>
        <v>211051157.89390376</v>
      </c>
      <c r="H224" s="7">
        <f t="shared" si="27"/>
        <v>0</v>
      </c>
    </row>
    <row r="225" spans="1:8">
      <c r="A225" s="529">
        <f t="shared" si="26"/>
        <v>129</v>
      </c>
      <c r="C225" s="518" t="s">
        <v>190</v>
      </c>
      <c r="D225" s="641">
        <v>2017</v>
      </c>
      <c r="E225" s="1099">
        <v>235653735.35999992</v>
      </c>
      <c r="F225" s="1099">
        <v>25050105.20529766</v>
      </c>
      <c r="G225" s="7">
        <f t="shared" si="25"/>
        <v>210603630.15470228</v>
      </c>
      <c r="H225" s="7">
        <f t="shared" si="27"/>
        <v>49117.669999986887</v>
      </c>
    </row>
    <row r="226" spans="1:8">
      <c r="A226" s="529">
        <f t="shared" si="26"/>
        <v>130</v>
      </c>
      <c r="C226" s="518" t="s">
        <v>180</v>
      </c>
      <c r="D226" s="641">
        <v>2017</v>
      </c>
      <c r="E226" s="1099">
        <v>235653723.16999993</v>
      </c>
      <c r="F226" s="1099">
        <v>25546854.443795744</v>
      </c>
      <c r="G226" s="7">
        <f t="shared" si="25"/>
        <v>210106868.72620419</v>
      </c>
      <c r="H226" s="7">
        <f t="shared" si="27"/>
        <v>-12.189999997615814</v>
      </c>
    </row>
    <row r="228" spans="1:8">
      <c r="C228" s="191" t="s">
        <v>1606</v>
      </c>
      <c r="H228" s="84" t="s">
        <v>349</v>
      </c>
    </row>
    <row r="229" spans="1:8">
      <c r="E229" s="84" t="s">
        <v>363</v>
      </c>
      <c r="F229" s="84" t="s">
        <v>347</v>
      </c>
      <c r="G229" s="84" t="s">
        <v>348</v>
      </c>
      <c r="H229" s="492" t="s">
        <v>1675</v>
      </c>
    </row>
    <row r="230" spans="1:8">
      <c r="C230" s="529" t="s">
        <v>538</v>
      </c>
      <c r="G230" s="492" t="s">
        <v>1674</v>
      </c>
      <c r="H230" s="484" t="s">
        <v>1676</v>
      </c>
    </row>
    <row r="231" spans="1:8">
      <c r="C231" s="529" t="s">
        <v>193</v>
      </c>
      <c r="E231" s="529" t="s">
        <v>376</v>
      </c>
      <c r="F231" s="529" t="s">
        <v>1564</v>
      </c>
      <c r="G231" s="529" t="s">
        <v>1005</v>
      </c>
      <c r="H231" s="529" t="s">
        <v>1138</v>
      </c>
    </row>
    <row r="232" spans="1:8">
      <c r="C232" s="25" t="s">
        <v>192</v>
      </c>
      <c r="D232" s="25" t="s">
        <v>193</v>
      </c>
      <c r="E232" s="3" t="s">
        <v>1565</v>
      </c>
      <c r="F232" s="3" t="s">
        <v>1093</v>
      </c>
      <c r="G232" s="3" t="s">
        <v>3</v>
      </c>
      <c r="H232" s="3" t="s">
        <v>1560</v>
      </c>
    </row>
    <row r="233" spans="1:8">
      <c r="A233" s="529">
        <f>A226+1</f>
        <v>131</v>
      </c>
      <c r="C233" s="518" t="s">
        <v>180</v>
      </c>
      <c r="D233" s="1199">
        <v>2016</v>
      </c>
      <c r="E233" s="1099">
        <v>53627431.310000017</v>
      </c>
      <c r="F233" s="1099">
        <v>3026415.3137713335</v>
      </c>
      <c r="G233" s="7">
        <f t="shared" ref="G233:G245" si="28">E233-F233</f>
        <v>50601015.99622868</v>
      </c>
      <c r="H233" s="7">
        <f>E233-E233</f>
        <v>0</v>
      </c>
    </row>
    <row r="234" spans="1:8">
      <c r="A234" s="529">
        <f>A233+1</f>
        <v>132</v>
      </c>
      <c r="C234" s="518" t="s">
        <v>181</v>
      </c>
      <c r="D234" s="641">
        <v>2017</v>
      </c>
      <c r="E234" s="1099">
        <v>53627431.310000017</v>
      </c>
      <c r="F234" s="1099">
        <v>3136881.4796327502</v>
      </c>
      <c r="G234" s="7">
        <f t="shared" si="28"/>
        <v>50490549.830367267</v>
      </c>
      <c r="H234" s="7">
        <f>E234-E233</f>
        <v>0</v>
      </c>
    </row>
    <row r="235" spans="1:8">
      <c r="A235" s="529">
        <f t="shared" ref="A235:A245" si="29">A234+1</f>
        <v>133</v>
      </c>
      <c r="C235" s="516" t="s">
        <v>182</v>
      </c>
      <c r="D235" s="641">
        <v>2017</v>
      </c>
      <c r="E235" s="1099">
        <v>53627431.310000017</v>
      </c>
      <c r="F235" s="1099">
        <v>3247347.7555716671</v>
      </c>
      <c r="G235" s="7">
        <f t="shared" si="28"/>
        <v>50380083.554428354</v>
      </c>
      <c r="H235" s="7">
        <f t="shared" ref="H235:H245" si="30">E235-E234</f>
        <v>0</v>
      </c>
    </row>
    <row r="236" spans="1:8">
      <c r="A236" s="529">
        <f t="shared" si="29"/>
        <v>134</v>
      </c>
      <c r="C236" s="516" t="s">
        <v>195</v>
      </c>
      <c r="D236" s="641">
        <v>2017</v>
      </c>
      <c r="E236" s="1099">
        <v>53627431.310000017</v>
      </c>
      <c r="F236" s="1099">
        <v>3357814.0315105836</v>
      </c>
      <c r="G236" s="7">
        <f t="shared" si="28"/>
        <v>50269617.278489433</v>
      </c>
      <c r="H236" s="7">
        <f t="shared" si="30"/>
        <v>0</v>
      </c>
    </row>
    <row r="237" spans="1:8">
      <c r="A237" s="529">
        <f t="shared" si="29"/>
        <v>135</v>
      </c>
      <c r="C237" s="518" t="s">
        <v>183</v>
      </c>
      <c r="D237" s="641">
        <v>2017</v>
      </c>
      <c r="E237" s="1099">
        <v>86255712.190000027</v>
      </c>
      <c r="F237" s="1099">
        <v>3468280.3074495001</v>
      </c>
      <c r="G237" s="7">
        <f t="shared" si="28"/>
        <v>82787431.882550523</v>
      </c>
      <c r="H237" s="7">
        <f t="shared" si="30"/>
        <v>32628280.88000001</v>
      </c>
    </row>
    <row r="238" spans="1:8">
      <c r="A238" s="529">
        <f t="shared" si="29"/>
        <v>136</v>
      </c>
      <c r="C238" s="516" t="s">
        <v>184</v>
      </c>
      <c r="D238" s="641">
        <v>2017</v>
      </c>
      <c r="E238" s="1099">
        <v>86423086.630000025</v>
      </c>
      <c r="F238" s="1099">
        <v>3645923.8967847503</v>
      </c>
      <c r="G238" s="7">
        <f t="shared" si="28"/>
        <v>82777162.733215272</v>
      </c>
      <c r="H238" s="7">
        <f t="shared" si="30"/>
        <v>167374.43999999762</v>
      </c>
    </row>
    <row r="239" spans="1:8">
      <c r="A239" s="529">
        <f t="shared" si="29"/>
        <v>137</v>
      </c>
      <c r="C239" s="516" t="s">
        <v>185</v>
      </c>
      <c r="D239" s="641">
        <v>2017</v>
      </c>
      <c r="E239" s="1099">
        <v>86465217.470000029</v>
      </c>
      <c r="F239" s="1099">
        <v>3823912.0879473337</v>
      </c>
      <c r="G239" s="7">
        <f t="shared" si="28"/>
        <v>82641305.38205269</v>
      </c>
      <c r="H239" s="7">
        <f t="shared" si="30"/>
        <v>42130.840000003576</v>
      </c>
    </row>
    <row r="240" spans="1:8">
      <c r="A240" s="529">
        <f t="shared" si="29"/>
        <v>138</v>
      </c>
      <c r="C240" s="518" t="s">
        <v>186</v>
      </c>
      <c r="D240" s="641">
        <v>2017</v>
      </c>
      <c r="E240" s="1099">
        <v>86496127.450000033</v>
      </c>
      <c r="F240" s="1099">
        <v>4001987.0209347503</v>
      </c>
      <c r="G240" s="7">
        <f t="shared" si="28"/>
        <v>82494140.429065287</v>
      </c>
      <c r="H240" s="7">
        <f t="shared" si="30"/>
        <v>30909.980000004172</v>
      </c>
    </row>
    <row r="241" spans="1:8">
      <c r="A241" s="529">
        <f t="shared" si="29"/>
        <v>139</v>
      </c>
      <c r="C241" s="516" t="s">
        <v>187</v>
      </c>
      <c r="D241" s="641">
        <v>2017</v>
      </c>
      <c r="E241" s="1099">
        <v>86531254.020000026</v>
      </c>
      <c r="F241" s="1099">
        <v>4180125.5934810005</v>
      </c>
      <c r="G241" s="7">
        <f t="shared" si="28"/>
        <v>82351128.426519021</v>
      </c>
      <c r="H241" s="7">
        <f t="shared" si="30"/>
        <v>35126.569999992847</v>
      </c>
    </row>
    <row r="242" spans="1:8">
      <c r="A242" s="529">
        <f t="shared" si="29"/>
        <v>140</v>
      </c>
      <c r="C242" s="516" t="s">
        <v>188</v>
      </c>
      <c r="D242" s="641">
        <v>2017</v>
      </c>
      <c r="E242" s="1099">
        <v>86558719.780000031</v>
      </c>
      <c r="F242" s="1099">
        <v>4358336.486987168</v>
      </c>
      <c r="G242" s="7">
        <f t="shared" si="28"/>
        <v>82200383.293012857</v>
      </c>
      <c r="H242" s="7">
        <f t="shared" si="30"/>
        <v>27465.760000005364</v>
      </c>
    </row>
    <row r="243" spans="1:8">
      <c r="A243" s="529">
        <f t="shared" si="29"/>
        <v>141</v>
      </c>
      <c r="C243" s="518" t="s">
        <v>189</v>
      </c>
      <c r="D243" s="641">
        <v>2017</v>
      </c>
      <c r="E243" s="1099">
        <v>87524370.780000031</v>
      </c>
      <c r="F243" s="1099">
        <v>4536603.9288593344</v>
      </c>
      <c r="G243" s="7">
        <f t="shared" si="28"/>
        <v>82987766.851140693</v>
      </c>
      <c r="H243" s="7">
        <f t="shared" si="30"/>
        <v>965651</v>
      </c>
    </row>
    <row r="244" spans="1:8">
      <c r="A244" s="529">
        <f t="shared" si="29"/>
        <v>142</v>
      </c>
      <c r="C244" s="518" t="s">
        <v>190</v>
      </c>
      <c r="D244" s="641">
        <v>2017</v>
      </c>
      <c r="E244" s="1099">
        <v>87519888.160000026</v>
      </c>
      <c r="F244" s="1099">
        <v>4716859.0158306677</v>
      </c>
      <c r="G244" s="7">
        <f t="shared" si="28"/>
        <v>82803029.14416936</v>
      </c>
      <c r="H244" s="7">
        <f t="shared" si="30"/>
        <v>-4482.6200000047684</v>
      </c>
    </row>
    <row r="245" spans="1:8">
      <c r="A245" s="529">
        <f t="shared" si="29"/>
        <v>143</v>
      </c>
      <c r="C245" s="518" t="s">
        <v>180</v>
      </c>
      <c r="D245" s="641">
        <v>2017</v>
      </c>
      <c r="E245" s="1099">
        <v>87531655.490000039</v>
      </c>
      <c r="F245" s="1099">
        <v>4897104.8798991675</v>
      </c>
      <c r="G245" s="7">
        <f t="shared" si="28"/>
        <v>82634550.610100865</v>
      </c>
      <c r="H245" s="7">
        <f t="shared" si="30"/>
        <v>11767.330000013113</v>
      </c>
    </row>
    <row r="247" spans="1:8">
      <c r="C247" s="191" t="s">
        <v>1607</v>
      </c>
      <c r="H247" s="84" t="s">
        <v>349</v>
      </c>
    </row>
    <row r="248" spans="1:8">
      <c r="E248" s="84" t="s">
        <v>363</v>
      </c>
      <c r="F248" s="84" t="s">
        <v>347</v>
      </c>
      <c r="G248" s="84" t="s">
        <v>348</v>
      </c>
      <c r="H248" s="492" t="s">
        <v>1675</v>
      </c>
    </row>
    <row r="249" spans="1:8">
      <c r="C249" s="529" t="s">
        <v>538</v>
      </c>
      <c r="G249" s="492" t="s">
        <v>1674</v>
      </c>
      <c r="H249" s="484" t="s">
        <v>1676</v>
      </c>
    </row>
    <row r="250" spans="1:8">
      <c r="C250" s="529" t="s">
        <v>193</v>
      </c>
      <c r="E250" s="529" t="s">
        <v>376</v>
      </c>
      <c r="F250" s="529" t="s">
        <v>1564</v>
      </c>
      <c r="G250" s="529" t="s">
        <v>1005</v>
      </c>
      <c r="H250" s="529" t="s">
        <v>1138</v>
      </c>
    </row>
    <row r="251" spans="1:8">
      <c r="C251" s="25" t="s">
        <v>192</v>
      </c>
      <c r="D251" s="25" t="s">
        <v>193</v>
      </c>
      <c r="E251" s="3" t="s">
        <v>1565</v>
      </c>
      <c r="F251" s="3" t="s">
        <v>1093</v>
      </c>
      <c r="G251" s="3" t="s">
        <v>3</v>
      </c>
      <c r="H251" s="3" t="s">
        <v>1560</v>
      </c>
    </row>
    <row r="252" spans="1:8">
      <c r="A252" s="529">
        <f>A245+1</f>
        <v>144</v>
      </c>
      <c r="C252" s="518" t="s">
        <v>180</v>
      </c>
      <c r="D252" s="1199">
        <v>2016</v>
      </c>
      <c r="E252" s="1099">
        <v>71091079.070000023</v>
      </c>
      <c r="F252" s="1099">
        <v>5992602.1445063334</v>
      </c>
      <c r="G252" s="7">
        <f t="shared" ref="G252:G264" si="31">E252-F252</f>
        <v>65098476.925493687</v>
      </c>
      <c r="H252" s="7">
        <f>E252-E252</f>
        <v>0</v>
      </c>
    </row>
    <row r="253" spans="1:8">
      <c r="A253" s="529">
        <f>A252+1</f>
        <v>145</v>
      </c>
      <c r="C253" s="518" t="s">
        <v>181</v>
      </c>
      <c r="D253" s="641">
        <v>2017</v>
      </c>
      <c r="E253" s="1099">
        <v>71149299.39000003</v>
      </c>
      <c r="F253" s="1099">
        <v>6139911.5234520845</v>
      </c>
      <c r="G253" s="7">
        <f t="shared" si="31"/>
        <v>65009387.866547942</v>
      </c>
      <c r="H253" s="7">
        <f>E253-E252</f>
        <v>58220.320000007749</v>
      </c>
    </row>
    <row r="254" spans="1:8">
      <c r="A254" s="529">
        <f t="shared" ref="A254:A264" si="32">A253+1</f>
        <v>146</v>
      </c>
      <c r="C254" s="516" t="s">
        <v>182</v>
      </c>
      <c r="D254" s="641">
        <v>2017</v>
      </c>
      <c r="E254" s="1099">
        <v>71330023.520000026</v>
      </c>
      <c r="F254" s="1099">
        <v>6287340.7392231673</v>
      </c>
      <c r="G254" s="7">
        <f t="shared" si="31"/>
        <v>65042682.780776858</v>
      </c>
      <c r="H254" s="7">
        <f t="shared" ref="H254:H264" si="33">E254-E253</f>
        <v>180724.12999999523</v>
      </c>
    </row>
    <row r="255" spans="1:8">
      <c r="A255" s="529">
        <f t="shared" si="32"/>
        <v>147</v>
      </c>
      <c r="C255" s="516" t="s">
        <v>195</v>
      </c>
      <c r="D255" s="641">
        <v>2017</v>
      </c>
      <c r="E255" s="1099">
        <v>71477390.540000036</v>
      </c>
      <c r="F255" s="1099">
        <v>6435141.9454593342</v>
      </c>
      <c r="G255" s="7">
        <f t="shared" si="31"/>
        <v>65042248.5945407</v>
      </c>
      <c r="H255" s="7">
        <f t="shared" si="33"/>
        <v>147367.02000001073</v>
      </c>
    </row>
    <row r="256" spans="1:8">
      <c r="A256" s="529">
        <f t="shared" si="32"/>
        <v>148</v>
      </c>
      <c r="C256" s="518" t="s">
        <v>183</v>
      </c>
      <c r="D256" s="641">
        <v>2017</v>
      </c>
      <c r="E256" s="1099">
        <v>71530277.520000026</v>
      </c>
      <c r="F256" s="1099">
        <v>6583246.4798025014</v>
      </c>
      <c r="G256" s="7">
        <f t="shared" si="31"/>
        <v>64947031.040197521</v>
      </c>
      <c r="H256" s="7">
        <f t="shared" si="33"/>
        <v>52886.979999989271</v>
      </c>
    </row>
    <row r="257" spans="1:8">
      <c r="A257" s="529">
        <f t="shared" si="32"/>
        <v>149</v>
      </c>
      <c r="C257" s="516" t="s">
        <v>184</v>
      </c>
      <c r="D257" s="641">
        <v>2017</v>
      </c>
      <c r="E257" s="1099">
        <v>71586512.570000038</v>
      </c>
      <c r="F257" s="1099">
        <v>6731459.8731803345</v>
      </c>
      <c r="G257" s="7">
        <f t="shared" si="31"/>
        <v>64855052.6968197</v>
      </c>
      <c r="H257" s="7">
        <f t="shared" si="33"/>
        <v>56235.050000011921</v>
      </c>
    </row>
    <row r="258" spans="1:8">
      <c r="A258" s="529">
        <f t="shared" si="32"/>
        <v>150</v>
      </c>
      <c r="C258" s="516" t="s">
        <v>185</v>
      </c>
      <c r="D258" s="641">
        <v>2017</v>
      </c>
      <c r="E258" s="1099">
        <v>71611412.180000037</v>
      </c>
      <c r="F258" s="1099">
        <v>6879789.0170352515</v>
      </c>
      <c r="G258" s="7">
        <f t="shared" si="31"/>
        <v>64731623.162964784</v>
      </c>
      <c r="H258" s="7">
        <f t="shared" si="33"/>
        <v>24899.609999999404</v>
      </c>
    </row>
    <row r="259" spans="1:8">
      <c r="A259" s="529">
        <f t="shared" si="32"/>
        <v>151</v>
      </c>
      <c r="C259" s="518" t="s">
        <v>186</v>
      </c>
      <c r="D259" s="641">
        <v>2017</v>
      </c>
      <c r="E259" s="1099">
        <v>71627144.89000003</v>
      </c>
      <c r="F259" s="1099">
        <v>7028169.4127015844</v>
      </c>
      <c r="G259" s="7">
        <f t="shared" si="31"/>
        <v>64598975.477298446</v>
      </c>
      <c r="H259" s="7">
        <f t="shared" si="33"/>
        <v>15732.709999993443</v>
      </c>
    </row>
    <row r="260" spans="1:8">
      <c r="A260" s="529">
        <f t="shared" si="32"/>
        <v>152</v>
      </c>
      <c r="C260" s="516" t="s">
        <v>187</v>
      </c>
      <c r="D260" s="641">
        <v>2017</v>
      </c>
      <c r="E260" s="1099">
        <v>71640093.690000027</v>
      </c>
      <c r="F260" s="1099">
        <v>7176582.1916110013</v>
      </c>
      <c r="G260" s="7">
        <f t="shared" si="31"/>
        <v>64463511.498389028</v>
      </c>
      <c r="H260" s="7">
        <f t="shared" si="33"/>
        <v>12948.79999999702</v>
      </c>
    </row>
    <row r="261" spans="1:8">
      <c r="A261" s="529">
        <f t="shared" si="32"/>
        <v>153</v>
      </c>
      <c r="C261" s="516" t="s">
        <v>188</v>
      </c>
      <c r="D261" s="641">
        <v>2017</v>
      </c>
      <c r="E261" s="1099">
        <v>71639023.060000032</v>
      </c>
      <c r="F261" s="1099">
        <v>7325021.6234637508</v>
      </c>
      <c r="G261" s="7">
        <f t="shared" si="31"/>
        <v>64314001.436536282</v>
      </c>
      <c r="H261" s="7">
        <f t="shared" si="33"/>
        <v>-1070.6299999952316</v>
      </c>
    </row>
    <row r="262" spans="1:8">
      <c r="A262" s="529">
        <f t="shared" si="32"/>
        <v>154</v>
      </c>
      <c r="C262" s="518" t="s">
        <v>189</v>
      </c>
      <c r="D262" s="641">
        <v>2017</v>
      </c>
      <c r="E262" s="1099">
        <v>71464495.040000021</v>
      </c>
      <c r="F262" s="1099">
        <v>7473458.8515880853</v>
      </c>
      <c r="G262" s="7">
        <f t="shared" si="31"/>
        <v>63991036.188411936</v>
      </c>
      <c r="H262" s="7">
        <f t="shared" si="33"/>
        <v>-174528.02000001073</v>
      </c>
    </row>
    <row r="263" spans="1:8">
      <c r="A263" s="529">
        <f t="shared" si="32"/>
        <v>155</v>
      </c>
      <c r="C263" s="518" t="s">
        <v>190</v>
      </c>
      <c r="D263" s="641">
        <v>2017</v>
      </c>
      <c r="E263" s="1099">
        <v>71465329.650000036</v>
      </c>
      <c r="F263" s="1099">
        <v>7621547.2439162508</v>
      </c>
      <c r="G263" s="7">
        <f t="shared" si="31"/>
        <v>63843782.406083785</v>
      </c>
      <c r="H263" s="7">
        <f t="shared" si="33"/>
        <v>834.61000001430511</v>
      </c>
    </row>
    <row r="264" spans="1:8">
      <c r="A264" s="529">
        <f t="shared" si="32"/>
        <v>156</v>
      </c>
      <c r="C264" s="518" t="s">
        <v>180</v>
      </c>
      <c r="D264" s="641">
        <v>2017</v>
      </c>
      <c r="E264" s="1099">
        <v>71499906.740000039</v>
      </c>
      <c r="F264" s="1099">
        <v>7769637.3541483358</v>
      </c>
      <c r="G264" s="7">
        <f t="shared" si="31"/>
        <v>63730269.385851704</v>
      </c>
      <c r="H264" s="7">
        <f t="shared" si="33"/>
        <v>34577.090000003576</v>
      </c>
    </row>
    <row r="266" spans="1:8">
      <c r="C266" s="1191" t="s">
        <v>2672</v>
      </c>
      <c r="E266" s="84" t="s">
        <v>363</v>
      </c>
      <c r="F266" s="84" t="s">
        <v>347</v>
      </c>
      <c r="G266" s="84" t="s">
        <v>348</v>
      </c>
      <c r="H266" s="84" t="s">
        <v>349</v>
      </c>
    </row>
    <row r="267" spans="1:8">
      <c r="G267" s="492" t="s">
        <v>1674</v>
      </c>
      <c r="H267" s="492" t="s">
        <v>1675</v>
      </c>
    </row>
    <row r="268" spans="1:8">
      <c r="C268" s="529" t="s">
        <v>538</v>
      </c>
      <c r="H268" s="484" t="s">
        <v>1676</v>
      </c>
    </row>
    <row r="269" spans="1:8">
      <c r="C269" s="529" t="s">
        <v>193</v>
      </c>
      <c r="E269" s="529" t="s">
        <v>376</v>
      </c>
      <c r="F269" s="529" t="s">
        <v>1564</v>
      </c>
      <c r="G269" s="529" t="s">
        <v>1005</v>
      </c>
      <c r="H269" s="529" t="s">
        <v>1138</v>
      </c>
    </row>
    <row r="270" spans="1:8">
      <c r="C270" s="25" t="s">
        <v>192</v>
      </c>
      <c r="D270" s="25" t="s">
        <v>193</v>
      </c>
      <c r="E270" s="3" t="s">
        <v>1565</v>
      </c>
      <c r="F270" s="3" t="s">
        <v>1093</v>
      </c>
      <c r="G270" s="3" t="s">
        <v>3</v>
      </c>
      <c r="H270" s="3" t="s">
        <v>1560</v>
      </c>
    </row>
    <row r="271" spans="1:8">
      <c r="A271" s="529">
        <f>A264+1</f>
        <v>157</v>
      </c>
      <c r="C271" s="518" t="s">
        <v>180</v>
      </c>
      <c r="D271" s="1199">
        <v>2016</v>
      </c>
      <c r="E271" s="107">
        <v>0</v>
      </c>
      <c r="F271" s="107">
        <v>0</v>
      </c>
      <c r="G271" s="7">
        <f t="shared" ref="G271:G283" si="34">E271-F271</f>
        <v>0</v>
      </c>
      <c r="H271" s="7">
        <f>E271-E271</f>
        <v>0</v>
      </c>
    </row>
    <row r="272" spans="1:8">
      <c r="A272" s="529">
        <f>A271+1</f>
        <v>158</v>
      </c>
      <c r="C272" s="518" t="s">
        <v>181</v>
      </c>
      <c r="D272" s="641">
        <v>2017</v>
      </c>
      <c r="E272" s="107">
        <v>0</v>
      </c>
      <c r="F272" s="107">
        <v>0</v>
      </c>
      <c r="G272" s="7">
        <f t="shared" si="34"/>
        <v>0</v>
      </c>
      <c r="H272" s="7">
        <f>E272-E271</f>
        <v>0</v>
      </c>
    </row>
    <row r="273" spans="1:8">
      <c r="A273" s="529">
        <f t="shared" ref="A273:A283" si="35">A272+1</f>
        <v>159</v>
      </c>
      <c r="C273" s="516" t="s">
        <v>182</v>
      </c>
      <c r="D273" s="641">
        <v>2017</v>
      </c>
      <c r="E273" s="107">
        <v>0</v>
      </c>
      <c r="F273" s="107">
        <v>0</v>
      </c>
      <c r="G273" s="7">
        <f t="shared" si="34"/>
        <v>0</v>
      </c>
      <c r="H273" s="7">
        <f t="shared" ref="H273:H283" si="36">E273-E272</f>
        <v>0</v>
      </c>
    </row>
    <row r="274" spans="1:8">
      <c r="A274" s="529">
        <f t="shared" si="35"/>
        <v>160</v>
      </c>
      <c r="C274" s="516" t="s">
        <v>195</v>
      </c>
      <c r="D274" s="641">
        <v>2017</v>
      </c>
      <c r="E274" s="107">
        <v>0</v>
      </c>
      <c r="F274" s="107">
        <v>0</v>
      </c>
      <c r="G274" s="7">
        <f t="shared" si="34"/>
        <v>0</v>
      </c>
      <c r="H274" s="7">
        <f t="shared" si="36"/>
        <v>0</v>
      </c>
    </row>
    <row r="275" spans="1:8">
      <c r="A275" s="529">
        <f t="shared" si="35"/>
        <v>161</v>
      </c>
      <c r="C275" s="518" t="s">
        <v>183</v>
      </c>
      <c r="D275" s="641">
        <v>2017</v>
      </c>
      <c r="E275" s="107">
        <v>0</v>
      </c>
      <c r="F275" s="107">
        <v>0</v>
      </c>
      <c r="G275" s="7">
        <f t="shared" si="34"/>
        <v>0</v>
      </c>
      <c r="H275" s="7">
        <f t="shared" si="36"/>
        <v>0</v>
      </c>
    </row>
    <row r="276" spans="1:8">
      <c r="A276" s="529">
        <f t="shared" si="35"/>
        <v>162</v>
      </c>
      <c r="C276" s="516" t="s">
        <v>184</v>
      </c>
      <c r="D276" s="641">
        <v>2017</v>
      </c>
      <c r="E276" s="107">
        <v>0</v>
      </c>
      <c r="F276" s="107">
        <v>0</v>
      </c>
      <c r="G276" s="7">
        <f t="shared" si="34"/>
        <v>0</v>
      </c>
      <c r="H276" s="7">
        <f t="shared" si="36"/>
        <v>0</v>
      </c>
    </row>
    <row r="277" spans="1:8">
      <c r="A277" s="529">
        <f t="shared" si="35"/>
        <v>163</v>
      </c>
      <c r="C277" s="516" t="s">
        <v>185</v>
      </c>
      <c r="D277" s="641">
        <v>2017</v>
      </c>
      <c r="E277" s="107">
        <v>0</v>
      </c>
      <c r="F277" s="107">
        <v>0</v>
      </c>
      <c r="G277" s="7">
        <f t="shared" si="34"/>
        <v>0</v>
      </c>
      <c r="H277" s="7">
        <f t="shared" si="36"/>
        <v>0</v>
      </c>
    </row>
    <row r="278" spans="1:8">
      <c r="A278" s="529">
        <f t="shared" si="35"/>
        <v>164</v>
      </c>
      <c r="C278" s="518" t="s">
        <v>186</v>
      </c>
      <c r="D278" s="641">
        <v>2017</v>
      </c>
      <c r="E278" s="107">
        <v>0</v>
      </c>
      <c r="F278" s="107">
        <v>0</v>
      </c>
      <c r="G278" s="7">
        <f t="shared" si="34"/>
        <v>0</v>
      </c>
      <c r="H278" s="7">
        <f t="shared" si="36"/>
        <v>0</v>
      </c>
    </row>
    <row r="279" spans="1:8">
      <c r="A279" s="529">
        <f t="shared" si="35"/>
        <v>165</v>
      </c>
      <c r="C279" s="516" t="s">
        <v>187</v>
      </c>
      <c r="D279" s="641">
        <v>2017</v>
      </c>
      <c r="E279" s="107">
        <v>0</v>
      </c>
      <c r="F279" s="107">
        <v>0</v>
      </c>
      <c r="G279" s="7">
        <f t="shared" si="34"/>
        <v>0</v>
      </c>
      <c r="H279" s="7">
        <f t="shared" si="36"/>
        <v>0</v>
      </c>
    </row>
    <row r="280" spans="1:8">
      <c r="A280" s="529">
        <f t="shared" si="35"/>
        <v>166</v>
      </c>
      <c r="C280" s="516" t="s">
        <v>188</v>
      </c>
      <c r="D280" s="641">
        <v>2017</v>
      </c>
      <c r="E280" s="107">
        <v>0</v>
      </c>
      <c r="F280" s="107">
        <v>0</v>
      </c>
      <c r="G280" s="7">
        <f t="shared" si="34"/>
        <v>0</v>
      </c>
      <c r="H280" s="7">
        <f t="shared" si="36"/>
        <v>0</v>
      </c>
    </row>
    <row r="281" spans="1:8">
      <c r="A281" s="529">
        <f t="shared" si="35"/>
        <v>167</v>
      </c>
      <c r="C281" s="518" t="s">
        <v>189</v>
      </c>
      <c r="D281" s="641">
        <v>2017</v>
      </c>
      <c r="E281" s="107">
        <v>0</v>
      </c>
      <c r="F281" s="107">
        <v>0</v>
      </c>
      <c r="G281" s="7">
        <f t="shared" si="34"/>
        <v>0</v>
      </c>
      <c r="H281" s="7">
        <f t="shared" si="36"/>
        <v>0</v>
      </c>
    </row>
    <row r="282" spans="1:8">
      <c r="A282" s="529">
        <f t="shared" si="35"/>
        <v>168</v>
      </c>
      <c r="C282" s="518" t="s">
        <v>190</v>
      </c>
      <c r="D282" s="641">
        <v>2017</v>
      </c>
      <c r="E282" s="107">
        <v>1657267.8875</v>
      </c>
      <c r="F282" s="107">
        <v>0</v>
      </c>
      <c r="G282" s="7">
        <f t="shared" si="34"/>
        <v>1657267.8875</v>
      </c>
      <c r="H282" s="7">
        <f t="shared" si="36"/>
        <v>1657267.8875</v>
      </c>
    </row>
    <row r="283" spans="1:8">
      <c r="A283" s="529">
        <f t="shared" si="35"/>
        <v>169</v>
      </c>
      <c r="C283" s="518" t="s">
        <v>180</v>
      </c>
      <c r="D283" s="641">
        <v>2017</v>
      </c>
      <c r="E283" s="107">
        <v>1657267.8875</v>
      </c>
      <c r="F283" s="107">
        <v>0</v>
      </c>
      <c r="G283" s="7">
        <f t="shared" si="34"/>
        <v>1657267.8875</v>
      </c>
      <c r="H283" s="7">
        <f t="shared" si="36"/>
        <v>0</v>
      </c>
    </row>
    <row r="285" spans="1:8">
      <c r="C285" s="1191" t="s">
        <v>2673</v>
      </c>
      <c r="E285" s="84" t="s">
        <v>363</v>
      </c>
      <c r="F285" s="84" t="s">
        <v>347</v>
      </c>
      <c r="G285" s="84" t="s">
        <v>348</v>
      </c>
      <c r="H285" s="84" t="s">
        <v>349</v>
      </c>
    </row>
    <row r="286" spans="1:8">
      <c r="G286" s="492" t="s">
        <v>1674</v>
      </c>
      <c r="H286" s="492" t="s">
        <v>1675</v>
      </c>
    </row>
    <row r="287" spans="1:8">
      <c r="C287" s="529" t="s">
        <v>538</v>
      </c>
      <c r="H287" s="484" t="s">
        <v>1676</v>
      </c>
    </row>
    <row r="288" spans="1:8">
      <c r="C288" s="529" t="s">
        <v>193</v>
      </c>
      <c r="E288" s="529" t="s">
        <v>376</v>
      </c>
      <c r="F288" s="529" t="s">
        <v>1564</v>
      </c>
      <c r="G288" s="529" t="s">
        <v>1005</v>
      </c>
      <c r="H288" s="529" t="s">
        <v>1138</v>
      </c>
    </row>
    <row r="289" spans="1:8">
      <c r="C289" s="25" t="s">
        <v>192</v>
      </c>
      <c r="D289" s="25" t="s">
        <v>193</v>
      </c>
      <c r="E289" s="3" t="s">
        <v>1565</v>
      </c>
      <c r="F289" s="3" t="s">
        <v>1093</v>
      </c>
      <c r="G289" s="3" t="s">
        <v>3</v>
      </c>
      <c r="H289" s="3" t="s">
        <v>1560</v>
      </c>
    </row>
    <row r="290" spans="1:8">
      <c r="A290" s="529">
        <f>A283+1</f>
        <v>170</v>
      </c>
      <c r="C290" s="518" t="s">
        <v>180</v>
      </c>
      <c r="D290" s="1199">
        <v>2016</v>
      </c>
      <c r="E290" s="107">
        <v>0</v>
      </c>
      <c r="F290" s="107">
        <v>0</v>
      </c>
      <c r="G290" s="7">
        <f t="shared" ref="G290:G302" si="37">E290-F290</f>
        <v>0</v>
      </c>
      <c r="H290" s="7">
        <f>E290-E290</f>
        <v>0</v>
      </c>
    </row>
    <row r="291" spans="1:8">
      <c r="A291" s="529">
        <f>A290+1</f>
        <v>171</v>
      </c>
      <c r="C291" s="518" t="s">
        <v>181</v>
      </c>
      <c r="D291" s="641">
        <v>2017</v>
      </c>
      <c r="E291" s="107">
        <v>0</v>
      </c>
      <c r="F291" s="107">
        <v>0</v>
      </c>
      <c r="G291" s="7">
        <f t="shared" si="37"/>
        <v>0</v>
      </c>
      <c r="H291" s="7">
        <f>E291-E290</f>
        <v>0</v>
      </c>
    </row>
    <row r="292" spans="1:8">
      <c r="A292" s="529">
        <f t="shared" ref="A292:A302" si="38">A291+1</f>
        <v>172</v>
      </c>
      <c r="C292" s="516" t="s">
        <v>182</v>
      </c>
      <c r="D292" s="641">
        <v>2017</v>
      </c>
      <c r="E292" s="107">
        <v>0</v>
      </c>
      <c r="F292" s="107">
        <v>0</v>
      </c>
      <c r="G292" s="7">
        <f t="shared" si="37"/>
        <v>0</v>
      </c>
      <c r="H292" s="7">
        <f t="shared" ref="H292:H302" si="39">E292-E291</f>
        <v>0</v>
      </c>
    </row>
    <row r="293" spans="1:8">
      <c r="A293" s="529">
        <f t="shared" si="38"/>
        <v>173</v>
      </c>
      <c r="C293" s="516" t="s">
        <v>195</v>
      </c>
      <c r="D293" s="641">
        <v>2017</v>
      </c>
      <c r="E293" s="107">
        <v>0</v>
      </c>
      <c r="F293" s="107">
        <v>0</v>
      </c>
      <c r="G293" s="7">
        <f t="shared" si="37"/>
        <v>0</v>
      </c>
      <c r="H293" s="7">
        <f t="shared" si="39"/>
        <v>0</v>
      </c>
    </row>
    <row r="294" spans="1:8">
      <c r="A294" s="529">
        <f t="shared" si="38"/>
        <v>174</v>
      </c>
      <c r="C294" s="518" t="s">
        <v>183</v>
      </c>
      <c r="D294" s="641">
        <v>2017</v>
      </c>
      <c r="E294" s="107">
        <v>0</v>
      </c>
      <c r="F294" s="107">
        <v>0</v>
      </c>
      <c r="G294" s="7">
        <f t="shared" si="37"/>
        <v>0</v>
      </c>
      <c r="H294" s="7">
        <f t="shared" si="39"/>
        <v>0</v>
      </c>
    </row>
    <row r="295" spans="1:8">
      <c r="A295" s="529">
        <f t="shared" si="38"/>
        <v>175</v>
      </c>
      <c r="C295" s="516" t="s">
        <v>184</v>
      </c>
      <c r="D295" s="641">
        <v>2017</v>
      </c>
      <c r="E295" s="107">
        <v>0</v>
      </c>
      <c r="F295" s="107">
        <v>0</v>
      </c>
      <c r="G295" s="7">
        <f t="shared" si="37"/>
        <v>0</v>
      </c>
      <c r="H295" s="7">
        <f t="shared" si="39"/>
        <v>0</v>
      </c>
    </row>
    <row r="296" spans="1:8">
      <c r="A296" s="529">
        <f t="shared" si="38"/>
        <v>176</v>
      </c>
      <c r="C296" s="516" t="s">
        <v>185</v>
      </c>
      <c r="D296" s="641">
        <v>2017</v>
      </c>
      <c r="E296" s="107">
        <v>0</v>
      </c>
      <c r="F296" s="107">
        <v>0</v>
      </c>
      <c r="G296" s="7">
        <f t="shared" si="37"/>
        <v>0</v>
      </c>
      <c r="H296" s="7">
        <f t="shared" si="39"/>
        <v>0</v>
      </c>
    </row>
    <row r="297" spans="1:8">
      <c r="A297" s="529">
        <f t="shared" si="38"/>
        <v>177</v>
      </c>
      <c r="C297" s="518" t="s">
        <v>186</v>
      </c>
      <c r="D297" s="641">
        <v>2017</v>
      </c>
      <c r="E297" s="107">
        <v>0</v>
      </c>
      <c r="F297" s="107">
        <v>0</v>
      </c>
      <c r="G297" s="7">
        <f t="shared" si="37"/>
        <v>0</v>
      </c>
      <c r="H297" s="7">
        <f t="shared" si="39"/>
        <v>0</v>
      </c>
    </row>
    <row r="298" spans="1:8">
      <c r="A298" s="529">
        <f t="shared" si="38"/>
        <v>178</v>
      </c>
      <c r="C298" s="516" t="s">
        <v>187</v>
      </c>
      <c r="D298" s="641">
        <v>2017</v>
      </c>
      <c r="E298" s="107">
        <v>0</v>
      </c>
      <c r="F298" s="107">
        <v>0</v>
      </c>
      <c r="G298" s="7">
        <f t="shared" si="37"/>
        <v>0</v>
      </c>
      <c r="H298" s="7">
        <f t="shared" si="39"/>
        <v>0</v>
      </c>
    </row>
    <row r="299" spans="1:8">
      <c r="A299" s="529">
        <f t="shared" si="38"/>
        <v>179</v>
      </c>
      <c r="C299" s="516" t="s">
        <v>188</v>
      </c>
      <c r="D299" s="641">
        <v>2017</v>
      </c>
      <c r="E299" s="107">
        <v>0</v>
      </c>
      <c r="F299" s="107">
        <v>0</v>
      </c>
      <c r="G299" s="7">
        <f t="shared" si="37"/>
        <v>0</v>
      </c>
      <c r="H299" s="7">
        <f t="shared" si="39"/>
        <v>0</v>
      </c>
    </row>
    <row r="300" spans="1:8">
      <c r="A300" s="529">
        <f t="shared" si="38"/>
        <v>180</v>
      </c>
      <c r="C300" s="518" t="s">
        <v>189</v>
      </c>
      <c r="D300" s="641">
        <v>2017</v>
      </c>
      <c r="E300" s="107">
        <v>0</v>
      </c>
      <c r="F300" s="107">
        <v>0</v>
      </c>
      <c r="G300" s="7">
        <f t="shared" si="37"/>
        <v>0</v>
      </c>
      <c r="H300" s="7">
        <f t="shared" si="39"/>
        <v>0</v>
      </c>
    </row>
    <row r="301" spans="1:8">
      <c r="A301" s="529">
        <f t="shared" si="38"/>
        <v>181</v>
      </c>
      <c r="C301" s="518" t="s">
        <v>190</v>
      </c>
      <c r="D301" s="641">
        <v>2017</v>
      </c>
      <c r="E301" s="107">
        <v>0</v>
      </c>
      <c r="F301" s="107">
        <v>0</v>
      </c>
      <c r="G301" s="7">
        <f t="shared" si="37"/>
        <v>0</v>
      </c>
      <c r="H301" s="7">
        <f t="shared" si="39"/>
        <v>0</v>
      </c>
    </row>
    <row r="302" spans="1:8">
      <c r="A302" s="529">
        <f t="shared" si="38"/>
        <v>182</v>
      </c>
      <c r="C302" s="518" t="s">
        <v>180</v>
      </c>
      <c r="D302" s="641">
        <v>2017</v>
      </c>
      <c r="E302" s="107">
        <v>0</v>
      </c>
      <c r="F302" s="107">
        <v>0</v>
      </c>
      <c r="G302" s="7">
        <f t="shared" si="37"/>
        <v>0</v>
      </c>
      <c r="H302" s="7">
        <f t="shared" si="39"/>
        <v>0</v>
      </c>
    </row>
    <row r="304" spans="1:8">
      <c r="A304" s="1075"/>
      <c r="B304" s="1075"/>
      <c r="C304" s="1191" t="s">
        <v>2729</v>
      </c>
      <c r="D304" s="1075"/>
      <c r="E304" s="84" t="s">
        <v>363</v>
      </c>
      <c r="F304" s="84" t="s">
        <v>347</v>
      </c>
      <c r="G304" s="84" t="s">
        <v>348</v>
      </c>
      <c r="H304" s="84" t="s">
        <v>349</v>
      </c>
    </row>
    <row r="305" spans="1:8">
      <c r="A305" s="1075"/>
      <c r="B305" s="1075"/>
      <c r="C305" s="1075"/>
      <c r="D305" s="1075"/>
      <c r="E305" s="1075"/>
      <c r="F305" s="1075"/>
      <c r="G305" s="492" t="s">
        <v>1674</v>
      </c>
      <c r="H305" s="492" t="s">
        <v>1675</v>
      </c>
    </row>
    <row r="306" spans="1:8">
      <c r="A306" s="1075"/>
      <c r="B306" s="1075"/>
      <c r="C306" s="580" t="s">
        <v>538</v>
      </c>
      <c r="D306" s="1075"/>
      <c r="E306" s="1075"/>
      <c r="F306" s="1075"/>
      <c r="G306" s="1075"/>
      <c r="H306" s="484" t="s">
        <v>1676</v>
      </c>
    </row>
    <row r="307" spans="1:8">
      <c r="A307" s="1075"/>
      <c r="B307" s="1075"/>
      <c r="C307" s="580" t="s">
        <v>193</v>
      </c>
      <c r="D307" s="1075"/>
      <c r="E307" s="580" t="s">
        <v>376</v>
      </c>
      <c r="F307" s="580" t="s">
        <v>1564</v>
      </c>
      <c r="G307" s="580" t="s">
        <v>1005</v>
      </c>
      <c r="H307" s="580" t="s">
        <v>1138</v>
      </c>
    </row>
    <row r="308" spans="1:8">
      <c r="A308" s="1075"/>
      <c r="B308" s="1075"/>
      <c r="C308" s="25" t="s">
        <v>192</v>
      </c>
      <c r="D308" s="25" t="s">
        <v>193</v>
      </c>
      <c r="E308" s="3" t="s">
        <v>1565</v>
      </c>
      <c r="F308" s="3" t="s">
        <v>1093</v>
      </c>
      <c r="G308" s="3" t="s">
        <v>3</v>
      </c>
      <c r="H308" s="3" t="s">
        <v>1560</v>
      </c>
    </row>
    <row r="309" spans="1:8">
      <c r="A309" s="580">
        <f>A302+1</f>
        <v>183</v>
      </c>
      <c r="B309" s="1075"/>
      <c r="C309" s="518" t="s">
        <v>180</v>
      </c>
      <c r="D309" s="1199">
        <v>2016</v>
      </c>
      <c r="E309" s="1099">
        <v>0</v>
      </c>
      <c r="F309" s="1099">
        <v>0</v>
      </c>
      <c r="G309" s="7">
        <f t="shared" ref="G309:G321" si="40">E309-F309</f>
        <v>0</v>
      </c>
      <c r="H309" s="7">
        <f>E309-E309</f>
        <v>0</v>
      </c>
    </row>
    <row r="310" spans="1:8">
      <c r="A310" s="580">
        <f>A309+1</f>
        <v>184</v>
      </c>
      <c r="B310" s="1075"/>
      <c r="C310" s="518" t="s">
        <v>181</v>
      </c>
      <c r="D310" s="641">
        <v>2017</v>
      </c>
      <c r="E310" s="1099">
        <v>0</v>
      </c>
      <c r="F310" s="1099">
        <v>0</v>
      </c>
      <c r="G310" s="7">
        <f t="shared" si="40"/>
        <v>0</v>
      </c>
      <c r="H310" s="7">
        <f>E310-E309</f>
        <v>0</v>
      </c>
    </row>
    <row r="311" spans="1:8">
      <c r="A311" s="580">
        <f t="shared" ref="A311:A321" si="41">A310+1</f>
        <v>185</v>
      </c>
      <c r="B311" s="1075"/>
      <c r="C311" s="516" t="s">
        <v>182</v>
      </c>
      <c r="D311" s="641">
        <v>2017</v>
      </c>
      <c r="E311" s="1099">
        <v>0</v>
      </c>
      <c r="F311" s="1099">
        <v>0</v>
      </c>
      <c r="G311" s="7">
        <f t="shared" si="40"/>
        <v>0</v>
      </c>
      <c r="H311" s="7">
        <f t="shared" ref="H311:H321" si="42">E311-E310</f>
        <v>0</v>
      </c>
    </row>
    <row r="312" spans="1:8">
      <c r="A312" s="580">
        <f t="shared" si="41"/>
        <v>186</v>
      </c>
      <c r="B312" s="1075"/>
      <c r="C312" s="516" t="s">
        <v>195</v>
      </c>
      <c r="D312" s="641">
        <v>2017</v>
      </c>
      <c r="E312" s="1099">
        <v>0</v>
      </c>
      <c r="F312" s="1099">
        <v>0</v>
      </c>
      <c r="G312" s="7">
        <f t="shared" si="40"/>
        <v>0</v>
      </c>
      <c r="H312" s="7">
        <f t="shared" si="42"/>
        <v>0</v>
      </c>
    </row>
    <row r="313" spans="1:8">
      <c r="A313" s="580">
        <f t="shared" si="41"/>
        <v>187</v>
      </c>
      <c r="B313" s="1075"/>
      <c r="C313" s="518" t="s">
        <v>183</v>
      </c>
      <c r="D313" s="641">
        <v>2017</v>
      </c>
      <c r="E313" s="1099">
        <v>0</v>
      </c>
      <c r="F313" s="1099">
        <v>0</v>
      </c>
      <c r="G313" s="7">
        <f t="shared" si="40"/>
        <v>0</v>
      </c>
      <c r="H313" s="7">
        <f t="shared" si="42"/>
        <v>0</v>
      </c>
    </row>
    <row r="314" spans="1:8">
      <c r="A314" s="580">
        <f t="shared" si="41"/>
        <v>188</v>
      </c>
      <c r="B314" s="1075"/>
      <c r="C314" s="516" t="s">
        <v>184</v>
      </c>
      <c r="D314" s="641">
        <v>2017</v>
      </c>
      <c r="E314" s="1099">
        <v>0</v>
      </c>
      <c r="F314" s="1099">
        <v>0</v>
      </c>
      <c r="G314" s="7">
        <f t="shared" si="40"/>
        <v>0</v>
      </c>
      <c r="H314" s="7">
        <f t="shared" si="42"/>
        <v>0</v>
      </c>
    </row>
    <row r="315" spans="1:8">
      <c r="A315" s="580">
        <f t="shared" si="41"/>
        <v>189</v>
      </c>
      <c r="B315" s="1075"/>
      <c r="C315" s="516" t="s">
        <v>185</v>
      </c>
      <c r="D315" s="641">
        <v>2017</v>
      </c>
      <c r="E315" s="1099">
        <v>0</v>
      </c>
      <c r="F315" s="1099">
        <v>0</v>
      </c>
      <c r="G315" s="7">
        <f t="shared" si="40"/>
        <v>0</v>
      </c>
      <c r="H315" s="7">
        <f t="shared" si="42"/>
        <v>0</v>
      </c>
    </row>
    <row r="316" spans="1:8">
      <c r="A316" s="580">
        <f t="shared" si="41"/>
        <v>190</v>
      </c>
      <c r="B316" s="1075"/>
      <c r="C316" s="518" t="s">
        <v>186</v>
      </c>
      <c r="D316" s="641">
        <v>2017</v>
      </c>
      <c r="E316" s="1099">
        <v>0</v>
      </c>
      <c r="F316" s="1099">
        <v>0</v>
      </c>
      <c r="G316" s="7">
        <f t="shared" si="40"/>
        <v>0</v>
      </c>
      <c r="H316" s="7">
        <f t="shared" si="42"/>
        <v>0</v>
      </c>
    </row>
    <row r="317" spans="1:8">
      <c r="A317" s="580">
        <f t="shared" si="41"/>
        <v>191</v>
      </c>
      <c r="B317" s="1075"/>
      <c r="C317" s="516" t="s">
        <v>187</v>
      </c>
      <c r="D317" s="641">
        <v>2017</v>
      </c>
      <c r="E317" s="1099">
        <v>0</v>
      </c>
      <c r="F317" s="1099">
        <v>0</v>
      </c>
      <c r="G317" s="7">
        <f t="shared" si="40"/>
        <v>0</v>
      </c>
      <c r="H317" s="7">
        <f t="shared" si="42"/>
        <v>0</v>
      </c>
    </row>
    <row r="318" spans="1:8">
      <c r="A318" s="580">
        <f t="shared" si="41"/>
        <v>192</v>
      </c>
      <c r="B318" s="1075"/>
      <c r="C318" s="516" t="s">
        <v>188</v>
      </c>
      <c r="D318" s="641">
        <v>2017</v>
      </c>
      <c r="E318" s="1099">
        <v>0</v>
      </c>
      <c r="F318" s="1099">
        <v>0</v>
      </c>
      <c r="G318" s="7">
        <f t="shared" si="40"/>
        <v>0</v>
      </c>
      <c r="H318" s="7">
        <f t="shared" si="42"/>
        <v>0</v>
      </c>
    </row>
    <row r="319" spans="1:8">
      <c r="A319" s="580">
        <f t="shared" si="41"/>
        <v>193</v>
      </c>
      <c r="B319" s="1075"/>
      <c r="C319" s="518" t="s">
        <v>189</v>
      </c>
      <c r="D319" s="641">
        <v>2017</v>
      </c>
      <c r="E319" s="1099">
        <v>0</v>
      </c>
      <c r="F319" s="1099">
        <v>0</v>
      </c>
      <c r="G319" s="7">
        <f t="shared" si="40"/>
        <v>0</v>
      </c>
      <c r="H319" s="7">
        <f t="shared" si="42"/>
        <v>0</v>
      </c>
    </row>
    <row r="320" spans="1:8">
      <c r="A320" s="580">
        <f t="shared" si="41"/>
        <v>194</v>
      </c>
      <c r="B320" s="1075"/>
      <c r="C320" s="518" t="s">
        <v>190</v>
      </c>
      <c r="D320" s="641">
        <v>2017</v>
      </c>
      <c r="E320" s="1099">
        <v>0</v>
      </c>
      <c r="F320" s="1099">
        <v>0</v>
      </c>
      <c r="G320" s="7">
        <f t="shared" si="40"/>
        <v>0</v>
      </c>
      <c r="H320" s="7">
        <f t="shared" si="42"/>
        <v>0</v>
      </c>
    </row>
    <row r="321" spans="1:10">
      <c r="A321" s="580">
        <f t="shared" si="41"/>
        <v>195</v>
      </c>
      <c r="B321" s="1075"/>
      <c r="C321" s="518" t="s">
        <v>180</v>
      </c>
      <c r="D321" s="641">
        <v>2017</v>
      </c>
      <c r="E321" s="1099">
        <v>0</v>
      </c>
      <c r="F321" s="1099">
        <v>0</v>
      </c>
      <c r="G321" s="7">
        <f t="shared" si="40"/>
        <v>0</v>
      </c>
      <c r="H321" s="7">
        <f t="shared" si="42"/>
        <v>0</v>
      </c>
    </row>
    <row r="322" spans="1:10" s="14" customFormat="1">
      <c r="A322" s="111"/>
      <c r="C322" s="1332"/>
      <c r="D322" s="24"/>
      <c r="E322" s="63"/>
      <c r="F322" s="63"/>
      <c r="G322" s="63"/>
      <c r="H322" s="63"/>
    </row>
    <row r="323" spans="1:10">
      <c r="B323" s="1"/>
      <c r="C323" s="1" t="s">
        <v>1569</v>
      </c>
      <c r="D323" s="481"/>
      <c r="E323" s="7"/>
    </row>
    <row r="324" spans="1:10">
      <c r="B324" s="1"/>
    </row>
    <row r="325" spans="1:10">
      <c r="C325" s="392" t="s">
        <v>1115</v>
      </c>
      <c r="D325" s="97"/>
      <c r="E325" s="97"/>
      <c r="F325" s="97"/>
      <c r="G325" s="190" t="s">
        <v>1117</v>
      </c>
      <c r="H325" s="97"/>
      <c r="I325" s="97"/>
      <c r="J325" s="97"/>
    </row>
    <row r="326" spans="1:10">
      <c r="A326" s="529">
        <f>A321+1</f>
        <v>196</v>
      </c>
      <c r="C326" s="535" t="s">
        <v>221</v>
      </c>
      <c r="D326" s="97"/>
      <c r="E326" s="393"/>
      <c r="F326" s="386" t="s">
        <v>222</v>
      </c>
      <c r="G326" s="493" t="s">
        <v>2223</v>
      </c>
      <c r="H326" s="97"/>
      <c r="I326" s="97"/>
      <c r="J326" s="97"/>
    </row>
    <row r="327" spans="1:10">
      <c r="A327" s="529">
        <f>A326+1</f>
        <v>197</v>
      </c>
      <c r="C327" s="385" t="s">
        <v>223</v>
      </c>
      <c r="D327" s="97"/>
      <c r="E327" s="394"/>
      <c r="F327" s="387">
        <v>7.4999999999999997E-3</v>
      </c>
      <c r="G327" s="493" t="s">
        <v>2224</v>
      </c>
      <c r="H327" s="97"/>
      <c r="I327" s="97"/>
      <c r="J327" s="97"/>
    </row>
    <row r="328" spans="1:10">
      <c r="A328" s="529">
        <f>A327+1</f>
        <v>198</v>
      </c>
      <c r="C328" s="385" t="s">
        <v>1114</v>
      </c>
      <c r="D328" s="97"/>
      <c r="E328" s="393"/>
      <c r="F328" s="386" t="s">
        <v>224</v>
      </c>
      <c r="G328" s="150" t="s">
        <v>2225</v>
      </c>
      <c r="H328" s="97"/>
      <c r="I328" s="97"/>
      <c r="J328" s="97"/>
    </row>
    <row r="329" spans="1:10">
      <c r="C329" s="97"/>
      <c r="D329" s="97"/>
      <c r="E329" s="393"/>
      <c r="F329" s="388"/>
      <c r="G329" s="97"/>
      <c r="H329" s="97"/>
      <c r="I329" s="97"/>
      <c r="J329" s="97"/>
    </row>
    <row r="330" spans="1:10">
      <c r="C330" s="392" t="s">
        <v>1116</v>
      </c>
      <c r="D330" s="97"/>
      <c r="E330" s="97"/>
      <c r="F330" s="388"/>
      <c r="G330" s="190" t="s">
        <v>1117</v>
      </c>
      <c r="H330" s="97"/>
      <c r="I330" s="97"/>
      <c r="J330" s="97"/>
    </row>
    <row r="331" spans="1:10">
      <c r="A331" s="529">
        <f>A328+1</f>
        <v>199</v>
      </c>
      <c r="C331" s="535" t="s">
        <v>221</v>
      </c>
      <c r="D331" s="97"/>
      <c r="E331" s="393"/>
      <c r="F331" s="386" t="s">
        <v>222</v>
      </c>
      <c r="G331" s="493" t="s">
        <v>2223</v>
      </c>
      <c r="H331" s="97"/>
      <c r="I331" s="97"/>
      <c r="J331" s="97"/>
    </row>
    <row r="332" spans="1:10">
      <c r="A332" s="529">
        <f>A331+1</f>
        <v>200</v>
      </c>
      <c r="C332" s="385" t="s">
        <v>223</v>
      </c>
      <c r="D332" s="97"/>
      <c r="E332" s="394"/>
      <c r="F332" s="387">
        <v>1.2500000000000001E-2</v>
      </c>
      <c r="G332" s="493" t="s">
        <v>2224</v>
      </c>
      <c r="H332" s="97"/>
      <c r="I332" s="97"/>
      <c r="J332" s="97"/>
    </row>
    <row r="333" spans="1:10">
      <c r="A333" s="529">
        <f>A332+1</f>
        <v>201</v>
      </c>
      <c r="C333" s="385" t="s">
        <v>1114</v>
      </c>
      <c r="D333" s="97"/>
      <c r="E333" s="393"/>
      <c r="F333" s="386" t="s">
        <v>222</v>
      </c>
      <c r="G333" s="493" t="s">
        <v>2226</v>
      </c>
      <c r="H333" s="97"/>
      <c r="I333" s="97"/>
      <c r="J333" s="97"/>
    </row>
    <row r="334" spans="1:10">
      <c r="C334" s="385"/>
      <c r="D334" s="97"/>
      <c r="E334" s="393"/>
      <c r="F334" s="386"/>
      <c r="G334" s="97"/>
      <c r="H334" s="97"/>
      <c r="I334" s="97"/>
      <c r="J334" s="97"/>
    </row>
    <row r="335" spans="1:10">
      <c r="C335" s="392" t="s">
        <v>1118</v>
      </c>
      <c r="D335" s="97"/>
      <c r="E335" s="493"/>
      <c r="F335" s="536"/>
      <c r="G335" s="190" t="s">
        <v>1117</v>
      </c>
      <c r="H335" s="97"/>
      <c r="I335" s="97"/>
      <c r="J335" s="97"/>
    </row>
    <row r="336" spans="1:10">
      <c r="A336" s="529">
        <f>A333+1</f>
        <v>202</v>
      </c>
      <c r="C336" s="535" t="s">
        <v>221</v>
      </c>
      <c r="D336" s="97"/>
      <c r="E336" s="393"/>
      <c r="F336" s="386" t="s">
        <v>222</v>
      </c>
      <c r="G336" s="493" t="s">
        <v>2223</v>
      </c>
      <c r="H336" s="97"/>
      <c r="I336" s="97"/>
      <c r="J336" s="97"/>
    </row>
    <row r="337" spans="1:10">
      <c r="A337" s="529">
        <f>A336+1</f>
        <v>203</v>
      </c>
      <c r="C337" s="385" t="s">
        <v>223</v>
      </c>
      <c r="D337" s="97"/>
      <c r="E337" s="394"/>
      <c r="F337" s="387">
        <v>0.01</v>
      </c>
      <c r="G337" s="493" t="s">
        <v>2227</v>
      </c>
      <c r="H337" s="97"/>
      <c r="I337" s="97"/>
      <c r="J337" s="97"/>
    </row>
    <row r="338" spans="1:10">
      <c r="A338" s="529">
        <f>A337+1</f>
        <v>204</v>
      </c>
      <c r="C338" s="385"/>
      <c r="D338" s="97"/>
      <c r="E338" s="394"/>
      <c r="F338" s="387"/>
      <c r="G338" s="493" t="s">
        <v>2228</v>
      </c>
      <c r="H338" s="97"/>
      <c r="I338" s="97"/>
      <c r="J338" s="97"/>
    </row>
    <row r="339" spans="1:10">
      <c r="A339" s="529">
        <f>A338+1</f>
        <v>205</v>
      </c>
      <c r="C339" s="385" t="s">
        <v>1114</v>
      </c>
      <c r="D339" s="97"/>
      <c r="E339" s="393"/>
      <c r="F339" s="386" t="s">
        <v>222</v>
      </c>
      <c r="G339" s="493" t="s">
        <v>2226</v>
      </c>
      <c r="H339" s="97"/>
      <c r="I339" s="97"/>
      <c r="J339" s="97"/>
    </row>
    <row r="340" spans="1:10">
      <c r="C340" s="385"/>
      <c r="D340" s="97"/>
      <c r="E340" s="393"/>
      <c r="F340" s="386"/>
      <c r="G340" s="97"/>
      <c r="H340" s="97"/>
      <c r="I340" s="97"/>
      <c r="J340" s="97"/>
    </row>
    <row r="341" spans="1:10">
      <c r="C341" s="392" t="s">
        <v>1119</v>
      </c>
      <c r="D341" s="97"/>
      <c r="E341" s="493"/>
      <c r="F341" s="536"/>
      <c r="G341" s="190" t="s">
        <v>1117</v>
      </c>
      <c r="H341" s="97"/>
      <c r="I341" s="97"/>
      <c r="J341" s="97"/>
    </row>
    <row r="342" spans="1:10">
      <c r="A342" s="529">
        <f>A339+1</f>
        <v>206</v>
      </c>
      <c r="C342" s="535" t="s">
        <v>221</v>
      </c>
      <c r="D342" s="97"/>
      <c r="E342" s="393"/>
      <c r="F342" s="1041" t="s">
        <v>224</v>
      </c>
      <c r="G342" s="493" t="s">
        <v>2229</v>
      </c>
      <c r="H342" s="97"/>
      <c r="I342" s="97"/>
      <c r="J342" s="97"/>
    </row>
    <row r="343" spans="1:10">
      <c r="A343" s="529">
        <f>A342+1</f>
        <v>207</v>
      </c>
      <c r="C343" s="535"/>
      <c r="D343" s="97"/>
      <c r="E343" s="393"/>
      <c r="F343" s="1041"/>
      <c r="G343" s="97" t="s">
        <v>2228</v>
      </c>
      <c r="H343" s="97"/>
      <c r="I343" s="97"/>
      <c r="J343" s="97"/>
    </row>
    <row r="344" spans="1:10">
      <c r="A344" s="529">
        <f>A343+1</f>
        <v>208</v>
      </c>
      <c r="C344" s="385" t="s">
        <v>223</v>
      </c>
      <c r="D344" s="97"/>
      <c r="E344" s="394"/>
      <c r="F344" s="1042">
        <v>0</v>
      </c>
      <c r="G344" s="493" t="s">
        <v>2230</v>
      </c>
      <c r="H344" s="97"/>
      <c r="I344" s="97"/>
      <c r="J344" s="97"/>
    </row>
    <row r="345" spans="1:10">
      <c r="A345" s="529">
        <f>A344+1</f>
        <v>209</v>
      </c>
      <c r="C345" s="385"/>
      <c r="D345" s="97"/>
      <c r="E345" s="394"/>
      <c r="F345" s="1042"/>
      <c r="G345" s="493" t="s">
        <v>2231</v>
      </c>
      <c r="H345" s="97"/>
      <c r="I345" s="97"/>
      <c r="J345" s="97"/>
    </row>
    <row r="346" spans="1:10">
      <c r="A346" s="529">
        <f>A345+1</f>
        <v>210</v>
      </c>
      <c r="C346" s="385" t="s">
        <v>1114</v>
      </c>
      <c r="D346" s="97"/>
      <c r="E346" s="393"/>
      <c r="F346" s="1041" t="s">
        <v>222</v>
      </c>
      <c r="G346" s="493" t="s">
        <v>2226</v>
      </c>
      <c r="H346" s="97"/>
      <c r="I346" s="97"/>
      <c r="J346" s="97"/>
    </row>
    <row r="347" spans="1:10">
      <c r="C347" s="385"/>
      <c r="D347" s="97"/>
      <c r="E347" s="393"/>
      <c r="F347" s="386"/>
      <c r="G347" s="97"/>
      <c r="H347" s="97"/>
      <c r="I347" s="97"/>
      <c r="J347" s="97"/>
    </row>
    <row r="348" spans="1:10">
      <c r="C348" s="392" t="s">
        <v>2414</v>
      </c>
      <c r="D348" s="97"/>
      <c r="E348" s="1081"/>
      <c r="F348" s="536"/>
      <c r="G348" s="190" t="s">
        <v>1117</v>
      </c>
      <c r="H348" s="97"/>
      <c r="I348" s="97"/>
      <c r="J348" s="97"/>
    </row>
    <row r="349" spans="1:10">
      <c r="A349" s="529">
        <f>A346+1</f>
        <v>211</v>
      </c>
      <c r="C349" s="535" t="s">
        <v>221</v>
      </c>
      <c r="D349" s="97"/>
      <c r="E349" s="393"/>
      <c r="F349" s="1050" t="s">
        <v>222</v>
      </c>
      <c r="G349" s="537" t="s">
        <v>2235</v>
      </c>
      <c r="H349" s="97"/>
      <c r="I349" s="97"/>
      <c r="J349" s="97"/>
    </row>
    <row r="350" spans="1:10">
      <c r="A350" s="529">
        <f>A349+1</f>
        <v>212</v>
      </c>
      <c r="C350" s="385" t="s">
        <v>223</v>
      </c>
      <c r="D350" s="97"/>
      <c r="E350" s="394"/>
      <c r="F350" s="1051">
        <v>0</v>
      </c>
      <c r="G350" s="1047" t="s">
        <v>76</v>
      </c>
      <c r="H350" s="97"/>
      <c r="I350" s="97"/>
      <c r="J350" s="97"/>
    </row>
    <row r="351" spans="1:10">
      <c r="A351" s="529">
        <f>A350+1</f>
        <v>213</v>
      </c>
      <c r="C351" s="385" t="s">
        <v>1114</v>
      </c>
      <c r="D351" s="97"/>
      <c r="E351" s="393"/>
      <c r="F351" s="1050" t="s">
        <v>222</v>
      </c>
      <c r="G351" s="537" t="s">
        <v>2235</v>
      </c>
      <c r="H351" s="97"/>
      <c r="I351" s="97"/>
      <c r="J351" s="97"/>
    </row>
    <row r="352" spans="1:10">
      <c r="C352" s="97"/>
      <c r="D352" s="97"/>
      <c r="E352" s="97"/>
      <c r="F352" s="1050"/>
      <c r="G352" s="97"/>
      <c r="H352" s="97"/>
      <c r="I352" s="97"/>
      <c r="J352" s="97"/>
    </row>
    <row r="353" spans="1:10">
      <c r="C353" s="392" t="s">
        <v>2415</v>
      </c>
      <c r="D353" s="97"/>
      <c r="E353" s="1081"/>
      <c r="F353" s="536"/>
      <c r="G353" s="190" t="s">
        <v>1117</v>
      </c>
      <c r="H353" s="97"/>
      <c r="I353" s="97"/>
      <c r="J353" s="97"/>
    </row>
    <row r="354" spans="1:10">
      <c r="A354" s="529">
        <f>A351+1</f>
        <v>214</v>
      </c>
      <c r="C354" s="535" t="s">
        <v>221</v>
      </c>
      <c r="D354" s="97"/>
      <c r="E354" s="393"/>
      <c r="F354" s="1050" t="s">
        <v>222</v>
      </c>
      <c r="G354" s="537" t="s">
        <v>2235</v>
      </c>
      <c r="H354" s="97"/>
      <c r="I354" s="493"/>
      <c r="J354" s="493"/>
    </row>
    <row r="355" spans="1:10">
      <c r="A355" s="529">
        <f>A354+1</f>
        <v>215</v>
      </c>
      <c r="C355" s="385" t="s">
        <v>223</v>
      </c>
      <c r="D355" s="97"/>
      <c r="E355" s="394"/>
      <c r="F355" s="1051">
        <v>0</v>
      </c>
      <c r="G355" s="1047" t="s">
        <v>76</v>
      </c>
      <c r="H355" s="97"/>
      <c r="I355" s="493"/>
      <c r="J355" s="493"/>
    </row>
    <row r="356" spans="1:10">
      <c r="A356" s="529">
        <f>A355+1</f>
        <v>216</v>
      </c>
      <c r="C356" s="385" t="s">
        <v>1114</v>
      </c>
      <c r="D356" s="97"/>
      <c r="E356" s="393"/>
      <c r="F356" s="1050" t="s">
        <v>222</v>
      </c>
      <c r="G356" s="537" t="s">
        <v>2235</v>
      </c>
      <c r="H356" s="97"/>
      <c r="I356" s="493"/>
      <c r="J356" s="493"/>
    </row>
    <row r="357" spans="1:10">
      <c r="C357" s="385"/>
      <c r="D357" s="97"/>
      <c r="E357" s="394"/>
      <c r="F357" s="387"/>
      <c r="G357" s="493"/>
      <c r="H357" s="97"/>
      <c r="I357" s="493"/>
      <c r="J357" s="493"/>
    </row>
    <row r="358" spans="1:10">
      <c r="C358" s="392" t="s">
        <v>1120</v>
      </c>
      <c r="D358" s="97"/>
      <c r="E358" s="493"/>
      <c r="F358" s="536"/>
      <c r="G358" s="190" t="s">
        <v>1117</v>
      </c>
      <c r="H358" s="97"/>
      <c r="I358" s="493"/>
      <c r="J358" s="493"/>
    </row>
    <row r="359" spans="1:10">
      <c r="A359" s="529">
        <f>A356+1</f>
        <v>217</v>
      </c>
      <c r="C359" s="535" t="s">
        <v>221</v>
      </c>
      <c r="D359" s="97"/>
      <c r="E359" s="393"/>
      <c r="F359" s="1043" t="s">
        <v>222</v>
      </c>
      <c r="G359" s="493" t="s">
        <v>2232</v>
      </c>
      <c r="H359" s="97"/>
      <c r="I359" s="493"/>
      <c r="J359" s="493"/>
    </row>
    <row r="360" spans="1:10">
      <c r="A360" s="529">
        <f>A359+1</f>
        <v>218</v>
      </c>
      <c r="C360" s="385" t="s">
        <v>223</v>
      </c>
      <c r="D360" s="97"/>
      <c r="E360" s="394"/>
      <c r="F360" s="1044">
        <v>0</v>
      </c>
      <c r="G360" s="493" t="s">
        <v>2233</v>
      </c>
      <c r="H360" s="97"/>
      <c r="I360" s="493"/>
      <c r="J360" s="493"/>
    </row>
    <row r="361" spans="1:10">
      <c r="A361" s="529">
        <f>A360+1</f>
        <v>219</v>
      </c>
      <c r="C361" s="385" t="s">
        <v>1114</v>
      </c>
      <c r="D361" s="97"/>
      <c r="E361" s="393"/>
      <c r="F361" s="1043" t="s">
        <v>222</v>
      </c>
      <c r="G361" s="493" t="s">
        <v>2234</v>
      </c>
      <c r="H361" s="97"/>
      <c r="I361" s="493"/>
      <c r="J361" s="493"/>
    </row>
    <row r="362" spans="1:10">
      <c r="C362" s="97"/>
      <c r="D362" s="97"/>
      <c r="E362" s="97"/>
      <c r="F362" s="386"/>
      <c r="G362" s="97"/>
      <c r="H362" s="97"/>
      <c r="I362" s="97"/>
      <c r="J362" s="97"/>
    </row>
    <row r="363" spans="1:10">
      <c r="C363" s="392" t="s">
        <v>1121</v>
      </c>
      <c r="D363" s="97"/>
      <c r="E363" s="493"/>
      <c r="F363" s="536"/>
      <c r="G363" s="190" t="s">
        <v>1117</v>
      </c>
      <c r="H363" s="97"/>
      <c r="I363" s="97"/>
      <c r="J363" s="97"/>
    </row>
    <row r="364" spans="1:10">
      <c r="A364" s="529">
        <f>A361+1</f>
        <v>220</v>
      </c>
      <c r="C364" s="535" t="s">
        <v>221</v>
      </c>
      <c r="D364" s="97"/>
      <c r="E364" s="393"/>
      <c r="F364" s="1045" t="s">
        <v>222</v>
      </c>
      <c r="G364" s="537" t="s">
        <v>2235</v>
      </c>
      <c r="H364" s="97"/>
      <c r="I364" s="97"/>
      <c r="J364" s="97"/>
    </row>
    <row r="365" spans="1:10">
      <c r="A365" s="529">
        <f>A364+1</f>
        <v>221</v>
      </c>
      <c r="C365" s="385" t="s">
        <v>223</v>
      </c>
      <c r="D365" s="97"/>
      <c r="E365" s="394"/>
      <c r="F365" s="1046">
        <v>0</v>
      </c>
      <c r="G365" s="1047" t="s">
        <v>76</v>
      </c>
      <c r="H365" s="97"/>
      <c r="I365" s="97"/>
      <c r="J365" s="97"/>
    </row>
    <row r="366" spans="1:10">
      <c r="A366" s="529">
        <f>A365+1</f>
        <v>222</v>
      </c>
      <c r="C366" s="385" t="s">
        <v>1114</v>
      </c>
      <c r="D366" s="97"/>
      <c r="E366" s="393"/>
      <c r="F366" s="1045" t="s">
        <v>222</v>
      </c>
      <c r="G366" s="537" t="s">
        <v>2235</v>
      </c>
      <c r="H366" s="97"/>
      <c r="I366" s="97"/>
      <c r="J366" s="97"/>
    </row>
    <row r="367" spans="1:10">
      <c r="C367" s="97"/>
      <c r="D367" s="97"/>
      <c r="E367" s="97"/>
      <c r="F367" s="386"/>
      <c r="G367" s="97"/>
      <c r="H367" s="97"/>
      <c r="I367" s="97"/>
      <c r="J367" s="97"/>
    </row>
    <row r="368" spans="1:10">
      <c r="C368" s="392" t="s">
        <v>1122</v>
      </c>
      <c r="D368" s="97"/>
      <c r="E368" s="493"/>
      <c r="F368" s="536"/>
      <c r="G368" s="190" t="s">
        <v>1117</v>
      </c>
      <c r="H368" s="97"/>
      <c r="I368" s="97"/>
      <c r="J368" s="97"/>
    </row>
    <row r="369" spans="1:10">
      <c r="A369" s="529">
        <f>A366+1</f>
        <v>223</v>
      </c>
      <c r="C369" s="535" t="s">
        <v>221</v>
      </c>
      <c r="D369" s="97"/>
      <c r="E369" s="393"/>
      <c r="F369" s="1048" t="s">
        <v>222</v>
      </c>
      <c r="G369" s="537" t="s">
        <v>2235</v>
      </c>
      <c r="H369" s="97"/>
      <c r="I369" s="97"/>
      <c r="J369" s="97"/>
    </row>
    <row r="370" spans="1:10">
      <c r="A370" s="529">
        <f>A369+1</f>
        <v>224</v>
      </c>
      <c r="C370" s="385" t="s">
        <v>223</v>
      </c>
      <c r="D370" s="97"/>
      <c r="E370" s="394"/>
      <c r="F370" s="1049">
        <v>0</v>
      </c>
      <c r="G370" s="1047" t="s">
        <v>76</v>
      </c>
      <c r="H370" s="97"/>
      <c r="I370" s="97"/>
      <c r="J370" s="97"/>
    </row>
    <row r="371" spans="1:10">
      <c r="A371" s="529">
        <f>A370+1</f>
        <v>225</v>
      </c>
      <c r="C371" s="385" t="s">
        <v>1114</v>
      </c>
      <c r="D371" s="97"/>
      <c r="E371" s="393"/>
      <c r="F371" s="1048" t="s">
        <v>222</v>
      </c>
      <c r="G371" s="537" t="s">
        <v>2235</v>
      </c>
      <c r="H371" s="97"/>
      <c r="I371" s="97"/>
      <c r="J371" s="97"/>
    </row>
    <row r="372" spans="1:10">
      <c r="C372" s="97"/>
      <c r="D372" s="97"/>
      <c r="E372" s="97"/>
      <c r="F372" s="386"/>
      <c r="G372" s="97"/>
      <c r="H372" s="97"/>
      <c r="I372" s="97"/>
      <c r="J372" s="97"/>
    </row>
    <row r="373" spans="1:10">
      <c r="C373" s="1328" t="s">
        <v>2663</v>
      </c>
      <c r="D373" s="97"/>
      <c r="E373" s="97"/>
      <c r="F373" s="97"/>
      <c r="G373" s="190" t="s">
        <v>1117</v>
      </c>
      <c r="H373" s="97"/>
      <c r="I373" s="97"/>
      <c r="J373" s="97"/>
    </row>
    <row r="374" spans="1:10">
      <c r="A374" s="529">
        <f>A371+1</f>
        <v>226</v>
      </c>
      <c r="C374" s="535" t="s">
        <v>221</v>
      </c>
      <c r="D374" s="97"/>
      <c r="E374" s="97"/>
      <c r="F374" s="1081" t="s">
        <v>222</v>
      </c>
      <c r="G374" s="1081" t="s">
        <v>2661</v>
      </c>
      <c r="H374" s="97"/>
      <c r="I374" s="97"/>
      <c r="J374" s="97"/>
    </row>
    <row r="375" spans="1:10">
      <c r="A375" s="529">
        <f>A374+1</f>
        <v>227</v>
      </c>
      <c r="C375" s="385" t="s">
        <v>223</v>
      </c>
      <c r="D375" s="97"/>
      <c r="E375" s="97"/>
      <c r="F375" s="1051">
        <v>0</v>
      </c>
      <c r="G375" s="1047" t="s">
        <v>76</v>
      </c>
      <c r="H375" s="97"/>
      <c r="I375" s="97"/>
      <c r="J375" s="97"/>
    </row>
    <row r="376" spans="1:10">
      <c r="A376" s="529">
        <f>A375+1</f>
        <v>228</v>
      </c>
      <c r="C376" s="385" t="s">
        <v>1114</v>
      </c>
      <c r="D376" s="97"/>
      <c r="E376" s="97"/>
      <c r="F376" s="1081" t="s">
        <v>224</v>
      </c>
      <c r="G376" s="1047" t="s">
        <v>76</v>
      </c>
      <c r="H376" s="97"/>
      <c r="I376" s="97"/>
      <c r="J376" s="97"/>
    </row>
    <row r="377" spans="1:10">
      <c r="C377" s="97"/>
      <c r="D377" s="97"/>
      <c r="E377" s="97"/>
      <c r="F377" s="97"/>
      <c r="G377" s="97"/>
      <c r="H377" s="97"/>
      <c r="I377" s="97"/>
      <c r="J377" s="97"/>
    </row>
    <row r="378" spans="1:10">
      <c r="C378" s="1328" t="s">
        <v>2664</v>
      </c>
      <c r="D378" s="97"/>
      <c r="E378" s="97"/>
      <c r="F378" s="97"/>
      <c r="G378" s="190" t="s">
        <v>1117</v>
      </c>
      <c r="H378" s="97"/>
      <c r="I378" s="97"/>
      <c r="J378" s="97"/>
    </row>
    <row r="379" spans="1:10">
      <c r="A379" s="529">
        <f>A376+1</f>
        <v>229</v>
      </c>
      <c r="C379" s="535" t="s">
        <v>221</v>
      </c>
      <c r="D379" s="97"/>
      <c r="E379" s="97"/>
      <c r="F379" s="1081" t="s">
        <v>222</v>
      </c>
      <c r="G379" s="1081" t="s">
        <v>2661</v>
      </c>
      <c r="H379" s="97"/>
      <c r="I379" s="97"/>
      <c r="J379" s="97"/>
    </row>
    <row r="380" spans="1:10">
      <c r="A380" s="529">
        <f>A379+1</f>
        <v>230</v>
      </c>
      <c r="C380" s="385" t="s">
        <v>223</v>
      </c>
      <c r="D380" s="97"/>
      <c r="E380" s="97"/>
      <c r="F380" s="1051">
        <v>0</v>
      </c>
      <c r="G380" s="1047" t="s">
        <v>76</v>
      </c>
      <c r="H380" s="97"/>
      <c r="I380" s="97"/>
      <c r="J380" s="97"/>
    </row>
    <row r="381" spans="1:10">
      <c r="A381" s="529">
        <f>A380+1</f>
        <v>231</v>
      </c>
      <c r="C381" s="385" t="s">
        <v>1114</v>
      </c>
      <c r="D381" s="97"/>
      <c r="E381" s="97"/>
      <c r="F381" s="1081" t="s">
        <v>222</v>
      </c>
      <c r="G381" s="1081" t="s">
        <v>2662</v>
      </c>
      <c r="H381" s="97"/>
      <c r="I381" s="97"/>
      <c r="J381" s="97"/>
    </row>
    <row r="382" spans="1:10">
      <c r="C382" s="97"/>
      <c r="D382" s="97"/>
      <c r="E382" s="97"/>
      <c r="F382" s="97"/>
      <c r="G382" s="97"/>
      <c r="H382" s="97"/>
      <c r="I382" s="97"/>
      <c r="J382" s="97"/>
    </row>
    <row r="383" spans="1:10">
      <c r="C383" s="1328" t="s">
        <v>2665</v>
      </c>
      <c r="D383" s="97"/>
      <c r="E383" s="97"/>
      <c r="F383" s="97"/>
      <c r="G383" s="190" t="s">
        <v>1117</v>
      </c>
      <c r="H383" s="97"/>
      <c r="I383" s="97"/>
      <c r="J383" s="97"/>
    </row>
    <row r="384" spans="1:10">
      <c r="A384" s="529">
        <f>A381+1</f>
        <v>232</v>
      </c>
      <c r="C384" s="535" t="s">
        <v>221</v>
      </c>
      <c r="D384" s="97"/>
      <c r="E384" s="97"/>
      <c r="F384" s="1081" t="s">
        <v>222</v>
      </c>
      <c r="G384" s="1081" t="s">
        <v>2661</v>
      </c>
      <c r="H384" s="97"/>
      <c r="I384" s="97"/>
      <c r="J384" s="97"/>
    </row>
    <row r="385" spans="1:10">
      <c r="A385" s="529">
        <f>A384+1</f>
        <v>233</v>
      </c>
      <c r="C385" s="385" t="s">
        <v>223</v>
      </c>
      <c r="D385" s="97"/>
      <c r="E385" s="97"/>
      <c r="F385" s="1051">
        <v>0</v>
      </c>
      <c r="G385" s="1047" t="s">
        <v>76</v>
      </c>
      <c r="H385" s="97"/>
      <c r="I385" s="97"/>
      <c r="J385" s="97"/>
    </row>
    <row r="386" spans="1:10">
      <c r="A386" s="529">
        <f>A385+1</f>
        <v>234</v>
      </c>
      <c r="C386" s="385" t="s">
        <v>1114</v>
      </c>
      <c r="D386" s="97"/>
      <c r="E386" s="97"/>
      <c r="F386" s="1081" t="s">
        <v>222</v>
      </c>
      <c r="G386" s="1081" t="s">
        <v>2662</v>
      </c>
      <c r="H386" s="97"/>
      <c r="I386" s="97"/>
      <c r="J386" s="97"/>
    </row>
    <row r="387" spans="1:10">
      <c r="C387" s="1364"/>
      <c r="D387" s="97"/>
      <c r="E387" s="97"/>
      <c r="F387" s="97"/>
      <c r="G387" s="97"/>
      <c r="H387" s="97"/>
      <c r="I387" s="97"/>
      <c r="J387" s="97"/>
    </row>
    <row r="388" spans="1:10" s="1075" customFormat="1">
      <c r="C388" s="1328" t="s">
        <v>2888</v>
      </c>
      <c r="D388" s="97"/>
      <c r="E388" s="97"/>
      <c r="F388" s="97"/>
      <c r="G388" s="190" t="s">
        <v>1117</v>
      </c>
      <c r="H388" s="97"/>
      <c r="I388" s="97"/>
      <c r="J388" s="97"/>
    </row>
    <row r="389" spans="1:10" s="1075" customFormat="1">
      <c r="A389" s="580">
        <f>A386+1</f>
        <v>235</v>
      </c>
      <c r="C389" s="535" t="s">
        <v>221</v>
      </c>
      <c r="D389" s="97"/>
      <c r="E389" s="97"/>
      <c r="F389" s="1081"/>
      <c r="G389" s="1081"/>
      <c r="H389" s="97"/>
      <c r="I389" s="97"/>
      <c r="J389" s="97"/>
    </row>
    <row r="390" spans="1:10" s="1075" customFormat="1">
      <c r="A390" s="580">
        <f>A389+1</f>
        <v>236</v>
      </c>
      <c r="C390" s="385" t="s">
        <v>223</v>
      </c>
      <c r="D390" s="97"/>
      <c r="E390" s="97"/>
      <c r="F390" s="1051"/>
      <c r="G390" s="1047"/>
      <c r="H390" s="97"/>
      <c r="I390" s="97"/>
      <c r="J390" s="97"/>
    </row>
    <row r="391" spans="1:10" s="1075" customFormat="1">
      <c r="A391" s="580">
        <f>A390+1</f>
        <v>237</v>
      </c>
      <c r="C391" s="385" t="s">
        <v>1114</v>
      </c>
      <c r="D391" s="97"/>
      <c r="E391" s="97"/>
      <c r="F391" s="1081"/>
      <c r="G391" s="1081"/>
      <c r="H391" s="97"/>
      <c r="I391" s="97"/>
      <c r="J391" s="97"/>
    </row>
    <row r="392" spans="1:10" s="1075" customFormat="1">
      <c r="C392" s="389" t="s">
        <v>513</v>
      </c>
    </row>
    <row r="394" spans="1:10">
      <c r="B394" s="390" t="s">
        <v>382</v>
      </c>
    </row>
    <row r="395" spans="1:10">
      <c r="C395" s="483" t="s">
        <v>1210</v>
      </c>
    </row>
    <row r="396" spans="1:10">
      <c r="C396" t="s">
        <v>1123</v>
      </c>
    </row>
  </sheetData>
  <phoneticPr fontId="22" type="noConversion"/>
  <pageMargins left="0.75" right="0.75" top="1" bottom="1" header="0.5" footer="0.5"/>
  <pageSetup scale="70" orientation="portrait" cellComments="asDisplayed" r:id="rId1"/>
  <headerFooter alignWithMargins="0">
    <oddHeader>&amp;CSchedule 14
Incentive Plant
&amp;RTO2019 Draft Annual Update 
Attachment1</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topLeftCell="A26" zoomScaleNormal="100" workbookViewId="0">
      <selection activeCell="F26" sqref="F26"/>
    </sheetView>
  </sheetViews>
  <sheetFormatPr defaultRowHeight="12.75"/>
  <cols>
    <col min="1" max="2" width="4.7109375" customWidth="1"/>
    <col min="3" max="4" width="10.7109375" customWidth="1"/>
    <col min="5" max="9" width="15.7109375" customWidth="1"/>
  </cols>
  <sheetData>
    <row r="1" spans="1:9">
      <c r="A1" s="1" t="s">
        <v>150</v>
      </c>
      <c r="B1" s="1"/>
    </row>
    <row r="2" spans="1:9">
      <c r="A2" s="1"/>
      <c r="B2" s="1"/>
      <c r="G2" s="95" t="s">
        <v>248</v>
      </c>
      <c r="H2" s="95"/>
    </row>
    <row r="3" spans="1:9">
      <c r="A3" s="1"/>
      <c r="B3" s="12" t="s">
        <v>990</v>
      </c>
    </row>
    <row r="4" spans="1:9">
      <c r="A4" s="1"/>
      <c r="B4" s="13" t="s">
        <v>991</v>
      </c>
    </row>
    <row r="5" spans="1:9">
      <c r="A5" s="1"/>
      <c r="B5" s="487" t="s">
        <v>1514</v>
      </c>
    </row>
    <row r="7" spans="1:9" ht="13.5" customHeight="1">
      <c r="B7" s="1" t="s">
        <v>274</v>
      </c>
    </row>
    <row r="8" spans="1:9">
      <c r="A8" s="1"/>
      <c r="B8" s="1"/>
    </row>
    <row r="9" spans="1:9">
      <c r="A9" s="1"/>
      <c r="B9" s="1"/>
      <c r="C9" s="12" t="s">
        <v>298</v>
      </c>
    </row>
    <row r="10" spans="1:9">
      <c r="A10" s="1"/>
      <c r="B10" s="1"/>
      <c r="C10" s="12" t="s">
        <v>1135</v>
      </c>
    </row>
    <row r="11" spans="1:9">
      <c r="A11" s="1"/>
      <c r="B11" s="1"/>
      <c r="C11" s="12"/>
    </row>
    <row r="12" spans="1:9">
      <c r="A12" s="1"/>
      <c r="B12" s="1"/>
      <c r="C12" s="483" t="s">
        <v>1485</v>
      </c>
    </row>
    <row r="13" spans="1:9">
      <c r="A13" s="1"/>
      <c r="B13" s="1"/>
    </row>
    <row r="14" spans="1:9">
      <c r="A14" s="51" t="s">
        <v>332</v>
      </c>
      <c r="B14" s="1"/>
      <c r="C14" s="12" t="s">
        <v>368</v>
      </c>
      <c r="G14" s="119" t="s">
        <v>171</v>
      </c>
      <c r="I14" s="3" t="s">
        <v>179</v>
      </c>
    </row>
    <row r="15" spans="1:9">
      <c r="A15" s="111">
        <v>1</v>
      </c>
      <c r="B15" s="44"/>
      <c r="C15" s="46" t="s">
        <v>369</v>
      </c>
      <c r="D15" s="14"/>
      <c r="E15" s="14"/>
      <c r="F15" s="14"/>
      <c r="G15" s="67">
        <f>'1-BaseTRR'!K80</f>
        <v>0.5018923181225754</v>
      </c>
      <c r="H15" s="14"/>
      <c r="I15" s="15" t="str">
        <f>"1-BaseTRR, L "&amp;'1-BaseTRR'!A80&amp;""</f>
        <v>1-BaseTRR, L 47</v>
      </c>
    </row>
    <row r="16" spans="1:9">
      <c r="A16" s="111">
        <v>2</v>
      </c>
      <c r="B16" s="44"/>
      <c r="C16" s="46" t="s">
        <v>218</v>
      </c>
      <c r="D16" s="14"/>
      <c r="E16" s="14"/>
      <c r="F16" s="14"/>
      <c r="G16" s="67">
        <f>'1-BaseTRR'!K102</f>
        <v>0.27983599999999997</v>
      </c>
      <c r="H16" s="14"/>
      <c r="I16" s="15" t="str">
        <f>"1-BaseTRR, L "&amp;'1-BaseTRR'!A102&amp;""</f>
        <v>1-BaseTRR, L 59</v>
      </c>
    </row>
    <row r="17" spans="1:9">
      <c r="A17" s="111">
        <v>3</v>
      </c>
      <c r="B17" s="44"/>
      <c r="C17" s="14"/>
      <c r="D17" s="14"/>
      <c r="E17" s="14"/>
      <c r="F17" s="365" t="s">
        <v>498</v>
      </c>
      <c r="G17" s="63">
        <f>G15*(1/(1-G16))* 10000</f>
        <v>6969.1392255455057</v>
      </c>
      <c r="H17" s="14"/>
      <c r="I17" s="15" t="s">
        <v>370</v>
      </c>
    </row>
    <row r="18" spans="1:9">
      <c r="A18" s="14"/>
      <c r="B18" s="14"/>
      <c r="C18" s="14"/>
      <c r="D18" s="14"/>
      <c r="E18" s="14"/>
      <c r="F18" s="14"/>
      <c r="G18" s="14"/>
      <c r="H18" s="14"/>
      <c r="I18" s="14"/>
    </row>
    <row r="19" spans="1:9">
      <c r="A19" s="14"/>
      <c r="B19" s="44" t="s">
        <v>275</v>
      </c>
      <c r="C19" s="14"/>
      <c r="D19" s="14"/>
      <c r="E19" s="14"/>
      <c r="F19" s="14"/>
      <c r="G19" s="14"/>
      <c r="H19" s="14"/>
      <c r="I19" s="14"/>
    </row>
    <row r="20" spans="1:9">
      <c r="A20" s="44"/>
      <c r="B20" s="44"/>
      <c r="C20" s="15" t="s">
        <v>303</v>
      </c>
      <c r="D20" s="14"/>
      <c r="E20" s="14"/>
      <c r="F20" s="14"/>
      <c r="G20" s="14"/>
      <c r="H20" s="14"/>
      <c r="I20" s="14"/>
    </row>
    <row r="21" spans="1:9">
      <c r="A21" s="44"/>
      <c r="B21" s="44"/>
      <c r="C21" s="15" t="s">
        <v>499</v>
      </c>
      <c r="D21" s="14"/>
      <c r="E21" s="14"/>
      <c r="F21" s="14"/>
      <c r="G21" s="14"/>
      <c r="H21" s="14"/>
      <c r="I21" s="14"/>
    </row>
    <row r="22" spans="1:9">
      <c r="A22" s="44"/>
      <c r="B22" s="44"/>
      <c r="C22" s="14"/>
      <c r="D22" s="14"/>
      <c r="E22" s="14"/>
      <c r="F22" s="14"/>
      <c r="G22" s="14"/>
      <c r="H22" s="14"/>
      <c r="I22" s="14"/>
    </row>
    <row r="23" spans="1:9">
      <c r="A23" s="44"/>
      <c r="B23" s="44"/>
      <c r="C23" s="14"/>
      <c r="D23" s="14"/>
      <c r="E23" s="14"/>
      <c r="F23" s="111" t="s">
        <v>277</v>
      </c>
      <c r="G23" s="14"/>
      <c r="H23" s="14"/>
      <c r="I23" s="14"/>
    </row>
    <row r="24" spans="1:9">
      <c r="A24" s="932" t="s">
        <v>332</v>
      </c>
      <c r="B24" s="932"/>
      <c r="C24" s="14"/>
      <c r="D24" s="14"/>
      <c r="E24" s="125" t="s">
        <v>9</v>
      </c>
      <c r="F24" s="125" t="s">
        <v>35</v>
      </c>
      <c r="G24" s="125" t="s">
        <v>179</v>
      </c>
      <c r="H24" s="14"/>
      <c r="I24" s="14"/>
    </row>
    <row r="25" spans="1:9">
      <c r="A25" s="111">
        <f>A17+1</f>
        <v>4</v>
      </c>
      <c r="B25" s="111"/>
      <c r="C25" s="14" t="s">
        <v>227</v>
      </c>
      <c r="D25" s="14"/>
      <c r="E25" s="78">
        <f>'14-IncentivePlant'!F327</f>
        <v>7.4999999999999997E-3</v>
      </c>
      <c r="F25" s="973">
        <f>E25/0.01</f>
        <v>0.75</v>
      </c>
      <c r="G25" s="46" t="str">
        <f>"14-IncentivePlant, L "&amp;'14-IncentivePlant'!A327&amp;""</f>
        <v>14-IncentivePlant, L 197</v>
      </c>
      <c r="H25" s="14"/>
      <c r="I25" s="14"/>
    </row>
    <row r="26" spans="1:9">
      <c r="A26" s="111">
        <f>A25+1</f>
        <v>5</v>
      </c>
      <c r="B26" s="111"/>
      <c r="C26" s="14" t="s">
        <v>228</v>
      </c>
      <c r="D26" s="14"/>
      <c r="E26" s="78">
        <f>'14-IncentivePlant'!F332</f>
        <v>1.2500000000000001E-2</v>
      </c>
      <c r="F26" s="973">
        <f>E26/0.01</f>
        <v>1.25</v>
      </c>
      <c r="G26" s="46" t="str">
        <f>"14-IncentivePlant, L "&amp;'14-IncentivePlant'!A332&amp;""</f>
        <v>14-IncentivePlant, L 200</v>
      </c>
      <c r="H26" s="14"/>
      <c r="I26" s="14"/>
    </row>
    <row r="27" spans="1:9">
      <c r="A27" s="111">
        <f>A26+1</f>
        <v>6</v>
      </c>
      <c r="B27" s="111"/>
      <c r="C27" s="485" t="s">
        <v>2211</v>
      </c>
      <c r="D27" s="14"/>
      <c r="E27" s="78">
        <f>'14-IncentivePlant'!F337</f>
        <v>0.01</v>
      </c>
      <c r="F27" s="973">
        <f>E27/0.01</f>
        <v>1</v>
      </c>
      <c r="G27" s="46" t="str">
        <f>"14-IncentivePlant, L "&amp;'14-IncentivePlant'!A337&amp;""</f>
        <v>14-IncentivePlant, L 203</v>
      </c>
      <c r="H27" s="14"/>
      <c r="I27" s="14"/>
    </row>
    <row r="28" spans="1:9">
      <c r="A28" s="2">
        <f>A27+1</f>
        <v>7</v>
      </c>
      <c r="B28" s="2"/>
      <c r="C28" s="116"/>
      <c r="D28" s="97"/>
      <c r="E28" s="42"/>
      <c r="F28" s="98"/>
    </row>
    <row r="29" spans="1:9">
      <c r="A29" s="2">
        <f>A28+1</f>
        <v>8</v>
      </c>
      <c r="B29" s="2"/>
      <c r="C29" s="188" t="s">
        <v>513</v>
      </c>
      <c r="E29" s="42"/>
      <c r="F29" s="98"/>
    </row>
    <row r="31" spans="1:9">
      <c r="B31" s="1" t="s">
        <v>276</v>
      </c>
    </row>
    <row r="32" spans="1:9">
      <c r="A32" s="1"/>
      <c r="B32" s="1"/>
      <c r="C32" s="12" t="s">
        <v>1443</v>
      </c>
    </row>
    <row r="33" spans="1:9">
      <c r="A33" s="1"/>
      <c r="B33" s="1"/>
      <c r="C33" s="12" t="s">
        <v>500</v>
      </c>
    </row>
    <row r="34" spans="1:9">
      <c r="A34" s="1"/>
      <c r="B34" s="1"/>
      <c r="C34" s="12" t="s">
        <v>501</v>
      </c>
    </row>
    <row r="35" spans="1:9">
      <c r="E35" s="2"/>
      <c r="G35" s="2"/>
    </row>
    <row r="36" spans="1:9">
      <c r="E36" s="2" t="s">
        <v>63</v>
      </c>
      <c r="G36" s="2" t="s">
        <v>63</v>
      </c>
    </row>
    <row r="37" spans="1:9">
      <c r="E37" s="2" t="s">
        <v>8</v>
      </c>
      <c r="F37" s="2" t="s">
        <v>277</v>
      </c>
      <c r="G37" s="2" t="s">
        <v>8</v>
      </c>
    </row>
    <row r="38" spans="1:9">
      <c r="A38" s="51" t="s">
        <v>332</v>
      </c>
      <c r="B38" s="51"/>
      <c r="E38" s="3" t="s">
        <v>173</v>
      </c>
      <c r="F38" s="3" t="s">
        <v>35</v>
      </c>
      <c r="G38" s="3" t="s">
        <v>278</v>
      </c>
      <c r="H38" s="3" t="s">
        <v>179</v>
      </c>
    </row>
    <row r="39" spans="1:9">
      <c r="A39" s="2">
        <f>A29+1</f>
        <v>9</v>
      </c>
      <c r="B39" s="2"/>
      <c r="C39" t="s">
        <v>227</v>
      </c>
      <c r="E39" s="7">
        <f>'14-IncentivePlant'!E46</f>
        <v>150232042.80208787</v>
      </c>
      <c r="F39" s="98">
        <f>F25</f>
        <v>0.75</v>
      </c>
      <c r="G39" s="7">
        <f>(E39/1000000)*(F39*$G$17)</f>
        <v>785241.01681939641</v>
      </c>
      <c r="H39" s="46" t="str">
        <f>"14-IncentivePlant, L "&amp;'14-IncentivePlant'!A46&amp;", Col. 1"</f>
        <v>14-IncentivePlant, L 13, Col. 1</v>
      </c>
    </row>
    <row r="40" spans="1:9">
      <c r="A40" s="2">
        <f>A39+1</f>
        <v>10</v>
      </c>
      <c r="B40" s="2"/>
      <c r="C40" t="s">
        <v>228</v>
      </c>
      <c r="E40" s="7">
        <f>'14-IncentivePlant'!E47</f>
        <v>2728701252.9784455</v>
      </c>
      <c r="F40" s="98">
        <f>F26</f>
        <v>1.25</v>
      </c>
      <c r="G40" s="7">
        <f>(E40/1000000)*(F40*$G$17)</f>
        <v>23770873.671159066</v>
      </c>
      <c r="H40" s="46" t="str">
        <f>"14-IncentivePlant, L "&amp;'14-IncentivePlant'!A47&amp;", Col. 1"</f>
        <v>14-IncentivePlant, L 14, Col. 1</v>
      </c>
    </row>
    <row r="41" spans="1:9">
      <c r="A41" s="2">
        <f>A40+1</f>
        <v>11</v>
      </c>
      <c r="B41" s="2"/>
      <c r="C41" s="483" t="s">
        <v>2211</v>
      </c>
      <c r="E41" s="7">
        <f>'14-IncentivePlant'!E48</f>
        <v>687752339.98307264</v>
      </c>
      <c r="F41" s="98">
        <f>F27</f>
        <v>1</v>
      </c>
      <c r="G41" s="7">
        <f>(E41/1000000)*(F41*$G$17)</f>
        <v>4793041.8100367403</v>
      </c>
      <c r="H41" s="46" t="str">
        <f>"14-IncentivePlant, L "&amp;'14-IncentivePlant'!A48&amp;", Col. 1"</f>
        <v>14-IncentivePlant, L 15, Col. 1</v>
      </c>
    </row>
    <row r="42" spans="1:9">
      <c r="A42" s="2">
        <f>A41+1</f>
        <v>12</v>
      </c>
      <c r="B42" s="2"/>
      <c r="C42" s="116"/>
      <c r="D42" s="97"/>
      <c r="H42" s="14"/>
    </row>
    <row r="43" spans="1:9">
      <c r="A43" s="2">
        <f>A42+1</f>
        <v>13</v>
      </c>
      <c r="B43" s="2"/>
      <c r="C43" s="188" t="s">
        <v>513</v>
      </c>
      <c r="H43" s="14"/>
    </row>
    <row r="44" spans="1:9">
      <c r="A44" s="2">
        <f>A43+1</f>
        <v>14</v>
      </c>
      <c r="F44" s="37" t="s">
        <v>78</v>
      </c>
      <c r="G44" s="7">
        <f>SUM(G39:G42)</f>
        <v>29349156.498015203</v>
      </c>
      <c r="H44" s="482" t="s">
        <v>1681</v>
      </c>
    </row>
    <row r="45" spans="1:9">
      <c r="H45" s="482" t="s">
        <v>1682</v>
      </c>
      <c r="I45" s="7"/>
    </row>
    <row r="46" spans="1:9">
      <c r="B46" s="1" t="s">
        <v>1471</v>
      </c>
      <c r="H46" s="14"/>
    </row>
    <row r="47" spans="1:9">
      <c r="A47" s="1"/>
      <c r="B47" s="1"/>
      <c r="C47" s="483" t="s">
        <v>1472</v>
      </c>
      <c r="H47" s="14"/>
    </row>
    <row r="48" spans="1:9">
      <c r="A48" s="1"/>
      <c r="B48" s="1"/>
      <c r="C48" s="483" t="s">
        <v>1515</v>
      </c>
      <c r="H48" s="14"/>
    </row>
    <row r="49" spans="1:9">
      <c r="A49" s="1"/>
      <c r="B49" s="1"/>
      <c r="C49" s="483" t="s">
        <v>1680</v>
      </c>
      <c r="H49" s="14"/>
    </row>
    <row r="50" spans="1:9">
      <c r="H50" s="14"/>
    </row>
    <row r="51" spans="1:9">
      <c r="E51" s="2" t="s">
        <v>0</v>
      </c>
      <c r="G51" s="2" t="s">
        <v>0</v>
      </c>
      <c r="H51" s="14"/>
    </row>
    <row r="52" spans="1:9">
      <c r="E52" s="2" t="s">
        <v>8</v>
      </c>
      <c r="F52" s="2" t="s">
        <v>277</v>
      </c>
      <c r="G52" s="2" t="s">
        <v>8</v>
      </c>
      <c r="H52" s="14"/>
    </row>
    <row r="53" spans="1:9">
      <c r="A53" s="51" t="s">
        <v>332</v>
      </c>
      <c r="B53" s="51"/>
      <c r="E53" s="3" t="s">
        <v>1005</v>
      </c>
      <c r="F53" s="3" t="s">
        <v>35</v>
      </c>
      <c r="G53" s="3" t="s">
        <v>278</v>
      </c>
      <c r="H53" s="125" t="s">
        <v>179</v>
      </c>
    </row>
    <row r="54" spans="1:9">
      <c r="A54" s="2">
        <f>A44+1</f>
        <v>15</v>
      </c>
      <c r="B54" s="2"/>
      <c r="C54" t="s">
        <v>227</v>
      </c>
      <c r="E54" s="7">
        <f>'14-IncentivePlant'!E60</f>
        <v>152604253.61173245</v>
      </c>
      <c r="F54" s="98">
        <f>F25</f>
        <v>0.75</v>
      </c>
      <c r="G54" s="7">
        <f>(E54/1000000)*(F54*$G$17)</f>
        <v>797640.21737296425</v>
      </c>
      <c r="H54" s="46" t="str">
        <f>"14-IncentivePlant, L "&amp;'14-IncentivePlant'!A60&amp;", Col. 1"</f>
        <v>14-IncentivePlant, L 19, Col. 1</v>
      </c>
    </row>
    <row r="55" spans="1:9">
      <c r="A55" s="2">
        <f>A54+1</f>
        <v>16</v>
      </c>
      <c r="B55" s="2"/>
      <c r="C55" t="s">
        <v>228</v>
      </c>
      <c r="E55" s="7">
        <f>'14-IncentivePlant'!E61</f>
        <v>2756592235.1223397</v>
      </c>
      <c r="F55" s="98">
        <f>F26</f>
        <v>1.25</v>
      </c>
      <c r="G55" s="7">
        <f>(E55/1000000)*(F55*$G$17)</f>
        <v>24013843.843281571</v>
      </c>
      <c r="H55" s="46" t="str">
        <f>"14-IncentivePlant, L "&amp;'14-IncentivePlant'!A61&amp;", Col. 1"</f>
        <v>14-IncentivePlant, L 20, Col. 1</v>
      </c>
    </row>
    <row r="56" spans="1:9">
      <c r="A56" s="2">
        <f>A55+1</f>
        <v>17</v>
      </c>
      <c r="B56" s="2"/>
      <c r="C56" s="483" t="s">
        <v>2211</v>
      </c>
      <c r="E56" s="7">
        <f>'14-IncentivePlant'!E62</f>
        <v>697660501.26822519</v>
      </c>
      <c r="F56" s="98">
        <f>F27</f>
        <v>1</v>
      </c>
      <c r="G56" s="7">
        <f>(E56/1000000)*(F56*$G$17)</f>
        <v>4862093.1655021282</v>
      </c>
      <c r="H56" s="46" t="str">
        <f>"14-IncentivePlant, L "&amp;'14-IncentivePlant'!A62&amp;", Col. 1"</f>
        <v>14-IncentivePlant, L 21, Col. 1</v>
      </c>
    </row>
    <row r="57" spans="1:9">
      <c r="A57" s="2">
        <f>A56+1</f>
        <v>18</v>
      </c>
      <c r="B57" s="2"/>
      <c r="C57" s="116"/>
      <c r="D57" s="97"/>
    </row>
    <row r="58" spans="1:9">
      <c r="A58" s="2">
        <f>A57+1</f>
        <v>19</v>
      </c>
      <c r="B58" s="2"/>
      <c r="C58" s="188" t="s">
        <v>513</v>
      </c>
    </row>
    <row r="59" spans="1:9">
      <c r="A59" s="2">
        <f>A58+1</f>
        <v>20</v>
      </c>
      <c r="F59" s="481" t="s">
        <v>1473</v>
      </c>
      <c r="G59" s="7">
        <f>SUM(G54:G57)</f>
        <v>29673577.226156663</v>
      </c>
      <c r="H59" s="487" t="s">
        <v>1681</v>
      </c>
    </row>
    <row r="60" spans="1:9">
      <c r="H60" s="487" t="s">
        <v>1682</v>
      </c>
      <c r="I60" s="7"/>
    </row>
    <row r="61" spans="1:9">
      <c r="B61" s="1" t="s">
        <v>1530</v>
      </c>
    </row>
    <row r="63" spans="1:9">
      <c r="C63" s="1" t="s">
        <v>1531</v>
      </c>
    </row>
    <row r="65" spans="1:7">
      <c r="E65" s="510" t="s">
        <v>10</v>
      </c>
    </row>
    <row r="66" spans="1:7">
      <c r="C66" s="510" t="s">
        <v>8</v>
      </c>
      <c r="E66" s="510" t="s">
        <v>301</v>
      </c>
    </row>
    <row r="67" spans="1:7">
      <c r="A67" s="51" t="s">
        <v>332</v>
      </c>
      <c r="C67" s="3" t="s">
        <v>226</v>
      </c>
      <c r="E67" s="3" t="s">
        <v>3</v>
      </c>
      <c r="F67" s="3" t="s">
        <v>179</v>
      </c>
    </row>
    <row r="68" spans="1:7">
      <c r="A68" s="510">
        <f>A59+1</f>
        <v>21</v>
      </c>
      <c r="C68" t="s">
        <v>227</v>
      </c>
      <c r="E68" s="7">
        <f>'14-IncentivePlant'!G60</f>
        <v>152604253.61173245</v>
      </c>
      <c r="F68" s="482" t="str">
        <f>"14-IncentivePlant, L "&amp;'14-IncentivePlant'!A60&amp;", Col. 3"</f>
        <v>14-IncentivePlant, L 19, Col. 3</v>
      </c>
      <c r="G68" s="14"/>
    </row>
    <row r="69" spans="1:7">
      <c r="A69" s="510">
        <f t="shared" ref="A69:A71" si="0">A68+1</f>
        <v>22</v>
      </c>
      <c r="C69" t="s">
        <v>228</v>
      </c>
      <c r="E69" s="7">
        <f>'14-IncentivePlant'!G61</f>
        <v>2750697473.3677244</v>
      </c>
      <c r="F69" s="482" t="str">
        <f>"14-IncentivePlant, L "&amp;'14-IncentivePlant'!A61&amp;", Col. 3"</f>
        <v>14-IncentivePlant, L 20, Col. 3</v>
      </c>
      <c r="G69" s="14"/>
    </row>
    <row r="70" spans="1:7">
      <c r="A70" s="510">
        <f t="shared" si="0"/>
        <v>23</v>
      </c>
      <c r="C70" s="483" t="s">
        <v>2211</v>
      </c>
      <c r="E70" s="7">
        <f>'14-IncentivePlant'!G62</f>
        <v>697660501.26822519</v>
      </c>
      <c r="F70" s="482" t="str">
        <f>"14-IncentivePlant, L "&amp;'14-IncentivePlant'!A62&amp;", Col. 3"</f>
        <v>14-IncentivePlant, L 21, Col. 3</v>
      </c>
      <c r="G70" s="14"/>
    </row>
    <row r="71" spans="1:7">
      <c r="A71" s="510">
        <f t="shared" si="0"/>
        <v>24</v>
      </c>
      <c r="C71" s="116"/>
      <c r="F71" s="482"/>
      <c r="G71" s="14"/>
    </row>
    <row r="72" spans="1:7">
      <c r="C72" s="511" t="s">
        <v>513</v>
      </c>
      <c r="F72" s="14"/>
      <c r="G72" s="14"/>
    </row>
    <row r="73" spans="1:7">
      <c r="C73" s="511"/>
      <c r="F73" s="14"/>
      <c r="G73" s="14"/>
    </row>
    <row r="74" spans="1:7">
      <c r="C74" s="1" t="s">
        <v>1532</v>
      </c>
      <c r="F74" s="14"/>
      <c r="G74" s="14"/>
    </row>
    <row r="75" spans="1:7">
      <c r="C75" s="1"/>
      <c r="F75" s="14"/>
      <c r="G75" s="14"/>
    </row>
    <row r="76" spans="1:7">
      <c r="E76" s="3" t="s">
        <v>363</v>
      </c>
      <c r="F76" s="125" t="s">
        <v>347</v>
      </c>
      <c r="G76" s="14"/>
    </row>
    <row r="77" spans="1:7">
      <c r="E77" s="3"/>
      <c r="F77" s="111" t="s">
        <v>1533</v>
      </c>
      <c r="G77" s="14"/>
    </row>
    <row r="78" spans="1:7">
      <c r="E78" s="510" t="s">
        <v>281</v>
      </c>
      <c r="F78" s="111" t="s">
        <v>281</v>
      </c>
      <c r="G78" s="14"/>
    </row>
    <row r="79" spans="1:7">
      <c r="C79" s="510" t="s">
        <v>8</v>
      </c>
      <c r="E79" s="510" t="s">
        <v>8</v>
      </c>
      <c r="F79" s="111" t="s">
        <v>8</v>
      </c>
      <c r="G79" s="14"/>
    </row>
    <row r="80" spans="1:7">
      <c r="A80" s="51" t="s">
        <v>332</v>
      </c>
      <c r="C80" s="3" t="s">
        <v>226</v>
      </c>
      <c r="E80" s="3" t="s">
        <v>278</v>
      </c>
      <c r="F80" s="125" t="s">
        <v>278</v>
      </c>
      <c r="G80" s="125" t="s">
        <v>179</v>
      </c>
    </row>
    <row r="81" spans="1:7">
      <c r="A81" s="510">
        <f>A71+1</f>
        <v>25</v>
      </c>
      <c r="C81" t="s">
        <v>227</v>
      </c>
      <c r="E81" s="7">
        <f>(E68/1000000)*(F54*$G$17)</f>
        <v>797640.21737296425</v>
      </c>
      <c r="F81" s="63">
        <f>E81*(1-$G$16)</f>
        <v>574431.76950418344</v>
      </c>
      <c r="G81" s="482" t="s">
        <v>212</v>
      </c>
    </row>
    <row r="82" spans="1:7">
      <c r="A82" s="510">
        <f t="shared" ref="A82:A86" si="1">A81+1</f>
        <v>26</v>
      </c>
      <c r="C82" t="s">
        <v>228</v>
      </c>
      <c r="E82" s="7">
        <f>(E69/1000000)*(F55*$G$17)</f>
        <v>23962492.074069899</v>
      </c>
      <c r="F82" s="63">
        <f>E82*(1-$G$16)</f>
        <v>17256924.142030474</v>
      </c>
      <c r="G82" s="482" t="s">
        <v>212</v>
      </c>
    </row>
    <row r="83" spans="1:7">
      <c r="A83" s="510">
        <f t="shared" si="1"/>
        <v>27</v>
      </c>
      <c r="C83" s="483" t="s">
        <v>2211</v>
      </c>
      <c r="E83" s="7">
        <f>(E70/1000000)*(F56*$G$17)</f>
        <v>4862093.1655021282</v>
      </c>
      <c r="F83" s="63">
        <f>E83*(1-$G$16)</f>
        <v>3501504.4624406747</v>
      </c>
      <c r="G83" s="482" t="s">
        <v>212</v>
      </c>
    </row>
    <row r="84" spans="1:7">
      <c r="A84" s="510">
        <f t="shared" si="1"/>
        <v>28</v>
      </c>
      <c r="C84" s="116"/>
      <c r="E84" s="7"/>
      <c r="F84" s="63"/>
      <c r="G84" s="482" t="s">
        <v>212</v>
      </c>
    </row>
    <row r="85" spans="1:7">
      <c r="A85" s="510">
        <f t="shared" si="1"/>
        <v>29</v>
      </c>
      <c r="C85" s="511" t="s">
        <v>513</v>
      </c>
      <c r="E85" s="7"/>
      <c r="F85" s="63"/>
      <c r="G85" s="14"/>
    </row>
    <row r="86" spans="1:7">
      <c r="A86" s="510">
        <f t="shared" si="1"/>
        <v>30</v>
      </c>
      <c r="E86" s="481" t="s">
        <v>4</v>
      </c>
      <c r="F86" s="63">
        <f>SUM(F81:F85)</f>
        <v>21332860.373975329</v>
      </c>
      <c r="G86" s="14"/>
    </row>
    <row r="87" spans="1:7">
      <c r="F87" s="14"/>
      <c r="G87" s="14"/>
    </row>
    <row r="88" spans="1:7">
      <c r="C88" s="1" t="s">
        <v>1534</v>
      </c>
      <c r="F88" s="14"/>
      <c r="G88" s="14"/>
    </row>
    <row r="89" spans="1:7">
      <c r="A89" s="51" t="s">
        <v>332</v>
      </c>
      <c r="F89" s="125" t="s">
        <v>175</v>
      </c>
      <c r="G89" s="125" t="s">
        <v>179</v>
      </c>
    </row>
    <row r="90" spans="1:7">
      <c r="A90" s="510">
        <f>A86+1</f>
        <v>31</v>
      </c>
      <c r="E90" s="481" t="s">
        <v>1535</v>
      </c>
      <c r="F90" s="63">
        <f>'4-TUTRR'!J29</f>
        <v>5462817350.9025984</v>
      </c>
      <c r="G90" s="482" t="str">
        <f>"4-TUTRR, Line "&amp;'4-TUTRR'!A29&amp;""</f>
        <v>4-TUTRR, Line 18</v>
      </c>
    </row>
    <row r="91" spans="1:7">
      <c r="A91" s="510">
        <f t="shared" ref="A91:A94" si="2">A90+1</f>
        <v>32</v>
      </c>
      <c r="E91" s="481" t="s">
        <v>1536</v>
      </c>
      <c r="F91" s="112">
        <f>'4-TUTRR'!J24</f>
        <v>111914471.08153847</v>
      </c>
      <c r="G91" s="482" t="str">
        <f>"4-TUTRR, Line "&amp;'4-TUTRR'!A24&amp;""</f>
        <v>4-TUTRR, Line 14</v>
      </c>
    </row>
    <row r="92" spans="1:7">
      <c r="A92" s="510">
        <f t="shared" si="2"/>
        <v>33</v>
      </c>
      <c r="E92" s="481" t="s">
        <v>1537</v>
      </c>
      <c r="F92" s="63">
        <f>F90-F91</f>
        <v>5350902879.8210602</v>
      </c>
      <c r="G92" s="114" t="str">
        <f>"Line "&amp;A90&amp;" - Line "&amp;A91&amp;""</f>
        <v>Line 31 - Line 32</v>
      </c>
    </row>
    <row r="93" spans="1:7">
      <c r="A93" s="510">
        <f t="shared" si="2"/>
        <v>34</v>
      </c>
      <c r="E93" s="481" t="s">
        <v>1538</v>
      </c>
      <c r="F93" s="67">
        <f>'1-BaseTRR'!K80</f>
        <v>0.5018923181225754</v>
      </c>
      <c r="G93" s="482" t="str">
        <f>"1-BaseTRR, Line "&amp;'1-BaseTRR'!A80&amp;""</f>
        <v>1-BaseTRR, Line 47</v>
      </c>
    </row>
    <row r="94" spans="1:7">
      <c r="A94" s="510">
        <f t="shared" si="2"/>
        <v>35</v>
      </c>
      <c r="E94" s="481" t="s">
        <v>1539</v>
      </c>
      <c r="F94" s="7">
        <f>F92*F93</f>
        <v>2685577050.4021564</v>
      </c>
      <c r="G94" s="16" t="str">
        <f>"Line "&amp;A92&amp;" * Line "&amp;A93&amp;""</f>
        <v>Line 33 * Line 34</v>
      </c>
    </row>
    <row r="96" spans="1:7">
      <c r="C96" s="1" t="s">
        <v>1540</v>
      </c>
    </row>
    <row r="97" spans="1:8">
      <c r="A97" s="51" t="s">
        <v>332</v>
      </c>
    </row>
    <row r="98" spans="1:8">
      <c r="A98" s="510">
        <f>A94+1</f>
        <v>36</v>
      </c>
      <c r="E98" s="481" t="s">
        <v>1541</v>
      </c>
      <c r="F98" s="42">
        <f>F86/F94</f>
        <v>7.9434922080454939E-3</v>
      </c>
      <c r="G98" s="114" t="str">
        <f>"Line "&amp;A86&amp;" / Line "&amp;A94&amp;""</f>
        <v>Line 30 / Line 35</v>
      </c>
      <c r="H98" s="14"/>
    </row>
    <row r="99" spans="1:8">
      <c r="A99" s="510">
        <f t="shared" ref="A99:A101" si="3">A98+1</f>
        <v>37</v>
      </c>
      <c r="E99" s="481" t="s">
        <v>1542</v>
      </c>
      <c r="G99" s="14"/>
      <c r="H99" s="14"/>
    </row>
    <row r="100" spans="1:8">
      <c r="A100" s="510">
        <f t="shared" si="3"/>
        <v>38</v>
      </c>
      <c r="E100" s="481" t="s">
        <v>1543</v>
      </c>
      <c r="F100" s="512">
        <f>'1-BaseTRR'!K85</f>
        <v>0.108</v>
      </c>
      <c r="G100" s="482" t="str">
        <f>"1-BaseTRR, Line "&amp;'1-BaseTRR'!A85&amp;""</f>
        <v>1-BaseTRR, Line 50</v>
      </c>
      <c r="H100" s="14"/>
    </row>
    <row r="101" spans="1:8">
      <c r="A101" s="510">
        <f t="shared" si="3"/>
        <v>39</v>
      </c>
      <c r="E101" s="481" t="s">
        <v>1544</v>
      </c>
      <c r="F101" s="42">
        <f>F98+F100</f>
        <v>0.11594349220804549</v>
      </c>
      <c r="G101" s="114" t="str">
        <f>"Line "&amp;A98&amp;" + Line "&amp;A100&amp;""</f>
        <v>Line 36 + Line 38</v>
      </c>
      <c r="H101" s="14"/>
    </row>
    <row r="103" spans="1:8">
      <c r="B103" s="1" t="s">
        <v>382</v>
      </c>
    </row>
    <row r="104" spans="1:8">
      <c r="B104" s="483" t="s">
        <v>536</v>
      </c>
    </row>
    <row r="105" spans="1:8">
      <c r="B105" s="483" t="s">
        <v>537</v>
      </c>
    </row>
    <row r="107" spans="1:8">
      <c r="B107" s="1" t="s">
        <v>232</v>
      </c>
    </row>
    <row r="108" spans="1:8">
      <c r="B108" s="483" t="str">
        <f>"1) Column 1: The True Up Incentive Adder for each Incentive Project equals the IREF on Line "&amp;A17&amp;","</f>
        <v>1) Column 1: The True Up Incentive Adder for each Incentive Project equals the IREF on Line 3,</v>
      </c>
    </row>
    <row r="109" spans="1:8">
      <c r="B109" s="483" t="str">
        <f>"times the applicable Multiplicative Factor on Lines "&amp;A54&amp;" to "&amp;A57&amp;", times the million $ of"</f>
        <v>times the applicable Multiplicative Factor on Lines 15 to 18, times the million $ of</v>
      </c>
    </row>
    <row r="110" spans="1:8">
      <c r="B110" s="483" t="str">
        <f>"TIP Net Plant In Service on Lines "&amp;A68&amp;" to "&amp;A71&amp;"."</f>
        <v>TIP Net Plant In Service on Lines 21 to 24.</v>
      </c>
    </row>
    <row r="111" spans="1:8">
      <c r="B111" s="483" t="s">
        <v>1545</v>
      </c>
    </row>
    <row r="112" spans="1:8">
      <c r="B112" s="483" t="str">
        <f>"Column 1 by (1 - CTR) (Where the CTR is on Line "&amp;A16&amp;")."</f>
        <v>Column 1 by (1 - CTR) (Where the CTR is on Line 2).</v>
      </c>
    </row>
  </sheetData>
  <phoneticPr fontId="22" type="noConversion"/>
  <pageMargins left="0.75" right="0.75" top="1" bottom="1" header="0.5" footer="0.5"/>
  <pageSetup scale="75" orientation="portrait" cellComments="asDisplayed" r:id="rId1"/>
  <headerFooter alignWithMargins="0">
    <oddHeader>&amp;CSchedule 15
Incentive Adders
&amp;RTO2019 Draft Annual Update 
Attachment1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4"/>
  <sheetViews>
    <sheetView zoomScaleNormal="100" workbookViewId="0"/>
  </sheetViews>
  <sheetFormatPr defaultColWidth="9.140625" defaultRowHeight="12.75"/>
  <cols>
    <col min="1" max="1" width="4.7109375" style="649" customWidth="1"/>
    <col min="2" max="2" width="6" style="649" customWidth="1"/>
    <col min="3" max="3" width="15.7109375" style="649" customWidth="1"/>
    <col min="4" max="4" width="9.140625" style="649" customWidth="1"/>
    <col min="5" max="6" width="14.7109375" style="649" customWidth="1"/>
    <col min="7" max="7" width="16" style="649" bestFit="1" customWidth="1"/>
    <col min="8" max="8" width="18.28515625" style="649" customWidth="1"/>
    <col min="9" max="10" width="15.7109375" style="649" customWidth="1"/>
    <col min="11" max="11" width="16.85546875" style="649" customWidth="1"/>
    <col min="12" max="16" width="15.7109375" style="649" customWidth="1"/>
    <col min="17" max="17" width="2.85546875" style="649" customWidth="1"/>
    <col min="18" max="21" width="18.7109375" style="649" customWidth="1"/>
    <col min="22" max="22" width="15.7109375" style="649" customWidth="1"/>
    <col min="23" max="23" width="20.85546875" style="649" bestFit="1" customWidth="1"/>
    <col min="24" max="40" width="15.7109375" style="649" customWidth="1"/>
    <col min="41" max="16384" width="9.140625" style="649"/>
  </cols>
  <sheetData>
    <row r="1" spans="1:40">
      <c r="A1" s="612" t="s">
        <v>1444</v>
      </c>
    </row>
    <row r="2" spans="1:40">
      <c r="F2" s="650" t="s">
        <v>353</v>
      </c>
      <c r="G2" s="650"/>
    </row>
    <row r="3" spans="1:40">
      <c r="B3" s="613" t="s">
        <v>1445</v>
      </c>
    </row>
    <row r="4" spans="1:40">
      <c r="B4" s="613" t="s">
        <v>1980</v>
      </c>
    </row>
    <row r="5" spans="1:40">
      <c r="B5" s="613" t="s">
        <v>1981</v>
      </c>
    </row>
    <row r="6" spans="1:40">
      <c r="B6" s="613"/>
    </row>
    <row r="7" spans="1:40">
      <c r="B7" s="612" t="s">
        <v>1982</v>
      </c>
      <c r="H7" s="613"/>
      <c r="I7" s="613"/>
    </row>
    <row r="8" spans="1:40">
      <c r="B8" s="613"/>
      <c r="E8" s="651" t="s">
        <v>363</v>
      </c>
      <c r="F8" s="651" t="s">
        <v>347</v>
      </c>
      <c r="G8" s="651" t="s">
        <v>348</v>
      </c>
      <c r="H8" s="651" t="s">
        <v>349</v>
      </c>
      <c r="I8" s="651" t="s">
        <v>350</v>
      </c>
      <c r="J8" s="651" t="s">
        <v>351</v>
      </c>
      <c r="K8" s="651" t="s">
        <v>352</v>
      </c>
      <c r="L8" s="651" t="s">
        <v>544</v>
      </c>
      <c r="M8" s="651" t="s">
        <v>961</v>
      </c>
      <c r="N8" s="651" t="s">
        <v>974</v>
      </c>
      <c r="O8" s="651" t="s">
        <v>977</v>
      </c>
      <c r="P8" s="651" t="s">
        <v>995</v>
      </c>
      <c r="T8" s="651"/>
      <c r="U8" s="651"/>
      <c r="X8" s="652"/>
      <c r="Y8" s="652"/>
      <c r="Z8" s="652"/>
      <c r="AA8" s="652"/>
      <c r="AB8" s="652"/>
      <c r="AC8" s="652"/>
      <c r="AD8" s="652"/>
      <c r="AE8" s="652"/>
      <c r="AF8" s="652"/>
      <c r="AG8" s="652"/>
      <c r="AH8" s="652"/>
      <c r="AI8" s="652"/>
      <c r="AJ8" s="652"/>
      <c r="AK8" s="652"/>
      <c r="AL8" s="652"/>
      <c r="AM8" s="652"/>
      <c r="AN8" s="652"/>
    </row>
    <row r="9" spans="1:40">
      <c r="B9" s="613"/>
      <c r="E9" s="653" t="s">
        <v>211</v>
      </c>
      <c r="F9" s="653" t="s">
        <v>211</v>
      </c>
      <c r="G9" s="653" t="s">
        <v>211</v>
      </c>
      <c r="H9" s="653" t="s">
        <v>211</v>
      </c>
      <c r="I9" s="653" t="s">
        <v>211</v>
      </c>
      <c r="J9" s="653" t="s">
        <v>211</v>
      </c>
      <c r="K9" s="653" t="s">
        <v>211</v>
      </c>
      <c r="L9" s="653" t="s">
        <v>211</v>
      </c>
      <c r="M9" s="653" t="s">
        <v>211</v>
      </c>
      <c r="N9" s="653" t="s">
        <v>211</v>
      </c>
      <c r="O9" s="653" t="s">
        <v>211</v>
      </c>
      <c r="P9" s="653" t="s">
        <v>211</v>
      </c>
      <c r="Q9" s="655"/>
    </row>
    <row r="10" spans="1:40">
      <c r="C10" s="656" t="s">
        <v>198</v>
      </c>
      <c r="E10" s="656" t="s">
        <v>1948</v>
      </c>
      <c r="F10" s="656"/>
      <c r="G10" s="656"/>
      <c r="H10" s="657"/>
      <c r="I10" s="657" t="s">
        <v>1933</v>
      </c>
      <c r="J10" s="657"/>
      <c r="K10" s="657"/>
      <c r="L10" s="657"/>
      <c r="M10" s="657"/>
      <c r="O10" s="656" t="s">
        <v>1948</v>
      </c>
      <c r="P10" s="656" t="s">
        <v>1983</v>
      </c>
      <c r="T10" s="657"/>
      <c r="U10" s="657"/>
      <c r="X10" s="657"/>
      <c r="Y10" s="657"/>
      <c r="Z10" s="657"/>
      <c r="AA10" s="657"/>
      <c r="AB10" s="657"/>
      <c r="AC10" s="657"/>
      <c r="AD10" s="657"/>
      <c r="AE10" s="657"/>
      <c r="AF10" s="657"/>
      <c r="AG10" s="657"/>
      <c r="AH10" s="657"/>
      <c r="AI10" s="657"/>
      <c r="AJ10" s="657"/>
      <c r="AK10" s="657"/>
      <c r="AL10" s="657"/>
      <c r="AM10" s="657"/>
      <c r="AN10" s="657"/>
    </row>
    <row r="11" spans="1:40">
      <c r="B11" s="612"/>
      <c r="C11" s="656" t="s">
        <v>199</v>
      </c>
      <c r="E11" s="656" t="s">
        <v>196</v>
      </c>
      <c r="F11" s="656" t="s">
        <v>1950</v>
      </c>
      <c r="G11" s="657" t="s">
        <v>1951</v>
      </c>
      <c r="H11" s="657" t="s">
        <v>1934</v>
      </c>
      <c r="I11" s="657" t="s">
        <v>1984</v>
      </c>
      <c r="J11" s="657"/>
      <c r="K11" s="657" t="s">
        <v>299</v>
      </c>
      <c r="L11" s="657" t="s">
        <v>1093</v>
      </c>
      <c r="M11" s="657" t="s">
        <v>299</v>
      </c>
      <c r="O11" s="657" t="s">
        <v>1632</v>
      </c>
      <c r="P11" s="657" t="s">
        <v>1632</v>
      </c>
      <c r="T11" s="657"/>
      <c r="U11" s="657"/>
      <c r="X11" s="657"/>
      <c r="Y11" s="657"/>
      <c r="Z11" s="657"/>
      <c r="AA11" s="657"/>
      <c r="AB11" s="657"/>
      <c r="AC11" s="657"/>
      <c r="AD11" s="657"/>
      <c r="AE11" s="657"/>
      <c r="AF11" s="657"/>
      <c r="AG11" s="657"/>
      <c r="AH11" s="657"/>
      <c r="AI11" s="657"/>
      <c r="AJ11" s="657"/>
      <c r="AK11" s="657"/>
      <c r="AL11" s="657"/>
      <c r="AM11" s="657"/>
      <c r="AN11" s="657"/>
    </row>
    <row r="12" spans="1:40">
      <c r="A12" s="658" t="s">
        <v>332</v>
      </c>
      <c r="C12" s="639" t="s">
        <v>192</v>
      </c>
      <c r="D12" s="639" t="s">
        <v>193</v>
      </c>
      <c r="E12" s="652" t="s">
        <v>1954</v>
      </c>
      <c r="F12" s="652" t="s">
        <v>1955</v>
      </c>
      <c r="G12" s="659" t="s">
        <v>1956</v>
      </c>
      <c r="H12" s="659" t="s">
        <v>1027</v>
      </c>
      <c r="I12" s="659" t="s">
        <v>1013</v>
      </c>
      <c r="J12" s="659" t="s">
        <v>1933</v>
      </c>
      <c r="K12" s="659" t="s">
        <v>465</v>
      </c>
      <c r="L12" s="659" t="s">
        <v>1939</v>
      </c>
      <c r="M12" s="659" t="s">
        <v>1335</v>
      </c>
      <c r="N12" s="659" t="s">
        <v>1005</v>
      </c>
      <c r="O12" s="659" t="s">
        <v>1013</v>
      </c>
      <c r="P12" s="659" t="s">
        <v>1013</v>
      </c>
      <c r="T12" s="659"/>
      <c r="U12" s="659"/>
      <c r="V12" s="659"/>
      <c r="W12" s="659"/>
      <c r="X12" s="659"/>
      <c r="Y12" s="659"/>
      <c r="Z12" s="659"/>
      <c r="AA12" s="659"/>
      <c r="AB12" s="659"/>
      <c r="AC12" s="659"/>
      <c r="AD12" s="659"/>
      <c r="AE12" s="659"/>
      <c r="AF12" s="659"/>
      <c r="AG12" s="659"/>
      <c r="AH12" s="659"/>
      <c r="AI12" s="659"/>
      <c r="AJ12" s="659"/>
      <c r="AK12" s="659"/>
      <c r="AL12" s="659"/>
      <c r="AM12" s="659"/>
      <c r="AN12" s="659"/>
    </row>
    <row r="13" spans="1:40">
      <c r="A13" s="656">
        <v>1</v>
      </c>
      <c r="C13" s="649" t="str">
        <f>C45</f>
        <v>January</v>
      </c>
      <c r="D13" s="936">
        <v>2018</v>
      </c>
      <c r="E13" s="610">
        <f t="shared" ref="E13:P13" si="0">E45+E76</f>
        <v>19115721.483348168</v>
      </c>
      <c r="F13" s="610">
        <f t="shared" si="0"/>
        <v>4132900.7188666994</v>
      </c>
      <c r="G13" s="610">
        <f t="shared" si="0"/>
        <v>1123711.5573361099</v>
      </c>
      <c r="H13" s="610">
        <f t="shared" si="0"/>
        <v>1207777.3530670062</v>
      </c>
      <c r="I13" s="610">
        <f t="shared" si="0"/>
        <v>13889439.56027057</v>
      </c>
      <c r="J13" s="610">
        <f t="shared" si="0"/>
        <v>416683.18680811708</v>
      </c>
      <c r="K13" s="610">
        <f t="shared" si="0"/>
        <v>19448338.874425389</v>
      </c>
      <c r="L13" s="610">
        <f t="shared" si="0"/>
        <v>0</v>
      </c>
      <c r="M13" s="610">
        <f>M45+M76</f>
        <v>-1207777.3530670062</v>
      </c>
      <c r="N13" s="610">
        <f t="shared" si="0"/>
        <v>20656116.227492392</v>
      </c>
      <c r="O13" s="610">
        <f t="shared" si="0"/>
        <v>548711.21166591009</v>
      </c>
      <c r="P13" s="610">
        <f t="shared" si="0"/>
        <v>557819.81777956418</v>
      </c>
      <c r="T13" s="660"/>
      <c r="U13" s="660"/>
      <c r="V13" s="661"/>
      <c r="W13" s="660"/>
      <c r="X13" s="662"/>
      <c r="Y13" s="495"/>
      <c r="Z13" s="660"/>
      <c r="AA13" s="660"/>
      <c r="AB13" s="660"/>
      <c r="AC13" s="660"/>
      <c r="AD13" s="660"/>
      <c r="AE13" s="660"/>
      <c r="AF13" s="660"/>
      <c r="AG13" s="660"/>
      <c r="AH13" s="660"/>
      <c r="AI13" s="660"/>
      <c r="AJ13" s="660"/>
      <c r="AK13" s="660"/>
      <c r="AL13" s="660"/>
      <c r="AM13" s="660"/>
      <c r="AN13" s="660"/>
    </row>
    <row r="14" spans="1:40">
      <c r="A14" s="656">
        <f>A13+1</f>
        <v>2</v>
      </c>
      <c r="C14" s="649" t="str">
        <f t="shared" ref="C14:C29" si="1">C46</f>
        <v>February</v>
      </c>
      <c r="D14" s="936">
        <v>2018</v>
      </c>
      <c r="E14" s="610">
        <f t="shared" ref="E14:P14" si="2">E46+E77</f>
        <v>15694354.861748166</v>
      </c>
      <c r="F14" s="610">
        <f t="shared" si="2"/>
        <v>34483.771666699831</v>
      </c>
      <c r="G14" s="610">
        <f t="shared" si="2"/>
        <v>1174490.3317561098</v>
      </c>
      <c r="H14" s="610">
        <f t="shared" si="2"/>
        <v>1207777.3530670062</v>
      </c>
      <c r="I14" s="610">
        <f t="shared" si="2"/>
        <v>13889439.56027057</v>
      </c>
      <c r="J14" s="610">
        <f t="shared" si="2"/>
        <v>416683.18680811708</v>
      </c>
      <c r="K14" s="610">
        <f t="shared" si="2"/>
        <v>35526089.901670769</v>
      </c>
      <c r="L14" s="610">
        <f t="shared" si="2"/>
        <v>44338.926534593978</v>
      </c>
      <c r="M14" s="610">
        <f t="shared" si="2"/>
        <v>-2371215.7795994179</v>
      </c>
      <c r="N14" s="610">
        <f t="shared" si="2"/>
        <v>37897305.68127019</v>
      </c>
      <c r="O14" s="610">
        <f t="shared" si="2"/>
        <v>1097422.4233318202</v>
      </c>
      <c r="P14" s="610">
        <f t="shared" si="2"/>
        <v>1115639.6355591284</v>
      </c>
      <c r="T14" s="660"/>
      <c r="U14" s="660"/>
      <c r="V14" s="661"/>
      <c r="W14" s="660"/>
      <c r="X14" s="662"/>
      <c r="Y14" s="495"/>
      <c r="Z14" s="660"/>
      <c r="AA14" s="660"/>
      <c r="AB14" s="660"/>
      <c r="AC14" s="660"/>
      <c r="AD14" s="660"/>
      <c r="AE14" s="660"/>
      <c r="AF14" s="660"/>
      <c r="AG14" s="660"/>
      <c r="AH14" s="660"/>
      <c r="AI14" s="660"/>
      <c r="AJ14" s="660"/>
      <c r="AK14" s="660"/>
      <c r="AL14" s="660"/>
      <c r="AM14" s="660"/>
      <c r="AN14" s="660"/>
    </row>
    <row r="15" spans="1:40">
      <c r="A15" s="656">
        <f t="shared" ref="A15:A37" si="3">A14+1</f>
        <v>3</v>
      </c>
      <c r="C15" s="649" t="str">
        <f t="shared" si="1"/>
        <v>March</v>
      </c>
      <c r="D15" s="936">
        <v>2018</v>
      </c>
      <c r="E15" s="610">
        <f t="shared" ref="E15:P15" si="4">E47+E78</f>
        <v>15102583.172948163</v>
      </c>
      <c r="F15" s="610">
        <f t="shared" si="4"/>
        <v>34483.771666699831</v>
      </c>
      <c r="G15" s="610">
        <f t="shared" si="4"/>
        <v>1130107.4550961098</v>
      </c>
      <c r="H15" s="610">
        <f t="shared" si="4"/>
        <v>1207777.353067006</v>
      </c>
      <c r="I15" s="610">
        <f t="shared" si="4"/>
        <v>13889439.560270566</v>
      </c>
      <c r="J15" s="610">
        <f t="shared" si="4"/>
        <v>416683.18680811697</v>
      </c>
      <c r="K15" s="610">
        <f t="shared" si="4"/>
        <v>50967686.363456152</v>
      </c>
      <c r="L15" s="610">
        <f t="shared" si="4"/>
        <v>80993.482290816028</v>
      </c>
      <c r="M15" s="610">
        <f t="shared" si="4"/>
        <v>-3497999.6503756079</v>
      </c>
      <c r="N15" s="610">
        <f t="shared" si="4"/>
        <v>54465686.013831764</v>
      </c>
      <c r="O15" s="610">
        <f t="shared" si="4"/>
        <v>1646133.6349977306</v>
      </c>
      <c r="P15" s="610">
        <f t="shared" si="4"/>
        <v>1673459.4533386929</v>
      </c>
      <c r="T15" s="660"/>
      <c r="U15" s="660"/>
      <c r="V15" s="661"/>
      <c r="W15" s="660"/>
      <c r="X15" s="662"/>
      <c r="Y15" s="495"/>
      <c r="Z15" s="660"/>
      <c r="AA15" s="660"/>
      <c r="AB15" s="660"/>
      <c r="AC15" s="660"/>
      <c r="AD15" s="660"/>
      <c r="AE15" s="660"/>
      <c r="AF15" s="660"/>
      <c r="AG15" s="660"/>
      <c r="AH15" s="660"/>
      <c r="AI15" s="660"/>
      <c r="AJ15" s="660"/>
      <c r="AK15" s="660"/>
      <c r="AL15" s="660"/>
      <c r="AM15" s="660"/>
      <c r="AN15" s="660"/>
    </row>
    <row r="16" spans="1:40">
      <c r="A16" s="656">
        <f t="shared" si="3"/>
        <v>4</v>
      </c>
      <c r="C16" s="649" t="str">
        <f t="shared" si="1"/>
        <v>April</v>
      </c>
      <c r="D16" s="936">
        <v>2018</v>
      </c>
      <c r="E16" s="610">
        <f t="shared" ref="E16:P16" si="5">E48+E79</f>
        <v>17901937.221748173</v>
      </c>
      <c r="F16" s="610">
        <f t="shared" si="5"/>
        <v>2637999.5116667021</v>
      </c>
      <c r="G16" s="610">
        <f t="shared" si="5"/>
        <v>1144795.3282561102</v>
      </c>
      <c r="H16" s="610">
        <f t="shared" si="5"/>
        <v>1302700.7130670066</v>
      </c>
      <c r="I16" s="610">
        <f t="shared" si="5"/>
        <v>14981058.200270575</v>
      </c>
      <c r="J16" s="610">
        <f t="shared" si="5"/>
        <v>449431.74600811722</v>
      </c>
      <c r="K16" s="610">
        <f t="shared" si="5"/>
        <v>69161149.946401551</v>
      </c>
      <c r="L16" s="610">
        <f t="shared" si="5"/>
        <v>116197.71312598945</v>
      </c>
      <c r="M16" s="610">
        <f t="shared" si="5"/>
        <v>-4684502.6503166249</v>
      </c>
      <c r="N16" s="610">
        <f t="shared" si="5"/>
        <v>73845652.596718177</v>
      </c>
      <c r="O16" s="610">
        <f t="shared" si="5"/>
        <v>2194844.8466636403</v>
      </c>
      <c r="P16" s="610">
        <f t="shared" si="5"/>
        <v>2231279.2711182567</v>
      </c>
      <c r="T16" s="660"/>
      <c r="U16" s="660"/>
      <c r="V16" s="661"/>
      <c r="W16" s="660"/>
      <c r="X16" s="662"/>
      <c r="Y16" s="495"/>
      <c r="Z16" s="660"/>
      <c r="AA16" s="660"/>
      <c r="AB16" s="660"/>
      <c r="AC16" s="660"/>
      <c r="AD16" s="660"/>
      <c r="AE16" s="660"/>
      <c r="AF16" s="660"/>
      <c r="AG16" s="660"/>
      <c r="AH16" s="660"/>
      <c r="AI16" s="660"/>
      <c r="AJ16" s="660"/>
      <c r="AK16" s="660"/>
      <c r="AL16" s="660"/>
      <c r="AM16" s="660"/>
      <c r="AN16" s="660"/>
    </row>
    <row r="17" spans="1:40">
      <c r="A17" s="656">
        <f t="shared" si="3"/>
        <v>5</v>
      </c>
      <c r="C17" s="649" t="str">
        <f t="shared" si="1"/>
        <v>May</v>
      </c>
      <c r="D17" s="936">
        <v>2018</v>
      </c>
      <c r="E17" s="610">
        <f t="shared" ref="E17:P17" si="6">E49+E80</f>
        <v>14864406.481748156</v>
      </c>
      <c r="F17" s="610">
        <f t="shared" si="6"/>
        <v>34483.771666699831</v>
      </c>
      <c r="G17" s="610">
        <f t="shared" si="6"/>
        <v>1112244.2032561093</v>
      </c>
      <c r="H17" s="610">
        <f t="shared" si="6"/>
        <v>1207777.3530670053</v>
      </c>
      <c r="I17" s="610">
        <f t="shared" si="6"/>
        <v>13889439.560270561</v>
      </c>
      <c r="J17" s="610">
        <f t="shared" si="6"/>
        <v>416683.18680811679</v>
      </c>
      <c r="K17" s="610">
        <f t="shared" si="6"/>
        <v>84346706.465146929</v>
      </c>
      <c r="L17" s="610">
        <f t="shared" si="6"/>
        <v>157675.73602669136</v>
      </c>
      <c r="M17" s="610">
        <f t="shared" si="6"/>
        <v>-5734604.2673569387</v>
      </c>
      <c r="N17" s="610">
        <f t="shared" si="6"/>
        <v>90081310.732503876</v>
      </c>
      <c r="O17" s="610">
        <f t="shared" si="6"/>
        <v>2743556.0583295505</v>
      </c>
      <c r="P17" s="610">
        <f t="shared" si="6"/>
        <v>2789099.0888978215</v>
      </c>
      <c r="T17" s="660"/>
      <c r="U17" s="660"/>
      <c r="V17" s="661"/>
      <c r="W17" s="660"/>
      <c r="X17" s="662"/>
      <c r="Y17" s="495"/>
      <c r="Z17" s="660"/>
      <c r="AA17" s="660"/>
      <c r="AB17" s="660"/>
      <c r="AC17" s="660"/>
      <c r="AD17" s="660"/>
      <c r="AE17" s="660"/>
      <c r="AF17" s="660"/>
      <c r="AG17" s="660"/>
      <c r="AH17" s="660"/>
      <c r="AI17" s="660"/>
      <c r="AJ17" s="660"/>
      <c r="AK17" s="660"/>
      <c r="AL17" s="660"/>
      <c r="AM17" s="660"/>
      <c r="AN17" s="660"/>
    </row>
    <row r="18" spans="1:40">
      <c r="A18" s="656">
        <f t="shared" si="3"/>
        <v>6</v>
      </c>
      <c r="C18" s="649" t="str">
        <f t="shared" si="1"/>
        <v xml:space="preserve">June </v>
      </c>
      <c r="D18" s="936">
        <v>2018</v>
      </c>
      <c r="E18" s="610">
        <f t="shared" ref="E18:P18" si="7">E50+E81</f>
        <v>95174450.235248148</v>
      </c>
      <c r="F18" s="610">
        <f t="shared" si="7"/>
        <v>74323797.995166689</v>
      </c>
      <c r="G18" s="610">
        <f t="shared" si="7"/>
        <v>1563798.9180061091</v>
      </c>
      <c r="H18" s="610">
        <f t="shared" si="7"/>
        <v>1710354.262367005</v>
      </c>
      <c r="I18" s="610">
        <f t="shared" si="7"/>
        <v>19669074.017220557</v>
      </c>
      <c r="J18" s="610">
        <f t="shared" si="7"/>
        <v>590072.22051661671</v>
      </c>
      <c r="K18" s="610">
        <f t="shared" si="7"/>
        <v>179964673.57655081</v>
      </c>
      <c r="L18" s="610">
        <f t="shared" si="7"/>
        <v>192296.239053661</v>
      </c>
      <c r="M18" s="610">
        <f t="shared" si="7"/>
        <v>-7252662.2906702831</v>
      </c>
      <c r="N18" s="610">
        <f t="shared" si="7"/>
        <v>187217335.86722109</v>
      </c>
      <c r="O18" s="610">
        <f t="shared" si="7"/>
        <v>4770684.5199954603</v>
      </c>
      <c r="P18" s="610">
        <f t="shared" si="7"/>
        <v>4849877.883027385</v>
      </c>
      <c r="T18" s="660"/>
      <c r="U18" s="660"/>
      <c r="V18" s="661"/>
      <c r="W18" s="660"/>
      <c r="X18" s="662"/>
      <c r="Y18" s="495"/>
      <c r="Z18" s="660"/>
      <c r="AA18" s="660"/>
      <c r="AB18" s="660"/>
      <c r="AC18" s="660"/>
      <c r="AD18" s="660"/>
      <c r="AE18" s="660"/>
      <c r="AF18" s="660"/>
      <c r="AG18" s="660"/>
      <c r="AH18" s="660"/>
      <c r="AI18" s="660"/>
      <c r="AJ18" s="660"/>
      <c r="AK18" s="660"/>
      <c r="AL18" s="660"/>
      <c r="AM18" s="660"/>
      <c r="AN18" s="660"/>
    </row>
    <row r="19" spans="1:40">
      <c r="A19" s="656">
        <f t="shared" si="3"/>
        <v>7</v>
      </c>
      <c r="C19" s="649" t="str">
        <f t="shared" si="1"/>
        <v>July</v>
      </c>
      <c r="D19" s="936">
        <v>2018</v>
      </c>
      <c r="E19" s="610">
        <f t="shared" ref="E19:P19" si="8">E51+E82</f>
        <v>14713160.431748182</v>
      </c>
      <c r="F19" s="610">
        <f t="shared" si="8"/>
        <v>70911.721666699828</v>
      </c>
      <c r="G19" s="610">
        <f t="shared" si="8"/>
        <v>1098168.6532561111</v>
      </c>
      <c r="H19" s="610">
        <f t="shared" si="8"/>
        <v>1212077.3530670076</v>
      </c>
      <c r="I19" s="610">
        <f t="shared" si="8"/>
        <v>13938889.560270587</v>
      </c>
      <c r="J19" s="610">
        <f t="shared" si="8"/>
        <v>418166.68680811761</v>
      </c>
      <c r="K19" s="610">
        <f t="shared" si="8"/>
        <v>194982091.99529618</v>
      </c>
      <c r="L19" s="610">
        <f t="shared" si="8"/>
        <v>410289.04792613705</v>
      </c>
      <c r="M19" s="610">
        <f t="shared" si="8"/>
        <v>-8054450.5958111538</v>
      </c>
      <c r="N19" s="610">
        <f t="shared" si="8"/>
        <v>203036542.59110734</v>
      </c>
      <c r="O19" s="610">
        <f t="shared" si="8"/>
        <v>5319395.731661371</v>
      </c>
      <c r="P19" s="610">
        <f t="shared" si="8"/>
        <v>5407697.7008069502</v>
      </c>
      <c r="T19" s="660"/>
      <c r="U19" s="660"/>
      <c r="V19" s="661"/>
      <c r="W19" s="660"/>
      <c r="X19" s="662"/>
      <c r="Y19" s="495"/>
      <c r="Z19" s="660"/>
      <c r="AA19" s="660"/>
      <c r="AB19" s="660"/>
      <c r="AC19" s="660"/>
      <c r="AD19" s="660"/>
      <c r="AE19" s="660"/>
      <c r="AF19" s="660"/>
      <c r="AG19" s="660"/>
      <c r="AH19" s="660"/>
      <c r="AI19" s="660"/>
      <c r="AJ19" s="660"/>
      <c r="AK19" s="660"/>
      <c r="AL19" s="660"/>
      <c r="AM19" s="660"/>
      <c r="AN19" s="660"/>
    </row>
    <row r="20" spans="1:40">
      <c r="A20" s="656">
        <f t="shared" si="3"/>
        <v>8</v>
      </c>
      <c r="C20" s="649" t="str">
        <f t="shared" si="1"/>
        <v>August</v>
      </c>
      <c r="D20" s="936">
        <v>2018</v>
      </c>
      <c r="E20" s="610">
        <f t="shared" ref="E20:P20" si="9">E52+E83</f>
        <v>14376069.481748164</v>
      </c>
      <c r="F20" s="610">
        <f t="shared" si="9"/>
        <v>34483.771666699831</v>
      </c>
      <c r="G20" s="610">
        <f t="shared" si="9"/>
        <v>1075618.9282561098</v>
      </c>
      <c r="H20" s="610">
        <f t="shared" si="9"/>
        <v>1207777.353067006</v>
      </c>
      <c r="I20" s="610">
        <f t="shared" si="9"/>
        <v>13889439.560270566</v>
      </c>
      <c r="J20" s="610">
        <f t="shared" si="9"/>
        <v>416683.18680811697</v>
      </c>
      <c r="K20" s="610">
        <f t="shared" si="9"/>
        <v>209642686.23904157</v>
      </c>
      <c r="L20" s="610">
        <f t="shared" si="9"/>
        <v>444526.22449465172</v>
      </c>
      <c r="M20" s="610">
        <f t="shared" si="9"/>
        <v>-8817701.7243835069</v>
      </c>
      <c r="N20" s="610">
        <f t="shared" si="9"/>
        <v>218460387.96342507</v>
      </c>
      <c r="O20" s="610">
        <f t="shared" si="9"/>
        <v>5868106.9433272807</v>
      </c>
      <c r="P20" s="610">
        <f t="shared" si="9"/>
        <v>5965517.5185865136</v>
      </c>
      <c r="T20" s="660"/>
      <c r="U20" s="660"/>
      <c r="V20" s="661"/>
      <c r="W20" s="660"/>
      <c r="X20" s="662"/>
      <c r="Y20" s="495"/>
      <c r="Z20" s="660"/>
      <c r="AA20" s="660"/>
      <c r="AB20" s="660"/>
      <c r="AC20" s="660"/>
      <c r="AD20" s="660"/>
      <c r="AE20" s="660"/>
      <c r="AF20" s="660"/>
      <c r="AG20" s="660"/>
      <c r="AH20" s="660"/>
      <c r="AI20" s="660"/>
      <c r="AJ20" s="660"/>
      <c r="AK20" s="660"/>
      <c r="AL20" s="660"/>
      <c r="AM20" s="660"/>
      <c r="AN20" s="660"/>
    </row>
    <row r="21" spans="1:40">
      <c r="A21" s="656">
        <f t="shared" si="3"/>
        <v>9</v>
      </c>
      <c r="C21" s="649" t="str">
        <f t="shared" si="1"/>
        <v>September</v>
      </c>
      <c r="D21" s="936">
        <v>2018</v>
      </c>
      <c r="E21" s="610">
        <f t="shared" ref="E21:P21" si="10">E53+E84</f>
        <v>14428377.481748134</v>
      </c>
      <c r="F21" s="610">
        <f t="shared" si="10"/>
        <v>34483.771666699831</v>
      </c>
      <c r="G21" s="610">
        <f t="shared" si="10"/>
        <v>1079542.0282561074</v>
      </c>
      <c r="H21" s="610">
        <f t="shared" si="10"/>
        <v>1207777.3530670034</v>
      </c>
      <c r="I21" s="610">
        <f t="shared" si="10"/>
        <v>13889439.560270539</v>
      </c>
      <c r="J21" s="610">
        <f t="shared" si="10"/>
        <v>416683.18680811615</v>
      </c>
      <c r="K21" s="610">
        <f t="shared" si="10"/>
        <v>224359511.58278695</v>
      </c>
      <c r="L21" s="610">
        <f t="shared" si="10"/>
        <v>477949.90223515616</v>
      </c>
      <c r="M21" s="610">
        <f t="shared" si="10"/>
        <v>-9547529.1752153542</v>
      </c>
      <c r="N21" s="610">
        <f t="shared" si="10"/>
        <v>233907040.75800228</v>
      </c>
      <c r="O21" s="610">
        <f t="shared" si="10"/>
        <v>6416818.1549931904</v>
      </c>
      <c r="P21" s="610">
        <f t="shared" si="10"/>
        <v>6523337.3363660779</v>
      </c>
      <c r="T21" s="660"/>
      <c r="U21" s="660"/>
      <c r="V21" s="661"/>
      <c r="W21" s="660"/>
      <c r="X21" s="662"/>
      <c r="Y21" s="495"/>
      <c r="Z21" s="660"/>
      <c r="AA21" s="660"/>
      <c r="AB21" s="660"/>
      <c r="AC21" s="660"/>
      <c r="AD21" s="660"/>
      <c r="AE21" s="660"/>
      <c r="AF21" s="660"/>
      <c r="AG21" s="660"/>
      <c r="AH21" s="660"/>
      <c r="AI21" s="660"/>
      <c r="AJ21" s="660"/>
      <c r="AK21" s="660"/>
      <c r="AL21" s="660"/>
      <c r="AM21" s="660"/>
      <c r="AN21" s="660"/>
    </row>
    <row r="22" spans="1:40">
      <c r="A22" s="656">
        <f t="shared" si="3"/>
        <v>10</v>
      </c>
      <c r="C22" s="649" t="str">
        <f t="shared" si="1"/>
        <v xml:space="preserve">October </v>
      </c>
      <c r="D22" s="936">
        <v>2018</v>
      </c>
      <c r="E22" s="610">
        <f t="shared" ref="E22:P22" si="11">E54+E85</f>
        <v>14727807.061748147</v>
      </c>
      <c r="F22" s="610">
        <f t="shared" si="11"/>
        <v>71265.351666699833</v>
      </c>
      <c r="G22" s="610">
        <f t="shared" si="11"/>
        <v>1099240.6282561086</v>
      </c>
      <c r="H22" s="610">
        <f t="shared" si="11"/>
        <v>1253782.7090670045</v>
      </c>
      <c r="I22" s="610">
        <f t="shared" si="11"/>
        <v>14418501.154270552</v>
      </c>
      <c r="J22" s="610">
        <f t="shared" si="11"/>
        <v>432555.03462811653</v>
      </c>
      <c r="K22" s="610">
        <f t="shared" si="11"/>
        <v>239365331.59835231</v>
      </c>
      <c r="L22" s="610">
        <f t="shared" si="11"/>
        <v>511501.77738254226</v>
      </c>
      <c r="M22" s="610">
        <f t="shared" si="11"/>
        <v>-10289810.106899815</v>
      </c>
      <c r="N22" s="610">
        <f t="shared" si="11"/>
        <v>249655141.70525211</v>
      </c>
      <c r="O22" s="610">
        <f t="shared" si="11"/>
        <v>7537256.9466591012</v>
      </c>
      <c r="P22" s="610">
        <f t="shared" si="11"/>
        <v>7662375.4119736422</v>
      </c>
      <c r="T22" s="660"/>
      <c r="U22" s="660"/>
      <c r="V22" s="661"/>
      <c r="W22" s="660"/>
      <c r="X22" s="662"/>
      <c r="Y22" s="495"/>
      <c r="Z22" s="660"/>
      <c r="AA22" s="660"/>
      <c r="AB22" s="660"/>
      <c r="AC22" s="660"/>
      <c r="AD22" s="660"/>
      <c r="AE22" s="660"/>
      <c r="AF22" s="660"/>
      <c r="AG22" s="660"/>
      <c r="AH22" s="660"/>
      <c r="AI22" s="660"/>
      <c r="AJ22" s="660"/>
      <c r="AK22" s="660"/>
      <c r="AL22" s="660"/>
      <c r="AM22" s="660"/>
      <c r="AN22" s="660"/>
    </row>
    <row r="23" spans="1:40">
      <c r="A23" s="656">
        <f t="shared" si="3"/>
        <v>11</v>
      </c>
      <c r="C23" s="649" t="str">
        <f t="shared" si="1"/>
        <v>November</v>
      </c>
      <c r="D23" s="936">
        <v>2018</v>
      </c>
      <c r="E23" s="610">
        <f t="shared" ref="E23:P23" si="12">E55+E86</f>
        <v>14125406.481748164</v>
      </c>
      <c r="F23" s="610">
        <f t="shared" si="12"/>
        <v>34483.771666699831</v>
      </c>
      <c r="G23" s="610">
        <f t="shared" si="12"/>
        <v>1056819.2032561097</v>
      </c>
      <c r="H23" s="610">
        <f t="shared" si="12"/>
        <v>1207777.353067006</v>
      </c>
      <c r="I23" s="610">
        <f t="shared" si="12"/>
        <v>13889439.560270566</v>
      </c>
      <c r="J23" s="610">
        <f t="shared" si="12"/>
        <v>416683.18680811697</v>
      </c>
      <c r="K23" s="610">
        <f t="shared" si="12"/>
        <v>253756463.11709771</v>
      </c>
      <c r="L23" s="610">
        <f t="shared" si="12"/>
        <v>545712.51155153697</v>
      </c>
      <c r="M23" s="610">
        <f t="shared" si="12"/>
        <v>-10951874.948415281</v>
      </c>
      <c r="N23" s="610">
        <f t="shared" si="12"/>
        <v>264708338.06551296</v>
      </c>
      <c r="O23" s="610">
        <f t="shared" si="12"/>
        <v>8085968.1583250109</v>
      </c>
      <c r="P23" s="610">
        <f t="shared" si="12"/>
        <v>8220195.2297532065</v>
      </c>
      <c r="T23" s="660"/>
      <c r="U23" s="660"/>
      <c r="V23" s="661"/>
      <c r="W23" s="660"/>
      <c r="X23" s="662"/>
      <c r="Y23" s="495"/>
      <c r="Z23" s="660"/>
      <c r="AA23" s="660"/>
      <c r="AB23" s="660"/>
      <c r="AC23" s="660"/>
      <c r="AD23" s="660"/>
      <c r="AE23" s="660"/>
      <c r="AF23" s="660"/>
      <c r="AG23" s="660"/>
      <c r="AH23" s="660"/>
      <c r="AI23" s="660"/>
      <c r="AJ23" s="660"/>
      <c r="AK23" s="660"/>
      <c r="AL23" s="660"/>
      <c r="AM23" s="660"/>
      <c r="AN23" s="660"/>
    </row>
    <row r="24" spans="1:40">
      <c r="A24" s="656">
        <f t="shared" si="3"/>
        <v>12</v>
      </c>
      <c r="C24" s="649" t="str">
        <f t="shared" si="1"/>
        <v>December</v>
      </c>
      <c r="D24" s="936">
        <v>2018</v>
      </c>
      <c r="E24" s="610">
        <f t="shared" ref="E24:P24" si="13">E56+E87</f>
        <v>139623546.89306825</v>
      </c>
      <c r="F24" s="610">
        <f t="shared" si="13"/>
        <v>53925791.862222716</v>
      </c>
      <c r="G24" s="610">
        <f t="shared" si="13"/>
        <v>6427331.6273134155</v>
      </c>
      <c r="H24" s="610">
        <f t="shared" si="13"/>
        <v>6323881.7358639492</v>
      </c>
      <c r="I24" s="610">
        <f t="shared" si="13"/>
        <v>72724639.962435409</v>
      </c>
      <c r="J24" s="610">
        <f t="shared" si="13"/>
        <v>2181739.1988730622</v>
      </c>
      <c r="K24" s="610">
        <f t="shared" si="13"/>
        <v>395665199.10048848</v>
      </c>
      <c r="L24" s="610">
        <f t="shared" si="13"/>
        <v>578521.85980895639</v>
      </c>
      <c r="M24" s="610">
        <f t="shared" si="13"/>
        <v>-16697234.824470276</v>
      </c>
      <c r="N24" s="610">
        <f t="shared" si="13"/>
        <v>412362433.92495883</v>
      </c>
      <c r="O24" s="610">
        <f t="shared" si="13"/>
        <v>8634679.3699909206</v>
      </c>
      <c r="P24" s="610">
        <f t="shared" si="13"/>
        <v>8778015.0475327708</v>
      </c>
      <c r="T24" s="660"/>
      <c r="U24" s="660"/>
      <c r="V24" s="661"/>
      <c r="W24" s="660"/>
      <c r="X24" s="662"/>
      <c r="Y24" s="495"/>
      <c r="Z24" s="660"/>
      <c r="AA24" s="660"/>
      <c r="AB24" s="660"/>
      <c r="AC24" s="660"/>
      <c r="AD24" s="660"/>
      <c r="AE24" s="660"/>
      <c r="AF24" s="660"/>
      <c r="AG24" s="660"/>
      <c r="AH24" s="660"/>
      <c r="AI24" s="660"/>
      <c r="AJ24" s="660"/>
      <c r="AK24" s="660"/>
      <c r="AL24" s="660"/>
      <c r="AM24" s="660"/>
      <c r="AN24" s="660"/>
    </row>
    <row r="25" spans="1:40">
      <c r="A25" s="656">
        <f t="shared" si="3"/>
        <v>13</v>
      </c>
      <c r="C25" s="649" t="str">
        <f t="shared" si="1"/>
        <v>January</v>
      </c>
      <c r="D25" s="936">
        <v>2019</v>
      </c>
      <c r="E25" s="610">
        <f t="shared" ref="E25:P25" si="14">E57+E88</f>
        <v>14345567.271703064</v>
      </c>
      <c r="F25" s="610">
        <f t="shared" si="14"/>
        <v>0</v>
      </c>
      <c r="G25" s="610">
        <f t="shared" si="14"/>
        <v>1075917.5453777297</v>
      </c>
      <c r="H25" s="610">
        <f t="shared" si="14"/>
        <v>1217728.8053664635</v>
      </c>
      <c r="I25" s="610">
        <f t="shared" si="14"/>
        <v>14003881.26171433</v>
      </c>
      <c r="J25" s="610">
        <f t="shared" si="14"/>
        <v>420116.43785142986</v>
      </c>
      <c r="K25" s="610">
        <f t="shared" si="14"/>
        <v>410289071.55005425</v>
      </c>
      <c r="L25" s="610">
        <f t="shared" si="14"/>
        <v>902049.80016476545</v>
      </c>
      <c r="M25" s="610">
        <f t="shared" si="14"/>
        <v>-17012913.829671971</v>
      </c>
      <c r="N25" s="610">
        <f t="shared" si="14"/>
        <v>427301985.37972629</v>
      </c>
      <c r="O25" s="610">
        <f t="shared" si="14"/>
        <v>9251670.0366589092</v>
      </c>
      <c r="P25" s="610">
        <f t="shared" si="14"/>
        <v>9405247.7592674475</v>
      </c>
      <c r="T25" s="660"/>
      <c r="U25" s="660"/>
      <c r="V25" s="661"/>
      <c r="W25" s="660"/>
      <c r="X25" s="662"/>
      <c r="Y25" s="495"/>
      <c r="Z25" s="660"/>
      <c r="AA25" s="660"/>
      <c r="AB25" s="660"/>
      <c r="AC25" s="660"/>
      <c r="AD25" s="660"/>
      <c r="AE25" s="660"/>
      <c r="AF25" s="660"/>
      <c r="AG25" s="660"/>
      <c r="AH25" s="660"/>
      <c r="AI25" s="660"/>
      <c r="AJ25" s="660"/>
      <c r="AK25" s="660"/>
      <c r="AL25" s="660"/>
      <c r="AM25" s="660"/>
      <c r="AN25" s="660"/>
    </row>
    <row r="26" spans="1:40">
      <c r="A26" s="656">
        <f t="shared" si="3"/>
        <v>14</v>
      </c>
      <c r="C26" s="649" t="str">
        <f t="shared" si="1"/>
        <v>February</v>
      </c>
      <c r="D26" s="936">
        <v>2019</v>
      </c>
      <c r="E26" s="610">
        <f t="shared" ref="E26:P26" si="15">E58+E89</f>
        <v>13364279.901703065</v>
      </c>
      <c r="F26" s="610">
        <f t="shared" si="15"/>
        <v>0</v>
      </c>
      <c r="G26" s="610">
        <f t="shared" si="15"/>
        <v>1002320.9926277298</v>
      </c>
      <c r="H26" s="610">
        <f t="shared" si="15"/>
        <v>1131728.8053664635</v>
      </c>
      <c r="I26" s="610">
        <f t="shared" si="15"/>
        <v>13014881.26171433</v>
      </c>
      <c r="J26" s="610">
        <f t="shared" si="15"/>
        <v>390446.43785142986</v>
      </c>
      <c r="K26" s="610">
        <f t="shared" si="15"/>
        <v>423914390.07687002</v>
      </c>
      <c r="L26" s="610">
        <f t="shared" si="15"/>
        <v>935389.75841925805</v>
      </c>
      <c r="M26" s="610">
        <f t="shared" si="15"/>
        <v>-17209252.876619179</v>
      </c>
      <c r="N26" s="610">
        <f t="shared" si="15"/>
        <v>441123642.95348918</v>
      </c>
      <c r="O26" s="610">
        <f t="shared" si="15"/>
        <v>9868660.7033268958</v>
      </c>
      <c r="P26" s="610">
        <f t="shared" si="15"/>
        <v>10032480.471002122</v>
      </c>
      <c r="T26" s="660"/>
      <c r="U26" s="660"/>
      <c r="V26" s="661"/>
      <c r="W26" s="660"/>
      <c r="X26" s="662"/>
      <c r="Y26" s="495"/>
      <c r="Z26" s="660"/>
      <c r="AA26" s="660"/>
      <c r="AB26" s="660"/>
      <c r="AC26" s="660"/>
      <c r="AD26" s="660"/>
      <c r="AE26" s="660"/>
      <c r="AF26" s="660"/>
      <c r="AG26" s="660"/>
      <c r="AH26" s="660"/>
      <c r="AI26" s="660"/>
      <c r="AJ26" s="660"/>
      <c r="AK26" s="660"/>
      <c r="AL26" s="660"/>
      <c r="AM26" s="660"/>
      <c r="AN26" s="660"/>
    </row>
    <row r="27" spans="1:40">
      <c r="A27" s="656">
        <f t="shared" si="3"/>
        <v>15</v>
      </c>
      <c r="C27" s="649" t="str">
        <f t="shared" si="1"/>
        <v>March</v>
      </c>
      <c r="D27" s="936">
        <v>2019</v>
      </c>
      <c r="E27" s="610">
        <f t="shared" ref="E27:P27" si="16">E59+E90</f>
        <v>13520670.971702944</v>
      </c>
      <c r="F27" s="610">
        <f t="shared" si="16"/>
        <v>0</v>
      </c>
      <c r="G27" s="610">
        <f t="shared" si="16"/>
        <v>1014050.3228777208</v>
      </c>
      <c r="H27" s="610">
        <f t="shared" si="16"/>
        <v>1131728.8053664532</v>
      </c>
      <c r="I27" s="610">
        <f t="shared" si="16"/>
        <v>13014881.261714213</v>
      </c>
      <c r="J27" s="610">
        <f t="shared" si="16"/>
        <v>390446.43785142637</v>
      </c>
      <c r="K27" s="610">
        <f t="shared" si="16"/>
        <v>437707829.00393569</v>
      </c>
      <c r="L27" s="610">
        <f t="shared" si="16"/>
        <v>966453.18245108437</v>
      </c>
      <c r="M27" s="610">
        <f t="shared" si="16"/>
        <v>-17374528.499534551</v>
      </c>
      <c r="N27" s="610">
        <f t="shared" si="16"/>
        <v>455082357.50347024</v>
      </c>
      <c r="O27" s="610">
        <f t="shared" si="16"/>
        <v>10485651.369994882</v>
      </c>
      <c r="P27" s="610">
        <f t="shared" si="16"/>
        <v>10659713.182736797</v>
      </c>
      <c r="T27" s="660"/>
      <c r="U27" s="660"/>
      <c r="V27" s="661"/>
      <c r="W27" s="660"/>
      <c r="X27" s="662"/>
      <c r="Y27" s="495"/>
      <c r="Z27" s="660"/>
      <c r="AA27" s="660"/>
      <c r="AB27" s="660"/>
      <c r="AC27" s="660"/>
      <c r="AD27" s="660"/>
      <c r="AE27" s="660"/>
      <c r="AF27" s="660"/>
      <c r="AG27" s="660"/>
      <c r="AH27" s="660"/>
      <c r="AI27" s="660"/>
      <c r="AJ27" s="660"/>
      <c r="AK27" s="660"/>
      <c r="AL27" s="660"/>
      <c r="AM27" s="660"/>
      <c r="AN27" s="660"/>
    </row>
    <row r="28" spans="1:40">
      <c r="A28" s="656">
        <f t="shared" si="3"/>
        <v>16</v>
      </c>
      <c r="C28" s="649" t="str">
        <f t="shared" si="1"/>
        <v>April</v>
      </c>
      <c r="D28" s="936">
        <v>2019</v>
      </c>
      <c r="E28" s="610">
        <f t="shared" ref="E28:P28" si="17">E60+E91</f>
        <v>13715285.792503135</v>
      </c>
      <c r="F28" s="610">
        <f t="shared" si="17"/>
        <v>39760.190799999989</v>
      </c>
      <c r="G28" s="610">
        <f t="shared" si="17"/>
        <v>1025664.4201277351</v>
      </c>
      <c r="H28" s="610">
        <f t="shared" si="17"/>
        <v>1143946.9973664696</v>
      </c>
      <c r="I28" s="610">
        <f t="shared" si="17"/>
        <v>13155390.469714401</v>
      </c>
      <c r="J28" s="610">
        <f t="shared" si="17"/>
        <v>394661.71409143205</v>
      </c>
      <c r="K28" s="610">
        <f t="shared" si="17"/>
        <v>451699493.93329155</v>
      </c>
      <c r="L28" s="610">
        <f t="shared" si="17"/>
        <v>997899.89258892601</v>
      </c>
      <c r="M28" s="610">
        <f t="shared" si="17"/>
        <v>-17520575.604312096</v>
      </c>
      <c r="N28" s="610">
        <f t="shared" si="17"/>
        <v>469220069.53760362</v>
      </c>
      <c r="O28" s="610">
        <f t="shared" si="17"/>
        <v>11284474.227462869</v>
      </c>
      <c r="P28" s="610">
        <f t="shared" si="17"/>
        <v>11471796.499638753</v>
      </c>
      <c r="T28" s="660"/>
      <c r="U28" s="660"/>
      <c r="V28" s="661"/>
      <c r="W28" s="660"/>
      <c r="X28" s="662"/>
      <c r="Y28" s="495"/>
      <c r="Z28" s="660"/>
      <c r="AA28" s="660"/>
      <c r="AB28" s="660"/>
      <c r="AC28" s="660"/>
      <c r="AD28" s="660"/>
      <c r="AE28" s="660"/>
      <c r="AF28" s="660"/>
      <c r="AG28" s="660"/>
      <c r="AH28" s="660"/>
      <c r="AI28" s="660"/>
      <c r="AJ28" s="660"/>
      <c r="AK28" s="660"/>
      <c r="AL28" s="660"/>
      <c r="AM28" s="660"/>
      <c r="AN28" s="660"/>
    </row>
    <row r="29" spans="1:40">
      <c r="A29" s="656">
        <f t="shared" si="3"/>
        <v>17</v>
      </c>
      <c r="C29" s="649" t="str">
        <f t="shared" si="1"/>
        <v>May</v>
      </c>
      <c r="D29" s="936">
        <v>2019</v>
      </c>
      <c r="E29" s="610">
        <f t="shared" ref="E29:P29" si="18">E61+E92</f>
        <v>19727726.721703012</v>
      </c>
      <c r="F29" s="610">
        <f t="shared" si="18"/>
        <v>460897.93000000011</v>
      </c>
      <c r="G29" s="610">
        <f t="shared" si="18"/>
        <v>1445012.159377726</v>
      </c>
      <c r="H29" s="610">
        <f t="shared" si="18"/>
        <v>1622510.2513664591</v>
      </c>
      <c r="I29" s="610">
        <f t="shared" si="18"/>
        <v>18658867.89071428</v>
      </c>
      <c r="J29" s="610">
        <f t="shared" si="18"/>
        <v>559766.03672142839</v>
      </c>
      <c r="K29" s="610">
        <f t="shared" si="18"/>
        <v>471809488.59972721</v>
      </c>
      <c r="L29" s="610">
        <f t="shared" si="18"/>
        <v>1029798.5245186256</v>
      </c>
      <c r="M29" s="610">
        <f t="shared" si="18"/>
        <v>-18113287.331159927</v>
      </c>
      <c r="N29" s="610">
        <f t="shared" si="18"/>
        <v>489922775.93088716</v>
      </c>
      <c r="O29" s="610">
        <f t="shared" si="18"/>
        <v>11901464.894130858</v>
      </c>
      <c r="P29" s="610">
        <f t="shared" si="18"/>
        <v>12099029.21137343</v>
      </c>
      <c r="T29" s="660"/>
      <c r="U29" s="660"/>
      <c r="V29" s="661"/>
      <c r="W29" s="660"/>
      <c r="X29" s="662"/>
      <c r="Y29" s="495"/>
      <c r="Z29" s="660"/>
      <c r="AA29" s="660"/>
      <c r="AB29" s="660"/>
      <c r="AC29" s="660"/>
      <c r="AD29" s="660"/>
      <c r="AE29" s="660"/>
      <c r="AF29" s="660"/>
      <c r="AG29" s="660"/>
      <c r="AH29" s="660"/>
      <c r="AI29" s="660"/>
      <c r="AJ29" s="660"/>
      <c r="AK29" s="660"/>
      <c r="AL29" s="660"/>
      <c r="AM29" s="660"/>
      <c r="AN29" s="660"/>
    </row>
    <row r="30" spans="1:40">
      <c r="A30" s="656">
        <f t="shared" si="3"/>
        <v>18</v>
      </c>
      <c r="C30" s="649" t="str">
        <f t="shared" ref="C30:C33" si="19">C62</f>
        <v xml:space="preserve">June </v>
      </c>
      <c r="D30" s="936">
        <v>2019</v>
      </c>
      <c r="E30" s="610">
        <f t="shared" ref="E30:P30" si="20">E62+E93</f>
        <v>19806745.671703063</v>
      </c>
      <c r="F30" s="610">
        <f t="shared" si="20"/>
        <v>272295.25000000023</v>
      </c>
      <c r="G30" s="610">
        <f t="shared" si="20"/>
        <v>1465083.7816277298</v>
      </c>
      <c r="H30" s="610">
        <f t="shared" si="20"/>
        <v>1644426.4053664636</v>
      </c>
      <c r="I30" s="610">
        <f t="shared" si="20"/>
        <v>18910903.66171433</v>
      </c>
      <c r="J30" s="610">
        <f t="shared" si="20"/>
        <v>567327.10985142994</v>
      </c>
      <c r="K30" s="610">
        <f t="shared" si="20"/>
        <v>492004218.75754297</v>
      </c>
      <c r="L30" s="610">
        <f t="shared" si="20"/>
        <v>1075645.9144619743</v>
      </c>
      <c r="M30" s="610">
        <f t="shared" si="20"/>
        <v>-18682067.822064418</v>
      </c>
      <c r="N30" s="610">
        <f t="shared" si="20"/>
        <v>510686286.57960737</v>
      </c>
      <c r="O30" s="610">
        <f t="shared" si="20"/>
        <v>12518455.560798844</v>
      </c>
      <c r="P30" s="610">
        <f t="shared" si="20"/>
        <v>12726261.923108106</v>
      </c>
      <c r="T30" s="660"/>
      <c r="U30" s="660"/>
      <c r="V30" s="661"/>
      <c r="W30" s="660"/>
      <c r="X30" s="662"/>
      <c r="Y30" s="495"/>
      <c r="Z30" s="660"/>
      <c r="AA30" s="660"/>
      <c r="AB30" s="660"/>
      <c r="AC30" s="660"/>
      <c r="AD30" s="660"/>
      <c r="AE30" s="660"/>
      <c r="AF30" s="660"/>
      <c r="AG30" s="660"/>
      <c r="AH30" s="660"/>
      <c r="AI30" s="660"/>
      <c r="AJ30" s="660"/>
      <c r="AK30" s="660"/>
      <c r="AL30" s="660"/>
      <c r="AM30" s="660"/>
      <c r="AN30" s="660"/>
    </row>
    <row r="31" spans="1:40">
      <c r="A31" s="656">
        <f t="shared" si="3"/>
        <v>19</v>
      </c>
      <c r="C31" s="649" t="str">
        <f t="shared" si="19"/>
        <v>July</v>
      </c>
      <c r="D31" s="936">
        <v>2019</v>
      </c>
      <c r="E31" s="610">
        <f t="shared" ref="E31:P31" si="21">E63+E94</f>
        <v>47944708.914102949</v>
      </c>
      <c r="F31" s="610">
        <f t="shared" si="21"/>
        <v>12901857.738700015</v>
      </c>
      <c r="G31" s="610">
        <f t="shared" si="21"/>
        <v>2628213.8381552198</v>
      </c>
      <c r="H31" s="610">
        <f t="shared" si="21"/>
        <v>2976499.9319846523</v>
      </c>
      <c r="I31" s="610">
        <f t="shared" si="21"/>
        <v>34229749.217823498</v>
      </c>
      <c r="J31" s="610">
        <f t="shared" si="21"/>
        <v>1026892.4765347049</v>
      </c>
      <c r="K31" s="610">
        <f t="shared" si="21"/>
        <v>540627534.05435121</v>
      </c>
      <c r="L31" s="610">
        <f t="shared" si="21"/>
        <v>1121686.4870082915</v>
      </c>
      <c r="M31" s="610">
        <f t="shared" si="21"/>
        <v>-20536881.267040774</v>
      </c>
      <c r="N31" s="610">
        <f t="shared" si="21"/>
        <v>561164415.32139194</v>
      </c>
      <c r="O31" s="610">
        <f t="shared" si="21"/>
        <v>13135446.227466831</v>
      </c>
      <c r="P31" s="610">
        <f t="shared" si="21"/>
        <v>13353494.634842781</v>
      </c>
      <c r="T31" s="660"/>
      <c r="U31" s="660"/>
      <c r="V31" s="661"/>
      <c r="W31" s="660"/>
      <c r="X31" s="662"/>
      <c r="Y31" s="495"/>
      <c r="Z31" s="660"/>
      <c r="AA31" s="660"/>
      <c r="AB31" s="660"/>
      <c r="AC31" s="660"/>
      <c r="AD31" s="660"/>
      <c r="AE31" s="660"/>
      <c r="AF31" s="660"/>
      <c r="AG31" s="660"/>
      <c r="AH31" s="660"/>
      <c r="AI31" s="660"/>
      <c r="AJ31" s="660"/>
      <c r="AK31" s="660"/>
      <c r="AL31" s="660"/>
      <c r="AM31" s="660"/>
      <c r="AN31" s="660"/>
    </row>
    <row r="32" spans="1:40">
      <c r="A32" s="656">
        <f t="shared" si="3"/>
        <v>20</v>
      </c>
      <c r="C32" s="649" t="str">
        <f t="shared" si="19"/>
        <v>August</v>
      </c>
      <c r="D32" s="936">
        <v>2019</v>
      </c>
      <c r="E32" s="610">
        <f t="shared" ref="E32:P32" si="22">E64+E95</f>
        <v>27702985.995503105</v>
      </c>
      <c r="F32" s="610">
        <f t="shared" si="22"/>
        <v>8473412.4737999998</v>
      </c>
      <c r="G32" s="610">
        <f t="shared" si="22"/>
        <v>1442218.0141277327</v>
      </c>
      <c r="H32" s="610">
        <f t="shared" si="22"/>
        <v>1141368.101606467</v>
      </c>
      <c r="I32" s="610">
        <f t="shared" si="22"/>
        <v>13125733.168474369</v>
      </c>
      <c r="J32" s="610">
        <f t="shared" si="22"/>
        <v>393771.99505423103</v>
      </c>
      <c r="K32" s="610">
        <f t="shared" si="22"/>
        <v>569025141.95742989</v>
      </c>
      <c r="L32" s="610">
        <f t="shared" si="22"/>
        <v>1232539.4302202491</v>
      </c>
      <c r="M32" s="610">
        <f t="shared" si="22"/>
        <v>-20445709.93842699</v>
      </c>
      <c r="N32" s="610">
        <f t="shared" si="22"/>
        <v>589470851.89585686</v>
      </c>
      <c r="O32" s="610">
        <f t="shared" si="22"/>
        <v>13867851.267934818</v>
      </c>
      <c r="P32" s="610">
        <f t="shared" si="22"/>
        <v>14098057.598982537</v>
      </c>
      <c r="T32" s="660"/>
      <c r="U32" s="660"/>
      <c r="V32" s="661"/>
      <c r="W32" s="660"/>
      <c r="X32" s="662"/>
      <c r="Y32" s="495"/>
      <c r="Z32" s="660"/>
      <c r="AA32" s="660"/>
      <c r="AB32" s="660"/>
      <c r="AC32" s="660"/>
      <c r="AD32" s="660"/>
      <c r="AE32" s="660"/>
      <c r="AF32" s="660"/>
      <c r="AG32" s="660"/>
      <c r="AH32" s="660"/>
      <c r="AI32" s="660"/>
      <c r="AJ32" s="660"/>
      <c r="AK32" s="660"/>
      <c r="AL32" s="660"/>
      <c r="AM32" s="660"/>
      <c r="AN32" s="660"/>
    </row>
    <row r="33" spans="1:40">
      <c r="A33" s="656">
        <f t="shared" si="3"/>
        <v>21</v>
      </c>
      <c r="C33" s="649" t="str">
        <f t="shared" si="19"/>
        <v>September</v>
      </c>
      <c r="D33" s="936">
        <v>2019</v>
      </c>
      <c r="E33" s="610">
        <f t="shared" ref="E33:P33" si="23">E65+E96</f>
        <v>13612715.681703065</v>
      </c>
      <c r="F33" s="610">
        <f t="shared" si="23"/>
        <v>0</v>
      </c>
      <c r="G33" s="610">
        <f t="shared" si="23"/>
        <v>1020953.6761277298</v>
      </c>
      <c r="H33" s="610">
        <f t="shared" si="23"/>
        <v>1131728.8053664635</v>
      </c>
      <c r="I33" s="610">
        <f t="shared" si="23"/>
        <v>13014881.26171433</v>
      </c>
      <c r="J33" s="610">
        <f t="shared" si="23"/>
        <v>390446.43785142986</v>
      </c>
      <c r="K33" s="626">
        <f t="shared" si="23"/>
        <v>582917528.94774556</v>
      </c>
      <c r="L33" s="626">
        <f t="shared" si="23"/>
        <v>1297281.1780220908</v>
      </c>
      <c r="M33" s="626">
        <f t="shared" si="23"/>
        <v>-20280157.565771364</v>
      </c>
      <c r="N33" s="626">
        <f t="shared" si="23"/>
        <v>603197686.51351702</v>
      </c>
      <c r="O33" s="626">
        <f t="shared" si="23"/>
        <v>14484841.934602806</v>
      </c>
      <c r="P33" s="626">
        <f t="shared" si="23"/>
        <v>14725290.310717214</v>
      </c>
      <c r="T33" s="660"/>
      <c r="U33" s="660"/>
      <c r="V33" s="661"/>
      <c r="W33" s="660"/>
      <c r="X33" s="662"/>
      <c r="Y33" s="495"/>
      <c r="Z33" s="660"/>
      <c r="AA33" s="660"/>
      <c r="AB33" s="660"/>
      <c r="AC33" s="660"/>
      <c r="AD33" s="660"/>
      <c r="AE33" s="660"/>
      <c r="AF33" s="660"/>
      <c r="AG33" s="660"/>
      <c r="AH33" s="660"/>
      <c r="AI33" s="660"/>
      <c r="AJ33" s="660"/>
      <c r="AK33" s="660"/>
      <c r="AL33" s="660"/>
      <c r="AM33" s="660"/>
      <c r="AN33" s="660"/>
    </row>
    <row r="34" spans="1:40">
      <c r="A34" s="657">
        <f t="shared" si="3"/>
        <v>22</v>
      </c>
      <c r="C34" s="649" t="str">
        <f t="shared" ref="C34" si="24">C66</f>
        <v>October</v>
      </c>
      <c r="D34" s="936">
        <v>2019</v>
      </c>
      <c r="E34" s="610">
        <f t="shared" ref="E34:P34" si="25">E66+E97</f>
        <v>45081505.26170297</v>
      </c>
      <c r="F34" s="610">
        <f t="shared" si="25"/>
        <v>14054513.579999998</v>
      </c>
      <c r="G34" s="610">
        <f t="shared" si="25"/>
        <v>2327024.3761277231</v>
      </c>
      <c r="H34" s="610">
        <f t="shared" si="25"/>
        <v>1752820.805366456</v>
      </c>
      <c r="I34" s="610">
        <f t="shared" si="25"/>
        <v>20157439.261714242</v>
      </c>
      <c r="J34" s="610">
        <f t="shared" si="25"/>
        <v>604723.17785142723</v>
      </c>
      <c r="K34" s="626">
        <f t="shared" si="25"/>
        <v>629177960.95806134</v>
      </c>
      <c r="L34" s="626">
        <f t="shared" si="25"/>
        <v>1328953.4730253296</v>
      </c>
      <c r="M34" s="626">
        <f t="shared" si="25"/>
        <v>-20704024.898112491</v>
      </c>
      <c r="N34" s="626">
        <f t="shared" si="25"/>
        <v>649881985.85617375</v>
      </c>
      <c r="O34" s="626">
        <f t="shared" si="25"/>
        <v>15101832.601270793</v>
      </c>
      <c r="P34" s="626">
        <f t="shared" si="25"/>
        <v>15352523.022451889</v>
      </c>
      <c r="T34" s="660"/>
      <c r="U34" s="660"/>
      <c r="V34" s="661"/>
      <c r="W34" s="660"/>
      <c r="X34" s="662"/>
      <c r="Y34" s="495"/>
      <c r="Z34" s="660"/>
      <c r="AA34" s="660"/>
      <c r="AB34" s="660"/>
      <c r="AC34" s="660"/>
      <c r="AD34" s="660"/>
      <c r="AE34" s="660"/>
      <c r="AF34" s="660"/>
      <c r="AG34" s="660"/>
      <c r="AH34" s="660"/>
      <c r="AI34" s="660"/>
      <c r="AJ34" s="660"/>
      <c r="AK34" s="660"/>
      <c r="AL34" s="660"/>
      <c r="AM34" s="660"/>
      <c r="AN34" s="660"/>
    </row>
    <row r="35" spans="1:40">
      <c r="A35" s="657">
        <f t="shared" si="3"/>
        <v>23</v>
      </c>
      <c r="C35" s="649" t="str">
        <f t="shared" ref="C35" si="26">C67</f>
        <v>November</v>
      </c>
      <c r="D35" s="936">
        <v>2019</v>
      </c>
      <c r="E35" s="610">
        <f t="shared" ref="E35:P35" si="27">E67+E98</f>
        <v>31728968.894703042</v>
      </c>
      <c r="F35" s="610">
        <f t="shared" si="27"/>
        <v>7464448.8429999975</v>
      </c>
      <c r="G35" s="610">
        <f t="shared" si="27"/>
        <v>1819839.0038777282</v>
      </c>
      <c r="H35" s="610">
        <f t="shared" si="27"/>
        <v>1193090.665366462</v>
      </c>
      <c r="I35" s="610">
        <f t="shared" si="27"/>
        <v>13720542.651714312</v>
      </c>
      <c r="J35" s="610">
        <f t="shared" si="27"/>
        <v>411616.27955142932</v>
      </c>
      <c r="K35" s="626">
        <f t="shared" si="27"/>
        <v>661945294.4708271</v>
      </c>
      <c r="L35" s="626">
        <f t="shared" si="27"/>
        <v>1434419.4415899366</v>
      </c>
      <c r="M35" s="626">
        <f t="shared" si="27"/>
        <v>-20462696.121889018</v>
      </c>
      <c r="N35" s="626">
        <f t="shared" si="27"/>
        <v>682407990.5927161</v>
      </c>
      <c r="O35" s="626">
        <f t="shared" si="27"/>
        <v>15718823.26793878</v>
      </c>
      <c r="P35" s="626">
        <f t="shared" si="27"/>
        <v>15979755.734186564</v>
      </c>
      <c r="T35" s="660"/>
      <c r="U35" s="660"/>
      <c r="V35" s="661"/>
      <c r="W35" s="660"/>
      <c r="X35" s="662"/>
      <c r="Y35" s="495"/>
      <c r="Z35" s="660"/>
      <c r="AA35" s="660"/>
      <c r="AB35" s="660"/>
      <c r="AC35" s="660"/>
      <c r="AD35" s="660"/>
      <c r="AE35" s="660"/>
      <c r="AF35" s="660"/>
      <c r="AG35" s="660"/>
      <c r="AH35" s="660"/>
      <c r="AI35" s="660"/>
      <c r="AJ35" s="660"/>
      <c r="AK35" s="660"/>
      <c r="AL35" s="660"/>
      <c r="AM35" s="660"/>
      <c r="AN35" s="660"/>
    </row>
    <row r="36" spans="1:40">
      <c r="A36" s="657">
        <f t="shared" si="3"/>
        <v>24</v>
      </c>
      <c r="C36" s="649" t="str">
        <f t="shared" ref="C36" si="28">C68</f>
        <v>December</v>
      </c>
      <c r="D36" s="936">
        <v>2019</v>
      </c>
      <c r="E36" s="610">
        <f t="shared" ref="E36:P36" si="29">E68+E99</f>
        <v>47725058.910979636</v>
      </c>
      <c r="F36" s="610">
        <f t="shared" si="29"/>
        <v>3893575.8728636103</v>
      </c>
      <c r="G36" s="610">
        <f t="shared" si="29"/>
        <v>3287361.2278587017</v>
      </c>
      <c r="H36" s="610">
        <f t="shared" si="29"/>
        <v>3489608.3197147781</v>
      </c>
      <c r="I36" s="610">
        <f t="shared" si="29"/>
        <v>40130495.676719949</v>
      </c>
      <c r="J36" s="610">
        <f t="shared" si="29"/>
        <v>1203914.8703015985</v>
      </c>
      <c r="K36" s="663">
        <f t="shared" si="29"/>
        <v>710672021.16025221</v>
      </c>
      <c r="L36" s="626">
        <f t="shared" si="29"/>
        <v>1509123.4254488144</v>
      </c>
      <c r="M36" s="626">
        <f t="shared" si="29"/>
        <v>-22443181.016154982</v>
      </c>
      <c r="N36" s="663">
        <f t="shared" si="29"/>
        <v>733115202.17640722</v>
      </c>
      <c r="O36" s="626">
        <f t="shared" si="29"/>
        <v>16335813.934606768</v>
      </c>
      <c r="P36" s="663">
        <f t="shared" si="29"/>
        <v>16606988.445921242</v>
      </c>
      <c r="T36" s="660"/>
      <c r="U36" s="660"/>
      <c r="V36" s="661"/>
      <c r="W36" s="660"/>
      <c r="X36" s="662"/>
      <c r="Y36" s="495"/>
      <c r="Z36" s="660"/>
      <c r="AA36" s="660"/>
      <c r="AB36" s="660"/>
      <c r="AC36" s="660"/>
      <c r="AD36" s="660"/>
      <c r="AE36" s="660"/>
      <c r="AF36" s="660"/>
      <c r="AG36" s="660"/>
      <c r="AH36" s="660"/>
      <c r="AI36" s="660"/>
      <c r="AJ36" s="660"/>
      <c r="AK36" s="660"/>
      <c r="AL36" s="660"/>
      <c r="AM36" s="660"/>
      <c r="AN36" s="660"/>
    </row>
    <row r="37" spans="1:40" s="612" customFormat="1">
      <c r="A37" s="657">
        <f t="shared" si="3"/>
        <v>25</v>
      </c>
      <c r="D37" s="688" t="s">
        <v>1633</v>
      </c>
      <c r="K37" s="974">
        <f>AVERAGE(K24:K36)</f>
        <v>521342705.5823521</v>
      </c>
      <c r="M37" s="689"/>
      <c r="N37" s="689">
        <f>AVERAGE(N24:N36)</f>
        <v>540379821.85890818</v>
      </c>
      <c r="O37" s="689"/>
      <c r="P37" s="689">
        <f>AVERAGE(P24:P36)</f>
        <v>12714511.833981665</v>
      </c>
      <c r="Q37" s="690"/>
      <c r="T37" s="674"/>
      <c r="U37" s="674"/>
    </row>
    <row r="38" spans="1:40">
      <c r="A38" s="656"/>
      <c r="T38" s="610"/>
      <c r="U38" s="610"/>
      <c r="Z38" s="610"/>
    </row>
    <row r="39" spans="1:40">
      <c r="A39" s="656"/>
      <c r="B39" s="612" t="s">
        <v>1985</v>
      </c>
      <c r="G39" s="656"/>
      <c r="K39" s="495"/>
      <c r="M39" s="495"/>
      <c r="N39" s="495"/>
      <c r="O39" s="495"/>
      <c r="P39" s="495"/>
    </row>
    <row r="40" spans="1:40">
      <c r="A40" s="656"/>
      <c r="B40" s="612"/>
      <c r="E40" s="652" t="s">
        <v>363</v>
      </c>
      <c r="F40" s="652" t="s">
        <v>347</v>
      </c>
      <c r="G40" s="652" t="s">
        <v>348</v>
      </c>
      <c r="H40" s="652" t="s">
        <v>349</v>
      </c>
      <c r="I40" s="652" t="s">
        <v>350</v>
      </c>
      <c r="J40" s="652" t="s">
        <v>351</v>
      </c>
      <c r="K40" s="691" t="s">
        <v>352</v>
      </c>
      <c r="L40" s="652" t="s">
        <v>544</v>
      </c>
      <c r="M40" s="691" t="s">
        <v>961</v>
      </c>
      <c r="N40" s="691" t="s">
        <v>974</v>
      </c>
      <c r="O40" s="691" t="s">
        <v>977</v>
      </c>
      <c r="P40" s="691" t="s">
        <v>995</v>
      </c>
    </row>
    <row r="41" spans="1:40" ht="25.5">
      <c r="A41" s="656"/>
      <c r="B41" s="612"/>
      <c r="E41" s="692" t="s">
        <v>2106</v>
      </c>
      <c r="F41" s="692" t="s">
        <v>2107</v>
      </c>
      <c r="G41" s="692" t="s">
        <v>2108</v>
      </c>
      <c r="H41" s="693" t="s">
        <v>1986</v>
      </c>
      <c r="I41" s="693" t="s">
        <v>1986</v>
      </c>
      <c r="J41" s="655" t="s">
        <v>1986</v>
      </c>
      <c r="K41" s="694" t="s">
        <v>1987</v>
      </c>
      <c r="L41" s="695" t="s">
        <v>2109</v>
      </c>
      <c r="M41" s="696" t="s">
        <v>2603</v>
      </c>
      <c r="N41" s="670" t="s">
        <v>1930</v>
      </c>
      <c r="O41" s="670"/>
      <c r="P41" s="696" t="s">
        <v>2110</v>
      </c>
    </row>
    <row r="42" spans="1:40">
      <c r="A42" s="656"/>
      <c r="C42" s="656" t="str">
        <f>C10</f>
        <v>Forecast</v>
      </c>
      <c r="E42" s="656" t="str">
        <f>E10</f>
        <v>Unloaded</v>
      </c>
      <c r="F42" s="656"/>
      <c r="G42" s="656"/>
      <c r="I42" s="657" t="str">
        <f>I10</f>
        <v>AFUDC</v>
      </c>
      <c r="J42" s="657"/>
      <c r="K42" s="657"/>
      <c r="L42" s="657"/>
      <c r="M42" s="657"/>
      <c r="N42" s="657"/>
      <c r="O42" s="656" t="str">
        <f t="shared" ref="O42:P44" si="30">O10</f>
        <v>Unloaded</v>
      </c>
      <c r="P42" s="656" t="str">
        <f t="shared" si="30"/>
        <v>Loaded</v>
      </c>
    </row>
    <row r="43" spans="1:40">
      <c r="A43" s="656"/>
      <c r="B43" s="612"/>
      <c r="C43" s="656" t="str">
        <f>C11</f>
        <v>Period</v>
      </c>
      <c r="E43" s="656" t="str">
        <f>E11</f>
        <v>Total</v>
      </c>
      <c r="F43" s="656" t="str">
        <f t="shared" ref="F43:H44" si="31">F11</f>
        <v>Prior Period</v>
      </c>
      <c r="G43" s="657" t="str">
        <f t="shared" si="31"/>
        <v>Over Heads</v>
      </c>
      <c r="H43" s="657" t="str">
        <f t="shared" si="31"/>
        <v xml:space="preserve">Cost of </v>
      </c>
      <c r="I43" s="657" t="str">
        <f>I11</f>
        <v>Eligible Plant</v>
      </c>
      <c r="J43" s="657"/>
      <c r="K43" s="657" t="str">
        <f>K11</f>
        <v>Incremental</v>
      </c>
      <c r="L43" s="657" t="str">
        <f>L11</f>
        <v>Depreciation</v>
      </c>
      <c r="M43" s="657"/>
      <c r="N43" s="657"/>
      <c r="O43" s="657" t="str">
        <f t="shared" si="30"/>
        <v>Low Voltage</v>
      </c>
      <c r="P43" s="657" t="str">
        <f t="shared" si="30"/>
        <v>Low Voltage</v>
      </c>
    </row>
    <row r="44" spans="1:40">
      <c r="A44" s="658" t="s">
        <v>332</v>
      </c>
      <c r="C44" s="639" t="str">
        <f t="shared" ref="C44:D44" si="32">C12</f>
        <v>Month</v>
      </c>
      <c r="D44" s="639" t="str">
        <f t="shared" si="32"/>
        <v>Year</v>
      </c>
      <c r="E44" s="652" t="str">
        <f>E12</f>
        <v>Plant Adds</v>
      </c>
      <c r="F44" s="652" t="str">
        <f t="shared" si="31"/>
        <v>CWIP Closed</v>
      </c>
      <c r="G44" s="659" t="str">
        <f t="shared" si="31"/>
        <v>Closed to PIS</v>
      </c>
      <c r="H44" s="659" t="str">
        <f t="shared" si="31"/>
        <v>Removal</v>
      </c>
      <c r="I44" s="659" t="str">
        <f>I12</f>
        <v>Additions</v>
      </c>
      <c r="J44" s="659" t="str">
        <f>J12</f>
        <v>AFUDC</v>
      </c>
      <c r="K44" s="659" t="str">
        <f>K12</f>
        <v>Gross Plant</v>
      </c>
      <c r="L44" s="659" t="str">
        <f>L12</f>
        <v>Accrual</v>
      </c>
      <c r="M44" s="659" t="str">
        <f>M12</f>
        <v>Reserve</v>
      </c>
      <c r="N44" s="659" t="str">
        <f>N12</f>
        <v>Net Plant</v>
      </c>
      <c r="O44" s="659" t="str">
        <f t="shared" si="30"/>
        <v>Additions</v>
      </c>
      <c r="P44" s="659" t="str">
        <f t="shared" si="30"/>
        <v>Additions</v>
      </c>
      <c r="T44" s="659"/>
      <c r="U44" s="659"/>
      <c r="V44" s="659"/>
      <c r="W44" s="659"/>
      <c r="X44" s="659"/>
      <c r="Y44" s="659"/>
    </row>
    <row r="45" spans="1:40">
      <c r="A45" s="656">
        <f>A37+1</f>
        <v>26</v>
      </c>
      <c r="C45" s="640" t="s">
        <v>181</v>
      </c>
      <c r="D45" s="936">
        <v>2018</v>
      </c>
      <c r="E45" s="667">
        <f>'10-CWIP'!G55</f>
        <v>5037315.0016000001</v>
      </c>
      <c r="F45" s="667">
        <f>'10-CWIP'!H55</f>
        <v>4098416.9471999994</v>
      </c>
      <c r="G45" s="667">
        <f>'10-CWIP'!I55</f>
        <v>70417.354080000048</v>
      </c>
      <c r="H45" s="697">
        <v>0</v>
      </c>
      <c r="I45" s="660">
        <v>0</v>
      </c>
      <c r="J45" s="698">
        <v>0</v>
      </c>
      <c r="K45" s="610">
        <f>0+E45+G45</f>
        <v>5107732.35568</v>
      </c>
      <c r="L45" s="610">
        <v>0</v>
      </c>
      <c r="M45" s="610">
        <f>L45- H45</f>
        <v>0</v>
      </c>
      <c r="N45" s="610">
        <f t="shared" ref="N45:N65" si="33">K45-M45</f>
        <v>5107732.35568</v>
      </c>
      <c r="O45" s="699">
        <v>0</v>
      </c>
      <c r="P45" s="698">
        <f t="shared" ref="P45:P68" si="34">O45*(1-$E$107)*(1+$E$103+$E$111)</f>
        <v>0</v>
      </c>
      <c r="S45" s="610"/>
      <c r="T45" s="666"/>
      <c r="U45" s="662"/>
      <c r="V45" s="495"/>
      <c r="W45" s="666"/>
      <c r="X45" s="662"/>
      <c r="Y45" s="495"/>
    </row>
    <row r="46" spans="1:40">
      <c r="A46" s="656">
        <f t="shared" ref="A46:A99" si="35">A45+1</f>
        <v>27</v>
      </c>
      <c r="C46" s="643" t="s">
        <v>182</v>
      </c>
      <c r="D46" s="936">
        <v>2018</v>
      </c>
      <c r="E46" s="667">
        <f>'10-CWIP'!G56</f>
        <v>1615948.3799999997</v>
      </c>
      <c r="F46" s="667">
        <f>'10-CWIP'!H56</f>
        <v>0</v>
      </c>
      <c r="G46" s="667">
        <f>'10-CWIP'!I56</f>
        <v>121196.12849999998</v>
      </c>
      <c r="H46" s="697">
        <v>0</v>
      </c>
      <c r="I46" s="660">
        <v>0</v>
      </c>
      <c r="J46" s="698">
        <v>0</v>
      </c>
      <c r="K46" s="610">
        <f>K45+E46+G46</f>
        <v>6844876.8641799996</v>
      </c>
      <c r="L46" s="610">
        <f t="shared" ref="L46:L68" si="36">K45*$E$133/12</f>
        <v>11644.766740190576</v>
      </c>
      <c r="M46" s="610">
        <f>(M45+L46)-H46</f>
        <v>11644.766740190576</v>
      </c>
      <c r="N46" s="610">
        <f t="shared" si="33"/>
        <v>6833232.0974398088</v>
      </c>
      <c r="O46" s="699">
        <v>0</v>
      </c>
      <c r="P46" s="698">
        <f t="shared" si="34"/>
        <v>0</v>
      </c>
      <c r="S46" s="610"/>
      <c r="T46" s="666"/>
      <c r="U46" s="662"/>
      <c r="V46" s="495"/>
      <c r="W46" s="666"/>
      <c r="X46" s="662"/>
      <c r="Y46" s="495"/>
    </row>
    <row r="47" spans="1:40">
      <c r="A47" s="656">
        <f t="shared" si="35"/>
        <v>28</v>
      </c>
      <c r="C47" s="643" t="s">
        <v>195</v>
      </c>
      <c r="D47" s="936">
        <v>2018</v>
      </c>
      <c r="E47" s="667">
        <f>'10-CWIP'!G57</f>
        <v>1024176.6912</v>
      </c>
      <c r="F47" s="667">
        <f>'10-CWIP'!H57</f>
        <v>0</v>
      </c>
      <c r="G47" s="667">
        <f>'10-CWIP'!I57</f>
        <v>76813.251840000012</v>
      </c>
      <c r="H47" s="697">
        <v>0</v>
      </c>
      <c r="I47" s="660">
        <v>0</v>
      </c>
      <c r="J47" s="698">
        <v>0</v>
      </c>
      <c r="K47" s="610">
        <f t="shared" ref="K47:K65" si="37">K46+E47+G47</f>
        <v>7945866.8072199998</v>
      </c>
      <c r="L47" s="610">
        <f t="shared" si="36"/>
        <v>15605.16270200922</v>
      </c>
      <c r="M47" s="610">
        <f t="shared" ref="M47:M68" si="38">(M46+L47)-H47</f>
        <v>27249.929442199798</v>
      </c>
      <c r="N47" s="610">
        <f t="shared" si="33"/>
        <v>7918616.8777778</v>
      </c>
      <c r="O47" s="699">
        <v>0</v>
      </c>
      <c r="P47" s="698">
        <f t="shared" si="34"/>
        <v>0</v>
      </c>
      <c r="S47" s="610"/>
      <c r="T47" s="666"/>
      <c r="U47" s="662"/>
      <c r="V47" s="495"/>
      <c r="W47" s="666"/>
      <c r="X47" s="662"/>
      <c r="Y47" s="495"/>
    </row>
    <row r="48" spans="1:40">
      <c r="A48" s="656">
        <f t="shared" si="35"/>
        <v>29</v>
      </c>
      <c r="C48" s="640" t="s">
        <v>183</v>
      </c>
      <c r="D48" s="936">
        <v>2018</v>
      </c>
      <c r="E48" s="667">
        <f>'10-CWIP'!G58</f>
        <v>116255.00000000001</v>
      </c>
      <c r="F48" s="667">
        <f>'10-CWIP'!H58</f>
        <v>0</v>
      </c>
      <c r="G48" s="667">
        <f>'10-CWIP'!I58</f>
        <v>8719.125</v>
      </c>
      <c r="H48" s="697">
        <v>0</v>
      </c>
      <c r="I48" s="660">
        <v>0</v>
      </c>
      <c r="J48" s="698">
        <v>0</v>
      </c>
      <c r="K48" s="610">
        <f t="shared" si="37"/>
        <v>8070840.9322199998</v>
      </c>
      <c r="L48" s="610">
        <f t="shared" si="36"/>
        <v>18115.233742779259</v>
      </c>
      <c r="M48" s="610">
        <f t="shared" si="38"/>
        <v>45365.163184979057</v>
      </c>
      <c r="N48" s="610">
        <f t="shared" si="33"/>
        <v>8025475.7690350208</v>
      </c>
      <c r="O48" s="699">
        <v>0</v>
      </c>
      <c r="P48" s="698">
        <f t="shared" si="34"/>
        <v>0</v>
      </c>
      <c r="S48" s="610"/>
      <c r="T48" s="666"/>
      <c r="U48" s="662"/>
      <c r="V48" s="495"/>
      <c r="W48" s="666"/>
      <c r="X48" s="662"/>
      <c r="Y48" s="495"/>
    </row>
    <row r="49" spans="1:25">
      <c r="A49" s="656">
        <f t="shared" si="35"/>
        <v>30</v>
      </c>
      <c r="C49" s="643" t="s">
        <v>184</v>
      </c>
      <c r="D49" s="936">
        <v>2018</v>
      </c>
      <c r="E49" s="667">
        <f>'10-CWIP'!G59</f>
        <v>786000</v>
      </c>
      <c r="F49" s="667">
        <f>'10-CWIP'!H59</f>
        <v>0</v>
      </c>
      <c r="G49" s="667">
        <f>'10-CWIP'!I59</f>
        <v>58950</v>
      </c>
      <c r="H49" s="697">
        <v>0</v>
      </c>
      <c r="I49" s="660">
        <v>0</v>
      </c>
      <c r="J49" s="698">
        <v>0</v>
      </c>
      <c r="K49" s="610">
        <f t="shared" si="37"/>
        <v>8915790.9322200008</v>
      </c>
      <c r="L49" s="610">
        <f t="shared" si="36"/>
        <v>18400.153631458641</v>
      </c>
      <c r="M49" s="610">
        <f t="shared" si="38"/>
        <v>63765.316816437698</v>
      </c>
      <c r="N49" s="610">
        <f t="shared" si="33"/>
        <v>8852025.6154035628</v>
      </c>
      <c r="O49" s="699">
        <v>0</v>
      </c>
      <c r="P49" s="698">
        <f t="shared" si="34"/>
        <v>0</v>
      </c>
      <c r="S49" s="610"/>
      <c r="T49" s="666"/>
      <c r="U49" s="662"/>
      <c r="V49" s="495"/>
      <c r="W49" s="666"/>
      <c r="X49" s="662"/>
      <c r="Y49" s="495"/>
    </row>
    <row r="50" spans="1:25">
      <c r="A50" s="656">
        <f t="shared" si="35"/>
        <v>31</v>
      </c>
      <c r="C50" s="643" t="s">
        <v>185</v>
      </c>
      <c r="D50" s="936">
        <v>2018</v>
      </c>
      <c r="E50" s="667">
        <f>'10-CWIP'!G60</f>
        <v>3410369.5299999993</v>
      </c>
      <c r="F50" s="667">
        <f>'10-CWIP'!H60</f>
        <v>2447557.5500000003</v>
      </c>
      <c r="G50" s="667">
        <f>'10-CWIP'!I60</f>
        <v>72210.898499999967</v>
      </c>
      <c r="H50" s="697">
        <v>0</v>
      </c>
      <c r="I50" s="660">
        <v>0</v>
      </c>
      <c r="J50" s="698">
        <v>0</v>
      </c>
      <c r="K50" s="610">
        <f t="shared" si="37"/>
        <v>12398371.360719999</v>
      </c>
      <c r="L50" s="610">
        <f t="shared" si="36"/>
        <v>20326.496864024932</v>
      </c>
      <c r="M50" s="610">
        <f t="shared" si="38"/>
        <v>84091.813680462627</v>
      </c>
      <c r="N50" s="610">
        <f t="shared" si="33"/>
        <v>12314279.547039537</v>
      </c>
      <c r="O50" s="699">
        <v>0</v>
      </c>
      <c r="P50" s="698">
        <f t="shared" si="34"/>
        <v>0</v>
      </c>
      <c r="S50" s="610"/>
      <c r="T50" s="666"/>
      <c r="U50" s="662"/>
      <c r="V50" s="495"/>
      <c r="W50" s="666"/>
      <c r="X50" s="662"/>
      <c r="Y50" s="495"/>
    </row>
    <row r="51" spans="1:25">
      <c r="A51" s="656">
        <f t="shared" si="35"/>
        <v>32</v>
      </c>
      <c r="C51" s="640" t="s">
        <v>186</v>
      </c>
      <c r="D51" s="936">
        <v>2018</v>
      </c>
      <c r="E51" s="667">
        <f>'10-CWIP'!G61</f>
        <v>548326</v>
      </c>
      <c r="F51" s="667">
        <f>'10-CWIP'!H61</f>
        <v>0</v>
      </c>
      <c r="G51" s="667">
        <f>'10-CWIP'!I61</f>
        <v>41124.449999999997</v>
      </c>
      <c r="H51" s="697">
        <v>0</v>
      </c>
      <c r="I51" s="660">
        <v>0</v>
      </c>
      <c r="J51" s="698">
        <v>0</v>
      </c>
      <c r="K51" s="610">
        <f t="shared" si="37"/>
        <v>12987821.810719999</v>
      </c>
      <c r="L51" s="610">
        <f t="shared" si="36"/>
        <v>28266.191804919388</v>
      </c>
      <c r="M51" s="610">
        <f t="shared" si="38"/>
        <v>112358.00548538202</v>
      </c>
      <c r="N51" s="610">
        <f t="shared" si="33"/>
        <v>12875463.805234617</v>
      </c>
      <c r="O51" s="699">
        <v>0</v>
      </c>
      <c r="P51" s="698">
        <f t="shared" si="34"/>
        <v>0</v>
      </c>
      <c r="S51" s="610"/>
      <c r="T51" s="666"/>
      <c r="U51" s="662"/>
      <c r="V51" s="495"/>
      <c r="W51" s="666"/>
      <c r="X51" s="662"/>
      <c r="Y51" s="495"/>
    </row>
    <row r="52" spans="1:25">
      <c r="A52" s="656">
        <f t="shared" si="35"/>
        <v>33</v>
      </c>
      <c r="C52" s="643" t="s">
        <v>187</v>
      </c>
      <c r="D52" s="936">
        <v>2018</v>
      </c>
      <c r="E52" s="667">
        <f>'10-CWIP'!G62</f>
        <v>297663</v>
      </c>
      <c r="F52" s="667">
        <f>'10-CWIP'!H62</f>
        <v>0</v>
      </c>
      <c r="G52" s="667">
        <f>'10-CWIP'!I62</f>
        <v>22324.724999999999</v>
      </c>
      <c r="H52" s="697">
        <v>0</v>
      </c>
      <c r="I52" s="660">
        <v>0</v>
      </c>
      <c r="J52" s="698">
        <v>0</v>
      </c>
      <c r="K52" s="610">
        <f t="shared" si="37"/>
        <v>13307809.535719998</v>
      </c>
      <c r="L52" s="610">
        <f t="shared" si="36"/>
        <v>29610.039234105319</v>
      </c>
      <c r="M52" s="610">
        <f t="shared" si="38"/>
        <v>141968.04471948734</v>
      </c>
      <c r="N52" s="610">
        <f t="shared" si="33"/>
        <v>13165841.491000511</v>
      </c>
      <c r="O52" s="699">
        <v>0</v>
      </c>
      <c r="P52" s="698">
        <f t="shared" si="34"/>
        <v>0</v>
      </c>
      <c r="S52" s="610"/>
      <c r="T52" s="666"/>
      <c r="U52" s="662"/>
      <c r="V52" s="495"/>
      <c r="W52" s="666"/>
      <c r="X52" s="662"/>
      <c r="Y52" s="495"/>
    </row>
    <row r="53" spans="1:25">
      <c r="A53" s="656">
        <f t="shared" si="35"/>
        <v>34</v>
      </c>
      <c r="C53" s="643" t="s">
        <v>188</v>
      </c>
      <c r="D53" s="936">
        <v>2018</v>
      </c>
      <c r="E53" s="667">
        <f>'10-CWIP'!G63</f>
        <v>349971</v>
      </c>
      <c r="F53" s="667">
        <f>'10-CWIP'!H63</f>
        <v>0</v>
      </c>
      <c r="G53" s="667">
        <f>'10-CWIP'!I63</f>
        <v>26247.825000000001</v>
      </c>
      <c r="H53" s="697">
        <v>0</v>
      </c>
      <c r="I53" s="660">
        <v>0</v>
      </c>
      <c r="J53" s="698">
        <v>0</v>
      </c>
      <c r="K53" s="610">
        <f t="shared" si="37"/>
        <v>13684028.360719997</v>
      </c>
      <c r="L53" s="610">
        <f t="shared" si="36"/>
        <v>30339.557180206306</v>
      </c>
      <c r="M53" s="610">
        <f t="shared" si="38"/>
        <v>172307.60189969366</v>
      </c>
      <c r="N53" s="610">
        <f t="shared" si="33"/>
        <v>13511720.758820305</v>
      </c>
      <c r="O53" s="699">
        <v>0</v>
      </c>
      <c r="P53" s="698">
        <f t="shared" si="34"/>
        <v>0</v>
      </c>
      <c r="S53" s="610"/>
      <c r="T53" s="666"/>
      <c r="U53" s="662"/>
      <c r="V53" s="495"/>
      <c r="W53" s="666"/>
      <c r="X53" s="662"/>
      <c r="Y53" s="495"/>
    </row>
    <row r="54" spans="1:25">
      <c r="A54" s="656">
        <f t="shared" si="35"/>
        <v>35</v>
      </c>
      <c r="C54" s="640" t="s">
        <v>189</v>
      </c>
      <c r="D54" s="936">
        <v>2018</v>
      </c>
      <c r="E54" s="667">
        <f>'10-CWIP'!G64</f>
        <v>77673</v>
      </c>
      <c r="F54" s="667">
        <f>'10-CWIP'!H64</f>
        <v>0</v>
      </c>
      <c r="G54" s="667">
        <f>'10-CWIP'!I64</f>
        <v>5825.4749999999995</v>
      </c>
      <c r="H54" s="697">
        <v>0</v>
      </c>
      <c r="I54" s="660">
        <v>0</v>
      </c>
      <c r="J54" s="698">
        <v>0</v>
      </c>
      <c r="K54" s="610">
        <f t="shared" si="37"/>
        <v>13767526.835719997</v>
      </c>
      <c r="L54" s="610">
        <f t="shared" si="36"/>
        <v>31197.272533189072</v>
      </c>
      <c r="M54" s="610">
        <f t="shared" si="38"/>
        <v>203504.87443288273</v>
      </c>
      <c r="N54" s="610">
        <f t="shared" si="33"/>
        <v>13564021.961287115</v>
      </c>
      <c r="O54" s="699">
        <v>0</v>
      </c>
      <c r="P54" s="698">
        <f t="shared" si="34"/>
        <v>0</v>
      </c>
      <c r="S54" s="610"/>
      <c r="T54" s="666"/>
      <c r="U54" s="662"/>
      <c r="V54" s="495"/>
      <c r="W54" s="666"/>
      <c r="X54" s="662"/>
      <c r="Y54" s="495"/>
    </row>
    <row r="55" spans="1:25">
      <c r="A55" s="656">
        <f t="shared" si="35"/>
        <v>36</v>
      </c>
      <c r="C55" s="640" t="s">
        <v>190</v>
      </c>
      <c r="D55" s="936">
        <v>2018</v>
      </c>
      <c r="E55" s="667">
        <f>'10-CWIP'!G65</f>
        <v>47000</v>
      </c>
      <c r="F55" s="667">
        <f>'10-CWIP'!H65</f>
        <v>0</v>
      </c>
      <c r="G55" s="667">
        <f>'10-CWIP'!I65</f>
        <v>3525</v>
      </c>
      <c r="H55" s="697">
        <v>0</v>
      </c>
      <c r="I55" s="660">
        <v>0</v>
      </c>
      <c r="J55" s="698">
        <v>0</v>
      </c>
      <c r="K55" s="610">
        <f t="shared" si="37"/>
        <v>13818051.835719997</v>
      </c>
      <c r="L55" s="610">
        <f t="shared" si="36"/>
        <v>31387.634947824088</v>
      </c>
      <c r="M55" s="610">
        <f t="shared" si="38"/>
        <v>234892.50938070682</v>
      </c>
      <c r="N55" s="610">
        <f t="shared" si="33"/>
        <v>13583159.32633929</v>
      </c>
      <c r="O55" s="699">
        <v>0</v>
      </c>
      <c r="P55" s="698">
        <f t="shared" si="34"/>
        <v>0</v>
      </c>
      <c r="S55" s="610"/>
      <c r="T55" s="666"/>
      <c r="U55" s="662"/>
      <c r="V55" s="495"/>
      <c r="W55" s="666"/>
      <c r="X55" s="662"/>
      <c r="Y55" s="495"/>
    </row>
    <row r="56" spans="1:25">
      <c r="A56" s="656">
        <f t="shared" si="35"/>
        <v>37</v>
      </c>
      <c r="C56" s="640" t="s">
        <v>180</v>
      </c>
      <c r="D56" s="936">
        <v>2018</v>
      </c>
      <c r="E56" s="667">
        <f>'10-CWIP'!G66</f>
        <v>20677884.444288</v>
      </c>
      <c r="F56" s="667">
        <f>'10-CWIP'!H66</f>
        <v>8513637.9700000007</v>
      </c>
      <c r="G56" s="667">
        <f>'10-CWIP'!I66</f>
        <v>912318.4855715998</v>
      </c>
      <c r="H56" s="697">
        <v>0</v>
      </c>
      <c r="I56" s="660">
        <v>0</v>
      </c>
      <c r="J56" s="698">
        <v>0</v>
      </c>
      <c r="K56" s="610">
        <f t="shared" si="37"/>
        <v>35408254.765579596</v>
      </c>
      <c r="L56" s="610">
        <f t="shared" si="36"/>
        <v>31502.823410840138</v>
      </c>
      <c r="M56" s="610">
        <f t="shared" si="38"/>
        <v>266395.33279154694</v>
      </c>
      <c r="N56" s="610">
        <f t="shared" si="33"/>
        <v>35141859.432788052</v>
      </c>
      <c r="O56" s="699">
        <v>0</v>
      </c>
      <c r="P56" s="698">
        <f t="shared" si="34"/>
        <v>0</v>
      </c>
      <c r="S56" s="610"/>
      <c r="T56" s="666"/>
      <c r="U56" s="662"/>
      <c r="V56" s="495"/>
      <c r="W56" s="666"/>
      <c r="X56" s="662"/>
      <c r="Y56" s="495"/>
    </row>
    <row r="57" spans="1:25">
      <c r="A57" s="656">
        <f t="shared" si="35"/>
        <v>38</v>
      </c>
      <c r="C57" s="640" t="s">
        <v>181</v>
      </c>
      <c r="D57" s="936">
        <v>2019</v>
      </c>
      <c r="E57" s="667">
        <f>'10-CWIP'!G67</f>
        <v>185930</v>
      </c>
      <c r="F57" s="667">
        <f>'10-CWIP'!H67</f>
        <v>0</v>
      </c>
      <c r="G57" s="667">
        <f>'10-CWIP'!I67</f>
        <v>13944.75</v>
      </c>
      <c r="H57" s="697">
        <v>0</v>
      </c>
      <c r="I57" s="660">
        <v>0</v>
      </c>
      <c r="J57" s="698">
        <v>0</v>
      </c>
      <c r="K57" s="610">
        <f t="shared" si="37"/>
        <v>35608129.515579596</v>
      </c>
      <c r="L57" s="610">
        <f t="shared" si="36"/>
        <v>80724.838090605641</v>
      </c>
      <c r="M57" s="610">
        <f t="shared" si="38"/>
        <v>347120.17088215257</v>
      </c>
      <c r="N57" s="610">
        <f t="shared" si="33"/>
        <v>35261009.344697446</v>
      </c>
      <c r="O57" s="699">
        <v>0</v>
      </c>
      <c r="P57" s="698">
        <f t="shared" si="34"/>
        <v>0</v>
      </c>
      <c r="S57" s="610"/>
      <c r="T57" s="666"/>
      <c r="U57" s="662"/>
      <c r="V57" s="495"/>
      <c r="W57" s="666"/>
      <c r="X57" s="662"/>
      <c r="Y57" s="495"/>
    </row>
    <row r="58" spans="1:25">
      <c r="A58" s="656">
        <f t="shared" si="35"/>
        <v>39</v>
      </c>
      <c r="C58" s="643" t="s">
        <v>182</v>
      </c>
      <c r="D58" s="936">
        <v>2019</v>
      </c>
      <c r="E58" s="667">
        <f>'10-CWIP'!G68</f>
        <v>204642.63</v>
      </c>
      <c r="F58" s="667">
        <f>'10-CWIP'!H68</f>
        <v>0</v>
      </c>
      <c r="G58" s="667">
        <f>'10-CWIP'!I68</f>
        <v>15348.197249999999</v>
      </c>
      <c r="H58" s="697">
        <v>0</v>
      </c>
      <c r="I58" s="660">
        <v>0</v>
      </c>
      <c r="J58" s="698">
        <v>0</v>
      </c>
      <c r="K58" s="610">
        <f t="shared" si="37"/>
        <v>35828120.3428296</v>
      </c>
      <c r="L58" s="610">
        <f t="shared" si="36"/>
        <v>81180.518748660412</v>
      </c>
      <c r="M58" s="610">
        <f t="shared" si="38"/>
        <v>428300.68963081297</v>
      </c>
      <c r="N58" s="610">
        <f t="shared" si="33"/>
        <v>35399819.653198786</v>
      </c>
      <c r="O58" s="699">
        <v>0</v>
      </c>
      <c r="P58" s="698">
        <f t="shared" si="34"/>
        <v>0</v>
      </c>
      <c r="S58" s="610"/>
      <c r="T58" s="666"/>
      <c r="U58" s="662"/>
      <c r="V58" s="495"/>
      <c r="W58" s="666"/>
      <c r="X58" s="662"/>
      <c r="Y58" s="495"/>
    </row>
    <row r="59" spans="1:25">
      <c r="A59" s="656">
        <f t="shared" si="35"/>
        <v>40</v>
      </c>
      <c r="C59" s="643" t="s">
        <v>195</v>
      </c>
      <c r="D59" s="936">
        <v>2019</v>
      </c>
      <c r="E59" s="667">
        <f>'10-CWIP'!G69</f>
        <v>361033.7</v>
      </c>
      <c r="F59" s="667">
        <f>'10-CWIP'!H69</f>
        <v>0</v>
      </c>
      <c r="G59" s="667">
        <f>'10-CWIP'!I69</f>
        <v>27077.5275</v>
      </c>
      <c r="H59" s="697">
        <v>0</v>
      </c>
      <c r="I59" s="660">
        <v>0</v>
      </c>
      <c r="J59" s="698">
        <v>0</v>
      </c>
      <c r="K59" s="610">
        <f t="shared" si="37"/>
        <v>36216231.570329607</v>
      </c>
      <c r="L59" s="610">
        <f t="shared" si="36"/>
        <v>81682.060663921307</v>
      </c>
      <c r="M59" s="610">
        <f t="shared" si="38"/>
        <v>509982.75029473426</v>
      </c>
      <c r="N59" s="610">
        <f t="shared" si="33"/>
        <v>35706248.820034869</v>
      </c>
      <c r="O59" s="699">
        <v>0</v>
      </c>
      <c r="P59" s="698">
        <f t="shared" si="34"/>
        <v>0</v>
      </c>
      <c r="S59" s="610"/>
      <c r="T59" s="666"/>
      <c r="U59" s="662"/>
      <c r="V59" s="495"/>
      <c r="W59" s="666"/>
      <c r="X59" s="662"/>
      <c r="Y59" s="495"/>
    </row>
    <row r="60" spans="1:25">
      <c r="A60" s="656">
        <f t="shared" si="35"/>
        <v>41</v>
      </c>
      <c r="C60" s="640" t="s">
        <v>183</v>
      </c>
      <c r="D60" s="936">
        <v>2019</v>
      </c>
      <c r="E60" s="667">
        <f>'10-CWIP'!G70</f>
        <v>373816.33</v>
      </c>
      <c r="F60" s="667">
        <f>'10-CWIP'!H70</f>
        <v>0</v>
      </c>
      <c r="G60" s="667">
        <f>'10-CWIP'!I70</f>
        <v>28036.224750000001</v>
      </c>
      <c r="H60" s="697">
        <v>0</v>
      </c>
      <c r="I60" s="660">
        <v>0</v>
      </c>
      <c r="J60" s="698">
        <v>0</v>
      </c>
      <c r="K60" s="610">
        <f t="shared" si="37"/>
        <v>36618084.125079602</v>
      </c>
      <c r="L60" s="610">
        <f t="shared" si="36"/>
        <v>82566.888685197875</v>
      </c>
      <c r="M60" s="610">
        <f t="shared" si="38"/>
        <v>592549.63897993218</v>
      </c>
      <c r="N60" s="610">
        <f t="shared" si="33"/>
        <v>36025534.486099668</v>
      </c>
      <c r="O60" s="699">
        <v>0</v>
      </c>
      <c r="P60" s="698">
        <f t="shared" si="34"/>
        <v>0</v>
      </c>
      <c r="S60" s="610"/>
      <c r="T60" s="666"/>
      <c r="U60" s="662"/>
      <c r="V60" s="495"/>
      <c r="W60" s="666"/>
      <c r="X60" s="662"/>
      <c r="Y60" s="495"/>
    </row>
    <row r="61" spans="1:25">
      <c r="A61" s="656">
        <f t="shared" si="35"/>
        <v>42</v>
      </c>
      <c r="C61" s="643" t="s">
        <v>184</v>
      </c>
      <c r="D61" s="936">
        <v>2019</v>
      </c>
      <c r="E61" s="667">
        <f>'10-CWIP'!G71</f>
        <v>400430.52</v>
      </c>
      <c r="F61" s="667">
        <f>'10-CWIP'!H71</f>
        <v>0</v>
      </c>
      <c r="G61" s="667">
        <f>'10-CWIP'!I71</f>
        <v>30032.289000000001</v>
      </c>
      <c r="H61" s="697">
        <v>0</v>
      </c>
      <c r="I61" s="660">
        <v>0</v>
      </c>
      <c r="J61" s="698">
        <v>0</v>
      </c>
      <c r="K61" s="610">
        <f t="shared" si="37"/>
        <v>37048546.934079602</v>
      </c>
      <c r="L61" s="610">
        <f t="shared" si="36"/>
        <v>83483.04461079363</v>
      </c>
      <c r="M61" s="610">
        <f t="shared" si="38"/>
        <v>676032.68359072576</v>
      </c>
      <c r="N61" s="610">
        <f t="shared" si="33"/>
        <v>36372514.250488877</v>
      </c>
      <c r="O61" s="699">
        <v>0</v>
      </c>
      <c r="P61" s="698">
        <f t="shared" si="34"/>
        <v>0</v>
      </c>
      <c r="S61" s="610"/>
      <c r="T61" s="666"/>
      <c r="U61" s="662"/>
      <c r="V61" s="495"/>
      <c r="W61" s="666"/>
      <c r="X61" s="662"/>
      <c r="Y61" s="495"/>
    </row>
    <row r="62" spans="1:25">
      <c r="A62" s="656">
        <f t="shared" si="35"/>
        <v>43</v>
      </c>
      <c r="C62" s="643" t="s">
        <v>185</v>
      </c>
      <c r="D62" s="936">
        <v>2019</v>
      </c>
      <c r="E62" s="667">
        <f>'10-CWIP'!G72</f>
        <v>413213.15</v>
      </c>
      <c r="F62" s="667">
        <f>'10-CWIP'!H72</f>
        <v>0</v>
      </c>
      <c r="G62" s="667">
        <f>'10-CWIP'!I72</f>
        <v>30990.986250000002</v>
      </c>
      <c r="H62" s="697">
        <v>0</v>
      </c>
      <c r="I62" s="660">
        <v>0</v>
      </c>
      <c r="J62" s="698">
        <v>0</v>
      </c>
      <c r="K62" s="610">
        <f t="shared" si="37"/>
        <v>37492751.070329599</v>
      </c>
      <c r="L62" s="610">
        <f t="shared" si="36"/>
        <v>84464.427081932299</v>
      </c>
      <c r="M62" s="610">
        <f t="shared" si="38"/>
        <v>760497.11067265808</v>
      </c>
      <c r="N62" s="610">
        <f t="shared" si="33"/>
        <v>36732253.959656939</v>
      </c>
      <c r="O62" s="699">
        <v>0</v>
      </c>
      <c r="P62" s="698">
        <f t="shared" si="34"/>
        <v>0</v>
      </c>
      <c r="S62" s="610"/>
      <c r="T62" s="666"/>
      <c r="U62" s="662"/>
      <c r="V62" s="495"/>
      <c r="W62" s="666"/>
      <c r="X62" s="662"/>
      <c r="Y62" s="495"/>
    </row>
    <row r="63" spans="1:25">
      <c r="A63" s="656">
        <f t="shared" si="35"/>
        <v>44</v>
      </c>
      <c r="C63" s="640" t="s">
        <v>186</v>
      </c>
      <c r="D63" s="936">
        <v>2019</v>
      </c>
      <c r="E63" s="667">
        <f>'10-CWIP'!G73</f>
        <v>432386.85</v>
      </c>
      <c r="F63" s="667">
        <f>'10-CWIP'!H73</f>
        <v>0</v>
      </c>
      <c r="G63" s="667">
        <f>'10-CWIP'!I73</f>
        <v>32429.013749999998</v>
      </c>
      <c r="H63" s="697">
        <v>0</v>
      </c>
      <c r="I63" s="660">
        <v>0</v>
      </c>
      <c r="J63" s="698">
        <v>0</v>
      </c>
      <c r="K63" s="610">
        <f t="shared" si="37"/>
        <v>37957566.934079602</v>
      </c>
      <c r="L63" s="610">
        <f t="shared" si="36"/>
        <v>85477.137457390185</v>
      </c>
      <c r="M63" s="610">
        <f t="shared" si="38"/>
        <v>845974.24813004828</v>
      </c>
      <c r="N63" s="610">
        <f t="shared" si="33"/>
        <v>37111592.685949557</v>
      </c>
      <c r="O63" s="699">
        <v>0</v>
      </c>
      <c r="P63" s="698">
        <f t="shared" si="34"/>
        <v>0</v>
      </c>
      <c r="S63" s="610"/>
      <c r="T63" s="666"/>
      <c r="U63" s="662"/>
      <c r="V63" s="495"/>
      <c r="W63" s="666"/>
      <c r="X63" s="662"/>
      <c r="Y63" s="495"/>
    </row>
    <row r="64" spans="1:25">
      <c r="A64" s="656">
        <f t="shared" si="35"/>
        <v>45</v>
      </c>
      <c r="C64" s="643" t="s">
        <v>187</v>
      </c>
      <c r="D64" s="936">
        <v>2019</v>
      </c>
      <c r="E64" s="667">
        <f>'10-CWIP'!G74</f>
        <v>14427934.35</v>
      </c>
      <c r="F64" s="667">
        <f>'10-CWIP'!H74</f>
        <v>8470082.9399999995</v>
      </c>
      <c r="G64" s="667">
        <f>'10-CWIP'!I74</f>
        <v>446838.85574999999</v>
      </c>
      <c r="H64" s="697">
        <v>0</v>
      </c>
      <c r="I64" s="660">
        <v>0</v>
      </c>
      <c r="J64" s="698">
        <v>0</v>
      </c>
      <c r="K64" s="610">
        <f t="shared" si="37"/>
        <v>52832340.139829606</v>
      </c>
      <c r="L64" s="610">
        <f t="shared" si="36"/>
        <v>86536.839088876397</v>
      </c>
      <c r="M64" s="610">
        <f t="shared" si="38"/>
        <v>932511.08721892466</v>
      </c>
      <c r="N64" s="610">
        <f t="shared" si="33"/>
        <v>51899829.05261068</v>
      </c>
      <c r="O64" s="699">
        <v>0</v>
      </c>
      <c r="P64" s="698">
        <f t="shared" si="34"/>
        <v>0</v>
      </c>
      <c r="S64" s="610"/>
      <c r="T64" s="666"/>
      <c r="U64" s="662"/>
      <c r="V64" s="495"/>
      <c r="W64" s="666"/>
      <c r="X64" s="662"/>
      <c r="Y64" s="495"/>
    </row>
    <row r="65" spans="1:25">
      <c r="A65" s="656">
        <f t="shared" si="35"/>
        <v>46</v>
      </c>
      <c r="C65" s="643" t="s">
        <v>188</v>
      </c>
      <c r="D65" s="936">
        <v>2019</v>
      </c>
      <c r="E65" s="667">
        <f>'10-CWIP'!G75</f>
        <v>453078.41000000003</v>
      </c>
      <c r="F65" s="667">
        <f>'10-CWIP'!H75</f>
        <v>0</v>
      </c>
      <c r="G65" s="667">
        <f>'10-CWIP'!I75</f>
        <v>33980.880749999997</v>
      </c>
      <c r="H65" s="697">
        <v>0</v>
      </c>
      <c r="I65" s="660">
        <v>0</v>
      </c>
      <c r="J65" s="698">
        <v>0</v>
      </c>
      <c r="K65" s="610">
        <f t="shared" si="37"/>
        <v>53319399.430579603</v>
      </c>
      <c r="L65" s="610">
        <f t="shared" si="36"/>
        <v>120448.80867388716</v>
      </c>
      <c r="M65" s="610">
        <f t="shared" si="38"/>
        <v>1052959.8958928119</v>
      </c>
      <c r="N65" s="610">
        <f t="shared" si="33"/>
        <v>52266439.534686789</v>
      </c>
      <c r="O65" s="699">
        <v>0</v>
      </c>
      <c r="P65" s="698">
        <f t="shared" si="34"/>
        <v>0</v>
      </c>
      <c r="S65" s="610"/>
      <c r="T65" s="666"/>
      <c r="U65" s="662"/>
      <c r="V65" s="495"/>
      <c r="W65" s="666"/>
      <c r="X65" s="662"/>
      <c r="Y65" s="495"/>
    </row>
    <row r="66" spans="1:25">
      <c r="A66" s="657">
        <f t="shared" si="35"/>
        <v>47</v>
      </c>
      <c r="C66" s="643" t="s">
        <v>191</v>
      </c>
      <c r="D66" s="936">
        <v>2019</v>
      </c>
      <c r="E66" s="667">
        <f>'10-CWIP'!G76</f>
        <v>19987218.269999996</v>
      </c>
      <c r="F66" s="667">
        <f>'10-CWIP'!H76</f>
        <v>9341863.8599999994</v>
      </c>
      <c r="G66" s="667">
        <f>'10-CWIP'!I76</f>
        <v>798401.58074999985</v>
      </c>
      <c r="H66" s="697">
        <v>0</v>
      </c>
      <c r="I66" s="660">
        <v>0</v>
      </c>
      <c r="J66" s="698">
        <v>0</v>
      </c>
      <c r="K66" s="610">
        <f t="shared" ref="K66:K68" si="39">K65+E66+G66</f>
        <v>74105019.281329602</v>
      </c>
      <c r="L66" s="610">
        <f t="shared" si="36"/>
        <v>121559.22156056069</v>
      </c>
      <c r="M66" s="610">
        <f t="shared" si="38"/>
        <v>1174519.1174533726</v>
      </c>
      <c r="N66" s="610">
        <f t="shared" ref="N66:N68" si="40">K66-M66</f>
        <v>72930500.163876235</v>
      </c>
      <c r="O66" s="699">
        <v>0</v>
      </c>
      <c r="P66" s="698">
        <f t="shared" si="34"/>
        <v>0</v>
      </c>
      <c r="S66" s="610"/>
      <c r="T66" s="666"/>
      <c r="U66" s="662"/>
      <c r="V66" s="495"/>
      <c r="W66" s="666"/>
      <c r="X66" s="662"/>
      <c r="Y66" s="495"/>
    </row>
    <row r="67" spans="1:25">
      <c r="A67" s="657">
        <f t="shared" si="35"/>
        <v>48</v>
      </c>
      <c r="C67" s="643" t="s">
        <v>190</v>
      </c>
      <c r="D67" s="936">
        <v>2019</v>
      </c>
      <c r="E67" s="667">
        <f>'10-CWIP'!G77</f>
        <v>16531554.139999997</v>
      </c>
      <c r="F67" s="667">
        <f>'10-CWIP'!H77</f>
        <v>6140181.3599999994</v>
      </c>
      <c r="G67" s="667">
        <f>'10-CWIP'!I77</f>
        <v>779352.95849999983</v>
      </c>
      <c r="H67" s="697">
        <v>0</v>
      </c>
      <c r="I67" s="660">
        <v>0</v>
      </c>
      <c r="J67" s="698">
        <v>0</v>
      </c>
      <c r="K67" s="610">
        <f t="shared" si="39"/>
        <v>91415926.3798296</v>
      </c>
      <c r="L67" s="610">
        <f t="shared" si="36"/>
        <v>168946.92276677137</v>
      </c>
      <c r="M67" s="610">
        <f t="shared" si="38"/>
        <v>1343466.040220144</v>
      </c>
      <c r="N67" s="610">
        <f t="shared" si="40"/>
        <v>90072460.339609459</v>
      </c>
      <c r="O67" s="699">
        <v>0</v>
      </c>
      <c r="P67" s="698">
        <f t="shared" si="34"/>
        <v>0</v>
      </c>
      <c r="S67" s="610"/>
      <c r="T67" s="666"/>
      <c r="U67" s="662"/>
      <c r="V67" s="495"/>
      <c r="W67" s="666"/>
      <c r="X67" s="662"/>
      <c r="Y67" s="495"/>
    </row>
    <row r="68" spans="1:25">
      <c r="A68" s="657">
        <f t="shared" si="35"/>
        <v>49</v>
      </c>
      <c r="C68" s="643" t="s">
        <v>180</v>
      </c>
      <c r="D68" s="936">
        <v>2019</v>
      </c>
      <c r="E68" s="667">
        <f>'10-CWIP'!G78</f>
        <v>5786284.5911999997</v>
      </c>
      <c r="F68" s="667">
        <f>'10-CWIP'!H78</f>
        <v>2531642.4799999995</v>
      </c>
      <c r="G68" s="667">
        <f>'10-CWIP'!I78</f>
        <v>244098.15833999997</v>
      </c>
      <c r="H68" s="697">
        <v>0</v>
      </c>
      <c r="I68" s="660">
        <v>0</v>
      </c>
      <c r="J68" s="698">
        <v>0</v>
      </c>
      <c r="K68" s="610">
        <f t="shared" si="39"/>
        <v>97446309.129369602</v>
      </c>
      <c r="L68" s="610">
        <f t="shared" si="36"/>
        <v>208412.86600457146</v>
      </c>
      <c r="M68" s="610">
        <f t="shared" si="38"/>
        <v>1551878.9062247155</v>
      </c>
      <c r="N68" s="610">
        <f t="shared" si="40"/>
        <v>95894430.223144889</v>
      </c>
      <c r="O68" s="699">
        <v>0</v>
      </c>
      <c r="P68" s="698">
        <f t="shared" si="34"/>
        <v>0</v>
      </c>
      <c r="S68" s="610"/>
      <c r="T68" s="666"/>
      <c r="U68" s="662"/>
      <c r="V68" s="495"/>
      <c r="W68" s="666"/>
      <c r="X68" s="662"/>
      <c r="Y68" s="495"/>
    </row>
    <row r="69" spans="1:25">
      <c r="A69" s="656"/>
      <c r="D69" s="665"/>
      <c r="G69" s="610"/>
      <c r="M69" s="607"/>
      <c r="N69" s="660"/>
    </row>
    <row r="70" spans="1:25">
      <c r="A70" s="656"/>
      <c r="B70" s="612" t="s">
        <v>1988</v>
      </c>
      <c r="D70" s="665"/>
      <c r="G70" s="700"/>
      <c r="M70" s="607"/>
      <c r="N70" s="660"/>
    </row>
    <row r="71" spans="1:25">
      <c r="A71" s="656"/>
      <c r="E71" s="651" t="s">
        <v>363</v>
      </c>
      <c r="F71" s="651" t="s">
        <v>347</v>
      </c>
      <c r="G71" s="651" t="s">
        <v>348</v>
      </c>
      <c r="H71" s="651" t="s">
        <v>349</v>
      </c>
      <c r="I71" s="651" t="s">
        <v>350</v>
      </c>
      <c r="J71" s="651" t="s">
        <v>351</v>
      </c>
      <c r="K71" s="651" t="s">
        <v>352</v>
      </c>
      <c r="L71" s="651" t="s">
        <v>544</v>
      </c>
      <c r="M71" s="651" t="s">
        <v>961</v>
      </c>
      <c r="N71" s="651" t="s">
        <v>974</v>
      </c>
      <c r="O71" s="651" t="s">
        <v>977</v>
      </c>
      <c r="P71" s="651" t="s">
        <v>995</v>
      </c>
    </row>
    <row r="72" spans="1:25" ht="25.5">
      <c r="A72" s="656"/>
      <c r="E72" s="653"/>
      <c r="F72" s="653"/>
      <c r="G72" s="654" t="str">
        <f>"=(C"&amp;RIGHT(E71)&amp;"-C"&amp;RIGHT(F71)&amp;")*L"&amp;$A$103</f>
        <v>=(C1-C2)*L74</v>
      </c>
      <c r="H72" s="653" t="str">
        <f>"=(C"&amp;RIGHT(E71)&amp;"-C"&amp;RIGHT(F71)&amp;"+C"&amp;RIGHT(G71)&amp;")*L"&amp;$A$107</f>
        <v>=(C1-C2+C3)*L75</v>
      </c>
      <c r="I72" s="653" t="str">
        <f>"=C"&amp;RIGHT(E71)&amp;"-C"&amp;RIGHT(F71)&amp;"+C"&amp;RIGHT(G71)&amp;"-C"&amp;RIGHT(H71)</f>
        <v>=C1-C2+C3-C4</v>
      </c>
      <c r="J72" s="654" t="str">
        <f>"=C"&amp;RIGHT(I71)&amp;"*L"&amp;$A$111</f>
        <v>=C5*L76</v>
      </c>
      <c r="K72" s="694" t="s">
        <v>1989</v>
      </c>
      <c r="L72" s="695" t="s">
        <v>2109</v>
      </c>
      <c r="M72" s="696" t="s">
        <v>2603</v>
      </c>
      <c r="N72" s="653" t="str">
        <f>"=C"&amp;RIGHT(K71)&amp;"-C"&amp;RIGHT(M71)</f>
        <v>=C7-C9</v>
      </c>
      <c r="P72" s="696" t="s">
        <v>2110</v>
      </c>
    </row>
    <row r="73" spans="1:25">
      <c r="A73" s="656"/>
      <c r="C73" s="656" t="str">
        <f>C10</f>
        <v>Forecast</v>
      </c>
      <c r="E73" s="656" t="str">
        <f>E10</f>
        <v>Unloaded</v>
      </c>
      <c r="F73" s="656"/>
      <c r="G73" s="656"/>
      <c r="H73" s="657"/>
      <c r="I73" s="657" t="str">
        <f>I10</f>
        <v>AFUDC</v>
      </c>
      <c r="J73" s="657"/>
      <c r="K73" s="657"/>
      <c r="L73" s="657"/>
      <c r="M73" s="657"/>
      <c r="O73" s="656" t="str">
        <f>O10</f>
        <v>Unloaded</v>
      </c>
      <c r="P73" s="656" t="str">
        <f>P10</f>
        <v>Loaded</v>
      </c>
    </row>
    <row r="74" spans="1:25">
      <c r="A74" s="656"/>
      <c r="C74" s="656" t="str">
        <f>C11</f>
        <v>Period</v>
      </c>
      <c r="E74" s="656" t="str">
        <f>E11</f>
        <v>Total</v>
      </c>
      <c r="F74" s="656" t="str">
        <f t="shared" ref="F74:H75" si="41">F11</f>
        <v>Prior Period</v>
      </c>
      <c r="G74" s="657" t="str">
        <f t="shared" si="41"/>
        <v>Over Heads</v>
      </c>
      <c r="H74" s="657" t="str">
        <f t="shared" si="41"/>
        <v xml:space="preserve">Cost of </v>
      </c>
      <c r="I74" s="657" t="str">
        <f>I11</f>
        <v>Eligible Plant</v>
      </c>
      <c r="J74" s="657"/>
      <c r="K74" s="657" t="str">
        <f t="shared" ref="K74:M74" si="42">K11</f>
        <v>Incremental</v>
      </c>
      <c r="L74" s="657" t="str">
        <f t="shared" si="42"/>
        <v>Depreciation</v>
      </c>
      <c r="M74" s="657" t="str">
        <f t="shared" si="42"/>
        <v>Incremental</v>
      </c>
      <c r="O74" s="657" t="str">
        <f>O11</f>
        <v>Low Voltage</v>
      </c>
      <c r="P74" s="657" t="str">
        <f>P11</f>
        <v>Low Voltage</v>
      </c>
      <c r="Q74" s="656"/>
    </row>
    <row r="75" spans="1:25">
      <c r="A75" s="658" t="s">
        <v>332</v>
      </c>
      <c r="C75" s="639" t="str">
        <f>C12</f>
        <v>Month</v>
      </c>
      <c r="D75" s="639" t="str">
        <f>D12</f>
        <v>Year</v>
      </c>
      <c r="E75" s="652" t="str">
        <f>E12</f>
        <v>Plant Adds</v>
      </c>
      <c r="F75" s="652" t="str">
        <f t="shared" si="41"/>
        <v>CWIP Closed</v>
      </c>
      <c r="G75" s="659" t="str">
        <f t="shared" si="41"/>
        <v>Closed to PIS</v>
      </c>
      <c r="H75" s="659" t="str">
        <f t="shared" si="41"/>
        <v>Removal</v>
      </c>
      <c r="I75" s="659" t="str">
        <f>I12</f>
        <v>Additions</v>
      </c>
      <c r="J75" s="659" t="str">
        <f t="shared" ref="J75:P75" si="43">J12</f>
        <v>AFUDC</v>
      </c>
      <c r="K75" s="659" t="str">
        <f t="shared" si="43"/>
        <v>Gross Plant</v>
      </c>
      <c r="L75" s="659" t="str">
        <f t="shared" si="43"/>
        <v>Accrual</v>
      </c>
      <c r="M75" s="659" t="str">
        <f t="shared" si="43"/>
        <v>Reserve</v>
      </c>
      <c r="N75" s="659" t="str">
        <f t="shared" si="43"/>
        <v>Net Plant</v>
      </c>
      <c r="O75" s="659" t="str">
        <f t="shared" si="43"/>
        <v>Additions</v>
      </c>
      <c r="P75" s="659" t="str">
        <f t="shared" si="43"/>
        <v>Additions</v>
      </c>
      <c r="Q75" s="659"/>
      <c r="S75" s="701"/>
      <c r="T75" s="659"/>
      <c r="U75" s="659"/>
      <c r="V75" s="659"/>
      <c r="W75" s="659"/>
      <c r="X75" s="659"/>
      <c r="Y75" s="659"/>
    </row>
    <row r="76" spans="1:25">
      <c r="A76" s="656">
        <f>A68+1</f>
        <v>50</v>
      </c>
      <c r="C76" s="640" t="str">
        <f t="shared" ref="C76:C96" si="44">C45</f>
        <v>January</v>
      </c>
      <c r="D76" s="936">
        <v>2018</v>
      </c>
      <c r="E76" s="668">
        <v>14078406.481748167</v>
      </c>
      <c r="F76" s="668">
        <v>34483.771666699831</v>
      </c>
      <c r="G76" s="660">
        <f t="shared" ref="G76:G96" si="45">(E76-F76)*$E$103</f>
        <v>1053294.20325611</v>
      </c>
      <c r="H76" s="610">
        <f t="shared" ref="H76:H96" si="46">(E76-F76+G76)*$E$107</f>
        <v>1207777.3530670062</v>
      </c>
      <c r="I76" s="660">
        <f>E76-F76+G76-H76</f>
        <v>13889439.56027057</v>
      </c>
      <c r="J76" s="660">
        <f t="shared" ref="J76:J96" si="47">I76*$E$111</f>
        <v>416683.18680811708</v>
      </c>
      <c r="K76" s="610">
        <f>F76+I76+J76</f>
        <v>14340606.518745387</v>
      </c>
      <c r="L76" s="610">
        <v>0</v>
      </c>
      <c r="M76" s="610">
        <f>L76-H76</f>
        <v>-1207777.3530670062</v>
      </c>
      <c r="N76" s="610">
        <f t="shared" ref="N76:N96" si="48">K76-M76</f>
        <v>15548383.871812394</v>
      </c>
      <c r="O76" s="699">
        <v>548711.21166591009</v>
      </c>
      <c r="P76" s="610">
        <f t="shared" ref="P76:P96" si="49">O76*(1-$E$107)*(1+$E$103+$E$111)</f>
        <v>557819.81777956418</v>
      </c>
      <c r="Q76" s="666"/>
      <c r="R76" s="662"/>
      <c r="S76" s="666"/>
      <c r="T76" s="666"/>
      <c r="U76" s="662"/>
      <c r="V76" s="495"/>
      <c r="W76" s="666"/>
      <c r="X76" s="662"/>
      <c r="Y76" s="495"/>
    </row>
    <row r="77" spans="1:25">
      <c r="A77" s="656">
        <f t="shared" si="35"/>
        <v>51</v>
      </c>
      <c r="C77" s="640" t="str">
        <f t="shared" si="44"/>
        <v>February</v>
      </c>
      <c r="D77" s="936">
        <v>2018</v>
      </c>
      <c r="E77" s="668">
        <v>14078406.481748167</v>
      </c>
      <c r="F77" s="668">
        <v>34483.771666699831</v>
      </c>
      <c r="G77" s="660">
        <f t="shared" si="45"/>
        <v>1053294.20325611</v>
      </c>
      <c r="H77" s="610">
        <f t="shared" si="46"/>
        <v>1207777.3530670062</v>
      </c>
      <c r="I77" s="660">
        <f t="shared" ref="I77:I96" si="50">E77-F77+G77-H77</f>
        <v>13889439.56027057</v>
      </c>
      <c r="J77" s="660">
        <f t="shared" si="47"/>
        <v>416683.18680811708</v>
      </c>
      <c r="K77" s="610">
        <f>K76+J77+I77+F77</f>
        <v>28681213.03749077</v>
      </c>
      <c r="L77" s="610">
        <f t="shared" ref="L77:L96" si="51">K76*$E$133/12</f>
        <v>32694.159794403404</v>
      </c>
      <c r="M77" s="610">
        <f>(M76+L77)-H77</f>
        <v>-2382860.5463396087</v>
      </c>
      <c r="N77" s="610">
        <f t="shared" si="48"/>
        <v>31064073.583830379</v>
      </c>
      <c r="O77" s="699">
        <v>1097422.4233318202</v>
      </c>
      <c r="P77" s="610">
        <f t="shared" si="49"/>
        <v>1115639.6355591284</v>
      </c>
      <c r="Q77" s="666"/>
      <c r="R77" s="662"/>
      <c r="S77" s="666"/>
      <c r="T77" s="666"/>
      <c r="U77" s="662"/>
      <c r="V77" s="495"/>
      <c r="W77" s="666"/>
      <c r="X77" s="662"/>
      <c r="Y77" s="495"/>
    </row>
    <row r="78" spans="1:25">
      <c r="A78" s="656">
        <f t="shared" si="35"/>
        <v>52</v>
      </c>
      <c r="C78" s="640" t="str">
        <f t="shared" si="44"/>
        <v>March</v>
      </c>
      <c r="D78" s="936">
        <v>2018</v>
      </c>
      <c r="E78" s="668">
        <v>14078406.481748164</v>
      </c>
      <c r="F78" s="668">
        <v>34483.771666699831</v>
      </c>
      <c r="G78" s="660">
        <f t="shared" si="45"/>
        <v>1053294.2032561097</v>
      </c>
      <c r="H78" s="610">
        <f t="shared" si="46"/>
        <v>1207777.353067006</v>
      </c>
      <c r="I78" s="660">
        <f t="shared" si="50"/>
        <v>13889439.560270566</v>
      </c>
      <c r="J78" s="660">
        <f t="shared" si="47"/>
        <v>416683.18680811697</v>
      </c>
      <c r="K78" s="610">
        <f t="shared" ref="K78:K96" si="52">K77+J78+I78+F78</f>
        <v>43021819.556236155</v>
      </c>
      <c r="L78" s="610">
        <f t="shared" si="51"/>
        <v>65388.3195888068</v>
      </c>
      <c r="M78" s="610">
        <f t="shared" ref="M78:M99" si="53">(M77+L78)-H78</f>
        <v>-3525249.5798178078</v>
      </c>
      <c r="N78" s="610">
        <f t="shared" si="48"/>
        <v>46547069.136053964</v>
      </c>
      <c r="O78" s="699">
        <v>1646133.6349977306</v>
      </c>
      <c r="P78" s="610">
        <f t="shared" si="49"/>
        <v>1673459.4533386929</v>
      </c>
      <c r="Q78" s="666"/>
      <c r="R78" s="662"/>
      <c r="S78" s="666"/>
      <c r="T78" s="666"/>
      <c r="U78" s="662"/>
      <c r="V78" s="495"/>
      <c r="W78" s="666"/>
      <c r="X78" s="662"/>
      <c r="Y78" s="495"/>
    </row>
    <row r="79" spans="1:25">
      <c r="A79" s="656">
        <f t="shared" si="35"/>
        <v>53</v>
      </c>
      <c r="C79" s="640" t="str">
        <f t="shared" si="44"/>
        <v>April</v>
      </c>
      <c r="D79" s="936">
        <v>2018</v>
      </c>
      <c r="E79" s="668">
        <v>17785682.221748173</v>
      </c>
      <c r="F79" s="668">
        <v>2637999.5116667021</v>
      </c>
      <c r="G79" s="660">
        <f t="shared" si="45"/>
        <v>1136076.2032561102</v>
      </c>
      <c r="H79" s="610">
        <f t="shared" si="46"/>
        <v>1302700.7130670066</v>
      </c>
      <c r="I79" s="660">
        <f t="shared" si="50"/>
        <v>14981058.200270575</v>
      </c>
      <c r="J79" s="660">
        <f t="shared" si="47"/>
        <v>449431.74600811722</v>
      </c>
      <c r="K79" s="610">
        <f t="shared" si="52"/>
        <v>61090309.014181554</v>
      </c>
      <c r="L79" s="610">
        <f t="shared" si="51"/>
        <v>98082.4793832102</v>
      </c>
      <c r="M79" s="610">
        <f t="shared" si="53"/>
        <v>-4729867.8135016039</v>
      </c>
      <c r="N79" s="610">
        <f t="shared" si="48"/>
        <v>65820176.827683158</v>
      </c>
      <c r="O79" s="699">
        <v>2194844.8466636403</v>
      </c>
      <c r="P79" s="610">
        <f t="shared" si="49"/>
        <v>2231279.2711182567</v>
      </c>
      <c r="Q79" s="666"/>
      <c r="R79" s="662"/>
      <c r="S79" s="666"/>
      <c r="T79" s="666"/>
      <c r="U79" s="662"/>
      <c r="V79" s="495"/>
      <c r="W79" s="666"/>
      <c r="X79" s="662"/>
      <c r="Y79" s="495"/>
    </row>
    <row r="80" spans="1:25">
      <c r="A80" s="656">
        <f t="shared" si="35"/>
        <v>54</v>
      </c>
      <c r="C80" s="640" t="str">
        <f t="shared" si="44"/>
        <v>May</v>
      </c>
      <c r="D80" s="936">
        <v>2018</v>
      </c>
      <c r="E80" s="668">
        <v>14078406.481748156</v>
      </c>
      <c r="F80" s="668">
        <v>34483.771666699831</v>
      </c>
      <c r="G80" s="660">
        <f t="shared" si="45"/>
        <v>1053294.2032561093</v>
      </c>
      <c r="H80" s="610">
        <f t="shared" si="46"/>
        <v>1207777.3530670053</v>
      </c>
      <c r="I80" s="660">
        <f t="shared" si="50"/>
        <v>13889439.560270561</v>
      </c>
      <c r="J80" s="660">
        <f t="shared" si="47"/>
        <v>416683.18680811679</v>
      </c>
      <c r="K80" s="610">
        <f t="shared" si="52"/>
        <v>75430915.532926932</v>
      </c>
      <c r="L80" s="610">
        <f t="shared" si="51"/>
        <v>139275.58239523272</v>
      </c>
      <c r="M80" s="610">
        <f t="shared" si="53"/>
        <v>-5798369.5841733767</v>
      </c>
      <c r="N80" s="610">
        <f t="shared" si="48"/>
        <v>81229285.117100313</v>
      </c>
      <c r="O80" s="699">
        <v>2743556.0583295505</v>
      </c>
      <c r="P80" s="610">
        <f t="shared" si="49"/>
        <v>2789099.0888978215</v>
      </c>
      <c r="Q80" s="666"/>
      <c r="R80" s="662"/>
      <c r="S80" s="666"/>
      <c r="T80" s="666"/>
      <c r="U80" s="662"/>
      <c r="V80" s="495"/>
      <c r="W80" s="666"/>
      <c r="X80" s="662"/>
      <c r="Y80" s="495"/>
    </row>
    <row r="81" spans="1:25">
      <c r="A81" s="656">
        <f t="shared" si="35"/>
        <v>55</v>
      </c>
      <c r="C81" s="640" t="str">
        <f t="shared" si="44"/>
        <v xml:space="preserve">June </v>
      </c>
      <c r="D81" s="936">
        <v>2018</v>
      </c>
      <c r="E81" s="668">
        <v>91764080.705248147</v>
      </c>
      <c r="F81" s="668">
        <v>71876240.445166692</v>
      </c>
      <c r="G81" s="660">
        <f t="shared" si="45"/>
        <v>1491588.0195061092</v>
      </c>
      <c r="H81" s="610">
        <f t="shared" si="46"/>
        <v>1710354.262367005</v>
      </c>
      <c r="I81" s="660">
        <f t="shared" si="50"/>
        <v>19669074.017220557</v>
      </c>
      <c r="J81" s="660">
        <f t="shared" si="47"/>
        <v>590072.22051661671</v>
      </c>
      <c r="K81" s="610">
        <f t="shared" si="52"/>
        <v>167566302.2158308</v>
      </c>
      <c r="L81" s="610">
        <f t="shared" si="51"/>
        <v>171969.74218963608</v>
      </c>
      <c r="M81" s="610">
        <f t="shared" si="53"/>
        <v>-7336754.1043507457</v>
      </c>
      <c r="N81" s="610">
        <f t="shared" si="48"/>
        <v>174903056.32018155</v>
      </c>
      <c r="O81" s="699">
        <v>4770684.5199954603</v>
      </c>
      <c r="P81" s="610">
        <f t="shared" si="49"/>
        <v>4849877.883027385</v>
      </c>
      <c r="Q81" s="666"/>
      <c r="R81" s="662"/>
      <c r="S81" s="666"/>
      <c r="T81" s="666"/>
      <c r="U81" s="662"/>
      <c r="V81" s="495"/>
      <c r="W81" s="666"/>
      <c r="X81" s="662"/>
      <c r="Y81" s="495"/>
    </row>
    <row r="82" spans="1:25">
      <c r="A82" s="656">
        <f t="shared" si="35"/>
        <v>56</v>
      </c>
      <c r="C82" s="640" t="str">
        <f t="shared" si="44"/>
        <v>July</v>
      </c>
      <c r="D82" s="936">
        <v>2018</v>
      </c>
      <c r="E82" s="668">
        <v>14164834.431748182</v>
      </c>
      <c r="F82" s="668">
        <v>70911.721666699828</v>
      </c>
      <c r="G82" s="660">
        <f t="shared" si="45"/>
        <v>1057044.2032561111</v>
      </c>
      <c r="H82" s="610">
        <f t="shared" si="46"/>
        <v>1212077.3530670076</v>
      </c>
      <c r="I82" s="660">
        <f t="shared" si="50"/>
        <v>13938889.560270587</v>
      </c>
      <c r="J82" s="660">
        <f t="shared" si="47"/>
        <v>418166.68680811761</v>
      </c>
      <c r="K82" s="610">
        <f t="shared" si="52"/>
        <v>181994270.18457618</v>
      </c>
      <c r="L82" s="610">
        <f t="shared" si="51"/>
        <v>382022.85612121766</v>
      </c>
      <c r="M82" s="610">
        <f t="shared" si="53"/>
        <v>-8166808.6012965357</v>
      </c>
      <c r="N82" s="610">
        <f t="shared" si="48"/>
        <v>190161078.78587273</v>
      </c>
      <c r="O82" s="699">
        <v>5319395.731661371</v>
      </c>
      <c r="P82" s="610">
        <f t="shared" si="49"/>
        <v>5407697.7008069502</v>
      </c>
      <c r="Q82" s="666"/>
      <c r="R82" s="662"/>
      <c r="S82" s="666"/>
      <c r="T82" s="666"/>
      <c r="U82" s="662"/>
      <c r="V82" s="495"/>
      <c r="W82" s="666"/>
      <c r="X82" s="662"/>
      <c r="Y82" s="495"/>
    </row>
    <row r="83" spans="1:25">
      <c r="A83" s="656">
        <f t="shared" si="35"/>
        <v>57</v>
      </c>
      <c r="C83" s="640" t="str">
        <f t="shared" si="44"/>
        <v>August</v>
      </c>
      <c r="D83" s="936">
        <v>2018</v>
      </c>
      <c r="E83" s="668">
        <v>14078406.481748164</v>
      </c>
      <c r="F83" s="668">
        <v>34483.771666699831</v>
      </c>
      <c r="G83" s="660">
        <f t="shared" si="45"/>
        <v>1053294.2032561097</v>
      </c>
      <c r="H83" s="610">
        <f t="shared" si="46"/>
        <v>1207777.353067006</v>
      </c>
      <c r="I83" s="660">
        <f t="shared" si="50"/>
        <v>13889439.560270566</v>
      </c>
      <c r="J83" s="660">
        <f t="shared" si="47"/>
        <v>416683.18680811697</v>
      </c>
      <c r="K83" s="610">
        <f t="shared" si="52"/>
        <v>196334876.70332158</v>
      </c>
      <c r="L83" s="610">
        <f t="shared" si="51"/>
        <v>414916.18526054639</v>
      </c>
      <c r="M83" s="610">
        <f t="shared" si="53"/>
        <v>-8959669.7691029944</v>
      </c>
      <c r="N83" s="610">
        <f t="shared" si="48"/>
        <v>205294546.47242457</v>
      </c>
      <c r="O83" s="699">
        <v>5868106.9433272807</v>
      </c>
      <c r="P83" s="610">
        <f t="shared" si="49"/>
        <v>5965517.5185865136</v>
      </c>
      <c r="Q83" s="666"/>
      <c r="R83" s="662"/>
      <c r="S83" s="666"/>
      <c r="T83" s="666"/>
      <c r="U83" s="662"/>
      <c r="V83" s="495"/>
      <c r="W83" s="666"/>
      <c r="X83" s="662"/>
      <c r="Y83" s="495"/>
    </row>
    <row r="84" spans="1:25">
      <c r="A84" s="656">
        <f t="shared" si="35"/>
        <v>58</v>
      </c>
      <c r="C84" s="640" t="str">
        <f t="shared" si="44"/>
        <v>September</v>
      </c>
      <c r="D84" s="936">
        <v>2018</v>
      </c>
      <c r="E84" s="668">
        <v>14078406.481748134</v>
      </c>
      <c r="F84" s="668">
        <v>34483.771666699831</v>
      </c>
      <c r="G84" s="660">
        <f t="shared" si="45"/>
        <v>1053294.2032561074</v>
      </c>
      <c r="H84" s="610">
        <f t="shared" si="46"/>
        <v>1207777.3530670034</v>
      </c>
      <c r="I84" s="660">
        <f t="shared" si="50"/>
        <v>13889439.560270539</v>
      </c>
      <c r="J84" s="660">
        <f t="shared" si="47"/>
        <v>416683.18680811615</v>
      </c>
      <c r="K84" s="610">
        <f t="shared" si="52"/>
        <v>210675483.22206694</v>
      </c>
      <c r="L84" s="610">
        <f t="shared" si="51"/>
        <v>447610.34505494987</v>
      </c>
      <c r="M84" s="610">
        <f t="shared" si="53"/>
        <v>-9719836.777115047</v>
      </c>
      <c r="N84" s="610">
        <f t="shared" si="48"/>
        <v>220395319.99918199</v>
      </c>
      <c r="O84" s="699">
        <v>6416818.1549931904</v>
      </c>
      <c r="P84" s="610">
        <f t="shared" si="49"/>
        <v>6523337.3363660779</v>
      </c>
      <c r="Q84" s="666"/>
      <c r="R84" s="662"/>
      <c r="S84" s="666"/>
      <c r="T84" s="666"/>
      <c r="U84" s="662"/>
      <c r="V84" s="495"/>
      <c r="W84" s="666"/>
      <c r="X84" s="662"/>
      <c r="Y84" s="495"/>
    </row>
    <row r="85" spans="1:25">
      <c r="A85" s="656">
        <f t="shared" si="35"/>
        <v>59</v>
      </c>
      <c r="C85" s="640" t="str">
        <f t="shared" si="44"/>
        <v xml:space="preserve">October </v>
      </c>
      <c r="D85" s="936">
        <v>2018</v>
      </c>
      <c r="E85" s="668">
        <v>14650134.061748147</v>
      </c>
      <c r="F85" s="668">
        <v>71265.351666699833</v>
      </c>
      <c r="G85" s="660">
        <f t="shared" si="45"/>
        <v>1093415.1532561085</v>
      </c>
      <c r="H85" s="610">
        <f t="shared" si="46"/>
        <v>1253782.7090670045</v>
      </c>
      <c r="I85" s="660">
        <f t="shared" si="50"/>
        <v>14418501.154270552</v>
      </c>
      <c r="J85" s="660">
        <f t="shared" si="47"/>
        <v>432555.03462811653</v>
      </c>
      <c r="K85" s="610">
        <f t="shared" si="52"/>
        <v>225597804.76263231</v>
      </c>
      <c r="L85" s="610">
        <f t="shared" si="51"/>
        <v>480304.50484935316</v>
      </c>
      <c r="M85" s="610">
        <f t="shared" si="53"/>
        <v>-10493314.981332697</v>
      </c>
      <c r="N85" s="610">
        <f t="shared" si="48"/>
        <v>236091119.743965</v>
      </c>
      <c r="O85" s="699">
        <v>7537256.9466591012</v>
      </c>
      <c r="P85" s="610">
        <f t="shared" si="49"/>
        <v>7662375.4119736422</v>
      </c>
      <c r="Q85" s="666"/>
      <c r="R85" s="662"/>
      <c r="S85" s="666"/>
      <c r="T85" s="666"/>
      <c r="U85" s="662"/>
      <c r="V85" s="495"/>
      <c r="W85" s="666"/>
      <c r="X85" s="662"/>
      <c r="Y85" s="495"/>
    </row>
    <row r="86" spans="1:25">
      <c r="A86" s="656">
        <f t="shared" si="35"/>
        <v>60</v>
      </c>
      <c r="C86" s="640" t="str">
        <f t="shared" si="44"/>
        <v>November</v>
      </c>
      <c r="D86" s="936">
        <v>2018</v>
      </c>
      <c r="E86" s="668">
        <v>14078406.481748164</v>
      </c>
      <c r="F86" s="668">
        <v>34483.771666699831</v>
      </c>
      <c r="G86" s="660">
        <f t="shared" si="45"/>
        <v>1053294.2032561097</v>
      </c>
      <c r="H86" s="610">
        <f t="shared" si="46"/>
        <v>1207777.353067006</v>
      </c>
      <c r="I86" s="660">
        <f t="shared" si="50"/>
        <v>13889439.560270566</v>
      </c>
      <c r="J86" s="660">
        <f t="shared" si="47"/>
        <v>416683.18680811697</v>
      </c>
      <c r="K86" s="610">
        <f t="shared" si="52"/>
        <v>239938411.2813777</v>
      </c>
      <c r="L86" s="610">
        <f t="shared" si="51"/>
        <v>514324.87660371285</v>
      </c>
      <c r="M86" s="610">
        <f t="shared" si="53"/>
        <v>-11186767.457795989</v>
      </c>
      <c r="N86" s="610">
        <f t="shared" si="48"/>
        <v>251125178.73917368</v>
      </c>
      <c r="O86" s="699">
        <v>8085968.1583250109</v>
      </c>
      <c r="P86" s="610">
        <f t="shared" si="49"/>
        <v>8220195.2297532065</v>
      </c>
      <c r="Q86" s="666"/>
      <c r="R86" s="662"/>
      <c r="S86" s="666"/>
      <c r="T86" s="666"/>
      <c r="U86" s="662"/>
      <c r="V86" s="495"/>
      <c r="W86" s="666"/>
      <c r="X86" s="662"/>
      <c r="Y86" s="495"/>
    </row>
    <row r="87" spans="1:25">
      <c r="A87" s="656">
        <f t="shared" si="35"/>
        <v>61</v>
      </c>
      <c r="C87" s="640" t="str">
        <f t="shared" si="44"/>
        <v>December</v>
      </c>
      <c r="D87" s="936">
        <v>2018</v>
      </c>
      <c r="E87" s="668">
        <v>118945662.44878027</v>
      </c>
      <c r="F87" s="668">
        <v>45412153.892222717</v>
      </c>
      <c r="G87" s="660">
        <f t="shared" si="45"/>
        <v>5515013.141741816</v>
      </c>
      <c r="H87" s="610">
        <f t="shared" si="46"/>
        <v>6323881.7358639492</v>
      </c>
      <c r="I87" s="660">
        <f t="shared" si="50"/>
        <v>72724639.962435409</v>
      </c>
      <c r="J87" s="660">
        <f t="shared" si="47"/>
        <v>2181739.1988730622</v>
      </c>
      <c r="K87" s="610">
        <f t="shared" si="52"/>
        <v>360256944.3349089</v>
      </c>
      <c r="L87" s="610">
        <f t="shared" si="51"/>
        <v>547019.03639811627</v>
      </c>
      <c r="M87" s="610">
        <f t="shared" si="53"/>
        <v>-16963630.157261822</v>
      </c>
      <c r="N87" s="610">
        <f t="shared" si="48"/>
        <v>377220574.49217075</v>
      </c>
      <c r="O87" s="699">
        <v>8634679.3699909206</v>
      </c>
      <c r="P87" s="610">
        <f t="shared" si="49"/>
        <v>8778015.0475327708</v>
      </c>
      <c r="Q87" s="666"/>
      <c r="R87" s="662"/>
      <c r="S87" s="666"/>
      <c r="T87" s="666"/>
      <c r="U87" s="662"/>
      <c r="V87" s="495"/>
      <c r="W87" s="666"/>
      <c r="X87" s="662"/>
      <c r="Y87" s="495"/>
    </row>
    <row r="88" spans="1:25">
      <c r="A88" s="656">
        <f t="shared" si="35"/>
        <v>62</v>
      </c>
      <c r="C88" s="640" t="str">
        <f t="shared" si="44"/>
        <v>January</v>
      </c>
      <c r="D88" s="936">
        <v>2019</v>
      </c>
      <c r="E88" s="668">
        <v>14159637.271703064</v>
      </c>
      <c r="F88" s="668">
        <v>0</v>
      </c>
      <c r="G88" s="660">
        <f t="shared" si="45"/>
        <v>1061972.7953777297</v>
      </c>
      <c r="H88" s="610">
        <f t="shared" si="46"/>
        <v>1217728.8053664635</v>
      </c>
      <c r="I88" s="660">
        <f t="shared" si="50"/>
        <v>14003881.26171433</v>
      </c>
      <c r="J88" s="660">
        <f t="shared" si="47"/>
        <v>420116.43785142986</v>
      </c>
      <c r="K88" s="610">
        <f t="shared" si="52"/>
        <v>374680942.03447467</v>
      </c>
      <c r="L88" s="610">
        <f t="shared" si="51"/>
        <v>821324.96207415976</v>
      </c>
      <c r="M88" s="610">
        <f t="shared" si="53"/>
        <v>-17360034.000554126</v>
      </c>
      <c r="N88" s="610">
        <f t="shared" si="48"/>
        <v>392040976.03502882</v>
      </c>
      <c r="O88" s="699">
        <v>9251670.0366589092</v>
      </c>
      <c r="P88" s="610">
        <f t="shared" si="49"/>
        <v>9405247.7592674475</v>
      </c>
      <c r="Q88" s="666"/>
      <c r="R88" s="662"/>
      <c r="S88" s="666"/>
      <c r="T88" s="666"/>
      <c r="U88" s="662"/>
      <c r="V88" s="495"/>
      <c r="W88" s="666"/>
      <c r="X88" s="662"/>
      <c r="Y88" s="495"/>
    </row>
    <row r="89" spans="1:25">
      <c r="A89" s="656">
        <f t="shared" si="35"/>
        <v>63</v>
      </c>
      <c r="C89" s="640" t="str">
        <f t="shared" si="44"/>
        <v>February</v>
      </c>
      <c r="D89" s="936">
        <v>2019</v>
      </c>
      <c r="E89" s="668">
        <v>13159637.271703064</v>
      </c>
      <c r="F89" s="668">
        <v>0</v>
      </c>
      <c r="G89" s="660">
        <f t="shared" si="45"/>
        <v>986972.79537772981</v>
      </c>
      <c r="H89" s="610">
        <f t="shared" si="46"/>
        <v>1131728.8053664635</v>
      </c>
      <c r="I89" s="660">
        <f t="shared" si="50"/>
        <v>13014881.26171433</v>
      </c>
      <c r="J89" s="660">
        <f t="shared" si="47"/>
        <v>390446.43785142986</v>
      </c>
      <c r="K89" s="610">
        <f t="shared" si="52"/>
        <v>388086269.73404044</v>
      </c>
      <c r="L89" s="610">
        <f t="shared" si="51"/>
        <v>854209.2396705976</v>
      </c>
      <c r="M89" s="610">
        <f t="shared" si="53"/>
        <v>-17637553.566249993</v>
      </c>
      <c r="N89" s="610">
        <f t="shared" si="48"/>
        <v>405723823.30029041</v>
      </c>
      <c r="O89" s="699">
        <v>9868660.7033268958</v>
      </c>
      <c r="P89" s="610">
        <f t="shared" si="49"/>
        <v>10032480.471002122</v>
      </c>
      <c r="Q89" s="666"/>
      <c r="R89" s="662"/>
      <c r="S89" s="666"/>
      <c r="T89" s="666"/>
      <c r="U89" s="662"/>
      <c r="V89" s="495"/>
      <c r="W89" s="666"/>
      <c r="X89" s="662"/>
      <c r="Y89" s="495"/>
    </row>
    <row r="90" spans="1:25">
      <c r="A90" s="656">
        <f t="shared" si="35"/>
        <v>64</v>
      </c>
      <c r="C90" s="640" t="str">
        <f t="shared" si="44"/>
        <v>March</v>
      </c>
      <c r="D90" s="936">
        <v>2019</v>
      </c>
      <c r="E90" s="668">
        <v>13159637.271702945</v>
      </c>
      <c r="F90" s="668">
        <v>0</v>
      </c>
      <c r="G90" s="660">
        <f t="shared" si="45"/>
        <v>986972.79537772085</v>
      </c>
      <c r="H90" s="610">
        <f t="shared" si="46"/>
        <v>1131728.8053664532</v>
      </c>
      <c r="I90" s="660">
        <f t="shared" si="50"/>
        <v>13014881.261714213</v>
      </c>
      <c r="J90" s="660">
        <f t="shared" si="47"/>
        <v>390446.43785142637</v>
      </c>
      <c r="K90" s="610">
        <f t="shared" si="52"/>
        <v>401491597.43360609</v>
      </c>
      <c r="L90" s="610">
        <f t="shared" si="51"/>
        <v>884771.12178716308</v>
      </c>
      <c r="M90" s="610">
        <f t="shared" si="53"/>
        <v>-17884511.249829285</v>
      </c>
      <c r="N90" s="610">
        <f t="shared" si="48"/>
        <v>419376108.68343538</v>
      </c>
      <c r="O90" s="699">
        <v>10485651.369994882</v>
      </c>
      <c r="P90" s="610">
        <f t="shared" si="49"/>
        <v>10659713.182736797</v>
      </c>
      <c r="Q90" s="666"/>
      <c r="R90" s="662"/>
      <c r="S90" s="666"/>
      <c r="T90" s="666"/>
      <c r="U90" s="662"/>
      <c r="V90" s="495"/>
      <c r="W90" s="666"/>
      <c r="X90" s="662"/>
      <c r="Y90" s="495"/>
    </row>
    <row r="91" spans="1:25">
      <c r="A91" s="656">
        <f t="shared" si="35"/>
        <v>65</v>
      </c>
      <c r="C91" s="640" t="str">
        <f t="shared" si="44"/>
        <v>April</v>
      </c>
      <c r="D91" s="936">
        <v>2019</v>
      </c>
      <c r="E91" s="668">
        <v>13341469.462503135</v>
      </c>
      <c r="F91" s="668">
        <v>39760.190799999989</v>
      </c>
      <c r="G91" s="660">
        <f t="shared" si="45"/>
        <v>997628.19537773507</v>
      </c>
      <c r="H91" s="610">
        <f t="shared" si="46"/>
        <v>1143946.9973664696</v>
      </c>
      <c r="I91" s="660">
        <f t="shared" si="50"/>
        <v>13155390.469714401</v>
      </c>
      <c r="J91" s="660">
        <f t="shared" si="47"/>
        <v>394661.71409143205</v>
      </c>
      <c r="K91" s="610">
        <f t="shared" si="52"/>
        <v>415081409.80821192</v>
      </c>
      <c r="L91" s="610">
        <f t="shared" si="51"/>
        <v>915333.00390372809</v>
      </c>
      <c r="M91" s="610">
        <f t="shared" si="53"/>
        <v>-18113125.243292026</v>
      </c>
      <c r="N91" s="610">
        <f t="shared" si="48"/>
        <v>433194535.05150396</v>
      </c>
      <c r="O91" s="699">
        <v>11284474.227462869</v>
      </c>
      <c r="P91" s="610">
        <f t="shared" si="49"/>
        <v>11471796.499638753</v>
      </c>
      <c r="Q91" s="666"/>
      <c r="R91" s="662"/>
      <c r="S91" s="666"/>
      <c r="T91" s="666"/>
      <c r="U91" s="662"/>
      <c r="V91" s="495"/>
      <c r="W91" s="666"/>
      <c r="X91" s="662"/>
      <c r="Y91" s="495"/>
    </row>
    <row r="92" spans="1:25">
      <c r="A92" s="656">
        <f t="shared" si="35"/>
        <v>66</v>
      </c>
      <c r="C92" s="640" t="str">
        <f t="shared" si="44"/>
        <v>May</v>
      </c>
      <c r="D92" s="936">
        <v>2019</v>
      </c>
      <c r="E92" s="668">
        <v>19327296.201703012</v>
      </c>
      <c r="F92" s="668">
        <v>460897.93000000011</v>
      </c>
      <c r="G92" s="660">
        <f t="shared" si="45"/>
        <v>1414979.8703777259</v>
      </c>
      <c r="H92" s="610">
        <f t="shared" si="46"/>
        <v>1622510.2513664591</v>
      </c>
      <c r="I92" s="660">
        <f t="shared" si="50"/>
        <v>18658867.89071428</v>
      </c>
      <c r="J92" s="660">
        <f t="shared" si="47"/>
        <v>559766.03672142839</v>
      </c>
      <c r="K92" s="610">
        <f t="shared" si="52"/>
        <v>434760941.66564763</v>
      </c>
      <c r="L92" s="610">
        <f t="shared" si="51"/>
        <v>946315.47990783199</v>
      </c>
      <c r="M92" s="610">
        <f t="shared" si="53"/>
        <v>-18789320.014750652</v>
      </c>
      <c r="N92" s="610">
        <f t="shared" si="48"/>
        <v>453550261.68039829</v>
      </c>
      <c r="O92" s="699">
        <v>11901464.894130858</v>
      </c>
      <c r="P92" s="610">
        <f t="shared" si="49"/>
        <v>12099029.21137343</v>
      </c>
      <c r="Q92" s="666"/>
      <c r="R92" s="662"/>
      <c r="S92" s="666"/>
      <c r="T92" s="666"/>
      <c r="U92" s="662"/>
      <c r="V92" s="495"/>
      <c r="W92" s="666"/>
      <c r="X92" s="662"/>
      <c r="Y92" s="495"/>
    </row>
    <row r="93" spans="1:25">
      <c r="A93" s="656">
        <f t="shared" si="35"/>
        <v>67</v>
      </c>
      <c r="C93" s="640" t="str">
        <f t="shared" si="44"/>
        <v xml:space="preserve">June </v>
      </c>
      <c r="D93" s="936">
        <v>2019</v>
      </c>
      <c r="E93" s="668">
        <v>19393532.521703064</v>
      </c>
      <c r="F93" s="668">
        <v>272295.25000000023</v>
      </c>
      <c r="G93" s="660">
        <f t="shared" si="45"/>
        <v>1434092.7953777297</v>
      </c>
      <c r="H93" s="610">
        <f t="shared" si="46"/>
        <v>1644426.4053664636</v>
      </c>
      <c r="I93" s="660">
        <f t="shared" si="50"/>
        <v>18910903.66171433</v>
      </c>
      <c r="J93" s="660">
        <f t="shared" si="47"/>
        <v>567327.10985142994</v>
      </c>
      <c r="K93" s="610">
        <f t="shared" si="52"/>
        <v>454511467.68721336</v>
      </c>
      <c r="L93" s="610">
        <f t="shared" si="51"/>
        <v>991181.48738004209</v>
      </c>
      <c r="M93" s="610">
        <f t="shared" si="53"/>
        <v>-19442564.932737075</v>
      </c>
      <c r="N93" s="610">
        <f t="shared" si="48"/>
        <v>473954032.61995041</v>
      </c>
      <c r="O93" s="699">
        <v>12518455.560798844</v>
      </c>
      <c r="P93" s="610">
        <f t="shared" si="49"/>
        <v>12726261.923108106</v>
      </c>
      <c r="Q93" s="666"/>
      <c r="R93" s="662"/>
      <c r="S93" s="666"/>
      <c r="T93" s="666"/>
      <c r="U93" s="662"/>
      <c r="V93" s="495"/>
      <c r="W93" s="666"/>
      <c r="X93" s="662"/>
      <c r="Y93" s="495"/>
    </row>
    <row r="94" spans="1:25">
      <c r="A94" s="656">
        <f t="shared" si="35"/>
        <v>68</v>
      </c>
      <c r="C94" s="640" t="str">
        <f t="shared" si="44"/>
        <v>July</v>
      </c>
      <c r="D94" s="936">
        <v>2019</v>
      </c>
      <c r="E94" s="668">
        <v>47512322.064102948</v>
      </c>
      <c r="F94" s="668">
        <v>12901857.738700015</v>
      </c>
      <c r="G94" s="660">
        <f t="shared" si="45"/>
        <v>2595784.8244052199</v>
      </c>
      <c r="H94" s="610">
        <f t="shared" si="46"/>
        <v>2976499.9319846523</v>
      </c>
      <c r="I94" s="660">
        <f t="shared" si="50"/>
        <v>34229749.217823498</v>
      </c>
      <c r="J94" s="660">
        <f t="shared" si="47"/>
        <v>1026892.4765347049</v>
      </c>
      <c r="K94" s="610">
        <f t="shared" si="52"/>
        <v>502669967.12027162</v>
      </c>
      <c r="L94" s="610">
        <f t="shared" si="51"/>
        <v>1036209.3495509013</v>
      </c>
      <c r="M94" s="610">
        <f t="shared" si="53"/>
        <v>-21382855.515170824</v>
      </c>
      <c r="N94" s="610">
        <f t="shared" si="48"/>
        <v>524052822.63544244</v>
      </c>
      <c r="O94" s="699">
        <v>13135446.227466831</v>
      </c>
      <c r="P94" s="610">
        <f t="shared" si="49"/>
        <v>13353494.634842781</v>
      </c>
      <c r="Q94" s="666"/>
      <c r="R94" s="662"/>
      <c r="S94" s="666"/>
      <c r="T94" s="666"/>
      <c r="U94" s="662"/>
      <c r="V94" s="495"/>
      <c r="W94" s="666"/>
      <c r="X94" s="662"/>
      <c r="Y94" s="495"/>
    </row>
    <row r="95" spans="1:25">
      <c r="A95" s="656">
        <f t="shared" si="35"/>
        <v>69</v>
      </c>
      <c r="C95" s="640" t="str">
        <f t="shared" si="44"/>
        <v>August</v>
      </c>
      <c r="D95" s="936">
        <v>2019</v>
      </c>
      <c r="E95" s="668">
        <v>13275051.645503104</v>
      </c>
      <c r="F95" s="668">
        <v>3329.533800000002</v>
      </c>
      <c r="G95" s="660">
        <f t="shared" si="45"/>
        <v>995379.15837773273</v>
      </c>
      <c r="H95" s="610">
        <f t="shared" si="46"/>
        <v>1141368.101606467</v>
      </c>
      <c r="I95" s="660">
        <f t="shared" si="50"/>
        <v>13125733.168474369</v>
      </c>
      <c r="J95" s="660">
        <f t="shared" si="47"/>
        <v>393771.99505423103</v>
      </c>
      <c r="K95" s="610">
        <f t="shared" si="52"/>
        <v>516192801.81760025</v>
      </c>
      <c r="L95" s="610">
        <f t="shared" si="51"/>
        <v>1146002.5911313726</v>
      </c>
      <c r="M95" s="610">
        <f t="shared" si="53"/>
        <v>-21378221.025645915</v>
      </c>
      <c r="N95" s="610">
        <f t="shared" si="48"/>
        <v>537571022.84324622</v>
      </c>
      <c r="O95" s="699">
        <v>13867851.267934818</v>
      </c>
      <c r="P95" s="610">
        <f t="shared" si="49"/>
        <v>14098057.598982537</v>
      </c>
      <c r="Q95" s="666"/>
      <c r="R95" s="662"/>
      <c r="S95" s="666"/>
      <c r="T95" s="666"/>
      <c r="U95" s="662"/>
      <c r="V95" s="495"/>
      <c r="W95" s="666"/>
      <c r="X95" s="662"/>
      <c r="Y95" s="495"/>
    </row>
    <row r="96" spans="1:25">
      <c r="A96" s="656">
        <f t="shared" si="35"/>
        <v>70</v>
      </c>
      <c r="C96" s="640" t="str">
        <f t="shared" si="44"/>
        <v>September</v>
      </c>
      <c r="D96" s="936">
        <v>2019</v>
      </c>
      <c r="E96" s="668">
        <v>13159637.271703064</v>
      </c>
      <c r="F96" s="668">
        <v>0</v>
      </c>
      <c r="G96" s="660">
        <f t="shared" si="45"/>
        <v>986972.79537772981</v>
      </c>
      <c r="H96" s="610">
        <f t="shared" si="46"/>
        <v>1131728.8053664635</v>
      </c>
      <c r="I96" s="660">
        <f t="shared" si="50"/>
        <v>13014881.26171433</v>
      </c>
      <c r="J96" s="660">
        <f t="shared" si="47"/>
        <v>390446.43785142986</v>
      </c>
      <c r="K96" s="610">
        <f t="shared" si="52"/>
        <v>529598129.51716602</v>
      </c>
      <c r="L96" s="610">
        <f t="shared" si="51"/>
        <v>1176832.3693482038</v>
      </c>
      <c r="M96" s="610">
        <f t="shared" si="53"/>
        <v>-21333117.461664177</v>
      </c>
      <c r="N96" s="610">
        <f t="shared" si="48"/>
        <v>550931246.97883022</v>
      </c>
      <c r="O96" s="699">
        <v>14484841.934602806</v>
      </c>
      <c r="P96" s="610">
        <f t="shared" si="49"/>
        <v>14725290.310717214</v>
      </c>
      <c r="Q96" s="666"/>
      <c r="R96" s="662"/>
      <c r="S96" s="666"/>
      <c r="T96" s="666"/>
      <c r="U96" s="662"/>
      <c r="V96" s="495"/>
      <c r="W96" s="666"/>
      <c r="X96" s="662"/>
      <c r="Y96" s="495"/>
    </row>
    <row r="97" spans="1:25">
      <c r="A97" s="657">
        <f t="shared" si="35"/>
        <v>71</v>
      </c>
      <c r="C97" s="640" t="str">
        <f t="shared" ref="C97:C99" si="54">C66</f>
        <v>October</v>
      </c>
      <c r="D97" s="936">
        <v>2019</v>
      </c>
      <c r="E97" s="668">
        <v>25094286.991702974</v>
      </c>
      <c r="F97" s="668">
        <v>4712649.7199999988</v>
      </c>
      <c r="G97" s="660">
        <f t="shared" ref="G97:G99" si="55">(E97-F97)*$E$103</f>
        <v>1528622.7953777232</v>
      </c>
      <c r="H97" s="610">
        <f t="shared" ref="H97:H99" si="56">(E97-F97+G97)*$E$107</f>
        <v>1752820.805366456</v>
      </c>
      <c r="I97" s="660">
        <f t="shared" ref="I97:I99" si="57">E97-F97+G97-H97</f>
        <v>20157439.261714242</v>
      </c>
      <c r="J97" s="660">
        <f t="shared" ref="J97:J99" si="58">I97*$E$111</f>
        <v>604723.17785142723</v>
      </c>
      <c r="K97" s="610">
        <f t="shared" ref="K97:K99" si="59">K96+J97+I97+F97</f>
        <v>555072941.67673171</v>
      </c>
      <c r="L97" s="610">
        <f t="shared" ref="L97:L99" si="60">K96*$E$133/12</f>
        <v>1207394.251464769</v>
      </c>
      <c r="M97" s="610">
        <f t="shared" si="53"/>
        <v>-21878544.015565865</v>
      </c>
      <c r="N97" s="610">
        <f t="shared" ref="N97:N99" si="61">K97-M97</f>
        <v>576951485.69229758</v>
      </c>
      <c r="O97" s="699">
        <v>15101832.601270793</v>
      </c>
      <c r="P97" s="610">
        <f t="shared" ref="P97:P99" si="62">O97*(1-$E$107)*(1+$E$103+$E$111)</f>
        <v>15352523.022451889</v>
      </c>
      <c r="Q97" s="666"/>
      <c r="R97" s="662"/>
      <c r="S97" s="666"/>
      <c r="T97" s="666"/>
      <c r="U97" s="662"/>
      <c r="V97" s="495"/>
      <c r="W97" s="666"/>
      <c r="X97" s="662"/>
      <c r="Y97" s="495"/>
    </row>
    <row r="98" spans="1:25">
      <c r="A98" s="657">
        <f t="shared" si="35"/>
        <v>72</v>
      </c>
      <c r="C98" s="640" t="str">
        <f t="shared" si="54"/>
        <v>November</v>
      </c>
      <c r="D98" s="936">
        <v>2019</v>
      </c>
      <c r="E98" s="668">
        <v>15197414.754703045</v>
      </c>
      <c r="F98" s="668">
        <v>1324267.4829999981</v>
      </c>
      <c r="G98" s="660">
        <f t="shared" si="55"/>
        <v>1040486.0453777284</v>
      </c>
      <c r="H98" s="610">
        <f t="shared" si="56"/>
        <v>1193090.665366462</v>
      </c>
      <c r="I98" s="660">
        <f t="shared" si="57"/>
        <v>13720542.651714312</v>
      </c>
      <c r="J98" s="660">
        <f t="shared" si="58"/>
        <v>411616.27955142932</v>
      </c>
      <c r="K98" s="610">
        <f t="shared" si="59"/>
        <v>570529368.09099746</v>
      </c>
      <c r="L98" s="610">
        <f t="shared" si="60"/>
        <v>1265472.5188231652</v>
      </c>
      <c r="M98" s="610">
        <f t="shared" si="53"/>
        <v>-21806162.162109163</v>
      </c>
      <c r="N98" s="610">
        <f t="shared" si="61"/>
        <v>592335530.25310659</v>
      </c>
      <c r="O98" s="699">
        <v>15718823.26793878</v>
      </c>
      <c r="P98" s="610">
        <f t="shared" si="62"/>
        <v>15979755.734186564</v>
      </c>
      <c r="Q98" s="666"/>
      <c r="R98" s="662"/>
      <c r="S98" s="666"/>
      <c r="T98" s="666"/>
      <c r="U98" s="662"/>
      <c r="V98" s="495"/>
      <c r="W98" s="666"/>
      <c r="X98" s="662"/>
      <c r="Y98" s="495"/>
    </row>
    <row r="99" spans="1:25">
      <c r="A99" s="657">
        <f t="shared" si="35"/>
        <v>73</v>
      </c>
      <c r="C99" s="640" t="str">
        <f t="shared" si="54"/>
        <v>December</v>
      </c>
      <c r="D99" s="936">
        <v>2019</v>
      </c>
      <c r="E99" s="668">
        <v>41938774.319779634</v>
      </c>
      <c r="F99" s="668">
        <v>1361933.392863611</v>
      </c>
      <c r="G99" s="660">
        <f t="shared" si="55"/>
        <v>3043263.0695187016</v>
      </c>
      <c r="H99" s="610">
        <f t="shared" si="56"/>
        <v>3489608.3197147781</v>
      </c>
      <c r="I99" s="660">
        <f t="shared" si="57"/>
        <v>40130495.676719949</v>
      </c>
      <c r="J99" s="660">
        <f t="shared" si="58"/>
        <v>1203914.8703015985</v>
      </c>
      <c r="K99" s="610">
        <f t="shared" si="59"/>
        <v>613225712.0308826</v>
      </c>
      <c r="L99" s="610">
        <f t="shared" si="60"/>
        <v>1300710.5594442429</v>
      </c>
      <c r="M99" s="610">
        <f t="shared" si="53"/>
        <v>-23995059.922379699</v>
      </c>
      <c r="N99" s="610">
        <f t="shared" si="61"/>
        <v>637220771.95326233</v>
      </c>
      <c r="O99" s="699">
        <v>16335813.934606768</v>
      </c>
      <c r="P99" s="610">
        <f t="shared" si="62"/>
        <v>16606988.445921242</v>
      </c>
      <c r="Q99" s="666"/>
      <c r="R99" s="662"/>
      <c r="S99" s="666"/>
      <c r="T99" s="666"/>
      <c r="U99" s="662"/>
      <c r="V99" s="495"/>
      <c r="W99" s="666"/>
      <c r="X99" s="662"/>
      <c r="Y99" s="495"/>
    </row>
    <row r="100" spans="1:25">
      <c r="A100" s="656"/>
      <c r="O100" s="662"/>
    </row>
    <row r="101" spans="1:25">
      <c r="A101" s="656"/>
      <c r="B101" s="612" t="s">
        <v>1943</v>
      </c>
      <c r="G101" s="613"/>
    </row>
    <row r="102" spans="1:25">
      <c r="A102" s="658" t="s">
        <v>332</v>
      </c>
      <c r="B102" s="613"/>
      <c r="F102" s="702"/>
    </row>
    <row r="103" spans="1:25">
      <c r="A103" s="656">
        <f>A99+1</f>
        <v>74</v>
      </c>
      <c r="C103" s="669" t="s">
        <v>1935</v>
      </c>
      <c r="E103" s="670">
        <v>7.4999999999999997E-2</v>
      </c>
    </row>
    <row r="105" spans="1:25">
      <c r="A105" s="656"/>
      <c r="B105" s="612" t="s">
        <v>1945</v>
      </c>
    </row>
    <row r="106" spans="1:25">
      <c r="A106" s="658" t="s">
        <v>332</v>
      </c>
      <c r="F106" s="702"/>
    </row>
    <row r="107" spans="1:25">
      <c r="A107" s="656">
        <f>A103+1</f>
        <v>75</v>
      </c>
      <c r="B107" s="612"/>
      <c r="C107" s="609" t="s">
        <v>1936</v>
      </c>
      <c r="E107" s="670">
        <v>0.08</v>
      </c>
    </row>
    <row r="108" spans="1:25">
      <c r="A108" s="656"/>
      <c r="B108" s="613"/>
      <c r="C108" s="609"/>
    </row>
    <row r="109" spans="1:25">
      <c r="B109" s="612" t="s">
        <v>1946</v>
      </c>
    </row>
    <row r="110" spans="1:25">
      <c r="A110" s="658" t="s">
        <v>332</v>
      </c>
      <c r="B110" s="613"/>
      <c r="F110" s="702"/>
    </row>
    <row r="111" spans="1:25">
      <c r="A111" s="656">
        <f>A107+1</f>
        <v>76</v>
      </c>
      <c r="C111" s="609" t="s">
        <v>1937</v>
      </c>
      <c r="E111" s="670">
        <v>0.03</v>
      </c>
    </row>
    <row r="113" spans="1:9">
      <c r="B113" s="612" t="s">
        <v>1944</v>
      </c>
    </row>
    <row r="114" spans="1:9" s="652" customFormat="1">
      <c r="C114" s="664" t="s">
        <v>1990</v>
      </c>
      <c r="F114" s="671"/>
    </row>
    <row r="115" spans="1:9" s="656" customFormat="1">
      <c r="B115" s="652" t="s">
        <v>363</v>
      </c>
      <c r="C115" s="652" t="s">
        <v>347</v>
      </c>
      <c r="D115" s="652" t="s">
        <v>348</v>
      </c>
      <c r="E115" s="652" t="s">
        <v>349</v>
      </c>
      <c r="F115" s="652"/>
    </row>
    <row r="116" spans="1:9" s="652" customFormat="1">
      <c r="C116" s="656" t="s">
        <v>180</v>
      </c>
      <c r="D116" s="659"/>
      <c r="E116" s="975" t="s">
        <v>1938</v>
      </c>
      <c r="F116" s="659"/>
    </row>
    <row r="117" spans="1:9">
      <c r="A117" s="656"/>
      <c r="B117" s="656"/>
      <c r="C117" s="656" t="str">
        <f>"Prior Year"</f>
        <v>Prior Year</v>
      </c>
      <c r="D117" s="657" t="s">
        <v>1939</v>
      </c>
      <c r="E117" s="657" t="s">
        <v>1356</v>
      </c>
      <c r="F117" s="657" t="s">
        <v>2070</v>
      </c>
    </row>
    <row r="118" spans="1:9">
      <c r="A118" s="652" t="s">
        <v>332</v>
      </c>
      <c r="B118" s="652" t="s">
        <v>1863</v>
      </c>
      <c r="C118" s="652" t="s">
        <v>1940</v>
      </c>
      <c r="D118" s="659" t="s">
        <v>13</v>
      </c>
      <c r="E118" s="659" t="s">
        <v>1939</v>
      </c>
      <c r="F118" s="125" t="s">
        <v>205</v>
      </c>
    </row>
    <row r="119" spans="1:9">
      <c r="A119" s="656">
        <f>A111+1</f>
        <v>77</v>
      </c>
      <c r="B119" s="656">
        <v>350.1</v>
      </c>
      <c r="C119" s="703">
        <f>'17-Depreciation'!C24</f>
        <v>87876203.008566424</v>
      </c>
      <c r="D119" s="976">
        <f>'18-DepRates'!G6</f>
        <v>0</v>
      </c>
      <c r="E119" s="977">
        <f>C119*D119</f>
        <v>0</v>
      </c>
      <c r="F119" s="978" t="s">
        <v>2071</v>
      </c>
      <c r="H119" s="703"/>
      <c r="I119" s="701"/>
    </row>
    <row r="120" spans="1:9">
      <c r="A120" s="656">
        <f>A119+1</f>
        <v>78</v>
      </c>
      <c r="B120" s="656">
        <v>350.2</v>
      </c>
      <c r="C120" s="703">
        <f>'17-Depreciation'!D24</f>
        <v>164901118.05652422</v>
      </c>
      <c r="D120" s="976">
        <f>'18-DepRates'!G7</f>
        <v>1.67E-2</v>
      </c>
      <c r="E120" s="977">
        <f t="shared" ref="E120:E128" si="63">C120*D120</f>
        <v>2753848.6715439544</v>
      </c>
      <c r="F120" s="978" t="s">
        <v>2072</v>
      </c>
      <c r="H120" s="703"/>
      <c r="I120" s="701"/>
    </row>
    <row r="121" spans="1:9">
      <c r="A121" s="656">
        <f t="shared" ref="A121:A133" si="64">A120+1</f>
        <v>79</v>
      </c>
      <c r="B121" s="656">
        <v>352</v>
      </c>
      <c r="C121" s="703">
        <f>'17-Depreciation'!E24</f>
        <v>569698022.82553017</v>
      </c>
      <c r="D121" s="976">
        <f>'18-DepRates'!G8</f>
        <v>2.41E-2</v>
      </c>
      <c r="E121" s="977">
        <f t="shared" si="63"/>
        <v>13729722.350095278</v>
      </c>
      <c r="F121" s="978" t="s">
        <v>2073</v>
      </c>
      <c r="H121" s="703"/>
      <c r="I121" s="701"/>
    </row>
    <row r="122" spans="1:9">
      <c r="A122" s="656">
        <f t="shared" si="64"/>
        <v>80</v>
      </c>
      <c r="B122" s="656">
        <v>353</v>
      </c>
      <c r="C122" s="703">
        <f>'17-Depreciation'!F24</f>
        <v>3409447773.6593328</v>
      </c>
      <c r="D122" s="976">
        <f>'18-DepRates'!G9</f>
        <v>2.8400000000000002E-2</v>
      </c>
      <c r="E122" s="977">
        <f t="shared" si="63"/>
        <v>96828316.771925062</v>
      </c>
      <c r="F122" s="978" t="s">
        <v>2074</v>
      </c>
      <c r="H122" s="703"/>
      <c r="I122" s="701"/>
    </row>
    <row r="123" spans="1:9">
      <c r="A123" s="656">
        <f t="shared" si="64"/>
        <v>81</v>
      </c>
      <c r="B123" s="656">
        <v>354</v>
      </c>
      <c r="C123" s="703">
        <f>'17-Depreciation'!G24</f>
        <v>2283380921.6603918</v>
      </c>
      <c r="D123" s="976">
        <f>'18-DepRates'!G10</f>
        <v>2.7300000000000001E-2</v>
      </c>
      <c r="E123" s="977">
        <f t="shared" si="63"/>
        <v>62336299.161328696</v>
      </c>
      <c r="F123" s="978" t="s">
        <v>2075</v>
      </c>
      <c r="H123" s="703"/>
      <c r="I123" s="701"/>
    </row>
    <row r="124" spans="1:9">
      <c r="A124" s="656">
        <f t="shared" si="64"/>
        <v>82</v>
      </c>
      <c r="B124" s="656">
        <v>355</v>
      </c>
      <c r="C124" s="703">
        <f>'17-Depreciation'!H24</f>
        <v>364424080.39844126</v>
      </c>
      <c r="D124" s="976">
        <f>'18-DepRates'!G11</f>
        <v>2.8400000000000002E-2</v>
      </c>
      <c r="E124" s="977">
        <f t="shared" si="63"/>
        <v>10349643.883315733</v>
      </c>
      <c r="F124" s="978" t="s">
        <v>2076</v>
      </c>
      <c r="H124" s="703"/>
      <c r="I124" s="701"/>
    </row>
    <row r="125" spans="1:9">
      <c r="A125" s="656">
        <f t="shared" si="64"/>
        <v>83</v>
      </c>
      <c r="B125" s="656">
        <v>356</v>
      </c>
      <c r="C125" s="703">
        <f>'17-Depreciation'!I24</f>
        <v>1245933686.1010468</v>
      </c>
      <c r="D125" s="976">
        <f>'18-DepRates'!G12</f>
        <v>3.2399999999999998E-2</v>
      </c>
      <c r="E125" s="977">
        <f t="shared" si="63"/>
        <v>40368251.429673918</v>
      </c>
      <c r="F125" s="978" t="s">
        <v>2077</v>
      </c>
      <c r="H125" s="703"/>
      <c r="I125" s="701"/>
    </row>
    <row r="126" spans="1:9">
      <c r="A126" s="656">
        <f t="shared" si="64"/>
        <v>84</v>
      </c>
      <c r="B126" s="656">
        <v>357</v>
      </c>
      <c r="C126" s="703">
        <f>'17-Depreciation'!J24</f>
        <v>190222488.72271055</v>
      </c>
      <c r="D126" s="976">
        <f>'18-DepRates'!G13</f>
        <v>1.7299999999999999E-2</v>
      </c>
      <c r="E126" s="977">
        <f t="shared" si="63"/>
        <v>3290849.0549028926</v>
      </c>
      <c r="F126" s="978" t="s">
        <v>2078</v>
      </c>
      <c r="H126" s="703"/>
      <c r="I126" s="701"/>
    </row>
    <row r="127" spans="1:9">
      <c r="A127" s="656">
        <f t="shared" si="64"/>
        <v>85</v>
      </c>
      <c r="B127" s="656">
        <v>358</v>
      </c>
      <c r="C127" s="703">
        <f>'17-Depreciation'!K24</f>
        <v>84920373.966592565</v>
      </c>
      <c r="D127" s="976">
        <f>'18-DepRates'!G14</f>
        <v>2.41E-2</v>
      </c>
      <c r="E127" s="977">
        <f t="shared" si="63"/>
        <v>2046581.0125948808</v>
      </c>
      <c r="F127" s="978" t="s">
        <v>2079</v>
      </c>
      <c r="H127" s="703"/>
      <c r="I127" s="701"/>
    </row>
    <row r="128" spans="1:9">
      <c r="A128" s="656">
        <f t="shared" si="64"/>
        <v>86</v>
      </c>
      <c r="B128" s="656">
        <v>359</v>
      </c>
      <c r="C128" s="703">
        <f>'17-Depreciation'!L24</f>
        <v>172640884.93140152</v>
      </c>
      <c r="D128" s="976">
        <f>'18-DepRates'!G15</f>
        <v>1.6500000000000001E-2</v>
      </c>
      <c r="E128" s="977">
        <f t="shared" si="63"/>
        <v>2848574.6013681251</v>
      </c>
      <c r="F128" s="978" t="s">
        <v>2080</v>
      </c>
      <c r="H128" s="703"/>
      <c r="I128" s="701"/>
    </row>
    <row r="129" spans="1:9">
      <c r="A129" s="656">
        <f t="shared" si="64"/>
        <v>87</v>
      </c>
    </row>
    <row r="130" spans="1:9">
      <c r="A130" s="656">
        <f t="shared" si="64"/>
        <v>88</v>
      </c>
      <c r="C130" s="672" t="s">
        <v>1941</v>
      </c>
      <c r="E130" s="704">
        <f>SUM(E119:E128)</f>
        <v>234552086.93674853</v>
      </c>
      <c r="F130" s="649" t="str">
        <f>"Sum of C"&amp;RIGHT(E115)&amp;" Lines "&amp;A119&amp;" to "&amp;A128</f>
        <v>Sum of C4 Lines 77 to 86</v>
      </c>
    </row>
    <row r="131" spans="1:9">
      <c r="A131" s="656">
        <f t="shared" si="64"/>
        <v>89</v>
      </c>
      <c r="C131" s="649" t="str">
        <f>"Sum of Dec Prior Year Plant"</f>
        <v>Sum of Dec Prior Year Plant</v>
      </c>
      <c r="E131" s="705">
        <f>SUM(C119:C128)</f>
        <v>8573445553.3305378</v>
      </c>
      <c r="F131" s="649" t="str">
        <f>"Sum of C"&amp;RIGHT(C115)&amp;" Lines "&amp;A119&amp;" to "&amp;A128</f>
        <v>Sum of C2 Lines 77 to 86</v>
      </c>
    </row>
    <row r="132" spans="1:9">
      <c r="A132" s="656">
        <f t="shared" si="64"/>
        <v>90</v>
      </c>
    </row>
    <row r="133" spans="1:9">
      <c r="A133" s="656">
        <f t="shared" si="64"/>
        <v>91</v>
      </c>
      <c r="C133" s="649" t="s">
        <v>1942</v>
      </c>
      <c r="E133" s="673">
        <f>E130/E131</f>
        <v>2.73579724135102E-2</v>
      </c>
      <c r="F133" s="649" t="str">
        <f>"Line "&amp;A130&amp;" / Line "&amp;A131</f>
        <v>Line 88 / Line 89</v>
      </c>
    </row>
    <row r="134" spans="1:9">
      <c r="A134" s="656"/>
    </row>
    <row r="135" spans="1:9">
      <c r="A135" s="656"/>
      <c r="B135" s="648" t="s">
        <v>232</v>
      </c>
      <c r="C135"/>
      <c r="D135"/>
      <c r="E135"/>
      <c r="F135"/>
      <c r="G135"/>
      <c r="H135"/>
      <c r="I135"/>
    </row>
    <row r="136" spans="1:9">
      <c r="A136" s="656"/>
      <c r="B136" s="643" t="s">
        <v>2101</v>
      </c>
      <c r="C136" s="680"/>
      <c r="D136" s="680"/>
      <c r="E136" s="680"/>
      <c r="F136" s="680"/>
      <c r="G136" s="680"/>
      <c r="H136" s="680"/>
      <c r="I136" s="680"/>
    </row>
    <row r="137" spans="1:9">
      <c r="A137" s="656"/>
      <c r="B137" s="643" t="s">
        <v>2111</v>
      </c>
      <c r="C137"/>
      <c r="D137"/>
      <c r="E137"/>
      <c r="F137"/>
      <c r="G137"/>
      <c r="H137"/>
      <c r="I137"/>
    </row>
    <row r="138" spans="1:9">
      <c r="A138" s="656"/>
    </row>
    <row r="139" spans="1:9">
      <c r="A139" s="656"/>
    </row>
    <row r="140" spans="1:9">
      <c r="A140" s="656"/>
    </row>
    <row r="141" spans="1:9">
      <c r="A141" s="656"/>
    </row>
    <row r="142" spans="1:9">
      <c r="A142" s="656"/>
    </row>
    <row r="143" spans="1:9">
      <c r="A143" s="656"/>
    </row>
    <row r="144" spans="1:9">
      <c r="A144" s="656"/>
    </row>
    <row r="145" spans="1:1">
      <c r="A145" s="656"/>
    </row>
    <row r="146" spans="1:1">
      <c r="A146" s="656"/>
    </row>
    <row r="147" spans="1:1">
      <c r="A147" s="656"/>
    </row>
    <row r="148" spans="1:1">
      <c r="A148" s="656"/>
    </row>
    <row r="149" spans="1:1">
      <c r="A149" s="656"/>
    </row>
    <row r="150" spans="1:1">
      <c r="A150" s="656"/>
    </row>
    <row r="151" spans="1:1">
      <c r="A151" s="656"/>
    </row>
    <row r="152" spans="1:1">
      <c r="A152" s="656"/>
    </row>
    <row r="153" spans="1:1">
      <c r="A153" s="656"/>
    </row>
    <row r="154" spans="1:1">
      <c r="A154" s="656"/>
    </row>
    <row r="155" spans="1:1">
      <c r="A155" s="656"/>
    </row>
    <row r="156" spans="1:1">
      <c r="A156" s="656"/>
    </row>
    <row r="157" spans="1:1">
      <c r="A157" s="656"/>
    </row>
    <row r="158" spans="1:1">
      <c r="A158" s="656"/>
    </row>
    <row r="159" spans="1:1">
      <c r="A159" s="656"/>
    </row>
    <row r="160" spans="1:1">
      <c r="A160" s="656"/>
    </row>
    <row r="161" spans="1:1">
      <c r="A161" s="656"/>
    </row>
    <row r="162" spans="1:1">
      <c r="A162" s="656"/>
    </row>
    <row r="163" spans="1:1">
      <c r="A163" s="656"/>
    </row>
    <row r="164" spans="1:1">
      <c r="A164" s="656"/>
    </row>
    <row r="165" spans="1:1">
      <c r="A165" s="656"/>
    </row>
    <row r="166" spans="1:1">
      <c r="A166" s="656"/>
    </row>
    <row r="167" spans="1:1">
      <c r="A167" s="656"/>
    </row>
    <row r="168" spans="1:1">
      <c r="A168" s="656"/>
    </row>
    <row r="169" spans="1:1">
      <c r="A169" s="656"/>
    </row>
    <row r="170" spans="1:1">
      <c r="A170" s="656"/>
    </row>
    <row r="171" spans="1:1">
      <c r="A171" s="656"/>
    </row>
    <row r="172" spans="1:1">
      <c r="A172" s="656"/>
    </row>
    <row r="173" spans="1:1">
      <c r="A173" s="656"/>
    </row>
    <row r="174" spans="1:1">
      <c r="A174" s="656"/>
    </row>
    <row r="175" spans="1:1">
      <c r="A175" s="656"/>
    </row>
    <row r="176" spans="1:1">
      <c r="A176" s="656"/>
    </row>
    <row r="177" spans="1:1">
      <c r="A177" s="656"/>
    </row>
    <row r="178" spans="1:1">
      <c r="A178" s="656"/>
    </row>
    <row r="179" spans="1:1">
      <c r="A179" s="656"/>
    </row>
    <row r="180" spans="1:1">
      <c r="A180" s="656"/>
    </row>
    <row r="181" spans="1:1">
      <c r="A181" s="656"/>
    </row>
    <row r="182" spans="1:1">
      <c r="A182" s="656"/>
    </row>
    <row r="183" spans="1:1">
      <c r="A183" s="656"/>
    </row>
    <row r="184" spans="1:1">
      <c r="A184" s="656"/>
    </row>
    <row r="185" spans="1:1">
      <c r="A185" s="656"/>
    </row>
    <row r="186" spans="1:1">
      <c r="A186" s="656"/>
    </row>
    <row r="187" spans="1:1">
      <c r="A187" s="656"/>
    </row>
    <row r="188" spans="1:1">
      <c r="A188" s="656"/>
    </row>
    <row r="189" spans="1:1">
      <c r="A189" s="656"/>
    </row>
    <row r="190" spans="1:1">
      <c r="A190" s="656"/>
    </row>
    <row r="191" spans="1:1">
      <c r="A191" s="656"/>
    </row>
    <row r="192" spans="1:1">
      <c r="A192" s="656"/>
    </row>
    <row r="193" spans="1:1">
      <c r="A193" s="656"/>
    </row>
    <row r="194" spans="1:1">
      <c r="A194" s="656"/>
    </row>
    <row r="195" spans="1:1">
      <c r="A195" s="656"/>
    </row>
    <row r="196" spans="1:1">
      <c r="A196" s="656"/>
    </row>
    <row r="197" spans="1:1">
      <c r="A197" s="656"/>
    </row>
    <row r="198" spans="1:1">
      <c r="A198" s="656"/>
    </row>
    <row r="199" spans="1:1">
      <c r="A199" s="656"/>
    </row>
    <row r="200" spans="1:1">
      <c r="A200" s="656"/>
    </row>
    <row r="201" spans="1:1">
      <c r="A201" s="656"/>
    </row>
    <row r="202" spans="1:1">
      <c r="A202" s="656"/>
    </row>
    <row r="203" spans="1:1">
      <c r="A203" s="656"/>
    </row>
    <row r="204" spans="1:1">
      <c r="A204" s="656"/>
    </row>
  </sheetData>
  <pageMargins left="0.7" right="0.7" top="0.75" bottom="0.75" header="0.3" footer="0.3"/>
  <pageSetup scale="52" orientation="landscape" cellComments="asDisplayed" r:id="rId1"/>
  <headerFooter>
    <oddHeader>&amp;CSchedule 16
Plant Additions
&amp;RTO2019 Draft Annual Update 
Attachment1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zoomScaleNormal="100" workbookViewId="0">
      <selection activeCell="G20" sqref="G20"/>
    </sheetView>
  </sheetViews>
  <sheetFormatPr defaultRowHeight="12.75"/>
  <cols>
    <col min="1" max="1" width="4.7109375" customWidth="1"/>
    <col min="3" max="5" width="14.7109375" customWidth="1"/>
    <col min="6" max="6" width="15.5703125" customWidth="1"/>
    <col min="7" max="13" width="14.7109375" customWidth="1"/>
  </cols>
  <sheetData>
    <row r="1" spans="1:13">
      <c r="A1" s="1" t="s">
        <v>252</v>
      </c>
      <c r="B1" s="232"/>
      <c r="C1" s="232"/>
      <c r="D1" s="232"/>
      <c r="E1" s="232"/>
      <c r="F1" s="232"/>
      <c r="G1" s="232"/>
      <c r="H1" s="232"/>
      <c r="I1" s="525" t="s">
        <v>454</v>
      </c>
      <c r="J1" s="186"/>
      <c r="K1" s="232"/>
      <c r="L1" s="232"/>
      <c r="M1" s="232"/>
    </row>
    <row r="2" spans="1:13">
      <c r="A2" s="232"/>
      <c r="B2" s="232"/>
      <c r="C2" s="232"/>
      <c r="D2" s="232"/>
      <c r="E2" s="232"/>
      <c r="F2" s="232"/>
      <c r="G2" s="232"/>
      <c r="H2" s="232"/>
      <c r="K2" s="232"/>
      <c r="L2" s="232"/>
      <c r="M2" s="232"/>
    </row>
    <row r="3" spans="1:13">
      <c r="A3" s="232"/>
      <c r="B3" s="1" t="s">
        <v>976</v>
      </c>
      <c r="C3" s="232"/>
      <c r="D3" s="232"/>
      <c r="E3" s="232"/>
      <c r="F3" s="232"/>
      <c r="G3" s="232"/>
      <c r="H3" s="241"/>
      <c r="I3" s="958" t="s">
        <v>1744</v>
      </c>
      <c r="J3" s="399">
        <v>2017</v>
      </c>
      <c r="K3" s="232"/>
      <c r="L3" s="232"/>
      <c r="M3" s="232"/>
    </row>
    <row r="4" spans="1:13">
      <c r="A4" s="232"/>
      <c r="B4" s="232"/>
      <c r="C4" s="232"/>
      <c r="D4" s="232"/>
      <c r="E4" s="232"/>
      <c r="F4" s="232"/>
      <c r="G4" s="232"/>
      <c r="H4" s="241"/>
      <c r="I4" s="241"/>
      <c r="J4" s="232"/>
      <c r="K4" s="232"/>
      <c r="L4" s="232"/>
      <c r="M4" s="232"/>
    </row>
    <row r="5" spans="1:13">
      <c r="A5" s="232"/>
      <c r="B5" s="483" t="s">
        <v>979</v>
      </c>
      <c r="C5" s="232"/>
      <c r="D5" s="232"/>
      <c r="E5" s="232"/>
      <c r="F5" s="232"/>
      <c r="G5" s="232"/>
      <c r="H5" s="485" t="s">
        <v>1798</v>
      </c>
      <c r="I5" s="241"/>
      <c r="J5" s="232"/>
      <c r="K5" s="232"/>
      <c r="L5" s="232"/>
      <c r="M5" s="232"/>
    </row>
    <row r="6" spans="1:13">
      <c r="A6" s="232"/>
      <c r="B6" s="232"/>
      <c r="C6" s="232"/>
      <c r="D6" s="232"/>
      <c r="E6" s="232"/>
      <c r="F6" s="232"/>
      <c r="G6" s="232"/>
      <c r="H6" s="232"/>
      <c r="I6" s="232"/>
      <c r="J6" s="232"/>
      <c r="K6" s="232"/>
      <c r="L6" s="232"/>
      <c r="M6" s="232"/>
    </row>
    <row r="7" spans="1:13">
      <c r="A7" s="232"/>
      <c r="B7" s="84" t="s">
        <v>363</v>
      </c>
      <c r="C7" s="84" t="s">
        <v>347</v>
      </c>
      <c r="D7" s="84" t="s">
        <v>348</v>
      </c>
      <c r="E7" s="84" t="s">
        <v>349</v>
      </c>
      <c r="F7" s="84" t="s">
        <v>350</v>
      </c>
      <c r="G7" s="84" t="s">
        <v>351</v>
      </c>
      <c r="H7" s="84" t="s">
        <v>352</v>
      </c>
      <c r="I7" s="84" t="s">
        <v>544</v>
      </c>
      <c r="J7" s="84" t="s">
        <v>961</v>
      </c>
      <c r="K7" s="84" t="s">
        <v>974</v>
      </c>
      <c r="L7" s="84" t="s">
        <v>977</v>
      </c>
      <c r="M7" s="84" t="s">
        <v>995</v>
      </c>
    </row>
    <row r="8" spans="1:13">
      <c r="A8" s="232"/>
      <c r="B8" s="249"/>
      <c r="C8" s="232"/>
      <c r="D8" s="232"/>
      <c r="E8" s="232"/>
      <c r="F8" s="232"/>
      <c r="G8" s="232"/>
      <c r="H8" s="232"/>
      <c r="I8" s="232"/>
      <c r="J8" s="232"/>
      <c r="K8" s="232"/>
      <c r="L8" s="232"/>
      <c r="M8" s="232"/>
    </row>
    <row r="9" spans="1:13">
      <c r="A9" s="232"/>
      <c r="B9" s="111"/>
      <c r="C9" s="526" t="s">
        <v>12</v>
      </c>
      <c r="D9" s="232"/>
      <c r="E9" s="232"/>
      <c r="F9" s="232"/>
      <c r="G9" s="232"/>
      <c r="H9" s="232"/>
      <c r="I9" s="232"/>
      <c r="J9" s="232"/>
      <c r="K9" s="232"/>
      <c r="L9" s="232"/>
      <c r="M9" s="232"/>
    </row>
    <row r="10" spans="1:13">
      <c r="A10" s="232"/>
      <c r="B10" s="111"/>
      <c r="C10" s="526" t="s">
        <v>975</v>
      </c>
      <c r="D10" s="232"/>
      <c r="E10" s="232"/>
      <c r="F10" s="232"/>
      <c r="G10" s="232"/>
      <c r="H10" s="232"/>
      <c r="I10" s="232"/>
      <c r="J10" s="232"/>
      <c r="K10" s="232"/>
      <c r="L10" s="232"/>
      <c r="M10" s="232"/>
    </row>
    <row r="11" spans="1:13">
      <c r="A11" s="51" t="s">
        <v>332</v>
      </c>
      <c r="B11" s="125" t="s">
        <v>1780</v>
      </c>
      <c r="C11" s="84">
        <v>350.1</v>
      </c>
      <c r="D11" s="84">
        <v>350.2</v>
      </c>
      <c r="E11" s="84">
        <v>352</v>
      </c>
      <c r="F11" s="84">
        <v>353</v>
      </c>
      <c r="G11" s="84">
        <v>354</v>
      </c>
      <c r="H11" s="84">
        <v>355</v>
      </c>
      <c r="I11" s="84">
        <v>356</v>
      </c>
      <c r="J11" s="84">
        <v>357</v>
      </c>
      <c r="K11" s="84">
        <v>358</v>
      </c>
      <c r="L11" s="84">
        <v>359</v>
      </c>
      <c r="M11" s="3" t="s">
        <v>196</v>
      </c>
    </row>
    <row r="12" spans="1:13">
      <c r="A12" s="580">
        <v>1</v>
      </c>
      <c r="B12" s="1040" t="s">
        <v>2428</v>
      </c>
      <c r="C12" s="234">
        <f>'6-PlantInService'!C11</f>
        <v>86845703.104480609</v>
      </c>
      <c r="D12" s="234">
        <f>'6-PlantInService'!D11</f>
        <v>165326927.27681193</v>
      </c>
      <c r="E12" s="234">
        <f>'6-PlantInService'!E11</f>
        <v>531582610.83188766</v>
      </c>
      <c r="F12" s="234">
        <f>'6-PlantInService'!F11</f>
        <v>3249175448.8296032</v>
      </c>
      <c r="G12" s="234">
        <f>'6-PlantInService'!G11</f>
        <v>2233991232.1950097</v>
      </c>
      <c r="H12" s="234">
        <f>'6-PlantInService'!H11</f>
        <v>324258227.83465576</v>
      </c>
      <c r="I12" s="234">
        <f>'6-PlantInService'!I11</f>
        <v>1235903790.5887618</v>
      </c>
      <c r="J12" s="234">
        <f>'6-PlantInService'!J11</f>
        <v>185508196.51440176</v>
      </c>
      <c r="K12" s="234">
        <f>'6-PlantInService'!K11</f>
        <v>81951071.953655437</v>
      </c>
      <c r="L12" s="234">
        <f>'6-PlantInService'!L11</f>
        <v>182027085.56504503</v>
      </c>
      <c r="M12" s="234">
        <f>'6-PlantInService'!M11</f>
        <v>8276570294.694313</v>
      </c>
    </row>
    <row r="13" spans="1:13">
      <c r="A13" s="580">
        <f>A12+1</f>
        <v>2</v>
      </c>
      <c r="B13" s="1040" t="s">
        <v>2682</v>
      </c>
      <c r="C13" s="234">
        <f>'6-PlantInService'!C12</f>
        <v>81997511.329591066</v>
      </c>
      <c r="D13" s="234">
        <f>'6-PlantInService'!D12</f>
        <v>165330397.22681195</v>
      </c>
      <c r="E13" s="234">
        <f>'6-PlantInService'!E12</f>
        <v>528854082.94456756</v>
      </c>
      <c r="F13" s="234">
        <f>'6-PlantInService'!F12</f>
        <v>3250037231.0578914</v>
      </c>
      <c r="G13" s="234">
        <f>'6-PlantInService'!G12</f>
        <v>2231001014.4046226</v>
      </c>
      <c r="H13" s="234">
        <f>'6-PlantInService'!H12</f>
        <v>335699493.46825069</v>
      </c>
      <c r="I13" s="234">
        <f>'6-PlantInService'!I12</f>
        <v>1232564516.1714423</v>
      </c>
      <c r="J13" s="234">
        <f>'6-PlantInService'!J12</f>
        <v>185656754.46065056</v>
      </c>
      <c r="K13" s="234">
        <f>'6-PlantInService'!K12</f>
        <v>81997920.308720946</v>
      </c>
      <c r="L13" s="234">
        <f>'6-PlantInService'!L12</f>
        <v>160125967.75832444</v>
      </c>
      <c r="M13" s="234">
        <f>'6-PlantInService'!M12</f>
        <v>8253264889.1308718</v>
      </c>
    </row>
    <row r="14" spans="1:13">
      <c r="A14" s="580">
        <f t="shared" ref="A14:A76" si="0">A13+1</f>
        <v>3</v>
      </c>
      <c r="B14" s="1040" t="s">
        <v>2683</v>
      </c>
      <c r="C14" s="234">
        <f>'6-PlantInService'!C13</f>
        <v>82013020.485065579</v>
      </c>
      <c r="D14" s="234">
        <f>'6-PlantInService'!D13</f>
        <v>165784066.13681194</v>
      </c>
      <c r="E14" s="234">
        <f>'6-PlantInService'!E13</f>
        <v>534882417.92989409</v>
      </c>
      <c r="F14" s="234">
        <f>'6-PlantInService'!F13</f>
        <v>3256654353.0725117</v>
      </c>
      <c r="G14" s="234">
        <f>'6-PlantInService'!G13</f>
        <v>2213130982.1333771</v>
      </c>
      <c r="H14" s="234">
        <f>'6-PlantInService'!H13</f>
        <v>339965913.33329707</v>
      </c>
      <c r="I14" s="234">
        <f>'6-PlantInService'!I13</f>
        <v>1235030893.795954</v>
      </c>
      <c r="J14" s="234">
        <f>'6-PlantInService'!J13</f>
        <v>186119194.09506792</v>
      </c>
      <c r="K14" s="234">
        <f>'6-PlantInService'!K13</f>
        <v>82775424.321385443</v>
      </c>
      <c r="L14" s="234">
        <f>'6-PlantInService'!L13</f>
        <v>161709714.73974848</v>
      </c>
      <c r="M14" s="234">
        <f>'6-PlantInService'!M13</f>
        <v>8258065980.0431118</v>
      </c>
    </row>
    <row r="15" spans="1:13">
      <c r="A15" s="580">
        <f t="shared" si="0"/>
        <v>4</v>
      </c>
      <c r="B15" s="1040" t="s">
        <v>2684</v>
      </c>
      <c r="C15" s="234">
        <f>'6-PlantInService'!C14</f>
        <v>82413676.780734852</v>
      </c>
      <c r="D15" s="234">
        <f>'6-PlantInService'!D14</f>
        <v>165733853.1359542</v>
      </c>
      <c r="E15" s="234">
        <f>'6-PlantInService'!E14</f>
        <v>532806953.88800937</v>
      </c>
      <c r="F15" s="234">
        <f>'6-PlantInService'!F14</f>
        <v>3260114606.4719715</v>
      </c>
      <c r="G15" s="234">
        <f>'6-PlantInService'!G14</f>
        <v>2225922423.015646</v>
      </c>
      <c r="H15" s="234">
        <f>'6-PlantInService'!H14</f>
        <v>342740513.52006418</v>
      </c>
      <c r="I15" s="234">
        <f>'6-PlantInService'!I14</f>
        <v>1241178224.9469056</v>
      </c>
      <c r="J15" s="234">
        <f>'6-PlantInService'!J14</f>
        <v>186361376.5458791</v>
      </c>
      <c r="K15" s="234">
        <f>'6-PlantInService'!K14</f>
        <v>83455650.891343445</v>
      </c>
      <c r="L15" s="234">
        <f>'6-PlantInService'!L14</f>
        <v>161453728.52818018</v>
      </c>
      <c r="M15" s="234">
        <f>'6-PlantInService'!M14</f>
        <v>8282181007.7246895</v>
      </c>
    </row>
    <row r="16" spans="1:13">
      <c r="A16" s="580">
        <f t="shared" si="0"/>
        <v>5</v>
      </c>
      <c r="B16" s="1040" t="s">
        <v>2685</v>
      </c>
      <c r="C16" s="234">
        <f>'6-PlantInService'!C15</f>
        <v>82424960.000734851</v>
      </c>
      <c r="D16" s="234">
        <f>'6-PlantInService'!D15</f>
        <v>165734428.73346913</v>
      </c>
      <c r="E16" s="234">
        <f>'6-PlantInService'!E15</f>
        <v>540340484.50312638</v>
      </c>
      <c r="F16" s="234">
        <f>'6-PlantInService'!F15</f>
        <v>3290596931.5240779</v>
      </c>
      <c r="G16" s="234">
        <f>'6-PlantInService'!G15</f>
        <v>2251979964.6914034</v>
      </c>
      <c r="H16" s="234">
        <f>'6-PlantInService'!H15</f>
        <v>344598338.85794425</v>
      </c>
      <c r="I16" s="234">
        <f>'6-PlantInService'!I15</f>
        <v>1244265047.7625117</v>
      </c>
      <c r="J16" s="234">
        <f>'6-PlantInService'!J15</f>
        <v>186611561.35820594</v>
      </c>
      <c r="K16" s="234">
        <f>'6-PlantInService'!K15</f>
        <v>83540944.255076736</v>
      </c>
      <c r="L16" s="234">
        <f>'6-PlantInService'!L15</f>
        <v>161600158.1218653</v>
      </c>
      <c r="M16" s="234">
        <f>'6-PlantInService'!M15</f>
        <v>8351692819.8084164</v>
      </c>
    </row>
    <row r="17" spans="1:14">
      <c r="A17" s="580">
        <f t="shared" si="0"/>
        <v>6</v>
      </c>
      <c r="B17" s="1040" t="s">
        <v>2686</v>
      </c>
      <c r="C17" s="234">
        <f>'6-PlantInService'!C16</f>
        <v>82438879.958219945</v>
      </c>
      <c r="D17" s="234">
        <f>'6-PlantInService'!D16</f>
        <v>165704350.73919225</v>
      </c>
      <c r="E17" s="234">
        <f>'6-PlantInService'!E16</f>
        <v>548767497.36873901</v>
      </c>
      <c r="F17" s="234">
        <f>'6-PlantInService'!F16</f>
        <v>3303060549.2557364</v>
      </c>
      <c r="G17" s="234">
        <f>'6-PlantInService'!G16</f>
        <v>2258078708.9137988</v>
      </c>
      <c r="H17" s="234">
        <f>'6-PlantInService'!H16</f>
        <v>345368677.19838327</v>
      </c>
      <c r="I17" s="234">
        <f>'6-PlantInService'!I16</f>
        <v>1242476528.4366479</v>
      </c>
      <c r="J17" s="234">
        <f>'6-PlantInService'!J16</f>
        <v>187117539.03635201</v>
      </c>
      <c r="K17" s="234">
        <f>'6-PlantInService'!K16</f>
        <v>83717688.500994444</v>
      </c>
      <c r="L17" s="234">
        <f>'6-PlantInService'!L16</f>
        <v>168349231.71443564</v>
      </c>
      <c r="M17" s="234">
        <f>'6-PlantInService'!M16</f>
        <v>8385079651.1225004</v>
      </c>
    </row>
    <row r="18" spans="1:14">
      <c r="A18" s="580">
        <f t="shared" si="0"/>
        <v>7</v>
      </c>
      <c r="B18" s="1040" t="s">
        <v>2687</v>
      </c>
      <c r="C18" s="234">
        <f>'6-PlantInService'!C17</f>
        <v>81409531.041870818</v>
      </c>
      <c r="D18" s="234">
        <f>'6-PlantInService'!D17</f>
        <v>165534488.25595289</v>
      </c>
      <c r="E18" s="234">
        <f>'6-PlantInService'!E17</f>
        <v>552041269.8048203</v>
      </c>
      <c r="F18" s="234">
        <f>'6-PlantInService'!F17</f>
        <v>3313909561.1628776</v>
      </c>
      <c r="G18" s="234">
        <f>'6-PlantInService'!G17</f>
        <v>2261350618.4544725</v>
      </c>
      <c r="H18" s="234">
        <f>'6-PlantInService'!H17</f>
        <v>347377533.8652634</v>
      </c>
      <c r="I18" s="234">
        <f>'6-PlantInService'!I17</f>
        <v>1244803717.1369219</v>
      </c>
      <c r="J18" s="234">
        <f>'6-PlantInService'!J17</f>
        <v>188491606.57570153</v>
      </c>
      <c r="K18" s="234">
        <f>'6-PlantInService'!K17</f>
        <v>84190542.091635212</v>
      </c>
      <c r="L18" s="234">
        <f>'6-PlantInService'!L17</f>
        <v>167806375.11891511</v>
      </c>
      <c r="M18" s="234">
        <f>'6-PlantInService'!M17</f>
        <v>8406915243.5084305</v>
      </c>
    </row>
    <row r="19" spans="1:14">
      <c r="A19" s="580">
        <f t="shared" si="0"/>
        <v>8</v>
      </c>
      <c r="B19" s="1040" t="s">
        <v>2688</v>
      </c>
      <c r="C19" s="234">
        <f>'6-PlantInService'!C18</f>
        <v>81421876.403887019</v>
      </c>
      <c r="D19" s="234">
        <f>'6-PlantInService'!D18</f>
        <v>165199674.61073655</v>
      </c>
      <c r="E19" s="234">
        <f>'6-PlantInService'!E18</f>
        <v>554107048.7279923</v>
      </c>
      <c r="F19" s="234">
        <f>'6-PlantInService'!F18</f>
        <v>3321544470.6075063</v>
      </c>
      <c r="G19" s="234">
        <f>'6-PlantInService'!G18</f>
        <v>2263663367.962369</v>
      </c>
      <c r="H19" s="234">
        <f>'6-PlantInService'!H18</f>
        <v>350109484.59682691</v>
      </c>
      <c r="I19" s="234">
        <f>'6-PlantInService'!I18</f>
        <v>1244039915.8336692</v>
      </c>
      <c r="J19" s="234">
        <f>'6-PlantInService'!J18</f>
        <v>188624718.09472644</v>
      </c>
      <c r="K19" s="234">
        <f>'6-PlantInService'!K18</f>
        <v>84257049.666369125</v>
      </c>
      <c r="L19" s="234">
        <f>'6-PlantInService'!L18</f>
        <v>167839950.27240404</v>
      </c>
      <c r="M19" s="234">
        <f>'6-PlantInService'!M18</f>
        <v>8420807556.7764864</v>
      </c>
    </row>
    <row r="20" spans="1:14">
      <c r="A20" s="580">
        <f t="shared" si="0"/>
        <v>9</v>
      </c>
      <c r="B20" s="1040" t="s">
        <v>2689</v>
      </c>
      <c r="C20" s="234">
        <f>'6-PlantInService'!C19</f>
        <v>81875010.633887053</v>
      </c>
      <c r="D20" s="234">
        <f>'6-PlantInService'!D19</f>
        <v>164728138.38125554</v>
      </c>
      <c r="E20" s="234">
        <f>'6-PlantInService'!E19</f>
        <v>558293841.55568182</v>
      </c>
      <c r="F20" s="234">
        <f>'6-PlantInService'!F19</f>
        <v>3350799128.8351703</v>
      </c>
      <c r="G20" s="234">
        <f>'6-PlantInService'!G19</f>
        <v>2265082996.3457894</v>
      </c>
      <c r="H20" s="234">
        <f>'6-PlantInService'!H19</f>
        <v>350778177.54014826</v>
      </c>
      <c r="I20" s="234">
        <f>'6-PlantInService'!I19</f>
        <v>1246103080.4025316</v>
      </c>
      <c r="J20" s="234">
        <f>'6-PlantInService'!J19</f>
        <v>188962876.00330049</v>
      </c>
      <c r="K20" s="234">
        <f>'6-PlantInService'!K19</f>
        <v>84383655.945058659</v>
      </c>
      <c r="L20" s="234">
        <f>'6-PlantInService'!L19</f>
        <v>168194578.75962457</v>
      </c>
      <c r="M20" s="234">
        <f>'6-PlantInService'!M19</f>
        <v>8459201484.4024467</v>
      </c>
    </row>
    <row r="21" spans="1:14">
      <c r="A21" s="580">
        <f t="shared" si="0"/>
        <v>10</v>
      </c>
      <c r="B21" s="1040" t="s">
        <v>2690</v>
      </c>
      <c r="C21" s="234">
        <f>'6-PlantInService'!C20</f>
        <v>81886831.423887074</v>
      </c>
      <c r="D21" s="234">
        <f>'6-PlantInService'!D20</f>
        <v>164709519.96722952</v>
      </c>
      <c r="E21" s="234">
        <f>'6-PlantInService'!E20</f>
        <v>560085940.2329005</v>
      </c>
      <c r="F21" s="234">
        <f>'6-PlantInService'!F20</f>
        <v>3354129788.6444764</v>
      </c>
      <c r="G21" s="234">
        <f>'6-PlantInService'!G20</f>
        <v>2263017843.9178081</v>
      </c>
      <c r="H21" s="234">
        <f>'6-PlantInService'!H20</f>
        <v>354174066.57641131</v>
      </c>
      <c r="I21" s="234">
        <f>'6-PlantInService'!I20</f>
        <v>1247812336.6400785</v>
      </c>
      <c r="J21" s="234">
        <f>'6-PlantInService'!J20</f>
        <v>189290135.91687733</v>
      </c>
      <c r="K21" s="234">
        <f>'6-PlantInService'!K20</f>
        <v>84485994.066605121</v>
      </c>
      <c r="L21" s="234">
        <f>'6-PlantInService'!L20</f>
        <v>168808262.22314706</v>
      </c>
      <c r="M21" s="234">
        <f>'6-PlantInService'!M20</f>
        <v>8468400719.6094227</v>
      </c>
    </row>
    <row r="22" spans="1:14">
      <c r="A22" s="580">
        <f t="shared" si="0"/>
        <v>11</v>
      </c>
      <c r="B22" s="1040" t="s">
        <v>2691</v>
      </c>
      <c r="C22" s="234">
        <f>'6-PlantInService'!C21</f>
        <v>81898670.463887021</v>
      </c>
      <c r="D22" s="234">
        <f>'6-PlantInService'!D21</f>
        <v>164708798.40418896</v>
      </c>
      <c r="E22" s="234">
        <f>'6-PlantInService'!E21</f>
        <v>557690364.6600107</v>
      </c>
      <c r="F22" s="234">
        <f>'6-PlantInService'!F21</f>
        <v>3337803869.7518563</v>
      </c>
      <c r="G22" s="234">
        <f>'6-PlantInService'!G21</f>
        <v>2267000465.6816745</v>
      </c>
      <c r="H22" s="234">
        <f>'6-PlantInService'!H21</f>
        <v>357358231.11677372</v>
      </c>
      <c r="I22" s="234">
        <f>'6-PlantInService'!I21</f>
        <v>1247335361.2178495</v>
      </c>
      <c r="J22" s="234">
        <f>'6-PlantInService'!J21</f>
        <v>189937864.06722775</v>
      </c>
      <c r="K22" s="234">
        <f>'6-PlantInService'!K21</f>
        <v>84808332.546487942</v>
      </c>
      <c r="L22" s="234">
        <f>'6-PlantInService'!L21</f>
        <v>169009659.89762434</v>
      </c>
      <c r="M22" s="234">
        <f>'6-PlantInService'!M21</f>
        <v>8457551617.80758</v>
      </c>
    </row>
    <row r="23" spans="1:14">
      <c r="A23" s="580">
        <f t="shared" si="0"/>
        <v>12</v>
      </c>
      <c r="B23" s="1040" t="s">
        <v>2692</v>
      </c>
      <c r="C23" s="234">
        <f>'6-PlantInService'!C22</f>
        <v>87866111.14856644</v>
      </c>
      <c r="D23" s="234">
        <f>'6-PlantInService'!D22</f>
        <v>164907956.70031324</v>
      </c>
      <c r="E23" s="234">
        <f>'6-PlantInService'!E22</f>
        <v>559289848.66007018</v>
      </c>
      <c r="F23" s="234">
        <f>'6-PlantInService'!F22</f>
        <v>3340005248.8568726</v>
      </c>
      <c r="G23" s="234">
        <f>'6-PlantInService'!G22</f>
        <v>2268750108.1658549</v>
      </c>
      <c r="H23" s="234">
        <f>'6-PlantInService'!H22</f>
        <v>362445560.88366669</v>
      </c>
      <c r="I23" s="234">
        <f>'6-PlantInService'!I22</f>
        <v>1244772135.9283471</v>
      </c>
      <c r="J23" s="234">
        <f>'6-PlantInService'!J22</f>
        <v>190107795.93953431</v>
      </c>
      <c r="K23" s="234">
        <f>'6-PlantInService'!K22</f>
        <v>84849890.172531247</v>
      </c>
      <c r="L23" s="234">
        <f>'6-PlantInService'!L22</f>
        <v>171154663.06990889</v>
      </c>
      <c r="M23" s="234">
        <f>'6-PlantInService'!M22</f>
        <v>8474149319.5256653</v>
      </c>
    </row>
    <row r="24" spans="1:14">
      <c r="A24" s="580">
        <f t="shared" si="0"/>
        <v>13</v>
      </c>
      <c r="B24" s="1040" t="s">
        <v>2693</v>
      </c>
      <c r="C24" s="234">
        <f>'6-PlantInService'!C23</f>
        <v>87876203.008566424</v>
      </c>
      <c r="D24" s="234">
        <f>'6-PlantInService'!D23</f>
        <v>164901118.05652422</v>
      </c>
      <c r="E24" s="234">
        <f>'6-PlantInService'!E23</f>
        <v>569698022.82553017</v>
      </c>
      <c r="F24" s="234">
        <f>'6-PlantInService'!F23</f>
        <v>3409447773.6593328</v>
      </c>
      <c r="G24" s="234">
        <f>'6-PlantInService'!G23</f>
        <v>2283380921.6603918</v>
      </c>
      <c r="H24" s="234">
        <f>'6-PlantInService'!H23</f>
        <v>364424080.39844126</v>
      </c>
      <c r="I24" s="234">
        <f>'6-PlantInService'!I23</f>
        <v>1245933686.1010468</v>
      </c>
      <c r="J24" s="234">
        <f>'6-PlantInService'!J23</f>
        <v>190222488.72271055</v>
      </c>
      <c r="K24" s="234">
        <f>'6-PlantInService'!K23</f>
        <v>84920373.966592565</v>
      </c>
      <c r="L24" s="234">
        <f>'6-PlantInService'!L23</f>
        <v>172640884.93140152</v>
      </c>
      <c r="M24" s="234">
        <f>'6-PlantInService'!M23</f>
        <v>8573445553.3305378</v>
      </c>
    </row>
    <row r="25" spans="1:14">
      <c r="A25" s="580">
        <f t="shared" si="0"/>
        <v>14</v>
      </c>
      <c r="B25" s="232"/>
      <c r="C25" s="232"/>
      <c r="D25" s="232"/>
      <c r="E25" s="232"/>
      <c r="F25" s="232"/>
      <c r="G25" s="232"/>
      <c r="H25" s="232"/>
      <c r="I25" s="232"/>
      <c r="J25" s="232"/>
      <c r="K25" s="232"/>
      <c r="L25" s="232"/>
      <c r="M25" s="232"/>
    </row>
    <row r="26" spans="1:14">
      <c r="A26" s="580">
        <f t="shared" si="0"/>
        <v>15</v>
      </c>
      <c r="B26" s="643" t="s">
        <v>2050</v>
      </c>
      <c r="C26" s="241"/>
      <c r="D26" s="241"/>
      <c r="E26" s="241"/>
      <c r="F26" s="241"/>
      <c r="G26" s="241"/>
      <c r="H26" s="241"/>
      <c r="I26" s="232"/>
      <c r="J26" s="232"/>
      <c r="K26" s="232"/>
      <c r="L26" s="232"/>
      <c r="M26" s="232"/>
    </row>
    <row r="27" spans="1:14">
      <c r="A27" s="580"/>
      <c r="B27" s="111"/>
      <c r="C27" s="241"/>
      <c r="D27" s="241"/>
      <c r="E27" s="241"/>
      <c r="F27" s="241"/>
      <c r="G27" s="232"/>
      <c r="H27" s="232"/>
      <c r="I27" s="232"/>
      <c r="J27" s="232"/>
      <c r="K27" s="232"/>
      <c r="L27" s="232"/>
      <c r="M27" s="232"/>
    </row>
    <row r="28" spans="1:14">
      <c r="A28" s="580">
        <f>A26+1</f>
        <v>16</v>
      </c>
      <c r="B28" s="125" t="s">
        <v>1780</v>
      </c>
      <c r="C28" s="360">
        <v>350.1</v>
      </c>
      <c r="D28" s="360">
        <v>350.2</v>
      </c>
      <c r="E28" s="360">
        <v>352</v>
      </c>
      <c r="F28" s="360">
        <v>353</v>
      </c>
      <c r="G28" s="84">
        <v>354</v>
      </c>
      <c r="H28" s="84">
        <v>355</v>
      </c>
      <c r="I28" s="84">
        <v>356</v>
      </c>
      <c r="J28" s="84">
        <v>357</v>
      </c>
      <c r="K28" s="84">
        <v>358</v>
      </c>
      <c r="L28" s="84">
        <v>359</v>
      </c>
      <c r="M28" s="3"/>
    </row>
    <row r="29" spans="1:14">
      <c r="A29" s="580" t="s">
        <v>2051</v>
      </c>
      <c r="B29" s="1040" t="s">
        <v>2428</v>
      </c>
      <c r="C29" s="742">
        <v>0</v>
      </c>
      <c r="D29" s="742">
        <v>1.66E-2</v>
      </c>
      <c r="E29" s="742">
        <v>2.5700000000000001E-2</v>
      </c>
      <c r="F29" s="742">
        <v>2.47E-2</v>
      </c>
      <c r="G29" s="742">
        <v>2.4400000000000002E-2</v>
      </c>
      <c r="H29" s="742">
        <v>3.6700000000000003E-2</v>
      </c>
      <c r="I29" s="742">
        <v>3.0499999999999999E-2</v>
      </c>
      <c r="J29" s="742">
        <v>1.6500000000000001E-2</v>
      </c>
      <c r="K29" s="742">
        <v>3.8699999999999998E-2</v>
      </c>
      <c r="L29" s="742">
        <v>1.5599999999999999E-2</v>
      </c>
      <c r="M29" s="232"/>
      <c r="N29" s="524"/>
    </row>
    <row r="30" spans="1:14">
      <c r="A30" s="580" t="s">
        <v>2052</v>
      </c>
      <c r="B30" s="1040" t="s">
        <v>2682</v>
      </c>
      <c r="C30" s="742">
        <v>0</v>
      </c>
      <c r="D30" s="742">
        <v>1.66E-2</v>
      </c>
      <c r="E30" s="742">
        <v>2.5700000000000001E-2</v>
      </c>
      <c r="F30" s="742">
        <v>2.47E-2</v>
      </c>
      <c r="G30" s="742">
        <v>2.4400000000000002E-2</v>
      </c>
      <c r="H30" s="742">
        <v>3.6700000000000003E-2</v>
      </c>
      <c r="I30" s="742">
        <v>3.0499999999999999E-2</v>
      </c>
      <c r="J30" s="742">
        <v>1.6500000000000001E-2</v>
      </c>
      <c r="K30" s="742">
        <v>3.8699999999999998E-2</v>
      </c>
      <c r="L30" s="742">
        <v>1.5599999999999999E-2</v>
      </c>
      <c r="M30" s="232"/>
      <c r="N30" s="524"/>
    </row>
    <row r="31" spans="1:14">
      <c r="A31" s="580" t="s">
        <v>2053</v>
      </c>
      <c r="B31" s="1040" t="s">
        <v>2683</v>
      </c>
      <c r="C31" s="742">
        <v>0</v>
      </c>
      <c r="D31" s="742">
        <v>1.66E-2</v>
      </c>
      <c r="E31" s="742">
        <v>2.5700000000000001E-2</v>
      </c>
      <c r="F31" s="742">
        <v>2.47E-2</v>
      </c>
      <c r="G31" s="742">
        <v>2.4400000000000002E-2</v>
      </c>
      <c r="H31" s="742">
        <v>3.6700000000000003E-2</v>
      </c>
      <c r="I31" s="742">
        <v>3.0499999999999999E-2</v>
      </c>
      <c r="J31" s="742">
        <v>1.6500000000000001E-2</v>
      </c>
      <c r="K31" s="742">
        <v>3.8699999999999998E-2</v>
      </c>
      <c r="L31" s="742">
        <v>1.5599999999999999E-2</v>
      </c>
      <c r="M31" s="232"/>
      <c r="N31" s="524"/>
    </row>
    <row r="32" spans="1:14">
      <c r="A32" s="580" t="s">
        <v>2054</v>
      </c>
      <c r="B32" s="1040" t="s">
        <v>2684</v>
      </c>
      <c r="C32" s="742">
        <v>0</v>
      </c>
      <c r="D32" s="742">
        <v>1.66E-2</v>
      </c>
      <c r="E32" s="742">
        <v>2.5700000000000001E-2</v>
      </c>
      <c r="F32" s="742">
        <v>2.47E-2</v>
      </c>
      <c r="G32" s="742">
        <v>2.4400000000000002E-2</v>
      </c>
      <c r="H32" s="742">
        <v>3.6700000000000003E-2</v>
      </c>
      <c r="I32" s="742">
        <v>3.0499999999999999E-2</v>
      </c>
      <c r="J32" s="742">
        <v>1.6500000000000001E-2</v>
      </c>
      <c r="K32" s="742">
        <v>3.8699999999999998E-2</v>
      </c>
      <c r="L32" s="742">
        <v>1.5599999999999999E-2</v>
      </c>
      <c r="M32" s="232"/>
      <c r="N32" s="524"/>
    </row>
    <row r="33" spans="1:14">
      <c r="A33" s="580" t="s">
        <v>2055</v>
      </c>
      <c r="B33" s="1040" t="s">
        <v>2685</v>
      </c>
      <c r="C33" s="742">
        <v>0</v>
      </c>
      <c r="D33" s="742">
        <v>1.66E-2</v>
      </c>
      <c r="E33" s="742">
        <v>2.5700000000000001E-2</v>
      </c>
      <c r="F33" s="742">
        <v>2.47E-2</v>
      </c>
      <c r="G33" s="742">
        <v>2.4400000000000002E-2</v>
      </c>
      <c r="H33" s="742">
        <v>3.6700000000000003E-2</v>
      </c>
      <c r="I33" s="742">
        <v>3.0499999999999999E-2</v>
      </c>
      <c r="J33" s="742">
        <v>1.6500000000000001E-2</v>
      </c>
      <c r="K33" s="742">
        <v>3.8699999999999998E-2</v>
      </c>
      <c r="L33" s="742">
        <v>1.5599999999999999E-2</v>
      </c>
      <c r="M33" s="232"/>
      <c r="N33" s="524"/>
    </row>
    <row r="34" spans="1:14">
      <c r="A34" s="580" t="s">
        <v>2056</v>
      </c>
      <c r="B34" s="1040" t="s">
        <v>2686</v>
      </c>
      <c r="C34" s="742">
        <v>0</v>
      </c>
      <c r="D34" s="742">
        <v>1.66E-2</v>
      </c>
      <c r="E34" s="742">
        <v>2.5700000000000001E-2</v>
      </c>
      <c r="F34" s="742">
        <v>2.47E-2</v>
      </c>
      <c r="G34" s="742">
        <v>2.4400000000000002E-2</v>
      </c>
      <c r="H34" s="742">
        <v>3.6700000000000003E-2</v>
      </c>
      <c r="I34" s="742">
        <v>3.0499999999999999E-2</v>
      </c>
      <c r="J34" s="742">
        <v>1.6500000000000001E-2</v>
      </c>
      <c r="K34" s="742">
        <v>3.8699999999999998E-2</v>
      </c>
      <c r="L34" s="742">
        <v>1.5599999999999999E-2</v>
      </c>
      <c r="M34" s="232"/>
      <c r="N34" s="524"/>
    </row>
    <row r="35" spans="1:14">
      <c r="A35" s="580" t="s">
        <v>2057</v>
      </c>
      <c r="B35" s="1040" t="s">
        <v>2687</v>
      </c>
      <c r="C35" s="742">
        <v>0</v>
      </c>
      <c r="D35" s="742">
        <v>1.66E-2</v>
      </c>
      <c r="E35" s="742">
        <v>2.5700000000000001E-2</v>
      </c>
      <c r="F35" s="742">
        <v>2.47E-2</v>
      </c>
      <c r="G35" s="742">
        <v>2.4400000000000002E-2</v>
      </c>
      <c r="H35" s="742">
        <v>3.6700000000000003E-2</v>
      </c>
      <c r="I35" s="742">
        <v>3.0499999999999999E-2</v>
      </c>
      <c r="J35" s="742">
        <v>1.6500000000000001E-2</v>
      </c>
      <c r="K35" s="742">
        <v>3.8699999999999998E-2</v>
      </c>
      <c r="L35" s="742">
        <v>1.5599999999999999E-2</v>
      </c>
      <c r="M35" s="232"/>
      <c r="N35" s="524"/>
    </row>
    <row r="36" spans="1:14">
      <c r="A36" s="580" t="s">
        <v>2058</v>
      </c>
      <c r="B36" s="1040" t="s">
        <v>2688</v>
      </c>
      <c r="C36" s="742">
        <v>0</v>
      </c>
      <c r="D36" s="742">
        <v>1.66E-2</v>
      </c>
      <c r="E36" s="742">
        <v>2.5700000000000001E-2</v>
      </c>
      <c r="F36" s="742">
        <v>2.47E-2</v>
      </c>
      <c r="G36" s="742">
        <v>2.4400000000000002E-2</v>
      </c>
      <c r="H36" s="742">
        <v>3.6700000000000003E-2</v>
      </c>
      <c r="I36" s="742">
        <v>3.0499999999999999E-2</v>
      </c>
      <c r="J36" s="742">
        <v>1.6500000000000001E-2</v>
      </c>
      <c r="K36" s="742">
        <v>3.8699999999999998E-2</v>
      </c>
      <c r="L36" s="742">
        <v>1.5599999999999999E-2</v>
      </c>
      <c r="M36" s="232"/>
      <c r="N36" s="524"/>
    </row>
    <row r="37" spans="1:14">
      <c r="A37" s="580" t="s">
        <v>2059</v>
      </c>
      <c r="B37" s="1040" t="s">
        <v>2689</v>
      </c>
      <c r="C37" s="742">
        <v>0</v>
      </c>
      <c r="D37" s="742">
        <v>1.66E-2</v>
      </c>
      <c r="E37" s="742">
        <v>2.5700000000000001E-2</v>
      </c>
      <c r="F37" s="742">
        <v>2.47E-2</v>
      </c>
      <c r="G37" s="742">
        <v>2.4400000000000002E-2</v>
      </c>
      <c r="H37" s="742">
        <v>3.6700000000000003E-2</v>
      </c>
      <c r="I37" s="742">
        <v>3.0499999999999999E-2</v>
      </c>
      <c r="J37" s="742">
        <v>1.6500000000000001E-2</v>
      </c>
      <c r="K37" s="742">
        <v>3.8699999999999998E-2</v>
      </c>
      <c r="L37" s="742">
        <v>1.5599999999999999E-2</v>
      </c>
      <c r="M37" s="232"/>
      <c r="N37" s="524"/>
    </row>
    <row r="38" spans="1:14">
      <c r="A38" s="580" t="s">
        <v>2060</v>
      </c>
      <c r="B38" s="1040" t="s">
        <v>2690</v>
      </c>
      <c r="C38" s="742">
        <v>0</v>
      </c>
      <c r="D38" s="742">
        <v>1.66E-2</v>
      </c>
      <c r="E38" s="742">
        <v>2.5700000000000001E-2</v>
      </c>
      <c r="F38" s="742">
        <v>2.47E-2</v>
      </c>
      <c r="G38" s="742">
        <v>2.4400000000000002E-2</v>
      </c>
      <c r="H38" s="742">
        <v>3.6700000000000003E-2</v>
      </c>
      <c r="I38" s="742">
        <v>3.0499999999999999E-2</v>
      </c>
      <c r="J38" s="742">
        <v>1.6500000000000001E-2</v>
      </c>
      <c r="K38" s="742">
        <v>3.8699999999999998E-2</v>
      </c>
      <c r="L38" s="742">
        <v>1.5599999999999999E-2</v>
      </c>
      <c r="M38" s="232"/>
      <c r="N38" s="524"/>
    </row>
    <row r="39" spans="1:14">
      <c r="A39" s="580" t="s">
        <v>2061</v>
      </c>
      <c r="B39" s="1040" t="s">
        <v>2691</v>
      </c>
      <c r="C39" s="742">
        <v>0</v>
      </c>
      <c r="D39" s="742">
        <v>1.66E-2</v>
      </c>
      <c r="E39" s="742">
        <v>2.5700000000000001E-2</v>
      </c>
      <c r="F39" s="742">
        <v>2.47E-2</v>
      </c>
      <c r="G39" s="742">
        <v>2.4400000000000002E-2</v>
      </c>
      <c r="H39" s="742">
        <v>3.6700000000000003E-2</v>
      </c>
      <c r="I39" s="742">
        <v>3.0499999999999999E-2</v>
      </c>
      <c r="J39" s="742">
        <v>1.6500000000000001E-2</v>
      </c>
      <c r="K39" s="742">
        <v>3.8699999999999998E-2</v>
      </c>
      <c r="L39" s="742">
        <v>1.5599999999999999E-2</v>
      </c>
      <c r="M39" s="232"/>
    </row>
    <row r="40" spans="1:14">
      <c r="A40" s="580" t="s">
        <v>2062</v>
      </c>
      <c r="B40" s="1040" t="s">
        <v>2692</v>
      </c>
      <c r="C40" s="742">
        <v>0</v>
      </c>
      <c r="D40" s="742">
        <v>1.66E-2</v>
      </c>
      <c r="E40" s="742">
        <v>2.5700000000000001E-2</v>
      </c>
      <c r="F40" s="742">
        <v>2.47E-2</v>
      </c>
      <c r="G40" s="742">
        <v>2.4400000000000002E-2</v>
      </c>
      <c r="H40" s="742">
        <v>3.6700000000000003E-2</v>
      </c>
      <c r="I40" s="742">
        <v>3.0499999999999999E-2</v>
      </c>
      <c r="J40" s="742">
        <v>1.6500000000000001E-2</v>
      </c>
      <c r="K40" s="742">
        <v>3.8699999999999998E-2</v>
      </c>
      <c r="L40" s="742">
        <v>1.5599999999999999E-2</v>
      </c>
      <c r="M40" s="232"/>
    </row>
    <row r="41" spans="1:14">
      <c r="A41" s="580" t="s">
        <v>2063</v>
      </c>
      <c r="B41" s="1040" t="s">
        <v>2693</v>
      </c>
      <c r="C41" s="742">
        <v>0</v>
      </c>
      <c r="D41" s="742">
        <v>1.66E-2</v>
      </c>
      <c r="E41" s="742">
        <v>2.5700000000000001E-2</v>
      </c>
      <c r="F41" s="742">
        <v>2.47E-2</v>
      </c>
      <c r="G41" s="742">
        <v>2.4400000000000002E-2</v>
      </c>
      <c r="H41" s="742">
        <v>3.6700000000000003E-2</v>
      </c>
      <c r="I41" s="742">
        <v>3.0499999999999999E-2</v>
      </c>
      <c r="J41" s="742">
        <v>1.6500000000000001E-2</v>
      </c>
      <c r="K41" s="742">
        <v>3.8699999999999998E-2</v>
      </c>
      <c r="L41" s="742">
        <v>1.5599999999999999E-2</v>
      </c>
      <c r="M41" s="232"/>
    </row>
    <row r="42" spans="1:14">
      <c r="A42" s="580">
        <v>18</v>
      </c>
      <c r="C42" s="368"/>
      <c r="D42" s="368"/>
      <c r="E42" s="368"/>
      <c r="F42" s="368"/>
      <c r="G42" s="368"/>
      <c r="H42" s="368"/>
      <c r="I42" s="368"/>
      <c r="J42" s="368"/>
      <c r="K42" s="368"/>
      <c r="L42" s="368"/>
      <c r="M42" s="232"/>
    </row>
    <row r="43" spans="1:14">
      <c r="A43" s="580">
        <f t="shared" si="0"/>
        <v>19</v>
      </c>
      <c r="B43" s="485" t="s">
        <v>978</v>
      </c>
      <c r="C43" s="242"/>
      <c r="D43" s="242"/>
      <c r="E43" s="242"/>
      <c r="F43" s="242"/>
      <c r="G43" s="524" t="s">
        <v>1714</v>
      </c>
      <c r="H43" s="242"/>
      <c r="I43" s="368"/>
      <c r="J43" s="368"/>
      <c r="K43" s="368"/>
      <c r="L43" s="368"/>
      <c r="M43" s="232"/>
    </row>
    <row r="44" spans="1:14">
      <c r="A44" s="580">
        <f t="shared" si="0"/>
        <v>20</v>
      </c>
      <c r="B44" s="241"/>
      <c r="C44" s="241"/>
      <c r="D44" s="241"/>
      <c r="E44" s="241"/>
      <c r="F44" s="241"/>
      <c r="G44" s="241"/>
      <c r="H44" s="241"/>
      <c r="I44" s="232"/>
      <c r="J44" s="232"/>
      <c r="K44" s="232"/>
      <c r="L44" s="232"/>
      <c r="M44" s="232"/>
    </row>
    <row r="45" spans="1:14">
      <c r="A45" s="580">
        <f t="shared" si="0"/>
        <v>21</v>
      </c>
      <c r="B45" s="111"/>
      <c r="C45" s="912" t="s">
        <v>12</v>
      </c>
      <c r="D45" s="241"/>
      <c r="E45" s="241"/>
      <c r="F45" s="241"/>
      <c r="G45" s="241"/>
      <c r="H45" s="241"/>
      <c r="I45" s="232"/>
      <c r="J45" s="232"/>
      <c r="K45" s="232"/>
      <c r="L45" s="232"/>
      <c r="M45" s="232"/>
    </row>
    <row r="46" spans="1:14">
      <c r="A46" s="580">
        <f t="shared" si="0"/>
        <v>22</v>
      </c>
      <c r="B46" s="111"/>
      <c r="C46" s="912" t="s">
        <v>975</v>
      </c>
      <c r="D46" s="241"/>
      <c r="E46" s="241"/>
      <c r="F46" s="241"/>
      <c r="G46" s="241"/>
      <c r="H46" s="241"/>
      <c r="I46" s="232"/>
      <c r="J46" s="232"/>
      <c r="K46" s="232"/>
      <c r="L46" s="232"/>
      <c r="M46" s="580" t="s">
        <v>192</v>
      </c>
    </row>
    <row r="47" spans="1:14">
      <c r="A47" s="580">
        <f t="shared" si="0"/>
        <v>23</v>
      </c>
      <c r="B47" s="125" t="s">
        <v>1780</v>
      </c>
      <c r="C47" s="360">
        <v>350.1</v>
      </c>
      <c r="D47" s="360">
        <v>350.2</v>
      </c>
      <c r="E47" s="360">
        <v>352</v>
      </c>
      <c r="F47" s="360">
        <v>353</v>
      </c>
      <c r="G47" s="360">
        <v>354</v>
      </c>
      <c r="H47" s="360">
        <v>355</v>
      </c>
      <c r="I47" s="84">
        <v>356</v>
      </c>
      <c r="J47" s="84">
        <v>357</v>
      </c>
      <c r="K47" s="84">
        <v>358</v>
      </c>
      <c r="L47" s="84">
        <v>359</v>
      </c>
      <c r="M47" s="3" t="s">
        <v>196</v>
      </c>
    </row>
    <row r="48" spans="1:14">
      <c r="A48" s="580">
        <f t="shared" si="0"/>
        <v>24</v>
      </c>
      <c r="B48" s="1040" t="s">
        <v>2682</v>
      </c>
      <c r="C48" s="236">
        <f t="shared" ref="C48:C59" si="1">C12*$C$29/12</f>
        <v>0</v>
      </c>
      <c r="D48" s="236">
        <f t="shared" ref="D48:D59" si="2">D12*$D29/12</f>
        <v>228702.24939958984</v>
      </c>
      <c r="E48" s="236">
        <f t="shared" ref="E48:E59" si="3">E12*$E29/12</f>
        <v>1138472.7581982927</v>
      </c>
      <c r="F48" s="236">
        <f t="shared" ref="F48:F59" si="4">F12*$F29/12</f>
        <v>6687886.1321742674</v>
      </c>
      <c r="G48" s="236">
        <f t="shared" ref="G48:G59" si="5">G12*$G29/12</f>
        <v>4542448.8387965197</v>
      </c>
      <c r="H48" s="236">
        <f t="shared" ref="H48:H59" si="6">H12*$H29/12</f>
        <v>991689.74679432239</v>
      </c>
      <c r="I48" s="236">
        <f t="shared" ref="I48:I59" si="7">I12*$I29/12</f>
        <v>3141255.4677464361</v>
      </c>
      <c r="J48" s="236">
        <f t="shared" ref="J48:J59" si="8">J12*$J29/12</f>
        <v>255073.77020730244</v>
      </c>
      <c r="K48" s="236">
        <f t="shared" ref="K48:K59" si="9">K12*$K29/12</f>
        <v>264292.2070505388</v>
      </c>
      <c r="L48" s="236">
        <f t="shared" ref="L48:L59" si="10">L12*$L29/12</f>
        <v>236635.21123455852</v>
      </c>
      <c r="M48" s="234">
        <f>SUM(C48:L48)</f>
        <v>17486456.381601829</v>
      </c>
    </row>
    <row r="49" spans="1:13">
      <c r="A49" s="580">
        <f t="shared" si="0"/>
        <v>25</v>
      </c>
      <c r="B49" s="1040" t="s">
        <v>2683</v>
      </c>
      <c r="C49" s="236">
        <f t="shared" si="1"/>
        <v>0</v>
      </c>
      <c r="D49" s="236">
        <f t="shared" si="2"/>
        <v>228707.04949708984</v>
      </c>
      <c r="E49" s="236">
        <f t="shared" si="3"/>
        <v>1132629.1609729489</v>
      </c>
      <c r="F49" s="236">
        <f t="shared" si="4"/>
        <v>6689659.9672608264</v>
      </c>
      <c r="G49" s="236">
        <f t="shared" si="5"/>
        <v>4536368.7292893995</v>
      </c>
      <c r="H49" s="236">
        <f t="shared" si="6"/>
        <v>1026680.9508570669</v>
      </c>
      <c r="I49" s="236">
        <f t="shared" si="7"/>
        <v>3132768.1452690824</v>
      </c>
      <c r="J49" s="236">
        <f t="shared" si="8"/>
        <v>255278.03738339455</v>
      </c>
      <c r="K49" s="236">
        <f t="shared" si="9"/>
        <v>264443.29299562506</v>
      </c>
      <c r="L49" s="236">
        <f t="shared" si="10"/>
        <v>208163.75808582176</v>
      </c>
      <c r="M49" s="234">
        <f t="shared" ref="M49:M59" si="11">SUM(C49:L49)</f>
        <v>17474699.091611255</v>
      </c>
    </row>
    <row r="50" spans="1:13">
      <c r="A50" s="580">
        <f t="shared" si="0"/>
        <v>26</v>
      </c>
      <c r="B50" s="1040" t="s">
        <v>2684</v>
      </c>
      <c r="C50" s="236">
        <f t="shared" si="1"/>
        <v>0</v>
      </c>
      <c r="D50" s="236">
        <f t="shared" si="2"/>
        <v>229334.62482258983</v>
      </c>
      <c r="E50" s="236">
        <f t="shared" si="3"/>
        <v>1145539.8450665232</v>
      </c>
      <c r="F50" s="236">
        <f t="shared" si="4"/>
        <v>6703280.2100742534</v>
      </c>
      <c r="G50" s="236">
        <f t="shared" si="5"/>
        <v>4500032.9970045341</v>
      </c>
      <c r="H50" s="236">
        <f t="shared" si="6"/>
        <v>1039729.0849443338</v>
      </c>
      <c r="I50" s="236">
        <f t="shared" si="7"/>
        <v>3139036.8550647162</v>
      </c>
      <c r="J50" s="236">
        <f t="shared" si="8"/>
        <v>255913.89188071841</v>
      </c>
      <c r="K50" s="236">
        <f t="shared" si="9"/>
        <v>266950.74343646801</v>
      </c>
      <c r="L50" s="236">
        <f t="shared" si="10"/>
        <v>210222.62916167302</v>
      </c>
      <c r="M50" s="234">
        <f t="shared" si="11"/>
        <v>17490040.881455809</v>
      </c>
    </row>
    <row r="51" spans="1:13">
      <c r="A51" s="580">
        <f t="shared" si="0"/>
        <v>27</v>
      </c>
      <c r="B51" s="1040" t="s">
        <v>2685</v>
      </c>
      <c r="C51" s="236">
        <f t="shared" si="1"/>
        <v>0</v>
      </c>
      <c r="D51" s="236">
        <f t="shared" si="2"/>
        <v>229265.16350473664</v>
      </c>
      <c r="E51" s="236">
        <f t="shared" si="3"/>
        <v>1141094.8929101534</v>
      </c>
      <c r="F51" s="236">
        <f t="shared" si="4"/>
        <v>6710402.5649881409</v>
      </c>
      <c r="G51" s="236">
        <f t="shared" si="5"/>
        <v>4526042.2601318136</v>
      </c>
      <c r="H51" s="236">
        <f t="shared" si="6"/>
        <v>1048214.7371821963</v>
      </c>
      <c r="I51" s="236">
        <f t="shared" si="7"/>
        <v>3154661.3217400517</v>
      </c>
      <c r="J51" s="236">
        <f t="shared" si="8"/>
        <v>256246.89275058379</v>
      </c>
      <c r="K51" s="236">
        <f t="shared" si="9"/>
        <v>269144.4741245826</v>
      </c>
      <c r="L51" s="236">
        <f t="shared" si="10"/>
        <v>209889.84708663422</v>
      </c>
      <c r="M51" s="234">
        <f t="shared" si="11"/>
        <v>17544962.154418893</v>
      </c>
    </row>
    <row r="52" spans="1:13">
      <c r="A52" s="580">
        <f t="shared" si="0"/>
        <v>28</v>
      </c>
      <c r="B52" s="1040" t="s">
        <v>2686</v>
      </c>
      <c r="C52" s="236">
        <f t="shared" si="1"/>
        <v>0</v>
      </c>
      <c r="D52" s="236">
        <f t="shared" si="2"/>
        <v>229265.95974796565</v>
      </c>
      <c r="E52" s="236">
        <f t="shared" si="3"/>
        <v>1157229.2043108623</v>
      </c>
      <c r="F52" s="236">
        <f t="shared" si="4"/>
        <v>6773145.3507203935</v>
      </c>
      <c r="G52" s="236">
        <f t="shared" si="5"/>
        <v>4579025.9282058543</v>
      </c>
      <c r="H52" s="236">
        <f t="shared" si="6"/>
        <v>1053896.5863405464</v>
      </c>
      <c r="I52" s="236">
        <f t="shared" si="7"/>
        <v>3162506.9963963837</v>
      </c>
      <c r="J52" s="236">
        <f t="shared" si="8"/>
        <v>256590.89686753319</v>
      </c>
      <c r="K52" s="236">
        <f t="shared" si="9"/>
        <v>269419.54522262246</v>
      </c>
      <c r="L52" s="236">
        <f t="shared" si="10"/>
        <v>210080.2055584249</v>
      </c>
      <c r="M52" s="234">
        <f t="shared" si="11"/>
        <v>17691160.673370589</v>
      </c>
    </row>
    <row r="53" spans="1:13">
      <c r="A53" s="580">
        <f t="shared" si="0"/>
        <v>29</v>
      </c>
      <c r="B53" s="1040" t="s">
        <v>2687</v>
      </c>
      <c r="C53" s="236">
        <f t="shared" si="1"/>
        <v>0</v>
      </c>
      <c r="D53" s="236">
        <f t="shared" si="2"/>
        <v>229224.35185588259</v>
      </c>
      <c r="E53" s="236">
        <f t="shared" si="3"/>
        <v>1175277.0568647161</v>
      </c>
      <c r="F53" s="236">
        <f t="shared" si="4"/>
        <v>6798799.6305513903</v>
      </c>
      <c r="G53" s="236">
        <f t="shared" si="5"/>
        <v>4591426.7081247242</v>
      </c>
      <c r="H53" s="236">
        <f t="shared" si="6"/>
        <v>1056252.5377650557</v>
      </c>
      <c r="I53" s="236">
        <f t="shared" si="7"/>
        <v>3157961.1764431465</v>
      </c>
      <c r="J53" s="236">
        <f t="shared" si="8"/>
        <v>257286.61617498402</v>
      </c>
      <c r="K53" s="236">
        <f t="shared" si="9"/>
        <v>269989.54541570711</v>
      </c>
      <c r="L53" s="236">
        <f t="shared" si="10"/>
        <v>218854.00122876631</v>
      </c>
      <c r="M53" s="234">
        <f t="shared" si="11"/>
        <v>17755071.624424372</v>
      </c>
    </row>
    <row r="54" spans="1:13">
      <c r="A54" s="580">
        <f t="shared" si="0"/>
        <v>30</v>
      </c>
      <c r="B54" s="1040" t="s">
        <v>2688</v>
      </c>
      <c r="C54" s="236">
        <f t="shared" si="1"/>
        <v>0</v>
      </c>
      <c r="D54" s="236">
        <f t="shared" si="2"/>
        <v>228989.37542073484</v>
      </c>
      <c r="E54" s="236">
        <f t="shared" si="3"/>
        <v>1182288.3861653234</v>
      </c>
      <c r="F54" s="236">
        <f t="shared" si="4"/>
        <v>6821130.5133935893</v>
      </c>
      <c r="G54" s="236">
        <f t="shared" si="5"/>
        <v>4598079.5908574276</v>
      </c>
      <c r="H54" s="236">
        <f t="shared" si="6"/>
        <v>1062396.2910712641</v>
      </c>
      <c r="I54" s="236">
        <f t="shared" si="7"/>
        <v>3163876.1143896766</v>
      </c>
      <c r="J54" s="236">
        <f t="shared" si="8"/>
        <v>259175.95904158964</v>
      </c>
      <c r="K54" s="236">
        <f t="shared" si="9"/>
        <v>271514.49824552354</v>
      </c>
      <c r="L54" s="236">
        <f t="shared" si="10"/>
        <v>218148.28765458963</v>
      </c>
      <c r="M54" s="234">
        <f t="shared" si="11"/>
        <v>17805599.016239714</v>
      </c>
    </row>
    <row r="55" spans="1:13">
      <c r="A55" s="580">
        <f t="shared" si="0"/>
        <v>31</v>
      </c>
      <c r="B55" s="1040" t="s">
        <v>2689</v>
      </c>
      <c r="C55" s="236">
        <f t="shared" si="1"/>
        <v>0</v>
      </c>
      <c r="D55" s="236">
        <f t="shared" si="2"/>
        <v>228526.21654485224</v>
      </c>
      <c r="E55" s="236">
        <f t="shared" si="3"/>
        <v>1186712.5960257836</v>
      </c>
      <c r="F55" s="236">
        <f t="shared" si="4"/>
        <v>6836845.7020004503</v>
      </c>
      <c r="G55" s="236">
        <f t="shared" si="5"/>
        <v>4602782.1815234842</v>
      </c>
      <c r="H55" s="236">
        <f t="shared" si="6"/>
        <v>1070751.5070586291</v>
      </c>
      <c r="I55" s="236">
        <f t="shared" si="7"/>
        <v>3161934.7860772423</v>
      </c>
      <c r="J55" s="236">
        <f t="shared" si="8"/>
        <v>259358.98738024887</v>
      </c>
      <c r="K55" s="236">
        <f t="shared" si="9"/>
        <v>271728.98517404043</v>
      </c>
      <c r="L55" s="236">
        <f t="shared" si="10"/>
        <v>218191.93535412525</v>
      </c>
      <c r="M55" s="234">
        <f t="shared" si="11"/>
        <v>17836832.897138853</v>
      </c>
    </row>
    <row r="56" spans="1:13">
      <c r="A56" s="580">
        <f t="shared" si="0"/>
        <v>32</v>
      </c>
      <c r="B56" s="1040" t="s">
        <v>2690</v>
      </c>
      <c r="C56" s="236">
        <f t="shared" si="1"/>
        <v>0</v>
      </c>
      <c r="D56" s="236">
        <f t="shared" si="2"/>
        <v>227873.92476073685</v>
      </c>
      <c r="E56" s="236">
        <f t="shared" si="3"/>
        <v>1195679.3106650852</v>
      </c>
      <c r="F56" s="236">
        <f t="shared" si="4"/>
        <v>6897061.5401857262</v>
      </c>
      <c r="G56" s="236">
        <f t="shared" si="5"/>
        <v>4605668.7592364391</v>
      </c>
      <c r="H56" s="236">
        <f t="shared" si="6"/>
        <v>1072796.5929769536</v>
      </c>
      <c r="I56" s="236">
        <f t="shared" si="7"/>
        <v>3167178.6626897678</v>
      </c>
      <c r="J56" s="236">
        <f t="shared" si="8"/>
        <v>259823.95450453818</v>
      </c>
      <c r="K56" s="236">
        <f t="shared" si="9"/>
        <v>272137.29042281414</v>
      </c>
      <c r="L56" s="236">
        <f t="shared" si="10"/>
        <v>218652.95238751193</v>
      </c>
      <c r="M56" s="234">
        <f t="shared" si="11"/>
        <v>17916872.987829573</v>
      </c>
    </row>
    <row r="57" spans="1:13">
      <c r="A57" s="580">
        <f t="shared" si="0"/>
        <v>33</v>
      </c>
      <c r="B57" s="1040" t="s">
        <v>2691</v>
      </c>
      <c r="C57" s="236">
        <f t="shared" si="1"/>
        <v>0</v>
      </c>
      <c r="D57" s="236">
        <f t="shared" si="2"/>
        <v>227848.16928800082</v>
      </c>
      <c r="E57" s="236">
        <f t="shared" si="3"/>
        <v>1199517.3886654619</v>
      </c>
      <c r="F57" s="236">
        <f t="shared" si="4"/>
        <v>6903917.148293213</v>
      </c>
      <c r="G57" s="236">
        <f t="shared" si="5"/>
        <v>4601469.6159662101</v>
      </c>
      <c r="H57" s="236">
        <f t="shared" si="6"/>
        <v>1083182.3536128581</v>
      </c>
      <c r="I57" s="236">
        <f t="shared" si="7"/>
        <v>3171523.0222935327</v>
      </c>
      <c r="J57" s="236">
        <f t="shared" si="8"/>
        <v>260273.93688570635</v>
      </c>
      <c r="K57" s="236">
        <f t="shared" si="9"/>
        <v>272467.33086480148</v>
      </c>
      <c r="L57" s="236">
        <f t="shared" si="10"/>
        <v>219450.74089009117</v>
      </c>
      <c r="M57" s="234">
        <f t="shared" si="11"/>
        <v>17939649.706759878</v>
      </c>
    </row>
    <row r="58" spans="1:13">
      <c r="A58" s="580">
        <f t="shared" si="0"/>
        <v>34</v>
      </c>
      <c r="B58" s="1040" t="s">
        <v>2692</v>
      </c>
      <c r="C58" s="236">
        <f t="shared" si="1"/>
        <v>0</v>
      </c>
      <c r="D58" s="236">
        <f t="shared" si="2"/>
        <v>227847.17112579473</v>
      </c>
      <c r="E58" s="236">
        <f t="shared" si="3"/>
        <v>1194386.8643135231</v>
      </c>
      <c r="F58" s="236">
        <f t="shared" si="4"/>
        <v>6870312.965239238</v>
      </c>
      <c r="G58" s="236">
        <f t="shared" si="5"/>
        <v>4609567.6135527389</v>
      </c>
      <c r="H58" s="236">
        <f t="shared" si="6"/>
        <v>1092920.5901654663</v>
      </c>
      <c r="I58" s="236">
        <f t="shared" si="7"/>
        <v>3170310.7097620345</v>
      </c>
      <c r="J58" s="236">
        <f t="shared" si="8"/>
        <v>261164.56309243815</v>
      </c>
      <c r="K58" s="236">
        <f t="shared" si="9"/>
        <v>273506.87246242358</v>
      </c>
      <c r="L58" s="236">
        <f t="shared" si="10"/>
        <v>219712.55786691164</v>
      </c>
      <c r="M58" s="234">
        <f t="shared" si="11"/>
        <v>17919729.907580569</v>
      </c>
    </row>
    <row r="59" spans="1:13">
      <c r="A59" s="580">
        <f t="shared" si="0"/>
        <v>35</v>
      </c>
      <c r="B59" s="1040" t="s">
        <v>2693</v>
      </c>
      <c r="C59" s="236">
        <f t="shared" si="1"/>
        <v>0</v>
      </c>
      <c r="D59" s="236">
        <f t="shared" si="2"/>
        <v>228122.6734354333</v>
      </c>
      <c r="E59" s="236">
        <f t="shared" si="3"/>
        <v>1197812.4258803169</v>
      </c>
      <c r="F59" s="236">
        <f t="shared" si="4"/>
        <v>6874844.1372303963</v>
      </c>
      <c r="G59" s="236">
        <f t="shared" si="5"/>
        <v>4613125.2199372388</v>
      </c>
      <c r="H59" s="236">
        <f t="shared" si="6"/>
        <v>1108479.3403692141</v>
      </c>
      <c r="I59" s="236">
        <f t="shared" si="7"/>
        <v>3163795.8454845487</v>
      </c>
      <c r="J59" s="236">
        <f t="shared" si="8"/>
        <v>261398.21941685968</v>
      </c>
      <c r="K59" s="236">
        <f t="shared" si="9"/>
        <v>273640.89580641326</v>
      </c>
      <c r="L59" s="236">
        <f t="shared" si="10"/>
        <v>222501.06199088154</v>
      </c>
      <c r="M59" s="91">
        <f t="shared" si="11"/>
        <v>17943719.819551304</v>
      </c>
    </row>
    <row r="60" spans="1:13">
      <c r="A60" s="580">
        <f t="shared" si="0"/>
        <v>36</v>
      </c>
      <c r="B60" s="233" t="s">
        <v>197</v>
      </c>
      <c r="C60" s="234">
        <f>SUM(C48:C59)</f>
        <v>0</v>
      </c>
      <c r="D60" s="234">
        <f t="shared" ref="D60:L60" si="12">SUM(D48:D59)</f>
        <v>2743706.929403407</v>
      </c>
      <c r="E60" s="234">
        <f t="shared" si="12"/>
        <v>14046639.890038989</v>
      </c>
      <c r="F60" s="234">
        <f t="shared" si="12"/>
        <v>81567285.862111896</v>
      </c>
      <c r="G60" s="234">
        <f t="shared" si="12"/>
        <v>54906038.442626387</v>
      </c>
      <c r="H60" s="234">
        <f t="shared" si="12"/>
        <v>12706990.319137907</v>
      </c>
      <c r="I60" s="234">
        <f t="shared" si="12"/>
        <v>37886809.103356615</v>
      </c>
      <c r="J60" s="234">
        <f t="shared" si="12"/>
        <v>3097585.725585897</v>
      </c>
      <c r="K60" s="234">
        <f t="shared" si="12"/>
        <v>3239235.6812215601</v>
      </c>
      <c r="L60" s="234">
        <f t="shared" si="12"/>
        <v>2610503.1884999899</v>
      </c>
      <c r="M60" s="7"/>
    </row>
    <row r="61" spans="1:13">
      <c r="A61" s="580">
        <f t="shared" si="0"/>
        <v>37</v>
      </c>
      <c r="B61" s="232"/>
      <c r="C61" s="232"/>
      <c r="D61" s="232"/>
      <c r="E61" s="232"/>
      <c r="F61" s="232"/>
      <c r="G61" s="232"/>
      <c r="H61" s="232"/>
      <c r="I61" s="232"/>
      <c r="J61" s="232"/>
      <c r="K61" s="232"/>
      <c r="L61" s="481" t="s">
        <v>980</v>
      </c>
      <c r="M61" s="234">
        <f>SUM(M48:M59)</f>
        <v>212804795.14198261</v>
      </c>
    </row>
    <row r="62" spans="1:13">
      <c r="A62" s="580">
        <f t="shared" si="0"/>
        <v>38</v>
      </c>
      <c r="B62" s="232"/>
      <c r="C62" s="232"/>
      <c r="D62" s="232"/>
      <c r="E62" s="232"/>
      <c r="F62" s="232"/>
      <c r="G62" s="232"/>
      <c r="H62" s="232"/>
      <c r="I62" s="232"/>
      <c r="J62" s="232"/>
      <c r="K62" s="232"/>
      <c r="L62" s="743" t="s">
        <v>981</v>
      </c>
      <c r="M62" s="232"/>
    </row>
    <row r="63" spans="1:13">
      <c r="A63" s="580">
        <f t="shared" si="0"/>
        <v>39</v>
      </c>
      <c r="B63" s="1" t="s">
        <v>1017</v>
      </c>
      <c r="C63" s="232"/>
      <c r="D63" s="232"/>
      <c r="E63" s="232"/>
      <c r="F63" s="232"/>
      <c r="G63" s="232"/>
      <c r="H63" s="232"/>
      <c r="I63" s="232"/>
      <c r="J63" s="232"/>
      <c r="K63" s="232"/>
      <c r="L63" s="232"/>
      <c r="M63" s="232"/>
    </row>
    <row r="64" spans="1:13">
      <c r="A64" s="580">
        <f t="shared" si="0"/>
        <v>40</v>
      </c>
      <c r="B64" s="232"/>
      <c r="C64" s="232"/>
      <c r="D64" s="232"/>
      <c r="E64" s="232"/>
      <c r="F64" s="232"/>
      <c r="G64" s="232"/>
      <c r="H64" s="232"/>
      <c r="I64" s="232"/>
      <c r="J64" s="232"/>
      <c r="K64" s="232"/>
      <c r="L64" s="232"/>
      <c r="M64" s="232"/>
    </row>
    <row r="65" spans="1:13">
      <c r="A65" s="580">
        <f t="shared" si="0"/>
        <v>41</v>
      </c>
      <c r="B65" s="232"/>
      <c r="C65" s="232"/>
      <c r="D65" s="84">
        <v>360</v>
      </c>
      <c r="E65" s="84">
        <v>361</v>
      </c>
      <c r="F65" s="84">
        <v>362</v>
      </c>
      <c r="G65" s="232"/>
      <c r="H65" s="51" t="s">
        <v>179</v>
      </c>
      <c r="I65" s="3"/>
      <c r="J65" s="232"/>
      <c r="K65" s="232"/>
      <c r="L65" s="232"/>
      <c r="M65" s="232"/>
    </row>
    <row r="66" spans="1:13">
      <c r="A66" s="580">
        <f t="shared" si="0"/>
        <v>42</v>
      </c>
      <c r="B66" s="483" t="s">
        <v>1018</v>
      </c>
      <c r="C66" s="232"/>
      <c r="D66" s="236">
        <f>'6-PlantInService'!C34</f>
        <v>0</v>
      </c>
      <c r="E66" s="236">
        <f>'6-PlantInService'!D34</f>
        <v>0</v>
      </c>
      <c r="F66" s="236">
        <f>'6-PlantInService'!E34</f>
        <v>0</v>
      </c>
      <c r="G66" s="241"/>
      <c r="H66" s="485" t="s">
        <v>2242</v>
      </c>
      <c r="I66" s="487"/>
      <c r="J66" s="232"/>
      <c r="K66" s="232"/>
      <c r="L66" s="232"/>
      <c r="M66" s="232"/>
    </row>
    <row r="67" spans="1:13">
      <c r="A67" s="580">
        <f t="shared" si="0"/>
        <v>43</v>
      </c>
      <c r="B67" s="483" t="s">
        <v>1019</v>
      </c>
      <c r="C67" s="232"/>
      <c r="D67" s="463">
        <f>'6-PlantInService'!C35</f>
        <v>0</v>
      </c>
      <c r="E67" s="463">
        <f>'6-PlantInService'!D35</f>
        <v>0</v>
      </c>
      <c r="F67" s="463">
        <f>'6-PlantInService'!E35</f>
        <v>0</v>
      </c>
      <c r="G67" s="241"/>
      <c r="H67" s="485" t="s">
        <v>2243</v>
      </c>
      <c r="I67" s="232"/>
      <c r="J67" s="232"/>
      <c r="K67" s="232"/>
      <c r="M67" s="232"/>
    </row>
    <row r="68" spans="1:13">
      <c r="A68" s="580">
        <f t="shared" si="0"/>
        <v>44</v>
      </c>
      <c r="B68" s="483" t="s">
        <v>1020</v>
      </c>
      <c r="C68" s="232"/>
      <c r="D68" s="236">
        <f>AVERAGE(D66:D67)</f>
        <v>0</v>
      </c>
      <c r="E68" s="236">
        <f>AVERAGE(E66:E67)</f>
        <v>0</v>
      </c>
      <c r="F68" s="236">
        <f>AVERAGE(F66:F67)</f>
        <v>0</v>
      </c>
      <c r="G68" s="241"/>
      <c r="H68" s="979"/>
      <c r="I68" s="487"/>
      <c r="J68" s="232"/>
      <c r="K68" s="232"/>
      <c r="M68" s="232"/>
    </row>
    <row r="69" spans="1:13">
      <c r="A69" s="580">
        <f t="shared" si="0"/>
        <v>45</v>
      </c>
      <c r="D69" s="14"/>
      <c r="E69" s="14"/>
      <c r="F69" s="14"/>
      <c r="G69" s="14"/>
      <c r="H69" s="14"/>
      <c r="J69" s="232"/>
      <c r="K69" s="232"/>
      <c r="M69" s="232"/>
    </row>
    <row r="70" spans="1:13">
      <c r="A70" s="580">
        <f t="shared" si="0"/>
        <v>46</v>
      </c>
      <c r="B70" s="643" t="s">
        <v>1799</v>
      </c>
      <c r="C70" s="232"/>
      <c r="D70" s="241"/>
      <c r="E70" s="241"/>
      <c r="F70" s="14"/>
      <c r="G70" s="14"/>
      <c r="H70" s="14"/>
      <c r="J70" s="241"/>
      <c r="K70" s="241"/>
      <c r="L70" s="236"/>
      <c r="M70" s="232"/>
    </row>
    <row r="71" spans="1:13">
      <c r="A71" s="580">
        <f t="shared" si="0"/>
        <v>47</v>
      </c>
      <c r="B71" s="232"/>
      <c r="D71" s="360">
        <v>360</v>
      </c>
      <c r="E71" s="360">
        <v>361</v>
      </c>
      <c r="F71" s="360">
        <v>362</v>
      </c>
      <c r="G71" s="14"/>
      <c r="H71" s="14"/>
      <c r="J71" s="241"/>
      <c r="K71" s="241"/>
      <c r="L71" s="236"/>
      <c r="M71" s="232"/>
    </row>
    <row r="72" spans="1:13">
      <c r="A72" s="580">
        <f t="shared" si="0"/>
        <v>48</v>
      </c>
      <c r="D72" s="242">
        <f>'18-DepRates'!$G20</f>
        <v>1.67E-2</v>
      </c>
      <c r="E72" s="242">
        <f>'18-DepRates'!$G21</f>
        <v>2.3900000000000001E-2</v>
      </c>
      <c r="F72" s="242">
        <f>'18-DepRates'!$G22</f>
        <v>2.01E-2</v>
      </c>
      <c r="G72" s="14"/>
      <c r="H72" s="14"/>
      <c r="J72" s="241"/>
      <c r="K72" s="241"/>
      <c r="L72" s="236"/>
      <c r="M72" s="232"/>
    </row>
    <row r="73" spans="1:13">
      <c r="A73" s="580">
        <f t="shared" si="0"/>
        <v>49</v>
      </c>
      <c r="D73" s="14"/>
      <c r="E73" s="14"/>
      <c r="F73" s="14"/>
      <c r="G73" s="14"/>
      <c r="H73" s="14"/>
      <c r="J73" s="241"/>
      <c r="K73" s="241"/>
      <c r="L73" s="112"/>
      <c r="M73" s="232"/>
    </row>
    <row r="74" spans="1:13">
      <c r="A74" s="580">
        <f t="shared" si="0"/>
        <v>50</v>
      </c>
      <c r="B74" t="s">
        <v>366</v>
      </c>
      <c r="D74" s="14"/>
      <c r="E74" s="14"/>
      <c r="F74" s="485" t="s">
        <v>1715</v>
      </c>
      <c r="G74" s="14"/>
      <c r="H74" s="14"/>
      <c r="J74" s="241"/>
      <c r="K74" s="241"/>
      <c r="L74" s="242"/>
      <c r="M74" s="232"/>
    </row>
    <row r="75" spans="1:13">
      <c r="A75" s="580">
        <f t="shared" si="0"/>
        <v>51</v>
      </c>
      <c r="J75" s="241"/>
      <c r="K75" s="241"/>
      <c r="L75" s="242"/>
      <c r="M75" s="232"/>
    </row>
    <row r="76" spans="1:13">
      <c r="A76" s="580">
        <f t="shared" si="0"/>
        <v>52</v>
      </c>
      <c r="D76" s="84">
        <v>360</v>
      </c>
      <c r="E76" s="84">
        <v>361</v>
      </c>
      <c r="F76" s="84">
        <v>362</v>
      </c>
      <c r="G76" s="370" t="s">
        <v>196</v>
      </c>
      <c r="J76" s="241"/>
      <c r="K76" s="241"/>
      <c r="L76" s="242"/>
      <c r="M76" s="232"/>
    </row>
    <row r="77" spans="1:13">
      <c r="A77" s="580">
        <f t="shared" ref="A77:A90" si="13">A76+1</f>
        <v>53</v>
      </c>
      <c r="D77" s="7">
        <f xml:space="preserve"> D68*D72</f>
        <v>0</v>
      </c>
      <c r="E77" s="7">
        <f xml:space="preserve"> E68*E72</f>
        <v>0</v>
      </c>
      <c r="F77" s="7">
        <f xml:space="preserve"> F68*F72</f>
        <v>0</v>
      </c>
      <c r="G77" s="7">
        <f>SUM(D77:F77)</f>
        <v>0</v>
      </c>
      <c r="H77" s="16" t="s">
        <v>1021</v>
      </c>
      <c r="J77" s="241"/>
      <c r="K77" s="241"/>
      <c r="L77" s="236"/>
      <c r="M77" s="232"/>
    </row>
    <row r="78" spans="1:13">
      <c r="A78" s="580">
        <f t="shared" si="13"/>
        <v>54</v>
      </c>
      <c r="H78" s="16" t="s">
        <v>1022</v>
      </c>
      <c r="J78" s="241"/>
      <c r="K78" s="241"/>
      <c r="L78" s="241"/>
      <c r="M78" s="232"/>
    </row>
    <row r="79" spans="1:13">
      <c r="A79" s="580">
        <f t="shared" si="13"/>
        <v>55</v>
      </c>
      <c r="J79" s="241"/>
      <c r="K79" s="241"/>
      <c r="L79" s="241"/>
      <c r="M79" s="232"/>
    </row>
    <row r="80" spans="1:13">
      <c r="A80" s="580">
        <f t="shared" si="13"/>
        <v>56</v>
      </c>
      <c r="B80" s="1" t="s">
        <v>1023</v>
      </c>
      <c r="J80" s="241"/>
      <c r="K80" s="241"/>
      <c r="L80" s="241"/>
      <c r="M80" s="232"/>
    </row>
    <row r="81" spans="1:13">
      <c r="A81" s="580">
        <f t="shared" si="13"/>
        <v>57</v>
      </c>
      <c r="B81" s="232"/>
      <c r="C81" s="232"/>
      <c r="D81" s="232"/>
      <c r="E81" s="232"/>
      <c r="F81" s="232"/>
      <c r="G81" s="232"/>
      <c r="H81" s="232"/>
      <c r="I81" s="232"/>
      <c r="J81" s="232"/>
      <c r="K81" s="232"/>
      <c r="L81" s="232"/>
      <c r="M81" s="232"/>
    </row>
    <row r="82" spans="1:13">
      <c r="A82" s="580">
        <f t="shared" si="13"/>
        <v>58</v>
      </c>
      <c r="B82" s="557" t="s">
        <v>982</v>
      </c>
      <c r="C82" s="232"/>
      <c r="D82" s="232"/>
      <c r="E82" s="232"/>
      <c r="F82" s="232"/>
      <c r="G82" s="232"/>
      <c r="H82" s="371">
        <v>236723303</v>
      </c>
      <c r="I82" s="487" t="s">
        <v>984</v>
      </c>
      <c r="J82" s="232"/>
      <c r="K82" s="232"/>
      <c r="L82" s="232"/>
      <c r="M82" s="232"/>
    </row>
    <row r="83" spans="1:13">
      <c r="A83" s="580">
        <f t="shared" si="13"/>
        <v>59</v>
      </c>
      <c r="B83" s="483" t="s">
        <v>983</v>
      </c>
      <c r="C83" s="232"/>
      <c r="D83" s="232"/>
      <c r="E83" s="232"/>
      <c r="F83" s="232"/>
      <c r="G83" s="232"/>
      <c r="H83" s="100">
        <v>238988799</v>
      </c>
      <c r="I83" s="487" t="s">
        <v>985</v>
      </c>
      <c r="J83" s="232"/>
      <c r="K83" s="232"/>
      <c r="L83" s="232"/>
      <c r="M83" s="232"/>
    </row>
    <row r="84" spans="1:13">
      <c r="A84" s="580">
        <f t="shared" si="13"/>
        <v>60</v>
      </c>
      <c r="B84" s="557" t="s">
        <v>986</v>
      </c>
      <c r="C84" s="232"/>
      <c r="D84" s="232"/>
      <c r="E84" s="232"/>
      <c r="F84" s="232"/>
      <c r="G84" s="232"/>
      <c r="H84" s="234">
        <f>SUM(H82:H83)</f>
        <v>475712102</v>
      </c>
      <c r="I84" s="487" t="str">
        <f>"Line "&amp;A82&amp;" + Line "&amp;A83&amp;""</f>
        <v>Line 58 + Line 59</v>
      </c>
      <c r="J84" s="232"/>
      <c r="K84" s="232"/>
      <c r="L84" s="232"/>
      <c r="M84" s="232"/>
    </row>
    <row r="85" spans="1:13">
      <c r="A85" s="580">
        <f t="shared" si="13"/>
        <v>61</v>
      </c>
      <c r="B85" s="557" t="s">
        <v>93</v>
      </c>
      <c r="C85" s="232"/>
      <c r="D85" s="232"/>
      <c r="E85" s="232"/>
      <c r="F85" s="232"/>
      <c r="G85" s="232"/>
      <c r="H85" s="248">
        <f>'27-Allocators'!G14</f>
        <v>6.0143362776597958E-2</v>
      </c>
      <c r="I85" s="114" t="str">
        <f>"27-Allocators, Line "&amp;'27-Allocators'!A14&amp;""</f>
        <v>27-Allocators, Line 9</v>
      </c>
      <c r="J85" s="232"/>
      <c r="K85" s="232"/>
      <c r="L85" s="232"/>
      <c r="M85" s="232"/>
    </row>
    <row r="86" spans="1:13">
      <c r="A86" s="580">
        <f t="shared" si="13"/>
        <v>62</v>
      </c>
      <c r="B86" s="557" t="s">
        <v>987</v>
      </c>
      <c r="C86" s="232"/>
      <c r="D86" s="232"/>
      <c r="E86" s="232"/>
      <c r="F86" s="232"/>
      <c r="G86" s="232"/>
      <c r="H86" s="234">
        <f>H84*H85</f>
        <v>28610925.527803972</v>
      </c>
      <c r="I86" s="487" t="str">
        <f>"Line "&amp;A84&amp;" * Line "&amp;A85&amp;""</f>
        <v>Line 60 * Line 61</v>
      </c>
      <c r="J86" s="232"/>
      <c r="K86" s="232"/>
      <c r="L86" s="232"/>
      <c r="M86" s="232"/>
    </row>
    <row r="87" spans="1:13">
      <c r="A87" s="580">
        <f t="shared" si="13"/>
        <v>63</v>
      </c>
      <c r="B87" s="557"/>
      <c r="C87" s="483"/>
      <c r="D87" s="232"/>
      <c r="E87" s="232"/>
      <c r="F87" s="232"/>
      <c r="G87" s="232"/>
      <c r="H87" s="232"/>
      <c r="I87" s="232"/>
      <c r="J87" s="232"/>
      <c r="K87" s="232"/>
      <c r="L87" s="232"/>
      <c r="M87" s="232"/>
    </row>
    <row r="88" spans="1:13">
      <c r="A88" s="580">
        <f t="shared" si="13"/>
        <v>64</v>
      </c>
      <c r="B88" s="83" t="s">
        <v>1684</v>
      </c>
      <c r="C88" s="232"/>
      <c r="D88" s="232"/>
      <c r="E88" s="232"/>
      <c r="F88" s="232"/>
      <c r="G88" s="232"/>
      <c r="H88" s="232"/>
      <c r="I88" s="232"/>
      <c r="J88" s="232"/>
      <c r="K88" s="232"/>
      <c r="L88" s="232"/>
      <c r="M88" s="232"/>
    </row>
    <row r="89" spans="1:13">
      <c r="A89" s="580">
        <f t="shared" si="13"/>
        <v>65</v>
      </c>
      <c r="B89" s="557"/>
      <c r="C89" s="483"/>
      <c r="D89" s="232"/>
      <c r="E89" s="232"/>
      <c r="F89" s="232"/>
      <c r="G89" s="232"/>
      <c r="H89" s="232"/>
      <c r="I89" s="232"/>
      <c r="J89" s="232"/>
      <c r="K89" s="232"/>
      <c r="L89" s="232"/>
      <c r="M89" s="232"/>
    </row>
    <row r="90" spans="1:13">
      <c r="A90" s="580">
        <f t="shared" si="13"/>
        <v>66</v>
      </c>
      <c r="B90" s="557" t="s">
        <v>1683</v>
      </c>
      <c r="C90" s="232"/>
      <c r="D90" s="232"/>
      <c r="E90" s="232"/>
      <c r="F90" s="3" t="s">
        <v>175</v>
      </c>
      <c r="G90" s="3" t="s">
        <v>179</v>
      </c>
      <c r="H90" s="232"/>
      <c r="I90" s="232"/>
    </row>
    <row r="91" spans="1:13">
      <c r="A91" s="580">
        <f>A90+1</f>
        <v>67</v>
      </c>
      <c r="B91" s="487" t="s">
        <v>973</v>
      </c>
      <c r="C91" s="232"/>
      <c r="D91" s="232"/>
      <c r="E91" s="232"/>
      <c r="F91" s="245">
        <f>M61</f>
        <v>212804795.14198261</v>
      </c>
      <c r="G91" s="487" t="str">
        <f>"Line "&amp;A61&amp;", Col 12"</f>
        <v>Line 37, Col 12</v>
      </c>
      <c r="H91" s="232"/>
      <c r="I91" s="232"/>
    </row>
    <row r="92" spans="1:13">
      <c r="A92" s="580">
        <f>A91+1</f>
        <v>68</v>
      </c>
      <c r="B92" s="487" t="s">
        <v>989</v>
      </c>
      <c r="C92" s="232"/>
      <c r="D92" s="232"/>
      <c r="E92" s="232"/>
      <c r="F92" s="234">
        <f>G77</f>
        <v>0</v>
      </c>
      <c r="G92" s="487" t="str">
        <f>"Line "&amp;A77&amp;""</f>
        <v>Line 53</v>
      </c>
      <c r="H92" s="232"/>
      <c r="I92" s="232"/>
    </row>
    <row r="93" spans="1:13">
      <c r="A93" s="580">
        <f>A92+1</f>
        <v>69</v>
      </c>
      <c r="B93" s="487" t="s">
        <v>988</v>
      </c>
      <c r="C93" s="232"/>
      <c r="D93" s="232"/>
      <c r="E93" s="232"/>
      <c r="F93" s="91">
        <f>H86</f>
        <v>28610925.527803972</v>
      </c>
      <c r="G93" s="487" t="str">
        <f>"Line "&amp;A86&amp;""</f>
        <v>Line 62</v>
      </c>
      <c r="H93" s="232"/>
      <c r="I93" s="232"/>
    </row>
    <row r="94" spans="1:13">
      <c r="A94" s="580">
        <f>A93+1</f>
        <v>70</v>
      </c>
      <c r="B94" s="232"/>
      <c r="C94" s="232"/>
      <c r="D94" s="232"/>
      <c r="E94" s="233" t="s">
        <v>1024</v>
      </c>
      <c r="F94" s="245">
        <f>SUM(F91:F93)</f>
        <v>241415720.66978657</v>
      </c>
      <c r="G94" s="487" t="str">
        <f>"Line "&amp;A91&amp;" + Line "&amp;A92&amp;" + Line "&amp;A93&amp;""</f>
        <v>Line 67 + Line 68 + Line 69</v>
      </c>
      <c r="H94" s="232"/>
      <c r="I94" s="232"/>
    </row>
    <row r="95" spans="1:13">
      <c r="A95" s="232"/>
      <c r="B95" s="1" t="s">
        <v>232</v>
      </c>
      <c r="C95" s="232"/>
      <c r="D95" s="232"/>
      <c r="E95" s="232"/>
      <c r="F95" s="232"/>
      <c r="G95" s="232"/>
      <c r="H95" s="232"/>
      <c r="I95" s="232"/>
    </row>
    <row r="96" spans="1:13">
      <c r="A96" s="232"/>
      <c r="B96" s="483" t="s">
        <v>1441</v>
      </c>
      <c r="C96" s="232"/>
      <c r="D96" s="232"/>
      <c r="E96" s="232"/>
      <c r="F96" s="232"/>
      <c r="G96" s="232"/>
      <c r="H96" s="232"/>
      <c r="I96" s="232"/>
    </row>
    <row r="97" spans="1:10">
      <c r="A97" s="232"/>
      <c r="B97" s="485" t="str">
        <f>"same account, times the Monthly Depreciation Rate for that account.  Monthly rate = annual rates on Line "&amp;A29&amp;" etc. divided by 12."</f>
        <v>same account, times the Monthly Depreciation Rate for that account.  Monthly rate = annual rates on Line 17a etc. divided by 12.</v>
      </c>
      <c r="C97" s="241"/>
      <c r="D97" s="241"/>
      <c r="E97" s="241"/>
      <c r="F97" s="241"/>
      <c r="G97" s="241"/>
      <c r="H97" s="241"/>
      <c r="I97" s="241"/>
      <c r="J97" s="14"/>
    </row>
    <row r="98" spans="1:10">
      <c r="A98" s="232"/>
      <c r="B98" s="485" t="str">
        <f>"2) Depreciation Expense for each account is equal to the Average BOY/EOY value on Line "&amp;A68&amp;" times the"</f>
        <v>2) Depreciation Expense for each account is equal to the Average BOY/EOY value on Line 44 times the</v>
      </c>
      <c r="C98" s="241"/>
      <c r="D98" s="241"/>
      <c r="E98" s="241"/>
      <c r="F98" s="241"/>
      <c r="G98" s="241"/>
      <c r="H98" s="241"/>
      <c r="I98" s="241"/>
      <c r="J98" s="14"/>
    </row>
    <row r="99" spans="1:10">
      <c r="B99" s="485" t="str">
        <f>"Depreciation Rate on Line "&amp;A72&amp;"."</f>
        <v>Depreciation Rate on Line 48.</v>
      </c>
      <c r="C99" s="14"/>
      <c r="D99" s="14"/>
      <c r="E99" s="14"/>
      <c r="F99" s="14"/>
      <c r="G99" s="14"/>
      <c r="H99" s="14"/>
      <c r="I99" s="14"/>
      <c r="J99" s="14"/>
    </row>
    <row r="100" spans="1:10">
      <c r="B100" s="44" t="s">
        <v>382</v>
      </c>
      <c r="C100" s="14"/>
      <c r="D100" s="14"/>
      <c r="E100" s="14"/>
      <c r="F100" s="14"/>
      <c r="G100" s="14"/>
      <c r="H100" s="14"/>
      <c r="I100" s="14"/>
      <c r="J100" s="14"/>
    </row>
    <row r="101" spans="1:10">
      <c r="B101" s="485" t="s">
        <v>2493</v>
      </c>
      <c r="C101" s="14"/>
      <c r="D101" s="14"/>
      <c r="E101" s="14"/>
      <c r="F101" s="14"/>
      <c r="G101" s="14"/>
      <c r="H101" s="14"/>
      <c r="I101" s="14"/>
      <c r="J101" s="14"/>
    </row>
    <row r="102" spans="1:10">
      <c r="B102" s="485" t="s">
        <v>2494</v>
      </c>
      <c r="C102" s="14"/>
      <c r="D102" s="14"/>
      <c r="E102" s="14"/>
      <c r="F102" s="14"/>
      <c r="G102" s="14"/>
      <c r="H102" s="14"/>
      <c r="I102" s="14"/>
      <c r="J102" s="14"/>
    </row>
    <row r="103" spans="1:10">
      <c r="B103" s="485" t="s">
        <v>1786</v>
      </c>
      <c r="C103" s="14"/>
      <c r="D103" s="14"/>
      <c r="E103" s="14"/>
      <c r="F103" s="14"/>
      <c r="G103" s="14"/>
      <c r="H103" s="14"/>
      <c r="I103" s="14"/>
      <c r="J103" s="14"/>
    </row>
    <row r="104" spans="1:10">
      <c r="B104" s="485"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&amp;RTO2019 Draft Annual Update 
Attachment1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6"/>
  <sheetViews>
    <sheetView zoomScale="110" zoomScaleNormal="110" workbookViewId="0"/>
  </sheetViews>
  <sheetFormatPr defaultColWidth="8.85546875" defaultRowHeight="12.75"/>
  <cols>
    <col min="1" max="1" width="4.7109375" style="1075" customWidth="1"/>
    <col min="2" max="3" width="8.85546875" style="1075"/>
    <col min="4" max="4" width="38.7109375" style="1075" customWidth="1"/>
    <col min="5" max="7" width="8.85546875" style="483"/>
    <col min="8" max="16384" width="8.85546875" style="1075"/>
  </cols>
  <sheetData>
    <row r="1" spans="1:16">
      <c r="A1" s="398" t="s">
        <v>1025</v>
      </c>
      <c r="B1" s="483"/>
      <c r="C1" s="483"/>
      <c r="D1" s="483"/>
      <c r="P1" s="1075" t="s">
        <v>2881</v>
      </c>
    </row>
    <row r="2" spans="1:16">
      <c r="A2" s="483"/>
      <c r="B2" s="483"/>
      <c r="C2" s="483"/>
      <c r="D2" s="483"/>
    </row>
    <row r="3" spans="1:16">
      <c r="A3" s="483"/>
      <c r="B3" s="398" t="s">
        <v>323</v>
      </c>
      <c r="C3" s="483"/>
      <c r="D3" s="483"/>
      <c r="E3" s="580" t="s">
        <v>376</v>
      </c>
      <c r="F3" s="580"/>
      <c r="G3" s="580"/>
    </row>
    <row r="4" spans="1:16">
      <c r="A4" s="483"/>
      <c r="B4" s="483"/>
      <c r="C4" s="235" t="s">
        <v>12</v>
      </c>
      <c r="D4" s="483"/>
      <c r="E4" s="580" t="s">
        <v>1026</v>
      </c>
      <c r="F4" s="4" t="s">
        <v>1027</v>
      </c>
      <c r="G4" s="4"/>
    </row>
    <row r="5" spans="1:16">
      <c r="A5" s="51" t="s">
        <v>332</v>
      </c>
      <c r="B5" s="483"/>
      <c r="C5" s="370" t="s">
        <v>99</v>
      </c>
      <c r="D5" s="370" t="s">
        <v>100</v>
      </c>
      <c r="E5" s="3" t="s">
        <v>1028</v>
      </c>
      <c r="F5" s="3" t="s">
        <v>1029</v>
      </c>
      <c r="G5" s="3" t="s">
        <v>196</v>
      </c>
    </row>
    <row r="6" spans="1:16" ht="15" customHeight="1">
      <c r="A6" s="580">
        <v>1</v>
      </c>
      <c r="B6" s="483"/>
      <c r="C6" s="743">
        <v>350.1</v>
      </c>
      <c r="D6" s="487" t="s">
        <v>1030</v>
      </c>
      <c r="E6" s="524">
        <v>0</v>
      </c>
      <c r="F6" s="524">
        <v>0</v>
      </c>
      <c r="G6" s="524">
        <v>0</v>
      </c>
    </row>
    <row r="7" spans="1:16" ht="15" customHeight="1">
      <c r="A7" s="580">
        <f>A6+1</f>
        <v>2</v>
      </c>
      <c r="B7" s="483"/>
      <c r="C7" s="743">
        <v>350.2</v>
      </c>
      <c r="D7" s="487" t="s">
        <v>1031</v>
      </c>
      <c r="E7" s="524">
        <v>1.67E-2</v>
      </c>
      <c r="F7" s="524">
        <v>0</v>
      </c>
      <c r="G7" s="524">
        <v>1.67E-2</v>
      </c>
    </row>
    <row r="8" spans="1:16">
      <c r="A8" s="580">
        <f t="shared" ref="A8:A16" si="0">A7+1</f>
        <v>3</v>
      </c>
      <c r="B8" s="483"/>
      <c r="C8" s="743">
        <v>352</v>
      </c>
      <c r="D8" s="487" t="s">
        <v>1032</v>
      </c>
      <c r="E8" s="524">
        <v>1.7899999999999999E-2</v>
      </c>
      <c r="F8" s="524">
        <v>6.1999999999999998E-3</v>
      </c>
      <c r="G8" s="524">
        <v>2.41E-2</v>
      </c>
    </row>
    <row r="9" spans="1:16">
      <c r="A9" s="580">
        <f t="shared" si="0"/>
        <v>4</v>
      </c>
      <c r="B9" s="483"/>
      <c r="C9" s="743">
        <v>353</v>
      </c>
      <c r="D9" s="487" t="s">
        <v>1033</v>
      </c>
      <c r="E9" s="524">
        <v>2.3900000000000001E-2</v>
      </c>
      <c r="F9" s="524">
        <v>4.4999999999999997E-3</v>
      </c>
      <c r="G9" s="524">
        <v>2.8400000000000002E-2</v>
      </c>
    </row>
    <row r="10" spans="1:16">
      <c r="A10" s="580">
        <f t="shared" si="0"/>
        <v>5</v>
      </c>
      <c r="B10" s="483"/>
      <c r="C10" s="743">
        <v>354</v>
      </c>
      <c r="D10" s="487" t="s">
        <v>1209</v>
      </c>
      <c r="E10" s="524">
        <v>1.2000000000000002E-2</v>
      </c>
      <c r="F10" s="524">
        <v>1.5299999999999999E-2</v>
      </c>
      <c r="G10" s="524">
        <v>2.7300000000000001E-2</v>
      </c>
    </row>
    <row r="11" spans="1:16">
      <c r="A11" s="580">
        <f t="shared" si="0"/>
        <v>6</v>
      </c>
      <c r="B11" s="483"/>
      <c r="C11" s="743">
        <v>355</v>
      </c>
      <c r="D11" s="487" t="s">
        <v>1034</v>
      </c>
      <c r="E11" s="524">
        <v>1.0600000000000002E-2</v>
      </c>
      <c r="F11" s="524">
        <v>1.78E-2</v>
      </c>
      <c r="G11" s="524">
        <v>2.8400000000000002E-2</v>
      </c>
    </row>
    <row r="12" spans="1:16">
      <c r="A12" s="580">
        <f t="shared" si="0"/>
        <v>7</v>
      </c>
      <c r="B12" s="483"/>
      <c r="C12" s="743">
        <v>356</v>
      </c>
      <c r="D12" s="487" t="s">
        <v>1035</v>
      </c>
      <c r="E12" s="524">
        <v>7.7999999999999979E-3</v>
      </c>
      <c r="F12" s="524">
        <v>2.46E-2</v>
      </c>
      <c r="G12" s="524">
        <v>3.2399999999999998E-2</v>
      </c>
    </row>
    <row r="13" spans="1:16">
      <c r="A13" s="580">
        <f t="shared" si="0"/>
        <v>8</v>
      </c>
      <c r="B13" s="483"/>
      <c r="C13" s="743">
        <v>357</v>
      </c>
      <c r="D13" s="487" t="s">
        <v>1036</v>
      </c>
      <c r="E13" s="524">
        <v>1.7299999999999999E-2</v>
      </c>
      <c r="F13" s="524">
        <v>0</v>
      </c>
      <c r="G13" s="524">
        <v>1.7299999999999999E-2</v>
      </c>
    </row>
    <row r="14" spans="1:16">
      <c r="A14" s="580">
        <f t="shared" si="0"/>
        <v>9</v>
      </c>
      <c r="B14" s="483"/>
      <c r="C14" s="743">
        <v>358</v>
      </c>
      <c r="D14" s="487" t="s">
        <v>1037</v>
      </c>
      <c r="E14" s="524">
        <v>1.6199999999999999E-2</v>
      </c>
      <c r="F14" s="524">
        <v>7.9000000000000008E-3</v>
      </c>
      <c r="G14" s="524">
        <v>2.41E-2</v>
      </c>
    </row>
    <row r="15" spans="1:16">
      <c r="A15" s="580">
        <f t="shared" si="0"/>
        <v>10</v>
      </c>
      <c r="B15" s="483"/>
      <c r="C15" s="743">
        <v>359</v>
      </c>
      <c r="D15" s="487" t="s">
        <v>1038</v>
      </c>
      <c r="E15" s="524">
        <v>1.6500000000000001E-2</v>
      </c>
      <c r="F15" s="524">
        <v>0</v>
      </c>
      <c r="G15" s="524">
        <v>1.6500000000000001E-2</v>
      </c>
    </row>
    <row r="16" spans="1:16">
      <c r="A16" s="580">
        <f t="shared" si="0"/>
        <v>11</v>
      </c>
      <c r="B16" s="483"/>
      <c r="C16" s="483"/>
      <c r="D16" s="483"/>
    </row>
    <row r="17" spans="1:7">
      <c r="A17" s="483"/>
      <c r="B17" s="398" t="s">
        <v>324</v>
      </c>
      <c r="C17" s="483"/>
      <c r="D17" s="483"/>
      <c r="E17" s="580" t="s">
        <v>376</v>
      </c>
      <c r="F17" s="580"/>
      <c r="G17" s="580"/>
    </row>
    <row r="18" spans="1:7">
      <c r="A18" s="483"/>
      <c r="B18" s="483"/>
      <c r="C18" s="235" t="s">
        <v>12</v>
      </c>
      <c r="D18" s="483"/>
      <c r="E18" s="580" t="s">
        <v>1026</v>
      </c>
      <c r="F18" s="4" t="s">
        <v>1027</v>
      </c>
      <c r="G18" s="4"/>
    </row>
    <row r="19" spans="1:7">
      <c r="A19" s="483"/>
      <c r="B19" s="483"/>
      <c r="C19" s="370" t="s">
        <v>99</v>
      </c>
      <c r="D19" s="370" t="s">
        <v>100</v>
      </c>
      <c r="E19" s="3" t="s">
        <v>1028</v>
      </c>
      <c r="F19" s="3" t="s">
        <v>1029</v>
      </c>
      <c r="G19" s="3" t="s">
        <v>196</v>
      </c>
    </row>
    <row r="20" spans="1:7">
      <c r="A20" s="580">
        <f>A16+1</f>
        <v>12</v>
      </c>
      <c r="B20" s="483"/>
      <c r="C20" s="483">
        <v>360</v>
      </c>
      <c r="D20" s="487" t="s">
        <v>1039</v>
      </c>
      <c r="E20" s="933">
        <v>1.67E-2</v>
      </c>
      <c r="F20" s="933">
        <v>0</v>
      </c>
      <c r="G20" s="933">
        <v>1.67E-2</v>
      </c>
    </row>
    <row r="21" spans="1:7">
      <c r="A21" s="580">
        <f>A20+1</f>
        <v>13</v>
      </c>
      <c r="B21" s="483"/>
      <c r="C21" s="483">
        <v>361</v>
      </c>
      <c r="D21" s="487" t="s">
        <v>1032</v>
      </c>
      <c r="E21" s="933">
        <v>1.7500000000000002E-2</v>
      </c>
      <c r="F21" s="933">
        <v>6.4000000000000003E-3</v>
      </c>
      <c r="G21" s="933">
        <v>2.3900000000000001E-2</v>
      </c>
    </row>
    <row r="22" spans="1:7">
      <c r="A22" s="580">
        <f>A21+1</f>
        <v>14</v>
      </c>
      <c r="B22" s="483"/>
      <c r="C22" s="483">
        <v>362</v>
      </c>
      <c r="D22" s="487" t="s">
        <v>1033</v>
      </c>
      <c r="E22" s="933">
        <v>1.32E-2</v>
      </c>
      <c r="F22" s="933">
        <v>6.8999999999999999E-3</v>
      </c>
      <c r="G22" s="933">
        <v>2.01E-2</v>
      </c>
    </row>
    <row r="23" spans="1:7">
      <c r="A23" s="483"/>
      <c r="B23" s="483"/>
      <c r="C23" s="483"/>
      <c r="D23" s="483"/>
    </row>
    <row r="24" spans="1:7">
      <c r="A24" s="483"/>
      <c r="B24" s="398" t="s">
        <v>1040</v>
      </c>
      <c r="C24" s="483"/>
      <c r="D24" s="483"/>
      <c r="E24" s="580" t="s">
        <v>376</v>
      </c>
    </row>
    <row r="25" spans="1:7">
      <c r="A25" s="483"/>
      <c r="B25" s="483"/>
      <c r="C25" s="235" t="s">
        <v>12</v>
      </c>
      <c r="D25" s="483"/>
      <c r="E25" s="580" t="s">
        <v>1026</v>
      </c>
      <c r="F25" s="4" t="s">
        <v>1027</v>
      </c>
      <c r="G25" s="4"/>
    </row>
    <row r="26" spans="1:7">
      <c r="A26" s="483"/>
      <c r="B26" s="483"/>
      <c r="C26" s="370" t="s">
        <v>99</v>
      </c>
      <c r="D26" s="370" t="s">
        <v>100</v>
      </c>
      <c r="E26" s="3" t="s">
        <v>1028</v>
      </c>
      <c r="F26" s="3" t="s">
        <v>1029</v>
      </c>
      <c r="G26" s="3" t="s">
        <v>196</v>
      </c>
    </row>
    <row r="27" spans="1:7">
      <c r="A27" s="580">
        <f>A22+1</f>
        <v>15</v>
      </c>
      <c r="B27" s="483"/>
      <c r="C27" s="483">
        <v>389</v>
      </c>
      <c r="D27" s="487" t="s">
        <v>1039</v>
      </c>
      <c r="E27" s="933">
        <v>1.67E-2</v>
      </c>
      <c r="F27" s="933">
        <v>0</v>
      </c>
      <c r="G27" s="933">
        <v>1.67E-2</v>
      </c>
    </row>
    <row r="28" spans="1:7">
      <c r="A28" s="580">
        <f t="shared" ref="A28:A42" si="1">A27+1</f>
        <v>16</v>
      </c>
      <c r="B28" s="483"/>
      <c r="C28" s="483">
        <v>390</v>
      </c>
      <c r="D28" s="487" t="s">
        <v>1032</v>
      </c>
      <c r="E28" s="933">
        <v>1.8099999999999998E-2</v>
      </c>
      <c r="F28" s="933">
        <v>2.7000000000000001E-3</v>
      </c>
      <c r="G28" s="933">
        <v>2.0799999999999999E-2</v>
      </c>
    </row>
    <row r="29" spans="1:7">
      <c r="A29" s="580">
        <f t="shared" si="1"/>
        <v>17</v>
      </c>
      <c r="B29" s="483"/>
      <c r="C29" s="483">
        <v>391.1</v>
      </c>
      <c r="D29" s="933" t="s">
        <v>1041</v>
      </c>
      <c r="E29" s="933">
        <v>0.05</v>
      </c>
      <c r="F29" s="933">
        <v>0</v>
      </c>
      <c r="G29" s="933">
        <v>0.05</v>
      </c>
    </row>
    <row r="30" spans="1:7">
      <c r="A30" s="580">
        <f t="shared" si="1"/>
        <v>18</v>
      </c>
      <c r="B30" s="483"/>
      <c r="C30" s="483">
        <v>391.5</v>
      </c>
      <c r="D30" s="933" t="s">
        <v>1608</v>
      </c>
      <c r="E30" s="933">
        <v>0.2</v>
      </c>
      <c r="F30" s="933">
        <v>0</v>
      </c>
      <c r="G30" s="933">
        <v>0.2</v>
      </c>
    </row>
    <row r="31" spans="1:7">
      <c r="A31" s="580">
        <f t="shared" si="1"/>
        <v>19</v>
      </c>
      <c r="B31" s="483"/>
      <c r="C31" s="483">
        <v>391.6</v>
      </c>
      <c r="D31" s="933" t="s">
        <v>1609</v>
      </c>
      <c r="E31" s="933">
        <v>0.2</v>
      </c>
      <c r="F31" s="933">
        <v>0</v>
      </c>
      <c r="G31" s="933">
        <v>0.2</v>
      </c>
    </row>
    <row r="32" spans="1:7">
      <c r="A32" s="580">
        <f t="shared" si="1"/>
        <v>20</v>
      </c>
      <c r="B32" s="483"/>
      <c r="C32" s="483">
        <v>391.2</v>
      </c>
      <c r="D32" s="933" t="s">
        <v>1610</v>
      </c>
      <c r="E32" s="933">
        <v>0.2</v>
      </c>
      <c r="F32" s="933">
        <v>0</v>
      </c>
      <c r="G32" s="933">
        <v>0.2</v>
      </c>
    </row>
    <row r="33" spans="1:11">
      <c r="A33" s="580">
        <f t="shared" si="1"/>
        <v>21</v>
      </c>
      <c r="B33" s="483"/>
      <c r="C33" s="483">
        <v>391.3</v>
      </c>
      <c r="D33" s="933" t="s">
        <v>1611</v>
      </c>
      <c r="E33" s="933">
        <v>0.2</v>
      </c>
      <c r="F33" s="933">
        <v>0</v>
      </c>
      <c r="G33" s="933">
        <v>0.2</v>
      </c>
    </row>
    <row r="34" spans="1:11">
      <c r="A34" s="580">
        <f t="shared" si="1"/>
        <v>22</v>
      </c>
      <c r="B34" s="483"/>
      <c r="C34" s="481">
        <v>391.7</v>
      </c>
      <c r="D34" s="933" t="s">
        <v>1612</v>
      </c>
      <c r="E34" s="933">
        <v>0.2</v>
      </c>
      <c r="F34" s="933">
        <v>0</v>
      </c>
      <c r="G34" s="933">
        <v>0.2</v>
      </c>
    </row>
    <row r="35" spans="1:11">
      <c r="A35" s="580">
        <f t="shared" si="1"/>
        <v>23</v>
      </c>
      <c r="B35" s="483"/>
      <c r="C35" s="481">
        <v>391.4</v>
      </c>
      <c r="D35" s="933" t="s">
        <v>1613</v>
      </c>
      <c r="E35" s="933">
        <v>0.1429</v>
      </c>
      <c r="F35" s="933">
        <v>0</v>
      </c>
      <c r="G35" s="933">
        <v>0.1429</v>
      </c>
    </row>
    <row r="36" spans="1:11">
      <c r="A36" s="580">
        <f t="shared" si="1"/>
        <v>24</v>
      </c>
      <c r="B36" s="483"/>
      <c r="C36" s="483">
        <v>391.4</v>
      </c>
      <c r="D36" s="933" t="s">
        <v>1614</v>
      </c>
      <c r="E36" s="933">
        <v>0.1</v>
      </c>
      <c r="F36" s="933">
        <v>0</v>
      </c>
      <c r="G36" s="933">
        <v>0.1</v>
      </c>
    </row>
    <row r="37" spans="1:11">
      <c r="A37" s="580">
        <f t="shared" si="1"/>
        <v>25</v>
      </c>
      <c r="B37" s="483"/>
      <c r="C37" s="481">
        <v>391.4</v>
      </c>
      <c r="D37" s="933" t="s">
        <v>1615</v>
      </c>
      <c r="E37" s="933">
        <v>6.6699999999999995E-2</v>
      </c>
      <c r="F37" s="933">
        <v>0</v>
      </c>
      <c r="G37" s="933">
        <v>6.6699999999999995E-2</v>
      </c>
    </row>
    <row r="38" spans="1:11">
      <c r="A38" s="580">
        <f t="shared" si="1"/>
        <v>26</v>
      </c>
      <c r="B38" s="483"/>
      <c r="C38" s="481">
        <v>391.4</v>
      </c>
      <c r="D38" s="933" t="s">
        <v>1616</v>
      </c>
      <c r="E38" s="933">
        <v>0.05</v>
      </c>
      <c r="F38" s="933">
        <v>0</v>
      </c>
      <c r="G38" s="933">
        <v>0.05</v>
      </c>
    </row>
    <row r="39" spans="1:11" ht="15">
      <c r="A39" s="580">
        <f t="shared" si="1"/>
        <v>27</v>
      </c>
      <c r="B39" s="483"/>
      <c r="C39" s="481">
        <v>391.4</v>
      </c>
      <c r="D39" s="933" t="s">
        <v>1617</v>
      </c>
      <c r="E39" s="933">
        <v>0.04</v>
      </c>
      <c r="F39" s="933">
        <v>0</v>
      </c>
      <c r="G39" s="933">
        <v>0.04</v>
      </c>
      <c r="I39" s="373"/>
      <c r="J39" s="373"/>
      <c r="K39" s="373"/>
    </row>
    <row r="40" spans="1:11" ht="15">
      <c r="A40" s="580">
        <f t="shared" si="1"/>
        <v>28</v>
      </c>
      <c r="B40" s="483"/>
      <c r="C40" s="481">
        <v>393</v>
      </c>
      <c r="D40" s="483" t="s">
        <v>1618</v>
      </c>
      <c r="E40" s="933">
        <v>0.05</v>
      </c>
      <c r="F40" s="933">
        <v>0</v>
      </c>
      <c r="G40" s="933">
        <v>0.05</v>
      </c>
      <c r="I40" s="373"/>
      <c r="J40" s="373"/>
      <c r="K40" s="373"/>
    </row>
    <row r="41" spans="1:11" ht="15">
      <c r="A41" s="580">
        <f t="shared" si="1"/>
        <v>29</v>
      </c>
      <c r="B41" s="483"/>
      <c r="C41" s="481">
        <v>395</v>
      </c>
      <c r="D41" s="483" t="s">
        <v>1619</v>
      </c>
      <c r="E41" s="933">
        <v>6.6699999999999995E-2</v>
      </c>
      <c r="F41" s="933">
        <v>0</v>
      </c>
      <c r="G41" s="933">
        <v>6.6699999999999995E-2</v>
      </c>
      <c r="I41" s="373"/>
      <c r="J41" s="373"/>
      <c r="K41" s="373"/>
    </row>
    <row r="42" spans="1:11" ht="15">
      <c r="A42" s="580">
        <f t="shared" si="1"/>
        <v>30</v>
      </c>
      <c r="B42" s="483"/>
      <c r="C42" s="481">
        <v>398</v>
      </c>
      <c r="D42" s="483" t="s">
        <v>1620</v>
      </c>
      <c r="E42" s="933">
        <v>0.05</v>
      </c>
      <c r="F42" s="933">
        <v>0</v>
      </c>
      <c r="G42" s="933">
        <v>0.05</v>
      </c>
      <c r="I42" s="373"/>
      <c r="J42" s="373"/>
      <c r="K42" s="373"/>
    </row>
    <row r="43" spans="1:11" ht="15">
      <c r="A43" s="580">
        <f>A42+1</f>
        <v>31</v>
      </c>
      <c r="B43" s="483"/>
      <c r="C43" s="481">
        <v>397</v>
      </c>
      <c r="D43" s="483" t="s">
        <v>2254</v>
      </c>
      <c r="E43" s="933">
        <v>0.2</v>
      </c>
      <c r="F43" s="933">
        <v>0</v>
      </c>
      <c r="G43" s="933">
        <v>0.2</v>
      </c>
      <c r="I43" s="373"/>
      <c r="J43" s="373"/>
      <c r="K43" s="373"/>
    </row>
    <row r="44" spans="1:11" ht="15">
      <c r="A44" s="580">
        <f t="shared" ref="A44:A53" si="2">A43+1</f>
        <v>32</v>
      </c>
      <c r="B44" s="483"/>
      <c r="C44" s="481">
        <v>397</v>
      </c>
      <c r="D44" s="483" t="s">
        <v>1621</v>
      </c>
      <c r="E44" s="933">
        <v>0.1429</v>
      </c>
      <c r="F44" s="933">
        <v>0</v>
      </c>
      <c r="G44" s="933">
        <v>0.1429</v>
      </c>
      <c r="I44" s="373"/>
      <c r="J44" s="373"/>
      <c r="K44" s="373"/>
    </row>
    <row r="45" spans="1:11" ht="15">
      <c r="A45" s="580">
        <f t="shared" si="2"/>
        <v>33</v>
      </c>
      <c r="B45" s="483"/>
      <c r="C45" s="481">
        <v>397</v>
      </c>
      <c r="D45" s="483" t="s">
        <v>1622</v>
      </c>
      <c r="E45" s="933">
        <v>0.1</v>
      </c>
      <c r="F45" s="933">
        <v>0</v>
      </c>
      <c r="G45" s="933">
        <v>0.1</v>
      </c>
      <c r="I45" s="373"/>
      <c r="J45" s="373"/>
      <c r="K45" s="373"/>
    </row>
    <row r="46" spans="1:11" ht="15">
      <c r="A46" s="580">
        <f t="shared" si="2"/>
        <v>34</v>
      </c>
      <c r="B46" s="483"/>
      <c r="C46" s="481">
        <v>397</v>
      </c>
      <c r="D46" s="483" t="s">
        <v>1623</v>
      </c>
      <c r="E46" s="933">
        <v>6.6699999999999995E-2</v>
      </c>
      <c r="F46" s="933">
        <v>0</v>
      </c>
      <c r="G46" s="933">
        <v>6.6699999999999995E-2</v>
      </c>
      <c r="I46" s="373"/>
      <c r="J46" s="373"/>
      <c r="K46" s="373"/>
    </row>
    <row r="47" spans="1:11" ht="15">
      <c r="A47" s="580">
        <f t="shared" si="2"/>
        <v>35</v>
      </c>
      <c r="B47" s="483"/>
      <c r="C47" s="481">
        <v>397</v>
      </c>
      <c r="D47" s="483" t="s">
        <v>2255</v>
      </c>
      <c r="E47" s="1124">
        <v>0.05</v>
      </c>
      <c r="F47" s="933">
        <v>0</v>
      </c>
      <c r="G47" s="1124">
        <v>0.05</v>
      </c>
      <c r="I47" s="373"/>
      <c r="J47" s="373"/>
      <c r="K47" s="373"/>
    </row>
    <row r="48" spans="1:11">
      <c r="A48" s="580">
        <f t="shared" si="2"/>
        <v>36</v>
      </c>
      <c r="B48" s="483"/>
      <c r="C48" s="481">
        <v>397</v>
      </c>
      <c r="D48" s="483" t="s">
        <v>1624</v>
      </c>
      <c r="E48" s="933">
        <v>0.04</v>
      </c>
      <c r="F48" s="933">
        <v>0</v>
      </c>
      <c r="G48" s="933">
        <v>0.04</v>
      </c>
    </row>
    <row r="49" spans="1:7">
      <c r="A49" s="580">
        <f t="shared" si="2"/>
        <v>37</v>
      </c>
      <c r="B49" s="483"/>
      <c r="C49" s="481">
        <v>397</v>
      </c>
      <c r="D49" s="483" t="s">
        <v>1625</v>
      </c>
      <c r="E49" s="933">
        <v>2.5000000000000001E-2</v>
      </c>
      <c r="F49" s="933">
        <v>0</v>
      </c>
      <c r="G49" s="933">
        <v>2.5000000000000001E-2</v>
      </c>
    </row>
    <row r="50" spans="1:7">
      <c r="A50" s="580">
        <f t="shared" si="2"/>
        <v>38</v>
      </c>
      <c r="B50" s="483"/>
      <c r="C50" s="481">
        <v>392</v>
      </c>
      <c r="D50" s="483" t="s">
        <v>1626</v>
      </c>
      <c r="E50" s="933">
        <v>0.1429</v>
      </c>
      <c r="F50" s="933">
        <v>0</v>
      </c>
      <c r="G50" s="933">
        <v>0.1429</v>
      </c>
    </row>
    <row r="51" spans="1:7">
      <c r="A51" s="580">
        <f t="shared" si="2"/>
        <v>39</v>
      </c>
      <c r="B51" s="483"/>
      <c r="C51" s="481">
        <v>394.4</v>
      </c>
      <c r="D51" s="483" t="s">
        <v>1627</v>
      </c>
      <c r="E51" s="933">
        <v>0.1</v>
      </c>
      <c r="F51" s="933">
        <v>0</v>
      </c>
      <c r="G51" s="933">
        <v>0.1</v>
      </c>
    </row>
    <row r="52" spans="1:7">
      <c r="A52" s="580">
        <f t="shared" si="2"/>
        <v>40</v>
      </c>
      <c r="B52" s="483"/>
      <c r="C52" s="481">
        <v>394.5</v>
      </c>
      <c r="D52" s="483" t="s">
        <v>1628</v>
      </c>
      <c r="E52" s="933">
        <v>0.1</v>
      </c>
      <c r="F52" s="933">
        <v>0</v>
      </c>
      <c r="G52" s="933">
        <v>0.1</v>
      </c>
    </row>
    <row r="53" spans="1:7">
      <c r="A53" s="580">
        <f t="shared" si="2"/>
        <v>41</v>
      </c>
      <c r="B53" s="483"/>
      <c r="C53" s="481">
        <v>396</v>
      </c>
      <c r="D53" s="483" t="s">
        <v>1629</v>
      </c>
      <c r="E53" s="933">
        <v>6.6699999999999995E-2</v>
      </c>
      <c r="F53" s="933">
        <v>0</v>
      </c>
      <c r="G53" s="933">
        <v>6.6699999999999995E-2</v>
      </c>
    </row>
    <row r="54" spans="1:7">
      <c r="A54" s="483"/>
      <c r="B54" s="483"/>
      <c r="C54" s="483"/>
      <c r="D54" s="483"/>
    </row>
    <row r="55" spans="1:7">
      <c r="A55" s="483"/>
      <c r="B55" s="398" t="s">
        <v>1042</v>
      </c>
      <c r="C55" s="483"/>
      <c r="D55" s="483"/>
      <c r="E55" s="580" t="s">
        <v>376</v>
      </c>
    </row>
    <row r="56" spans="1:7">
      <c r="A56" s="483"/>
      <c r="B56" s="483"/>
      <c r="C56" s="235" t="s">
        <v>12</v>
      </c>
      <c r="D56" s="483"/>
      <c r="E56" s="580" t="s">
        <v>1026</v>
      </c>
      <c r="F56" s="4" t="s">
        <v>1027</v>
      </c>
      <c r="G56" s="4"/>
    </row>
    <row r="57" spans="1:7">
      <c r="A57" s="483"/>
      <c r="B57" s="483"/>
      <c r="C57" s="370" t="s">
        <v>99</v>
      </c>
      <c r="D57" s="370" t="s">
        <v>100</v>
      </c>
      <c r="E57" s="3" t="s">
        <v>1028</v>
      </c>
      <c r="F57" s="3" t="s">
        <v>1029</v>
      </c>
      <c r="G57" s="3" t="s">
        <v>196</v>
      </c>
    </row>
    <row r="58" spans="1:7">
      <c r="A58" s="580">
        <f>A53+1</f>
        <v>42</v>
      </c>
      <c r="B58" s="483"/>
      <c r="C58" s="481">
        <v>302</v>
      </c>
      <c r="D58" s="487" t="s">
        <v>1043</v>
      </c>
      <c r="E58" s="933">
        <v>2.47E-2</v>
      </c>
      <c r="F58" s="933">
        <v>0</v>
      </c>
      <c r="G58" s="933">
        <v>2.47E-2</v>
      </c>
    </row>
    <row r="59" spans="1:7">
      <c r="A59" s="580">
        <f t="shared" ref="A59:A64" si="3">A58+1</f>
        <v>43</v>
      </c>
      <c r="B59" s="483"/>
      <c r="C59" s="481">
        <v>303</v>
      </c>
      <c r="D59" s="487" t="s">
        <v>1044</v>
      </c>
      <c r="E59" s="933">
        <v>2.5000000000000001E-2</v>
      </c>
      <c r="F59" s="933">
        <v>0</v>
      </c>
      <c r="G59" s="933">
        <v>2.5000000000000001E-2</v>
      </c>
    </row>
    <row r="60" spans="1:7">
      <c r="A60" s="580">
        <f t="shared" si="3"/>
        <v>44</v>
      </c>
      <c r="B60" s="483"/>
      <c r="C60" s="481">
        <v>301</v>
      </c>
      <c r="D60" s="487" t="s">
        <v>1045</v>
      </c>
      <c r="E60" s="933">
        <v>0.05</v>
      </c>
      <c r="F60" s="933">
        <v>0</v>
      </c>
      <c r="G60" s="933">
        <v>0.05</v>
      </c>
    </row>
    <row r="61" spans="1:7">
      <c r="A61" s="580">
        <f t="shared" si="3"/>
        <v>45</v>
      </c>
      <c r="B61" s="483"/>
      <c r="C61" s="481">
        <v>303</v>
      </c>
      <c r="D61" s="487" t="s">
        <v>1046</v>
      </c>
      <c r="E61" s="933">
        <v>0.2031</v>
      </c>
      <c r="F61" s="933">
        <v>0</v>
      </c>
      <c r="G61" s="933">
        <v>0.2031</v>
      </c>
    </row>
    <row r="62" spans="1:7">
      <c r="A62" s="580">
        <f t="shared" si="3"/>
        <v>46</v>
      </c>
      <c r="B62" s="483"/>
      <c r="C62" s="481">
        <v>303</v>
      </c>
      <c r="D62" s="487" t="s">
        <v>1047</v>
      </c>
      <c r="E62" s="933">
        <v>0.1462</v>
      </c>
      <c r="F62" s="933">
        <v>0</v>
      </c>
      <c r="G62" s="933">
        <v>0.1462</v>
      </c>
    </row>
    <row r="63" spans="1:7">
      <c r="A63" s="580">
        <f t="shared" si="3"/>
        <v>47</v>
      </c>
      <c r="B63" s="483"/>
      <c r="C63" s="481">
        <v>303</v>
      </c>
      <c r="D63" s="487" t="s">
        <v>1048</v>
      </c>
      <c r="E63" s="933">
        <v>0.1293</v>
      </c>
      <c r="F63" s="933">
        <v>0</v>
      </c>
      <c r="G63" s="933">
        <v>0.1293</v>
      </c>
    </row>
    <row r="64" spans="1:7">
      <c r="A64" s="580">
        <f t="shared" si="3"/>
        <v>48</v>
      </c>
      <c r="B64" s="483"/>
      <c r="C64" s="481">
        <v>303</v>
      </c>
      <c r="D64" s="487" t="s">
        <v>1049</v>
      </c>
      <c r="E64" s="933">
        <v>8.48E-2</v>
      </c>
      <c r="F64" s="933">
        <v>0</v>
      </c>
      <c r="G64" s="933">
        <v>8.48E-2</v>
      </c>
    </row>
    <row r="65" spans="1:6">
      <c r="A65" s="483"/>
      <c r="B65" s="485" t="s">
        <v>1750</v>
      </c>
      <c r="C65" s="485"/>
      <c r="D65" s="485"/>
      <c r="E65" s="485"/>
      <c r="F65" s="485"/>
    </row>
    <row r="66" spans="1:6">
      <c r="A66" s="483"/>
      <c r="B66" s="485" t="s">
        <v>2495</v>
      </c>
      <c r="C66" s="485"/>
      <c r="D66" s="485"/>
      <c r="E66" s="485"/>
      <c r="F66" s="485"/>
    </row>
  </sheetData>
  <pageMargins left="0.7" right="0.7" top="0.75" bottom="0.75" header="0.3" footer="0.3"/>
  <pageSetup scale="75" orientation="portrait" cellComments="asDisplayed" r:id="rId1"/>
  <headerFooter>
    <oddHeader>&amp;CSchedule 18
Depreciation Rates
&amp;RTO2019 Draft Annual Update 
Attachment1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zoomScale="110" zoomScaleNormal="110" workbookViewId="0"/>
  </sheetViews>
  <sheetFormatPr defaultColWidth="9.140625" defaultRowHeight="12.75"/>
  <cols>
    <col min="1" max="1" width="5.7109375" style="496" customWidth="1"/>
    <col min="2" max="2" width="50.7109375" style="496" customWidth="1"/>
    <col min="3" max="3" width="14.7109375" style="494" customWidth="1"/>
    <col min="4" max="4" width="16.28515625" style="494" customWidth="1"/>
    <col min="5" max="5" width="14.7109375" style="494" customWidth="1"/>
    <col min="6" max="6" width="12.7109375" style="921" customWidth="1"/>
    <col min="7" max="7" width="16.7109375" style="879" customWidth="1"/>
    <col min="8" max="9" width="14.7109375" style="880" customWidth="1"/>
    <col min="10" max="12" width="14.7109375" style="496" customWidth="1"/>
    <col min="13" max="13" width="9.140625" style="483"/>
    <col min="14" max="14" width="10.7109375" style="483" bestFit="1" customWidth="1"/>
    <col min="15" max="16384" width="9.140625" style="483"/>
  </cols>
  <sheetData>
    <row r="1" spans="1:12" ht="12.75" customHeight="1">
      <c r="A1" s="413" t="s">
        <v>1277</v>
      </c>
      <c r="C1" s="414"/>
      <c r="D1" s="415"/>
      <c r="E1" s="415"/>
      <c r="F1" s="416"/>
      <c r="G1" s="417"/>
      <c r="H1" s="417"/>
      <c r="I1" s="417"/>
      <c r="J1" s="417"/>
      <c r="K1" s="483"/>
      <c r="L1" s="483"/>
    </row>
    <row r="2" spans="1:12" ht="12.75" customHeight="1">
      <c r="A2" s="418"/>
      <c r="C2" s="414"/>
      <c r="D2" s="415"/>
      <c r="E2" s="415"/>
      <c r="F2" s="419"/>
      <c r="G2" s="707" t="s">
        <v>304</v>
      </c>
      <c r="H2" s="493"/>
      <c r="I2" s="415"/>
      <c r="J2" s="417"/>
      <c r="K2" s="417"/>
      <c r="L2" s="417"/>
    </row>
    <row r="3" spans="1:12" ht="12.75" customHeight="1">
      <c r="A3" s="420"/>
      <c r="B3" s="421" t="s">
        <v>1278</v>
      </c>
      <c r="C3" s="423"/>
      <c r="D3" s="423"/>
      <c r="E3" s="423"/>
      <c r="F3" s="424"/>
      <c r="G3" s="422"/>
      <c r="H3" s="422"/>
      <c r="I3" s="422"/>
      <c r="J3" s="422"/>
      <c r="K3" s="422"/>
      <c r="L3" s="425"/>
    </row>
    <row r="4" spans="1:12" ht="12.75" customHeight="1">
      <c r="A4" s="426"/>
      <c r="B4" s="418"/>
      <c r="C4" s="427"/>
      <c r="D4" s="427"/>
      <c r="E4" s="427"/>
      <c r="F4" s="428"/>
      <c r="G4" s="26"/>
      <c r="H4" s="26"/>
      <c r="I4" s="26"/>
      <c r="J4" s="26"/>
      <c r="K4" s="26"/>
      <c r="L4" s="417"/>
    </row>
    <row r="5" spans="1:12" ht="12.75" customHeight="1">
      <c r="A5" s="422"/>
      <c r="B5" s="429" t="s">
        <v>363</v>
      </c>
      <c r="C5" s="429" t="s">
        <v>347</v>
      </c>
      <c r="D5" s="429" t="s">
        <v>348</v>
      </c>
      <c r="E5" s="429" t="s">
        <v>349</v>
      </c>
      <c r="F5" s="430" t="s">
        <v>350</v>
      </c>
      <c r="G5" s="429" t="s">
        <v>351</v>
      </c>
      <c r="H5" s="429" t="s">
        <v>352</v>
      </c>
      <c r="I5" s="429" t="s">
        <v>544</v>
      </c>
      <c r="J5" s="429" t="s">
        <v>961</v>
      </c>
      <c r="K5" s="429" t="s">
        <v>974</v>
      </c>
      <c r="L5" s="429" t="s">
        <v>977</v>
      </c>
    </row>
    <row r="6" spans="1:12" ht="12.75" customHeight="1">
      <c r="A6" s="426"/>
      <c r="B6" s="418"/>
      <c r="C6" s="569" t="s">
        <v>1279</v>
      </c>
      <c r="D6" s="427"/>
      <c r="E6" s="427"/>
      <c r="F6" s="875" t="s">
        <v>365</v>
      </c>
      <c r="G6" s="569" t="s">
        <v>1280</v>
      </c>
      <c r="H6" s="431"/>
      <c r="I6" s="431"/>
      <c r="J6" s="569" t="s">
        <v>1281</v>
      </c>
      <c r="K6" s="569" t="s">
        <v>1282</v>
      </c>
      <c r="L6" s="570" t="s">
        <v>1283</v>
      </c>
    </row>
    <row r="7" spans="1:12" ht="12.75" customHeight="1">
      <c r="C7" s="876"/>
      <c r="D7" s="877"/>
      <c r="E7" s="877"/>
      <c r="F7" s="878"/>
      <c r="J7" s="881"/>
    </row>
    <row r="8" spans="1:12">
      <c r="A8" s="432"/>
      <c r="B8" s="1389" t="s">
        <v>1284</v>
      </c>
      <c r="C8" s="1391" t="s">
        <v>1285</v>
      </c>
      <c r="D8" s="1391"/>
      <c r="E8" s="1391"/>
      <c r="F8" s="433"/>
      <c r="G8" s="1387" t="s">
        <v>1286</v>
      </c>
      <c r="H8" s="1387"/>
      <c r="I8" s="1388"/>
      <c r="J8" s="1386" t="s">
        <v>1287</v>
      </c>
      <c r="K8" s="1387"/>
      <c r="L8" s="1388"/>
    </row>
    <row r="9" spans="1:12">
      <c r="A9" s="51"/>
      <c r="B9" s="1390"/>
      <c r="C9" s="874" t="s">
        <v>196</v>
      </c>
      <c r="D9" s="874" t="s">
        <v>1288</v>
      </c>
      <c r="E9" s="434" t="s">
        <v>1289</v>
      </c>
      <c r="F9" s="435" t="s">
        <v>1231</v>
      </c>
      <c r="G9" s="434" t="s">
        <v>196</v>
      </c>
      <c r="H9" s="434" t="s">
        <v>1288</v>
      </c>
      <c r="I9" s="434" t="s">
        <v>1289</v>
      </c>
      <c r="J9" s="874" t="s">
        <v>196</v>
      </c>
      <c r="K9" s="434" t="s">
        <v>1288</v>
      </c>
      <c r="L9" s="434" t="s">
        <v>1289</v>
      </c>
    </row>
    <row r="10" spans="1:12">
      <c r="A10" s="51" t="s">
        <v>332</v>
      </c>
      <c r="B10" s="436" t="s">
        <v>1290</v>
      </c>
      <c r="C10" s="256"/>
      <c r="D10" s="256"/>
      <c r="E10" s="437"/>
      <c r="F10" s="438"/>
      <c r="G10" s="437"/>
      <c r="H10" s="437"/>
      <c r="I10" s="437"/>
      <c r="J10" s="256"/>
      <c r="K10" s="437"/>
      <c r="L10" s="437"/>
    </row>
    <row r="11" spans="1:12">
      <c r="A11" s="580">
        <v>1</v>
      </c>
      <c r="B11" s="501" t="s">
        <v>2392</v>
      </c>
      <c r="C11" s="882">
        <f>SUM(D11:E11)</f>
        <v>7342063.9400000004</v>
      </c>
      <c r="D11" s="1070">
        <v>3520700.4444488105</v>
      </c>
      <c r="E11" s="1070">
        <v>3821363.4955511899</v>
      </c>
      <c r="F11" s="1195" t="s">
        <v>567</v>
      </c>
      <c r="G11" s="883">
        <f t="shared" ref="G11:G42" si="0">SUM(H11:I11)</f>
        <v>-208296</v>
      </c>
      <c r="H11" s="1070">
        <v>0</v>
      </c>
      <c r="I11" s="1070">
        <v>-208296</v>
      </c>
      <c r="J11" s="603">
        <f>SUM(K11:L11)</f>
        <v>7133767.9400000004</v>
      </c>
      <c r="K11" s="603">
        <f>D11+H11</f>
        <v>3520700.4444488105</v>
      </c>
      <c r="L11" s="603">
        <f>E11+I11</f>
        <v>3613067.4955511899</v>
      </c>
    </row>
    <row r="12" spans="1:12">
      <c r="A12" s="580">
        <f>A11+1</f>
        <v>2</v>
      </c>
      <c r="B12" s="501" t="s">
        <v>1291</v>
      </c>
      <c r="C12" s="882">
        <f>SUM(D12:E12)</f>
        <v>147368.85</v>
      </c>
      <c r="D12" s="1070">
        <v>0</v>
      </c>
      <c r="E12" s="1070">
        <v>147368.85</v>
      </c>
      <c r="F12" s="1195"/>
      <c r="G12" s="883">
        <f t="shared" si="0"/>
        <v>0</v>
      </c>
      <c r="H12" s="1070">
        <v>0</v>
      </c>
      <c r="I12" s="1070">
        <v>0</v>
      </c>
      <c r="J12" s="603">
        <f t="shared" ref="J12:J42" si="1">SUM(K12:L12)</f>
        <v>147368.85</v>
      </c>
      <c r="K12" s="603">
        <f t="shared" ref="K12:L27" si="2">D12+H12</f>
        <v>0</v>
      </c>
      <c r="L12" s="603">
        <f t="shared" si="2"/>
        <v>147368.85</v>
      </c>
    </row>
    <row r="13" spans="1:12">
      <c r="A13" s="580">
        <f t="shared" ref="A13:A44" si="3">A12+1</f>
        <v>3</v>
      </c>
      <c r="B13" s="601" t="s">
        <v>2393</v>
      </c>
      <c r="C13" s="882">
        <f t="shared" ref="C13:C40" si="4">SUM(D13:E13)</f>
        <v>10517816.310000001</v>
      </c>
      <c r="D13" s="1070">
        <v>8215416.3825770821</v>
      </c>
      <c r="E13" s="1070">
        <v>2302399.9274229184</v>
      </c>
      <c r="F13" s="1195"/>
      <c r="G13" s="883">
        <f t="shared" si="0"/>
        <v>0</v>
      </c>
      <c r="H13" s="1070">
        <v>0</v>
      </c>
      <c r="I13" s="1070">
        <v>0</v>
      </c>
      <c r="J13" s="603">
        <f t="shared" si="1"/>
        <v>10517816.310000001</v>
      </c>
      <c r="K13" s="603">
        <f t="shared" si="2"/>
        <v>8215416.3825770821</v>
      </c>
      <c r="L13" s="603">
        <f t="shared" si="2"/>
        <v>2302399.9274229184</v>
      </c>
    </row>
    <row r="14" spans="1:12">
      <c r="A14" s="580">
        <f t="shared" si="3"/>
        <v>4</v>
      </c>
      <c r="B14" s="601" t="s">
        <v>1292</v>
      </c>
      <c r="C14" s="882">
        <f t="shared" si="4"/>
        <v>39115071.090000004</v>
      </c>
      <c r="D14" s="1070">
        <v>0</v>
      </c>
      <c r="E14" s="1070">
        <v>39115071.090000004</v>
      </c>
      <c r="F14" s="1195" t="s">
        <v>561</v>
      </c>
      <c r="G14" s="883">
        <f t="shared" si="0"/>
        <v>-39115071.090000004</v>
      </c>
      <c r="H14" s="1070">
        <v>0</v>
      </c>
      <c r="I14" s="1070">
        <v>-39115071.090000004</v>
      </c>
      <c r="J14" s="603">
        <f t="shared" si="1"/>
        <v>0</v>
      </c>
      <c r="K14" s="603">
        <f t="shared" si="2"/>
        <v>0</v>
      </c>
      <c r="L14" s="603">
        <f t="shared" si="2"/>
        <v>0</v>
      </c>
    </row>
    <row r="15" spans="1:12">
      <c r="A15" s="580">
        <f t="shared" si="3"/>
        <v>5</v>
      </c>
      <c r="B15" s="601" t="s">
        <v>2394</v>
      </c>
      <c r="C15" s="882">
        <f t="shared" si="4"/>
        <v>5180970.9600000009</v>
      </c>
      <c r="D15" s="1070">
        <v>3963546.0231334683</v>
      </c>
      <c r="E15" s="1070">
        <v>1217424.9368665328</v>
      </c>
      <c r="F15" s="1195"/>
      <c r="G15" s="883">
        <f t="shared" si="0"/>
        <v>0</v>
      </c>
      <c r="H15" s="1070">
        <v>0</v>
      </c>
      <c r="I15" s="1070">
        <v>0</v>
      </c>
      <c r="J15" s="603">
        <f t="shared" si="1"/>
        <v>5180970.9600000009</v>
      </c>
      <c r="K15" s="603">
        <f t="shared" si="2"/>
        <v>3963546.0231334683</v>
      </c>
      <c r="L15" s="603">
        <f t="shared" si="2"/>
        <v>1217424.9368665328</v>
      </c>
    </row>
    <row r="16" spans="1:12">
      <c r="A16" s="580">
        <f t="shared" si="3"/>
        <v>6</v>
      </c>
      <c r="B16" s="601" t="s">
        <v>2395</v>
      </c>
      <c r="C16" s="882">
        <f t="shared" si="4"/>
        <v>21150923.760000002</v>
      </c>
      <c r="D16" s="1070">
        <v>17264528.921706598</v>
      </c>
      <c r="E16" s="1070">
        <v>3886394.8382934034</v>
      </c>
      <c r="F16" s="1195"/>
      <c r="G16" s="883">
        <f t="shared" si="0"/>
        <v>0</v>
      </c>
      <c r="H16" s="1070">
        <v>0</v>
      </c>
      <c r="I16" s="1070">
        <v>0</v>
      </c>
      <c r="J16" s="603">
        <f t="shared" si="1"/>
        <v>21150923.760000002</v>
      </c>
      <c r="K16" s="603">
        <f t="shared" si="2"/>
        <v>17264528.921706598</v>
      </c>
      <c r="L16" s="603">
        <f t="shared" si="2"/>
        <v>3886394.8382934034</v>
      </c>
    </row>
    <row r="17" spans="1:12">
      <c r="A17" s="580">
        <f t="shared" si="3"/>
        <v>7</v>
      </c>
      <c r="B17" s="601" t="s">
        <v>1293</v>
      </c>
      <c r="C17" s="882">
        <f t="shared" si="4"/>
        <v>73.83</v>
      </c>
      <c r="D17" s="1070">
        <v>0</v>
      </c>
      <c r="E17" s="1070">
        <v>73.83</v>
      </c>
      <c r="F17" s="1195" t="s">
        <v>562</v>
      </c>
      <c r="G17" s="883">
        <f t="shared" si="0"/>
        <v>-73.83</v>
      </c>
      <c r="H17" s="1070">
        <v>0</v>
      </c>
      <c r="I17" s="1070">
        <v>-73.83</v>
      </c>
      <c r="J17" s="603">
        <f t="shared" si="1"/>
        <v>0</v>
      </c>
      <c r="K17" s="603">
        <f t="shared" si="2"/>
        <v>0</v>
      </c>
      <c r="L17" s="603">
        <f t="shared" si="2"/>
        <v>0</v>
      </c>
    </row>
    <row r="18" spans="1:12">
      <c r="A18" s="580">
        <f t="shared" si="3"/>
        <v>8</v>
      </c>
      <c r="B18" s="601" t="s">
        <v>1294</v>
      </c>
      <c r="C18" s="882">
        <f t="shared" si="4"/>
        <v>1032205.1200000001</v>
      </c>
      <c r="D18" s="1070">
        <v>0</v>
      </c>
      <c r="E18" s="1070">
        <v>1032205.1200000001</v>
      </c>
      <c r="F18" s="1195"/>
      <c r="G18" s="883">
        <f t="shared" si="0"/>
        <v>0</v>
      </c>
      <c r="H18" s="1070">
        <v>0</v>
      </c>
      <c r="I18" s="1070">
        <v>0</v>
      </c>
      <c r="J18" s="603">
        <f t="shared" si="1"/>
        <v>1032205.1200000001</v>
      </c>
      <c r="K18" s="603">
        <f t="shared" si="2"/>
        <v>0</v>
      </c>
      <c r="L18" s="603">
        <f t="shared" si="2"/>
        <v>1032205.1200000001</v>
      </c>
    </row>
    <row r="19" spans="1:12">
      <c r="A19" s="580">
        <f t="shared" si="3"/>
        <v>9</v>
      </c>
      <c r="B19" s="601" t="s">
        <v>2396</v>
      </c>
      <c r="C19" s="882">
        <f t="shared" si="4"/>
        <v>4733731.24</v>
      </c>
      <c r="D19" s="1070">
        <v>3855138.5199945122</v>
      </c>
      <c r="E19" s="1070">
        <v>878592.72000548814</v>
      </c>
      <c r="F19" s="1195"/>
      <c r="G19" s="883">
        <f t="shared" si="0"/>
        <v>0</v>
      </c>
      <c r="H19" s="1070">
        <v>0</v>
      </c>
      <c r="I19" s="1070">
        <v>0</v>
      </c>
      <c r="J19" s="603">
        <f t="shared" si="1"/>
        <v>4733731.24</v>
      </c>
      <c r="K19" s="603">
        <f t="shared" si="2"/>
        <v>3855138.5199945122</v>
      </c>
      <c r="L19" s="603">
        <f t="shared" si="2"/>
        <v>878592.72000548814</v>
      </c>
    </row>
    <row r="20" spans="1:12">
      <c r="A20" s="580">
        <f t="shared" si="3"/>
        <v>10</v>
      </c>
      <c r="B20" s="601" t="s">
        <v>2397</v>
      </c>
      <c r="C20" s="882">
        <f t="shared" si="4"/>
        <v>1390335.0200000003</v>
      </c>
      <c r="D20" s="1070">
        <v>1156421.97503766</v>
      </c>
      <c r="E20" s="1070">
        <v>233913.0449623403</v>
      </c>
      <c r="F20" s="1195"/>
      <c r="G20" s="883">
        <f t="shared" si="0"/>
        <v>0</v>
      </c>
      <c r="H20" s="1070">
        <v>0</v>
      </c>
      <c r="I20" s="1070">
        <v>0</v>
      </c>
      <c r="J20" s="603">
        <f t="shared" si="1"/>
        <v>1390335.0200000003</v>
      </c>
      <c r="K20" s="603">
        <f t="shared" si="2"/>
        <v>1156421.97503766</v>
      </c>
      <c r="L20" s="603">
        <f t="shared" si="2"/>
        <v>233913.0449623403</v>
      </c>
    </row>
    <row r="21" spans="1:12">
      <c r="A21" s="580">
        <f t="shared" si="3"/>
        <v>11</v>
      </c>
      <c r="B21" s="601" t="s">
        <v>2398</v>
      </c>
      <c r="C21" s="882">
        <f t="shared" si="4"/>
        <v>-267656.76</v>
      </c>
      <c r="D21" s="1070">
        <v>0</v>
      </c>
      <c r="E21" s="1070">
        <v>-267656.76</v>
      </c>
      <c r="F21" s="1195"/>
      <c r="G21" s="883">
        <f t="shared" si="0"/>
        <v>0</v>
      </c>
      <c r="H21" s="1070">
        <v>0</v>
      </c>
      <c r="I21" s="1070">
        <v>0</v>
      </c>
      <c r="J21" s="603">
        <f t="shared" si="1"/>
        <v>-267656.76</v>
      </c>
      <c r="K21" s="603">
        <f t="shared" si="2"/>
        <v>0</v>
      </c>
      <c r="L21" s="603">
        <f t="shared" si="2"/>
        <v>-267656.76</v>
      </c>
    </row>
    <row r="22" spans="1:12">
      <c r="A22" s="580">
        <f t="shared" si="3"/>
        <v>12</v>
      </c>
      <c r="B22" s="601" t="s">
        <v>1296</v>
      </c>
      <c r="C22" s="882">
        <f t="shared" si="4"/>
        <v>9539402.9500000011</v>
      </c>
      <c r="D22" s="1070">
        <v>0</v>
      </c>
      <c r="E22" s="1070">
        <v>9539402.9500000011</v>
      </c>
      <c r="F22" s="1195" t="s">
        <v>563</v>
      </c>
      <c r="G22" s="884">
        <f t="shared" si="0"/>
        <v>-9539402.9500000011</v>
      </c>
      <c r="H22" s="1070">
        <v>0</v>
      </c>
      <c r="I22" s="1070">
        <v>-9539402.9500000011</v>
      </c>
      <c r="J22" s="603">
        <f t="shared" si="1"/>
        <v>0</v>
      </c>
      <c r="K22" s="603">
        <f t="shared" si="2"/>
        <v>0</v>
      </c>
      <c r="L22" s="603">
        <f t="shared" si="2"/>
        <v>0</v>
      </c>
    </row>
    <row r="23" spans="1:12">
      <c r="A23" s="580">
        <f t="shared" si="3"/>
        <v>13</v>
      </c>
      <c r="B23" s="601" t="s">
        <v>1297</v>
      </c>
      <c r="C23" s="882">
        <f t="shared" si="4"/>
        <v>243419.62</v>
      </c>
      <c r="D23" s="1070">
        <v>0</v>
      </c>
      <c r="E23" s="1070">
        <v>243419.62</v>
      </c>
      <c r="F23" s="1195"/>
      <c r="G23" s="883">
        <f t="shared" si="0"/>
        <v>0</v>
      </c>
      <c r="H23" s="1070">
        <v>0</v>
      </c>
      <c r="I23" s="1070">
        <v>0</v>
      </c>
      <c r="J23" s="603">
        <f t="shared" si="1"/>
        <v>243419.62</v>
      </c>
      <c r="K23" s="603">
        <f t="shared" si="2"/>
        <v>0</v>
      </c>
      <c r="L23" s="603">
        <f t="shared" si="2"/>
        <v>243419.62</v>
      </c>
    </row>
    <row r="24" spans="1:12">
      <c r="A24" s="580">
        <f t="shared" si="3"/>
        <v>14</v>
      </c>
      <c r="B24" s="601" t="s">
        <v>2399</v>
      </c>
      <c r="C24" s="882">
        <f t="shared" si="4"/>
        <v>44312184.370000005</v>
      </c>
      <c r="D24" s="1070">
        <v>21104375.955378231</v>
      </c>
      <c r="E24" s="1070">
        <v>23207808.414621774</v>
      </c>
      <c r="F24" s="1195" t="s">
        <v>566</v>
      </c>
      <c r="G24" s="883">
        <f>SUM(H24:I24)</f>
        <v>-10311.210000000001</v>
      </c>
      <c r="H24" s="1070">
        <v>-6802.3782991421504</v>
      </c>
      <c r="I24" s="1070">
        <v>-3508.8317008578501</v>
      </c>
      <c r="J24" s="603">
        <f>SUM(K24:L24)</f>
        <v>44301873.160000004</v>
      </c>
      <c r="K24" s="603">
        <f t="shared" si="2"/>
        <v>21097573.577079087</v>
      </c>
      <c r="L24" s="603">
        <f t="shared" si="2"/>
        <v>23204299.582920916</v>
      </c>
    </row>
    <row r="25" spans="1:12">
      <c r="A25" s="580">
        <f t="shared" si="3"/>
        <v>15</v>
      </c>
      <c r="B25" s="601" t="s">
        <v>1298</v>
      </c>
      <c r="C25" s="882">
        <f t="shared" si="4"/>
        <v>-34008592.770000003</v>
      </c>
      <c r="D25" s="1070">
        <v>59372.142903069354</v>
      </c>
      <c r="E25" s="1070">
        <v>-34067964.91290307</v>
      </c>
      <c r="F25" s="1195" t="s">
        <v>564</v>
      </c>
      <c r="G25" s="883">
        <f>SUM(H25:I25)</f>
        <v>34008592.770000003</v>
      </c>
      <c r="H25" s="1070">
        <v>-59372.142903069398</v>
      </c>
      <c r="I25" s="1070">
        <v>34067964.91290307</v>
      </c>
      <c r="J25" s="603">
        <f t="shared" si="1"/>
        <v>0</v>
      </c>
      <c r="K25" s="603">
        <f t="shared" si="2"/>
        <v>0</v>
      </c>
      <c r="L25" s="603">
        <f t="shared" si="2"/>
        <v>0</v>
      </c>
    </row>
    <row r="26" spans="1:12">
      <c r="A26" s="580">
        <f t="shared" si="3"/>
        <v>16</v>
      </c>
      <c r="B26" s="601" t="s">
        <v>1299</v>
      </c>
      <c r="C26" s="882">
        <f t="shared" si="4"/>
        <v>944337.63000000012</v>
      </c>
      <c r="D26" s="1070">
        <v>0</v>
      </c>
      <c r="E26" s="1070">
        <v>944337.63000000012</v>
      </c>
      <c r="F26" s="1195"/>
      <c r="G26" s="883">
        <f t="shared" si="0"/>
        <v>0</v>
      </c>
      <c r="H26" s="1070">
        <v>0</v>
      </c>
      <c r="I26" s="1070">
        <v>0</v>
      </c>
      <c r="J26" s="603">
        <f t="shared" si="1"/>
        <v>944337.63000000012</v>
      </c>
      <c r="K26" s="603">
        <f t="shared" si="2"/>
        <v>0</v>
      </c>
      <c r="L26" s="603">
        <f t="shared" si="2"/>
        <v>944337.63000000012</v>
      </c>
    </row>
    <row r="27" spans="1:12">
      <c r="A27" s="580">
        <f t="shared" si="3"/>
        <v>17</v>
      </c>
      <c r="B27" s="601" t="s">
        <v>2387</v>
      </c>
      <c r="C27" s="882">
        <f t="shared" si="4"/>
        <v>15401559.169999998</v>
      </c>
      <c r="D27" s="1070">
        <v>5528.6026917413601</v>
      </c>
      <c r="E27" s="1070">
        <v>15396030.567308256</v>
      </c>
      <c r="F27" s="1195"/>
      <c r="G27" s="884">
        <f t="shared" si="0"/>
        <v>0</v>
      </c>
      <c r="H27" s="1070">
        <v>0</v>
      </c>
      <c r="I27" s="1070">
        <v>0</v>
      </c>
      <c r="J27" s="603">
        <f t="shared" si="1"/>
        <v>15401559.169999998</v>
      </c>
      <c r="K27" s="603">
        <f t="shared" si="2"/>
        <v>5528.6026917413601</v>
      </c>
      <c r="L27" s="603">
        <f t="shared" si="2"/>
        <v>15396030.567308256</v>
      </c>
    </row>
    <row r="28" spans="1:12">
      <c r="A28" s="111">
        <f t="shared" si="3"/>
        <v>18</v>
      </c>
      <c r="B28" s="601" t="s">
        <v>1300</v>
      </c>
      <c r="C28" s="882">
        <f t="shared" si="4"/>
        <v>107252.15000000001</v>
      </c>
      <c r="D28" s="1070">
        <v>0</v>
      </c>
      <c r="E28" s="1070">
        <v>107252.15000000001</v>
      </c>
      <c r="F28" s="1195"/>
      <c r="G28" s="883">
        <f t="shared" si="0"/>
        <v>0</v>
      </c>
      <c r="H28" s="1070">
        <v>0</v>
      </c>
      <c r="I28" s="1070">
        <v>0</v>
      </c>
      <c r="J28" s="902">
        <f t="shared" si="1"/>
        <v>107252.15000000001</v>
      </c>
      <c r="K28" s="902">
        <f t="shared" ref="K28:L40" si="5">D28+H28</f>
        <v>0</v>
      </c>
      <c r="L28" s="902">
        <f t="shared" si="5"/>
        <v>107252.15000000001</v>
      </c>
    </row>
    <row r="29" spans="1:12">
      <c r="A29" s="111">
        <f t="shared" si="3"/>
        <v>19</v>
      </c>
      <c r="B29" s="601" t="s">
        <v>1301</v>
      </c>
      <c r="C29" s="882">
        <f t="shared" si="4"/>
        <v>189601.02000000002</v>
      </c>
      <c r="D29" s="1070">
        <v>0</v>
      </c>
      <c r="E29" s="1070">
        <v>189601.02000000002</v>
      </c>
      <c r="F29" s="1195"/>
      <c r="G29" s="884">
        <f t="shared" si="0"/>
        <v>0</v>
      </c>
      <c r="H29" s="1070">
        <v>0</v>
      </c>
      <c r="I29" s="1070">
        <v>0</v>
      </c>
      <c r="J29" s="902">
        <f t="shared" ref="J29" si="6">SUM(K29:L29)</f>
        <v>189601.02000000002</v>
      </c>
      <c r="K29" s="902">
        <f t="shared" ref="K29" si="7">D29+H29</f>
        <v>0</v>
      </c>
      <c r="L29" s="902">
        <f t="shared" ref="L29" si="8">E29+I29</f>
        <v>189601.02000000002</v>
      </c>
    </row>
    <row r="30" spans="1:12">
      <c r="A30" s="111">
        <f t="shared" si="3"/>
        <v>20</v>
      </c>
      <c r="B30" s="601" t="s">
        <v>2400</v>
      </c>
      <c r="C30" s="882">
        <f t="shared" si="4"/>
        <v>2384823.7600000002</v>
      </c>
      <c r="D30" s="1070">
        <v>2049481.7976254995</v>
      </c>
      <c r="E30" s="1070">
        <v>335341.96237450064</v>
      </c>
      <c r="F30" s="1195"/>
      <c r="G30" s="883">
        <f t="shared" si="0"/>
        <v>0</v>
      </c>
      <c r="H30" s="1070">
        <v>0</v>
      </c>
      <c r="I30" s="1070">
        <v>0</v>
      </c>
      <c r="J30" s="603">
        <f t="shared" si="1"/>
        <v>2384823.7600000002</v>
      </c>
      <c r="K30" s="603">
        <f t="shared" si="5"/>
        <v>2049481.7976254995</v>
      </c>
      <c r="L30" s="603">
        <f t="shared" si="5"/>
        <v>335341.96237450064</v>
      </c>
    </row>
    <row r="31" spans="1:12">
      <c r="A31" s="111">
        <f t="shared" si="3"/>
        <v>21</v>
      </c>
      <c r="B31" s="601" t="s">
        <v>1302</v>
      </c>
      <c r="C31" s="882">
        <f t="shared" si="4"/>
        <v>192593.95</v>
      </c>
      <c r="D31" s="1070">
        <v>0</v>
      </c>
      <c r="E31" s="1070">
        <v>192593.95</v>
      </c>
      <c r="F31" s="1195"/>
      <c r="G31" s="883">
        <f t="shared" si="0"/>
        <v>0</v>
      </c>
      <c r="H31" s="1070">
        <v>0</v>
      </c>
      <c r="I31" s="1070">
        <v>0</v>
      </c>
      <c r="J31" s="603">
        <f t="shared" si="1"/>
        <v>192593.95</v>
      </c>
      <c r="K31" s="603">
        <f t="shared" si="5"/>
        <v>0</v>
      </c>
      <c r="L31" s="603">
        <f t="shared" si="5"/>
        <v>192593.95</v>
      </c>
    </row>
    <row r="32" spans="1:12">
      <c r="A32" s="111">
        <f t="shared" si="3"/>
        <v>22</v>
      </c>
      <c r="B32" s="601" t="s">
        <v>2401</v>
      </c>
      <c r="C32" s="882">
        <f t="shared" si="4"/>
        <v>36080405.620000005</v>
      </c>
      <c r="D32" s="1070">
        <v>42016.736451102086</v>
      </c>
      <c r="E32" s="1070">
        <v>36038388.8835489</v>
      </c>
      <c r="F32" s="1195" t="s">
        <v>565</v>
      </c>
      <c r="G32" s="883">
        <f t="shared" si="0"/>
        <v>-32917251</v>
      </c>
      <c r="H32" s="1070">
        <v>0</v>
      </c>
      <c r="I32" s="1070">
        <v>-32917251</v>
      </c>
      <c r="J32" s="603">
        <f t="shared" si="1"/>
        <v>3163154.6200000024</v>
      </c>
      <c r="K32" s="603">
        <f t="shared" si="5"/>
        <v>42016.736451102086</v>
      </c>
      <c r="L32" s="603">
        <f t="shared" si="5"/>
        <v>3121137.8835489005</v>
      </c>
    </row>
    <row r="33" spans="1:12">
      <c r="A33" s="111">
        <f t="shared" si="3"/>
        <v>23</v>
      </c>
      <c r="B33" s="601" t="s">
        <v>1303</v>
      </c>
      <c r="C33" s="882">
        <f t="shared" si="4"/>
        <v>242950.01</v>
      </c>
      <c r="D33" s="1070">
        <v>0</v>
      </c>
      <c r="E33" s="1070">
        <v>242950.01</v>
      </c>
      <c r="F33" s="1195"/>
      <c r="G33" s="883">
        <f t="shared" si="0"/>
        <v>0</v>
      </c>
      <c r="H33" s="1070">
        <v>0</v>
      </c>
      <c r="I33" s="1070">
        <v>0</v>
      </c>
      <c r="J33" s="603">
        <f t="shared" si="1"/>
        <v>242950.01</v>
      </c>
      <c r="K33" s="603">
        <f t="shared" si="5"/>
        <v>0</v>
      </c>
      <c r="L33" s="603">
        <f t="shared" si="5"/>
        <v>242950.01</v>
      </c>
    </row>
    <row r="34" spans="1:12">
      <c r="A34" s="111">
        <f t="shared" si="3"/>
        <v>24</v>
      </c>
      <c r="B34" s="601" t="s">
        <v>2402</v>
      </c>
      <c r="C34" s="882">
        <f t="shared" si="4"/>
        <v>10828014.199999999</v>
      </c>
      <c r="D34" s="1070">
        <v>5048010.0304463394</v>
      </c>
      <c r="E34" s="1070">
        <v>5780004.1695536599</v>
      </c>
      <c r="F34" s="1195"/>
      <c r="G34" s="883">
        <f t="shared" si="0"/>
        <v>0</v>
      </c>
      <c r="H34" s="1070">
        <v>0</v>
      </c>
      <c r="I34" s="1070">
        <v>0</v>
      </c>
      <c r="J34" s="603">
        <f t="shared" si="1"/>
        <v>10828014.199999999</v>
      </c>
      <c r="K34" s="603">
        <f t="shared" si="5"/>
        <v>5048010.0304463394</v>
      </c>
      <c r="L34" s="603">
        <f t="shared" si="5"/>
        <v>5780004.1695536599</v>
      </c>
    </row>
    <row r="35" spans="1:12">
      <c r="A35" s="111">
        <f t="shared" si="3"/>
        <v>25</v>
      </c>
      <c r="B35" s="601" t="s">
        <v>1304</v>
      </c>
      <c r="C35" s="882">
        <f t="shared" si="4"/>
        <v>1655072.69</v>
      </c>
      <c r="D35" s="1070">
        <v>744.12999999999988</v>
      </c>
      <c r="E35" s="1070">
        <v>1654328.56</v>
      </c>
      <c r="F35" s="1195"/>
      <c r="G35" s="883">
        <f t="shared" si="0"/>
        <v>0</v>
      </c>
      <c r="H35" s="1070">
        <v>0</v>
      </c>
      <c r="I35" s="1070">
        <v>0</v>
      </c>
      <c r="J35" s="603">
        <f t="shared" si="1"/>
        <v>1655072.69</v>
      </c>
      <c r="K35" s="603">
        <f t="shared" si="5"/>
        <v>744.12999999999988</v>
      </c>
      <c r="L35" s="603">
        <f t="shared" si="5"/>
        <v>1654328.56</v>
      </c>
    </row>
    <row r="36" spans="1:12">
      <c r="A36" s="111">
        <f t="shared" si="3"/>
        <v>26</v>
      </c>
      <c r="B36" s="601" t="s">
        <v>2403</v>
      </c>
      <c r="C36" s="882">
        <f t="shared" si="4"/>
        <v>38881911.770000011</v>
      </c>
      <c r="D36" s="1070">
        <v>9142174.4406099934</v>
      </c>
      <c r="E36" s="1070">
        <v>29739737.329390019</v>
      </c>
      <c r="F36" s="1195" t="s">
        <v>566</v>
      </c>
      <c r="G36" s="883">
        <f t="shared" si="0"/>
        <v>-4213791.8000000007</v>
      </c>
      <c r="H36" s="1070">
        <v>-7563.5265959953003</v>
      </c>
      <c r="I36" s="1070">
        <v>-4206228.273404005</v>
      </c>
      <c r="J36" s="603">
        <f t="shared" si="1"/>
        <v>34668119.970000014</v>
      </c>
      <c r="K36" s="603">
        <f t="shared" si="5"/>
        <v>9134610.9140139986</v>
      </c>
      <c r="L36" s="603">
        <f t="shared" si="5"/>
        <v>25533509.055986013</v>
      </c>
    </row>
    <row r="37" spans="1:12">
      <c r="A37" s="111">
        <f t="shared" si="3"/>
        <v>27</v>
      </c>
      <c r="B37" s="601" t="s">
        <v>1305</v>
      </c>
      <c r="C37" s="882">
        <f t="shared" si="4"/>
        <v>393016.65</v>
      </c>
      <c r="D37" s="1070">
        <v>0</v>
      </c>
      <c r="E37" s="1070">
        <v>393016.65</v>
      </c>
      <c r="F37" s="1195"/>
      <c r="G37" s="883">
        <f t="shared" si="0"/>
        <v>0</v>
      </c>
      <c r="H37" s="1070">
        <v>0</v>
      </c>
      <c r="I37" s="1070">
        <v>0</v>
      </c>
      <c r="J37" s="603">
        <f t="shared" si="1"/>
        <v>393016.65</v>
      </c>
      <c r="K37" s="603">
        <f t="shared" si="5"/>
        <v>0</v>
      </c>
      <c r="L37" s="603">
        <f t="shared" si="5"/>
        <v>393016.65</v>
      </c>
    </row>
    <row r="38" spans="1:12">
      <c r="A38" s="111">
        <f t="shared" si="3"/>
        <v>28</v>
      </c>
      <c r="B38" s="601" t="s">
        <v>2404</v>
      </c>
      <c r="C38" s="882">
        <f t="shared" si="4"/>
        <v>388986.69</v>
      </c>
      <c r="D38" s="1070">
        <v>203477.59688660022</v>
      </c>
      <c r="E38" s="1070">
        <v>185509.09311339978</v>
      </c>
      <c r="F38" s="1195"/>
      <c r="G38" s="883">
        <f t="shared" si="0"/>
        <v>0</v>
      </c>
      <c r="H38" s="1070">
        <v>0</v>
      </c>
      <c r="I38" s="1070">
        <v>0</v>
      </c>
      <c r="J38" s="603">
        <f t="shared" si="1"/>
        <v>388986.69</v>
      </c>
      <c r="K38" s="603">
        <f t="shared" si="5"/>
        <v>203477.59688660022</v>
      </c>
      <c r="L38" s="603">
        <f t="shared" si="5"/>
        <v>185509.09311339978</v>
      </c>
    </row>
    <row r="39" spans="1:12">
      <c r="A39" s="111">
        <f t="shared" si="3"/>
        <v>29</v>
      </c>
      <c r="B39" s="601" t="s">
        <v>1307</v>
      </c>
      <c r="C39" s="882">
        <f t="shared" si="4"/>
        <v>2321.62</v>
      </c>
      <c r="D39" s="1070">
        <v>0</v>
      </c>
      <c r="E39" s="1070">
        <v>2321.62</v>
      </c>
      <c r="F39" s="1195"/>
      <c r="G39" s="883">
        <f t="shared" si="0"/>
        <v>0</v>
      </c>
      <c r="H39" s="1070">
        <v>0</v>
      </c>
      <c r="I39" s="1070">
        <v>0</v>
      </c>
      <c r="J39" s="603">
        <f t="shared" si="1"/>
        <v>2321.62</v>
      </c>
      <c r="K39" s="603">
        <f t="shared" si="5"/>
        <v>0</v>
      </c>
      <c r="L39" s="603">
        <f t="shared" si="5"/>
        <v>2321.62</v>
      </c>
    </row>
    <row r="40" spans="1:12">
      <c r="A40" s="111">
        <f t="shared" si="3"/>
        <v>30</v>
      </c>
      <c r="B40" s="601" t="s">
        <v>2405</v>
      </c>
      <c r="C40" s="882">
        <f t="shared" si="4"/>
        <v>2970933.63</v>
      </c>
      <c r="D40" s="1070">
        <v>1053186.9550977601</v>
      </c>
      <c r="E40" s="1070">
        <v>1917746.67490224</v>
      </c>
      <c r="F40" s="1195"/>
      <c r="G40" s="883">
        <f t="shared" si="0"/>
        <v>0</v>
      </c>
      <c r="H40" s="1070">
        <v>0</v>
      </c>
      <c r="I40" s="1070">
        <v>0</v>
      </c>
      <c r="J40" s="603">
        <f t="shared" si="1"/>
        <v>2970933.63</v>
      </c>
      <c r="K40" s="603">
        <f t="shared" si="5"/>
        <v>1053186.9550977601</v>
      </c>
      <c r="L40" s="603">
        <f t="shared" si="5"/>
        <v>1917746.67490224</v>
      </c>
    </row>
    <row r="41" spans="1:12" ht="15">
      <c r="A41" s="111">
        <f t="shared" si="3"/>
        <v>31</v>
      </c>
      <c r="B41" s="538" t="s">
        <v>513</v>
      </c>
      <c r="C41" s="887" t="s">
        <v>76</v>
      </c>
      <c r="D41" s="887" t="s">
        <v>76</v>
      </c>
      <c r="E41" s="887" t="s">
        <v>76</v>
      </c>
      <c r="F41" s="887" t="s">
        <v>76</v>
      </c>
      <c r="G41" s="884">
        <f t="shared" si="0"/>
        <v>0</v>
      </c>
      <c r="H41" s="887" t="s">
        <v>76</v>
      </c>
      <c r="I41" s="887" t="s">
        <v>76</v>
      </c>
      <c r="J41" s="439"/>
      <c r="K41" s="439"/>
      <c r="L41" s="439"/>
    </row>
    <row r="42" spans="1:12">
      <c r="A42" s="111">
        <f t="shared" si="3"/>
        <v>32</v>
      </c>
      <c r="B42" s="601" t="s">
        <v>2032</v>
      </c>
      <c r="C42" s="888">
        <v>0</v>
      </c>
      <c r="D42" s="888">
        <v>0</v>
      </c>
      <c r="E42" s="888">
        <v>0</v>
      </c>
      <c r="F42" s="904"/>
      <c r="G42" s="889">
        <f t="shared" si="0"/>
        <v>11010551.80557367</v>
      </c>
      <c r="H42" s="890">
        <f>+C64*C145</f>
        <v>11010551.80557367</v>
      </c>
      <c r="I42" s="890">
        <v>0</v>
      </c>
      <c r="J42" s="891">
        <f t="shared" si="1"/>
        <v>11010551.80557367</v>
      </c>
      <c r="K42" s="891">
        <f>D42+H42</f>
        <v>11010551.80557367</v>
      </c>
      <c r="L42" s="891">
        <f>E42+I42</f>
        <v>0</v>
      </c>
    </row>
    <row r="43" spans="1:12">
      <c r="A43" s="111">
        <f t="shared" si="3"/>
        <v>33</v>
      </c>
      <c r="B43" s="440" t="s">
        <v>1308</v>
      </c>
      <c r="C43" s="882">
        <f>SUM(D43:E43)</f>
        <v>221093098.09000003</v>
      </c>
      <c r="D43" s="892">
        <f>SUM(D11:D42)</f>
        <v>76684120.654988483</v>
      </c>
      <c r="E43" s="892">
        <f>SUM(E11:E42)</f>
        <v>144408977.43501157</v>
      </c>
      <c r="F43" s="893"/>
      <c r="G43" s="894">
        <f t="shared" ref="G43:L43" si="9">SUM(G11:G42)</f>
        <v>-40985053.304426327</v>
      </c>
      <c r="H43" s="895">
        <f t="shared" si="9"/>
        <v>10936813.757775463</v>
      </c>
      <c r="I43" s="895">
        <f t="shared" si="9"/>
        <v>-51921867.062201798</v>
      </c>
      <c r="J43" s="895">
        <f t="shared" si="9"/>
        <v>180108044.78557372</v>
      </c>
      <c r="K43" s="895">
        <f t="shared" si="9"/>
        <v>87620934.412763938</v>
      </c>
      <c r="L43" s="895">
        <f t="shared" si="9"/>
        <v>92487110.372809768</v>
      </c>
    </row>
    <row r="44" spans="1:12">
      <c r="A44" s="111">
        <f t="shared" si="3"/>
        <v>34</v>
      </c>
      <c r="B44" s="520"/>
      <c r="C44" s="896"/>
      <c r="D44" s="897"/>
      <c r="E44" s="897"/>
      <c r="F44" s="898"/>
      <c r="G44" s="899"/>
      <c r="H44" s="900"/>
      <c r="I44" s="900"/>
      <c r="J44" s="603"/>
      <c r="K44" s="603"/>
      <c r="L44" s="603"/>
    </row>
    <row r="45" spans="1:12">
      <c r="A45" s="580"/>
      <c r="B45" s="441"/>
      <c r="C45" s="897"/>
      <c r="D45" s="897"/>
      <c r="E45" s="897"/>
      <c r="F45" s="898"/>
      <c r="G45" s="901"/>
      <c r="H45" s="897"/>
      <c r="I45" s="897"/>
      <c r="J45" s="897"/>
      <c r="K45" s="897"/>
      <c r="L45" s="897"/>
    </row>
    <row r="46" spans="1:12">
      <c r="A46" s="580"/>
      <c r="B46" s="429" t="s">
        <v>363</v>
      </c>
      <c r="C46" s="429" t="s">
        <v>347</v>
      </c>
      <c r="D46" s="429" t="s">
        <v>348</v>
      </c>
      <c r="E46" s="429" t="s">
        <v>349</v>
      </c>
      <c r="F46" s="430" t="s">
        <v>350</v>
      </c>
      <c r="G46" s="429" t="s">
        <v>351</v>
      </c>
      <c r="H46" s="429" t="s">
        <v>352</v>
      </c>
      <c r="I46" s="429" t="s">
        <v>544</v>
      </c>
      <c r="J46" s="429" t="s">
        <v>961</v>
      </c>
      <c r="K46" s="429" t="s">
        <v>974</v>
      </c>
      <c r="L46" s="429" t="s">
        <v>977</v>
      </c>
    </row>
    <row r="47" spans="1:12">
      <c r="A47" s="580"/>
      <c r="B47" s="441"/>
      <c r="C47" s="569" t="s">
        <v>1279</v>
      </c>
      <c r="D47" s="427"/>
      <c r="E47" s="427"/>
      <c r="F47" s="875" t="s">
        <v>365</v>
      </c>
      <c r="G47" s="569" t="s">
        <v>1280</v>
      </c>
      <c r="H47" s="431"/>
      <c r="I47" s="431"/>
      <c r="J47" s="569" t="s">
        <v>1281</v>
      </c>
      <c r="K47" s="569" t="s">
        <v>1282</v>
      </c>
      <c r="L47" s="570" t="s">
        <v>1283</v>
      </c>
    </row>
    <row r="48" spans="1:12">
      <c r="A48" s="580"/>
      <c r="C48" s="896"/>
      <c r="D48" s="897"/>
      <c r="E48" s="897"/>
      <c r="F48" s="898"/>
      <c r="G48" s="899"/>
      <c r="H48" s="897"/>
      <c r="I48" s="897"/>
      <c r="J48" s="603"/>
      <c r="K48" s="603"/>
      <c r="L48" s="603"/>
    </row>
    <row r="49" spans="1:12">
      <c r="A49" s="580"/>
      <c r="B49" s="1389" t="s">
        <v>1284</v>
      </c>
      <c r="C49" s="1391" t="s">
        <v>1285</v>
      </c>
      <c r="D49" s="1391"/>
      <c r="E49" s="1391"/>
      <c r="F49" s="433"/>
      <c r="G49" s="1387" t="s">
        <v>1286</v>
      </c>
      <c r="H49" s="1387"/>
      <c r="I49" s="1388"/>
      <c r="J49" s="1386" t="s">
        <v>1287</v>
      </c>
      <c r="K49" s="1387"/>
      <c r="L49" s="1388"/>
    </row>
    <row r="50" spans="1:12">
      <c r="A50" s="580"/>
      <c r="B50" s="1390"/>
      <c r="C50" s="874" t="s">
        <v>196</v>
      </c>
      <c r="D50" s="874" t="s">
        <v>1288</v>
      </c>
      <c r="E50" s="434" t="s">
        <v>1289</v>
      </c>
      <c r="F50" s="435" t="s">
        <v>1231</v>
      </c>
      <c r="G50" s="434" t="s">
        <v>196</v>
      </c>
      <c r="H50" s="434" t="s">
        <v>1288</v>
      </c>
      <c r="I50" s="434" t="s">
        <v>1289</v>
      </c>
      <c r="J50" s="874" t="s">
        <v>196</v>
      </c>
      <c r="K50" s="434" t="s">
        <v>1288</v>
      </c>
      <c r="L50" s="434" t="s">
        <v>1289</v>
      </c>
    </row>
    <row r="51" spans="1:12">
      <c r="A51" s="580"/>
      <c r="B51" s="442" t="s">
        <v>1309</v>
      </c>
      <c r="C51" s="256"/>
      <c r="D51" s="256"/>
      <c r="E51" s="437"/>
      <c r="F51" s="438"/>
      <c r="G51" s="437"/>
      <c r="H51" s="437"/>
      <c r="I51" s="437"/>
      <c r="J51" s="256"/>
      <c r="K51" s="437"/>
      <c r="L51" s="437"/>
    </row>
    <row r="52" spans="1:12">
      <c r="A52" s="111">
        <f>A44+1</f>
        <v>35</v>
      </c>
      <c r="B52" s="601" t="s">
        <v>2390</v>
      </c>
      <c r="C52" s="902">
        <f t="shared" ref="C52:C56" si="10">SUM(D52:E52)</f>
        <v>35012490.969999999</v>
      </c>
      <c r="D52" s="1070">
        <v>26445837.651692614</v>
      </c>
      <c r="E52" s="1070">
        <v>8566653.3183073848</v>
      </c>
      <c r="F52" s="1195"/>
      <c r="G52" s="899">
        <f t="shared" ref="G52:G56" si="11">SUM(H52:I52)</f>
        <v>0</v>
      </c>
      <c r="H52" s="1070">
        <v>0</v>
      </c>
      <c r="I52" s="1070">
        <v>0</v>
      </c>
      <c r="J52" s="603">
        <f t="shared" ref="J52:J55" si="12">SUM(K52:L52)</f>
        <v>35012490.969999999</v>
      </c>
      <c r="K52" s="603">
        <f t="shared" ref="K52:L57" si="13">D52+H52</f>
        <v>26445837.651692614</v>
      </c>
      <c r="L52" s="603">
        <f t="shared" si="13"/>
        <v>8566653.3183073848</v>
      </c>
    </row>
    <row r="53" spans="1:12">
      <c r="A53" s="111">
        <f t="shared" ref="A53:A62" si="14">A52+1</f>
        <v>36</v>
      </c>
      <c r="B53" s="601" t="s">
        <v>1310</v>
      </c>
      <c r="C53" s="902">
        <f t="shared" si="10"/>
        <v>2386347.5300000007</v>
      </c>
      <c r="D53" s="1070">
        <v>2048868.7541387454</v>
      </c>
      <c r="E53" s="1070">
        <v>337478.77586125542</v>
      </c>
      <c r="F53" s="1195"/>
      <c r="G53" s="899">
        <f t="shared" si="11"/>
        <v>0</v>
      </c>
      <c r="H53" s="1070">
        <v>0</v>
      </c>
      <c r="I53" s="1070">
        <v>0</v>
      </c>
      <c r="J53" s="603">
        <f t="shared" si="12"/>
        <v>2386347.5300000007</v>
      </c>
      <c r="K53" s="603">
        <f t="shared" si="13"/>
        <v>2048868.7541387454</v>
      </c>
      <c r="L53" s="603">
        <f t="shared" si="13"/>
        <v>337478.77586125542</v>
      </c>
    </row>
    <row r="54" spans="1:12">
      <c r="A54" s="111">
        <f t="shared" si="14"/>
        <v>37</v>
      </c>
      <c r="B54" s="601" t="s">
        <v>1311</v>
      </c>
      <c r="C54" s="902">
        <f t="shared" si="10"/>
        <v>72359.460000000006</v>
      </c>
      <c r="D54" s="1070">
        <v>7390.4000511447894</v>
      </c>
      <c r="E54" s="1070">
        <v>64969.059948855211</v>
      </c>
      <c r="F54" s="1195"/>
      <c r="G54" s="899">
        <f t="shared" si="11"/>
        <v>0</v>
      </c>
      <c r="H54" s="1070">
        <v>0</v>
      </c>
      <c r="I54" s="1070">
        <v>0</v>
      </c>
      <c r="J54" s="603">
        <f t="shared" si="12"/>
        <v>72359.460000000006</v>
      </c>
      <c r="K54" s="603">
        <f t="shared" si="13"/>
        <v>7390.4000511447894</v>
      </c>
      <c r="L54" s="603">
        <f t="shared" si="13"/>
        <v>64969.059948855211</v>
      </c>
    </row>
    <row r="55" spans="1:12">
      <c r="A55" s="111">
        <f t="shared" si="14"/>
        <v>38</v>
      </c>
      <c r="B55" s="601" t="s">
        <v>2391</v>
      </c>
      <c r="C55" s="902">
        <f t="shared" si="10"/>
        <v>10261821.489999998</v>
      </c>
      <c r="D55" s="1070">
        <v>5375621.5328013962</v>
      </c>
      <c r="E55" s="1070">
        <v>4886199.9571986021</v>
      </c>
      <c r="F55" s="1195"/>
      <c r="G55" s="899">
        <f t="shared" si="11"/>
        <v>0</v>
      </c>
      <c r="H55" s="1070">
        <v>0</v>
      </c>
      <c r="I55" s="1070">
        <v>0</v>
      </c>
      <c r="J55" s="603">
        <f t="shared" si="12"/>
        <v>10261821.489999998</v>
      </c>
      <c r="K55" s="603">
        <f t="shared" si="13"/>
        <v>5375621.5328013962</v>
      </c>
      <c r="L55" s="603">
        <f t="shared" si="13"/>
        <v>4886199.9571986021</v>
      </c>
    </row>
    <row r="56" spans="1:12">
      <c r="A56" s="111">
        <f t="shared" si="14"/>
        <v>39</v>
      </c>
      <c r="B56" s="601" t="s">
        <v>1312</v>
      </c>
      <c r="C56" s="902">
        <f t="shared" si="10"/>
        <v>475672744.4000001</v>
      </c>
      <c r="D56" s="1070">
        <v>203269818.45850527</v>
      </c>
      <c r="E56" s="1070">
        <v>272402925.94149482</v>
      </c>
      <c r="F56" s="1195" t="s">
        <v>566</v>
      </c>
      <c r="G56" s="980">
        <f t="shared" si="11"/>
        <v>-7072864.9400000023</v>
      </c>
      <c r="H56" s="1070">
        <v>-458228.88625109714</v>
      </c>
      <c r="I56" s="1070">
        <v>-6614636.0537489047</v>
      </c>
      <c r="J56" s="603">
        <f>C56+G56</f>
        <v>468599879.4600001</v>
      </c>
      <c r="K56" s="603">
        <f t="shared" si="13"/>
        <v>202811589.57225418</v>
      </c>
      <c r="L56" s="603">
        <f t="shared" si="13"/>
        <v>265788289.88774592</v>
      </c>
    </row>
    <row r="57" spans="1:12">
      <c r="A57" s="111">
        <f>A56+1</f>
        <v>40</v>
      </c>
      <c r="B57" s="601" t="s">
        <v>2033</v>
      </c>
      <c r="C57" s="888">
        <v>0</v>
      </c>
      <c r="D57" s="888">
        <v>0</v>
      </c>
      <c r="E57" s="888">
        <v>0</v>
      </c>
      <c r="F57" s="904"/>
      <c r="G57" s="903">
        <f>SUM(H57:I57)</f>
        <v>34050403.358179212</v>
      </c>
      <c r="H57" s="904">
        <f>+C64*C146</f>
        <v>34050403.358179212</v>
      </c>
      <c r="I57" s="904">
        <v>0</v>
      </c>
      <c r="J57" s="905">
        <f>SUM(K57:L57)</f>
        <v>34050403.358179212</v>
      </c>
      <c r="K57" s="905">
        <f t="shared" si="13"/>
        <v>34050403.358179212</v>
      </c>
      <c r="L57" s="905">
        <f t="shared" si="13"/>
        <v>0</v>
      </c>
    </row>
    <row r="58" spans="1:12">
      <c r="A58" s="111">
        <f t="shared" si="14"/>
        <v>41</v>
      </c>
      <c r="B58" s="441" t="s">
        <v>1313</v>
      </c>
      <c r="C58" s="897">
        <f>SUM(C52:C57)</f>
        <v>523405763.85000008</v>
      </c>
      <c r="D58" s="897">
        <f>SUM(D52:D57)</f>
        <v>237147536.79718918</v>
      </c>
      <c r="E58" s="897">
        <f>SUM(E52:E57)</f>
        <v>286258227.05281091</v>
      </c>
      <c r="F58" s="898"/>
      <c r="G58" s="901">
        <f t="shared" ref="G58:L58" si="15">SUM(G52:G57)</f>
        <v>26977538.41817921</v>
      </c>
      <c r="H58" s="897">
        <f t="shared" si="15"/>
        <v>33592174.471928112</v>
      </c>
      <c r="I58" s="897">
        <f t="shared" si="15"/>
        <v>-6614636.0537489047</v>
      </c>
      <c r="J58" s="897">
        <f t="shared" si="15"/>
        <v>550383302.2681793</v>
      </c>
      <c r="K58" s="897">
        <f t="shared" si="15"/>
        <v>270739711.2691173</v>
      </c>
      <c r="L58" s="897">
        <f t="shared" si="15"/>
        <v>279643590.999062</v>
      </c>
    </row>
    <row r="59" spans="1:12">
      <c r="A59" s="111">
        <f t="shared" si="14"/>
        <v>42</v>
      </c>
      <c r="B59" s="896"/>
      <c r="C59" s="902"/>
      <c r="D59" s="897"/>
      <c r="E59" s="897"/>
      <c r="F59" s="906"/>
      <c r="G59" s="899"/>
      <c r="H59" s="900"/>
      <c r="I59" s="900"/>
      <c r="J59" s="603"/>
      <c r="K59" s="603"/>
      <c r="L59" s="603"/>
    </row>
    <row r="60" spans="1:12">
      <c r="A60" s="111">
        <f t="shared" si="14"/>
        <v>43</v>
      </c>
      <c r="B60" s="441" t="s">
        <v>1314</v>
      </c>
      <c r="C60" s="902">
        <f>+C43+C58</f>
        <v>744498861.94000006</v>
      </c>
      <c r="D60" s="902">
        <f>D58+D43</f>
        <v>313831657.45217764</v>
      </c>
      <c r="E60" s="902">
        <f>E58+E43</f>
        <v>430667204.48782247</v>
      </c>
      <c r="F60" s="907"/>
      <c r="G60" s="899">
        <f>+G43+G58</f>
        <v>-14007514.886247117</v>
      </c>
      <c r="H60" s="603">
        <f>H58+H43</f>
        <v>44528988.229703575</v>
      </c>
      <c r="I60" s="603">
        <f>I58+I43</f>
        <v>-58536503.115950704</v>
      </c>
      <c r="J60" s="603">
        <f>J58+J43</f>
        <v>730491347.05375302</v>
      </c>
      <c r="K60" s="603">
        <f>K58+K43</f>
        <v>358360645.68188125</v>
      </c>
      <c r="L60" s="603">
        <f>L58+L43</f>
        <v>372130701.37187177</v>
      </c>
    </row>
    <row r="61" spans="1:12">
      <c r="A61" s="111">
        <f t="shared" si="14"/>
        <v>44</v>
      </c>
      <c r="B61" s="896"/>
      <c r="C61" s="896"/>
      <c r="D61" s="896"/>
      <c r="E61" s="896"/>
      <c r="F61" s="907"/>
      <c r="G61" s="908"/>
      <c r="H61" s="900"/>
      <c r="I61" s="900"/>
      <c r="J61" s="520"/>
      <c r="K61" s="520"/>
      <c r="L61" s="520"/>
    </row>
    <row r="62" spans="1:12">
      <c r="A62" s="111">
        <f t="shared" si="14"/>
        <v>45</v>
      </c>
      <c r="B62" s="601" t="s">
        <v>1315</v>
      </c>
      <c r="C62" s="1194">
        <v>221093099</v>
      </c>
      <c r="D62" s="909" t="s">
        <v>1316</v>
      </c>
      <c r="E62" s="902" t="str">
        <f>"Must equal Line "&amp;A43&amp;", Column 2."</f>
        <v>Must equal Line 33, Column 2.</v>
      </c>
      <c r="F62" s="907"/>
      <c r="G62" s="443"/>
      <c r="H62" s="444"/>
      <c r="I62" s="444"/>
      <c r="J62" s="444"/>
      <c r="K62" s="444"/>
      <c r="L62" s="444"/>
    </row>
    <row r="63" spans="1:12">
      <c r="A63" s="111">
        <f>A62+1</f>
        <v>46</v>
      </c>
      <c r="B63" s="601" t="s">
        <v>1317</v>
      </c>
      <c r="C63" s="1194">
        <v>523405763</v>
      </c>
      <c r="D63" s="909" t="s">
        <v>2694</v>
      </c>
      <c r="E63" s="902" t="str">
        <f>"Must equal Line "&amp;A58&amp;", Column 2."</f>
        <v>Must equal Line 41, Column 2.</v>
      </c>
      <c r="F63" s="907"/>
      <c r="G63" s="899"/>
      <c r="H63" s="603"/>
      <c r="I63" s="603"/>
      <c r="J63" s="603"/>
      <c r="K63" s="603"/>
      <c r="L63" s="603"/>
    </row>
    <row r="64" spans="1:12">
      <c r="A64" s="111">
        <f>A63+1</f>
        <v>47</v>
      </c>
      <c r="B64" s="601" t="s">
        <v>2034</v>
      </c>
      <c r="C64" s="910">
        <f>'20-AandG'!E62</f>
        <v>45060955.163752876</v>
      </c>
      <c r="D64" s="909" t="str">
        <f>"20-AandG, Note 2, "&amp;'20-AandG'!B62&amp;""</f>
        <v>20-AandG, Note 2, f</v>
      </c>
      <c r="E64" s="902"/>
      <c r="F64" s="580"/>
      <c r="G64" s="899"/>
      <c r="H64" s="603"/>
      <c r="I64" s="603"/>
      <c r="J64" s="603"/>
      <c r="K64" s="603"/>
      <c r="L64" s="603"/>
    </row>
    <row r="65" spans="1:12">
      <c r="A65" s="445"/>
      <c r="C65" s="446"/>
      <c r="D65" s="902"/>
      <c r="E65" s="902"/>
      <c r="F65" s="907"/>
      <c r="G65" s="899"/>
      <c r="H65" s="603"/>
      <c r="I65" s="603"/>
      <c r="J65" s="603"/>
      <c r="K65" s="603"/>
      <c r="L65" s="603"/>
    </row>
    <row r="66" spans="1:12">
      <c r="A66" s="520"/>
      <c r="B66" s="418" t="s">
        <v>1390</v>
      </c>
      <c r="C66" s="896"/>
      <c r="D66" s="896"/>
      <c r="E66" s="896"/>
      <c r="F66" s="907"/>
      <c r="G66" s="908"/>
      <c r="H66" s="520"/>
      <c r="I66" s="520"/>
      <c r="J66" s="520"/>
      <c r="K66" s="520"/>
      <c r="L66" s="520"/>
    </row>
    <row r="67" spans="1:12">
      <c r="A67" s="520"/>
      <c r="C67" s="896"/>
      <c r="D67" s="896"/>
      <c r="E67" s="896"/>
      <c r="F67" s="907"/>
      <c r="G67" s="908"/>
      <c r="H67" s="520"/>
      <c r="I67" s="520"/>
      <c r="J67" s="520"/>
      <c r="K67" s="520"/>
      <c r="L67" s="520"/>
    </row>
    <row r="68" spans="1:12">
      <c r="A68" s="520"/>
      <c r="B68" s="84" t="s">
        <v>363</v>
      </c>
      <c r="C68" s="429" t="s">
        <v>347</v>
      </c>
      <c r="D68" s="429" t="s">
        <v>348</v>
      </c>
      <c r="E68" s="429" t="s">
        <v>349</v>
      </c>
      <c r="F68" s="430" t="s">
        <v>350</v>
      </c>
      <c r="G68" s="429" t="s">
        <v>351</v>
      </c>
      <c r="H68" s="429" t="s">
        <v>352</v>
      </c>
      <c r="I68" s="429" t="s">
        <v>544</v>
      </c>
      <c r="J68" s="981" t="s">
        <v>961</v>
      </c>
      <c r="K68" s="360"/>
      <c r="L68" s="84"/>
    </row>
    <row r="69" spans="1:12">
      <c r="A69" s="520"/>
      <c r="C69" s="896" t="s">
        <v>1318</v>
      </c>
      <c r="D69" s="896" t="s">
        <v>1319</v>
      </c>
      <c r="E69" s="896" t="s">
        <v>1320</v>
      </c>
      <c r="F69" s="908" t="s">
        <v>1191</v>
      </c>
      <c r="G69" s="570" t="s">
        <v>1280</v>
      </c>
      <c r="H69" s="571" t="s">
        <v>1685</v>
      </c>
      <c r="I69" s="571" t="s">
        <v>1686</v>
      </c>
      <c r="J69" s="494"/>
      <c r="K69" s="896"/>
      <c r="L69" s="520"/>
    </row>
    <row r="70" spans="1:12">
      <c r="C70" s="896"/>
      <c r="D70" s="896"/>
      <c r="E70" s="896"/>
      <c r="F70" s="907"/>
      <c r="G70" s="908"/>
      <c r="H70" s="520"/>
      <c r="I70" s="520"/>
      <c r="J70" s="896"/>
      <c r="K70" s="896"/>
      <c r="L70" s="520"/>
    </row>
    <row r="71" spans="1:12">
      <c r="A71" s="432"/>
      <c r="B71" s="1395" t="s">
        <v>1284</v>
      </c>
      <c r="C71" s="1386" t="s">
        <v>1287</v>
      </c>
      <c r="D71" s="1387"/>
      <c r="E71" s="1388"/>
      <c r="F71" s="447" t="s">
        <v>1449</v>
      </c>
      <c r="G71" s="1392" t="s">
        <v>1321</v>
      </c>
      <c r="H71" s="1393"/>
      <c r="I71" s="1394"/>
      <c r="J71" s="982" t="s">
        <v>1752</v>
      </c>
      <c r="K71" s="896"/>
    </row>
    <row r="72" spans="1:12">
      <c r="B72" s="1395"/>
      <c r="C72" s="874" t="s">
        <v>196</v>
      </c>
      <c r="D72" s="434" t="s">
        <v>1288</v>
      </c>
      <c r="E72" s="434" t="s">
        <v>1289</v>
      </c>
      <c r="F72" s="447" t="s">
        <v>435</v>
      </c>
      <c r="G72" s="874" t="s">
        <v>196</v>
      </c>
      <c r="H72" s="434" t="s">
        <v>1288</v>
      </c>
      <c r="I72" s="434" t="s">
        <v>1289</v>
      </c>
      <c r="J72" s="934" t="s">
        <v>205</v>
      </c>
      <c r="K72" s="896"/>
      <c r="L72" s="520"/>
    </row>
    <row r="73" spans="1:12">
      <c r="A73" s="51" t="s">
        <v>332</v>
      </c>
      <c r="B73" s="436" t="s">
        <v>1290</v>
      </c>
      <c r="C73" s="256"/>
      <c r="D73" s="437"/>
      <c r="E73" s="437"/>
      <c r="F73" s="448"/>
      <c r="G73" s="256"/>
      <c r="H73" s="437"/>
      <c r="I73" s="437"/>
      <c r="J73" s="494"/>
      <c r="K73" s="896"/>
      <c r="L73" s="520"/>
    </row>
    <row r="74" spans="1:12">
      <c r="A74" s="111">
        <f>A64+1</f>
        <v>48</v>
      </c>
      <c r="B74" s="501" t="s">
        <v>2392</v>
      </c>
      <c r="C74" s="902">
        <f t="shared" ref="C74:C103" si="16">J11</f>
        <v>7133767.9400000004</v>
      </c>
      <c r="D74" s="902">
        <f t="shared" ref="D74:D103" si="17">K11</f>
        <v>3520700.4444488105</v>
      </c>
      <c r="E74" s="902">
        <f t="shared" ref="E74:E103" si="18">L11</f>
        <v>3613067.4955511899</v>
      </c>
      <c r="F74" s="918">
        <f>'27-Allocators'!$D$47</f>
        <v>0.36648418491484186</v>
      </c>
      <c r="G74" s="911">
        <f>SUM(H74:I74)</f>
        <v>2614413.1288625309</v>
      </c>
      <c r="H74" s="911">
        <f>D74*F74</f>
        <v>1290281.0327131439</v>
      </c>
      <c r="I74" s="911">
        <f>E74*F74</f>
        <v>1324132.0961493868</v>
      </c>
      <c r="J74" s="623" t="s">
        <v>2406</v>
      </c>
      <c r="K74" s="896"/>
    </row>
    <row r="75" spans="1:12">
      <c r="A75" s="111">
        <f t="shared" ref="A75:A107" si="19">A74+1</f>
        <v>49</v>
      </c>
      <c r="B75" s="501" t="s">
        <v>1291</v>
      </c>
      <c r="C75" s="902">
        <f t="shared" si="16"/>
        <v>147368.85</v>
      </c>
      <c r="D75" s="902">
        <f t="shared" si="17"/>
        <v>0</v>
      </c>
      <c r="E75" s="902">
        <f t="shared" si="18"/>
        <v>147368.85</v>
      </c>
      <c r="F75" s="918">
        <v>1</v>
      </c>
      <c r="G75" s="911">
        <f t="shared" ref="G75:G103" si="20">SUM(H75:I75)</f>
        <v>147368.85</v>
      </c>
      <c r="H75" s="911">
        <f t="shared" ref="H75:H103" si="21">D75*F75</f>
        <v>0</v>
      </c>
      <c r="I75" s="911">
        <f t="shared" ref="I75:I103" si="22">E75*F75</f>
        <v>147368.85</v>
      </c>
      <c r="J75" s="1190" t="s">
        <v>2496</v>
      </c>
      <c r="K75" s="896"/>
    </row>
    <row r="76" spans="1:12">
      <c r="A76" s="111">
        <f t="shared" si="19"/>
        <v>50</v>
      </c>
      <c r="B76" s="601" t="s">
        <v>2393</v>
      </c>
      <c r="C76" s="902">
        <f t="shared" si="16"/>
        <v>10517816.310000001</v>
      </c>
      <c r="D76" s="902">
        <f t="shared" si="17"/>
        <v>8215416.3825770821</v>
      </c>
      <c r="E76" s="902">
        <f t="shared" si="18"/>
        <v>2302399.9274229184</v>
      </c>
      <c r="F76" s="918">
        <f>'27-Allocators'!$D$47</f>
        <v>0.36648418491484186</v>
      </c>
      <c r="G76" s="911">
        <f t="shared" si="20"/>
        <v>3854613.33745438</v>
      </c>
      <c r="H76" s="911">
        <f t="shared" si="21"/>
        <v>3010820.1767048007</v>
      </c>
      <c r="I76" s="911">
        <f t="shared" si="22"/>
        <v>843793.16074957931</v>
      </c>
      <c r="J76" s="623" t="s">
        <v>2406</v>
      </c>
      <c r="K76" s="896"/>
    </row>
    <row r="77" spans="1:12">
      <c r="A77" s="111">
        <f t="shared" si="19"/>
        <v>51</v>
      </c>
      <c r="B77" s="601" t="s">
        <v>1292</v>
      </c>
      <c r="C77" s="902">
        <f t="shared" si="16"/>
        <v>0</v>
      </c>
      <c r="D77" s="902">
        <f t="shared" si="17"/>
        <v>0</v>
      </c>
      <c r="E77" s="902">
        <f t="shared" si="18"/>
        <v>0</v>
      </c>
      <c r="F77" s="918">
        <v>0</v>
      </c>
      <c r="G77" s="911">
        <f t="shared" si="20"/>
        <v>0</v>
      </c>
      <c r="H77" s="911">
        <f t="shared" si="21"/>
        <v>0</v>
      </c>
      <c r="I77" s="911">
        <f t="shared" si="22"/>
        <v>0</v>
      </c>
      <c r="J77" s="1190" t="s">
        <v>2497</v>
      </c>
      <c r="K77" s="896"/>
    </row>
    <row r="78" spans="1:12">
      <c r="A78" s="111">
        <f t="shared" si="19"/>
        <v>52</v>
      </c>
      <c r="B78" s="601" t="s">
        <v>2394</v>
      </c>
      <c r="C78" s="902">
        <f t="shared" si="16"/>
        <v>5180970.9600000009</v>
      </c>
      <c r="D78" s="902">
        <f t="shared" si="17"/>
        <v>3963546.0231334683</v>
      </c>
      <c r="E78" s="902">
        <f t="shared" si="18"/>
        <v>1217424.9368665328</v>
      </c>
      <c r="F78" s="918">
        <v>1</v>
      </c>
      <c r="G78" s="911">
        <f t="shared" si="20"/>
        <v>5180970.9600000009</v>
      </c>
      <c r="H78" s="911">
        <f t="shared" si="21"/>
        <v>3963546.0231334683</v>
      </c>
      <c r="I78" s="911">
        <f t="shared" si="22"/>
        <v>1217424.9368665328</v>
      </c>
      <c r="J78" s="1190" t="s">
        <v>2496</v>
      </c>
      <c r="K78" s="896"/>
    </row>
    <row r="79" spans="1:12">
      <c r="A79" s="111">
        <f t="shared" si="19"/>
        <v>53</v>
      </c>
      <c r="B79" s="601" t="s">
        <v>2395</v>
      </c>
      <c r="C79" s="902">
        <f t="shared" si="16"/>
        <v>21150923.760000002</v>
      </c>
      <c r="D79" s="902">
        <f t="shared" si="17"/>
        <v>17264528.921706598</v>
      </c>
      <c r="E79" s="902">
        <f t="shared" si="18"/>
        <v>3886394.8382934034</v>
      </c>
      <c r="F79" s="918">
        <f>'27-Allocators'!$D$47</f>
        <v>0.36648418491484186</v>
      </c>
      <c r="G79" s="911">
        <f t="shared" si="20"/>
        <v>7751479.0543795628</v>
      </c>
      <c r="H79" s="911">
        <f t="shared" si="21"/>
        <v>6327176.8098103562</v>
      </c>
      <c r="I79" s="911">
        <f t="shared" si="22"/>
        <v>1424302.2445692066</v>
      </c>
      <c r="J79" s="623" t="s">
        <v>2406</v>
      </c>
      <c r="K79" s="896"/>
    </row>
    <row r="80" spans="1:12">
      <c r="A80" s="111">
        <f t="shared" si="19"/>
        <v>54</v>
      </c>
      <c r="B80" s="601" t="s">
        <v>1293</v>
      </c>
      <c r="C80" s="902">
        <f t="shared" si="16"/>
        <v>0</v>
      </c>
      <c r="D80" s="902">
        <f t="shared" si="17"/>
        <v>0</v>
      </c>
      <c r="E80" s="902">
        <f t="shared" si="18"/>
        <v>0</v>
      </c>
      <c r="F80" s="918">
        <v>0</v>
      </c>
      <c r="G80" s="911">
        <f t="shared" si="20"/>
        <v>0</v>
      </c>
      <c r="H80" s="911">
        <f t="shared" si="21"/>
        <v>0</v>
      </c>
      <c r="I80" s="911">
        <f t="shared" si="22"/>
        <v>0</v>
      </c>
      <c r="J80" s="1190" t="s">
        <v>2497</v>
      </c>
      <c r="K80" s="896"/>
    </row>
    <row r="81" spans="1:11">
      <c r="A81" s="111">
        <f t="shared" si="19"/>
        <v>55</v>
      </c>
      <c r="B81" s="601" t="s">
        <v>1294</v>
      </c>
      <c r="C81" s="902">
        <f t="shared" si="16"/>
        <v>1032205.1200000001</v>
      </c>
      <c r="D81" s="902">
        <f t="shared" si="17"/>
        <v>0</v>
      </c>
      <c r="E81" s="902">
        <f t="shared" si="18"/>
        <v>1032205.1200000001</v>
      </c>
      <c r="F81" s="918">
        <v>1</v>
      </c>
      <c r="G81" s="911">
        <f t="shared" si="20"/>
        <v>1032205.1200000001</v>
      </c>
      <c r="H81" s="911">
        <f t="shared" si="21"/>
        <v>0</v>
      </c>
      <c r="I81" s="911">
        <f t="shared" si="22"/>
        <v>1032205.1200000001</v>
      </c>
      <c r="J81" s="1190" t="s">
        <v>2496</v>
      </c>
      <c r="K81" s="902"/>
    </row>
    <row r="82" spans="1:11">
      <c r="A82" s="111">
        <f t="shared" si="19"/>
        <v>56</v>
      </c>
      <c r="B82" s="601" t="s">
        <v>2396</v>
      </c>
      <c r="C82" s="902">
        <f t="shared" si="16"/>
        <v>4733731.24</v>
      </c>
      <c r="D82" s="902">
        <f t="shared" si="17"/>
        <v>3855138.5199945122</v>
      </c>
      <c r="E82" s="902">
        <f t="shared" si="18"/>
        <v>878592.72000548814</v>
      </c>
      <c r="F82" s="918">
        <f>'27-Allocators'!$D$35</f>
        <v>0.46754315015460779</v>
      </c>
      <c r="G82" s="911">
        <f t="shared" si="20"/>
        <v>2213223.6159348777</v>
      </c>
      <c r="H82" s="911">
        <f t="shared" si="21"/>
        <v>1802443.6079206066</v>
      </c>
      <c r="I82" s="911">
        <f t="shared" si="22"/>
        <v>410780.00801427121</v>
      </c>
      <c r="J82" s="623" t="s">
        <v>2407</v>
      </c>
      <c r="K82" s="896"/>
    </row>
    <row r="83" spans="1:11" ht="12.75" customHeight="1">
      <c r="A83" s="111">
        <f t="shared" si="19"/>
        <v>57</v>
      </c>
      <c r="B83" s="601" t="s">
        <v>2397</v>
      </c>
      <c r="C83" s="909">
        <f t="shared" si="16"/>
        <v>1390335.0200000003</v>
      </c>
      <c r="D83" s="909">
        <f t="shared" si="17"/>
        <v>1156421.97503766</v>
      </c>
      <c r="E83" s="909">
        <f t="shared" si="18"/>
        <v>233913.0449623403</v>
      </c>
      <c r="F83" s="918">
        <f>'27-Allocators'!$D$41</f>
        <v>1.4473399263697395E-2</v>
      </c>
      <c r="G83" s="913">
        <f t="shared" si="20"/>
        <v>20122.873854760706</v>
      </c>
      <c r="H83" s="913">
        <f t="shared" si="21"/>
        <v>16737.356962033555</v>
      </c>
      <c r="I83" s="913">
        <f t="shared" si="22"/>
        <v>3385.5168927271516</v>
      </c>
      <c r="J83" s="623" t="s">
        <v>2408</v>
      </c>
      <c r="K83" s="902"/>
    </row>
    <row r="84" spans="1:11">
      <c r="A84" s="111">
        <f t="shared" si="19"/>
        <v>58</v>
      </c>
      <c r="B84" s="601" t="s">
        <v>2398</v>
      </c>
      <c r="C84" s="902">
        <f t="shared" si="16"/>
        <v>-267656.76</v>
      </c>
      <c r="D84" s="902">
        <f t="shared" si="17"/>
        <v>0</v>
      </c>
      <c r="E84" s="902">
        <f t="shared" si="18"/>
        <v>-267656.76</v>
      </c>
      <c r="F84" s="918">
        <v>1</v>
      </c>
      <c r="G84" s="911">
        <f t="shared" si="20"/>
        <v>-267656.76</v>
      </c>
      <c r="H84" s="911">
        <f t="shared" si="21"/>
        <v>0</v>
      </c>
      <c r="I84" s="911">
        <f t="shared" si="22"/>
        <v>-267656.76</v>
      </c>
      <c r="J84" s="1190" t="s">
        <v>2496</v>
      </c>
      <c r="K84" s="896"/>
    </row>
    <row r="85" spans="1:11">
      <c r="A85" s="111">
        <f t="shared" si="19"/>
        <v>59</v>
      </c>
      <c r="B85" s="601" t="s">
        <v>1296</v>
      </c>
      <c r="C85" s="902">
        <f t="shared" si="16"/>
        <v>0</v>
      </c>
      <c r="D85" s="902">
        <f t="shared" si="17"/>
        <v>0</v>
      </c>
      <c r="E85" s="902">
        <f t="shared" si="18"/>
        <v>0</v>
      </c>
      <c r="F85" s="918">
        <v>0</v>
      </c>
      <c r="G85" s="911">
        <f t="shared" si="20"/>
        <v>0</v>
      </c>
      <c r="H85" s="911">
        <f t="shared" si="21"/>
        <v>0</v>
      </c>
      <c r="I85" s="911">
        <f t="shared" si="22"/>
        <v>0</v>
      </c>
      <c r="J85" s="1190" t="s">
        <v>2497</v>
      </c>
      <c r="K85" s="896"/>
    </row>
    <row r="86" spans="1:11">
      <c r="A86" s="111">
        <f t="shared" si="19"/>
        <v>60</v>
      </c>
      <c r="B86" s="601" t="s">
        <v>1297</v>
      </c>
      <c r="C86" s="902">
        <f t="shared" si="16"/>
        <v>243419.62</v>
      </c>
      <c r="D86" s="902">
        <f t="shared" si="17"/>
        <v>0</v>
      </c>
      <c r="E86" s="902">
        <f t="shared" si="18"/>
        <v>243419.62</v>
      </c>
      <c r="F86" s="918">
        <v>0</v>
      </c>
      <c r="G86" s="911">
        <f t="shared" si="20"/>
        <v>0</v>
      </c>
      <c r="H86" s="911">
        <f t="shared" si="21"/>
        <v>0</v>
      </c>
      <c r="I86" s="911">
        <f t="shared" si="22"/>
        <v>0</v>
      </c>
      <c r="J86" s="1190" t="s">
        <v>2497</v>
      </c>
      <c r="K86" s="896"/>
    </row>
    <row r="87" spans="1:11">
      <c r="A87" s="111">
        <f t="shared" si="19"/>
        <v>61</v>
      </c>
      <c r="B87" s="601" t="s">
        <v>2399</v>
      </c>
      <c r="C87" s="902">
        <f t="shared" si="16"/>
        <v>44301873.160000004</v>
      </c>
      <c r="D87" s="902">
        <f t="shared" si="17"/>
        <v>21097573.577079087</v>
      </c>
      <c r="E87" s="902">
        <f t="shared" si="18"/>
        <v>23204299.582920916</v>
      </c>
      <c r="F87" s="918">
        <f>'27-Allocators'!$D$47</f>
        <v>0.36648418491484186</v>
      </c>
      <c r="G87" s="911">
        <f t="shared" si="20"/>
        <v>16235935.87524331</v>
      </c>
      <c r="H87" s="911">
        <f t="shared" si="21"/>
        <v>7731927.0560767343</v>
      </c>
      <c r="I87" s="911">
        <f t="shared" si="22"/>
        <v>8504008.8191665765</v>
      </c>
      <c r="J87" s="623" t="s">
        <v>2406</v>
      </c>
      <c r="K87" s="902"/>
    </row>
    <row r="88" spans="1:11">
      <c r="A88" s="111">
        <f t="shared" si="19"/>
        <v>62</v>
      </c>
      <c r="B88" s="601" t="s">
        <v>1298</v>
      </c>
      <c r="C88" s="902">
        <f t="shared" si="16"/>
        <v>0</v>
      </c>
      <c r="D88" s="902">
        <f t="shared" si="17"/>
        <v>0</v>
      </c>
      <c r="E88" s="902">
        <f t="shared" si="18"/>
        <v>0</v>
      </c>
      <c r="F88" s="918">
        <v>0</v>
      </c>
      <c r="G88" s="911">
        <f t="shared" si="20"/>
        <v>0</v>
      </c>
      <c r="H88" s="911">
        <f t="shared" si="21"/>
        <v>0</v>
      </c>
      <c r="I88" s="911">
        <f t="shared" si="22"/>
        <v>0</v>
      </c>
      <c r="J88" s="1190" t="s">
        <v>2497</v>
      </c>
      <c r="K88" s="896"/>
    </row>
    <row r="89" spans="1:11">
      <c r="A89" s="111">
        <f t="shared" si="19"/>
        <v>63</v>
      </c>
      <c r="B89" s="601" t="s">
        <v>1299</v>
      </c>
      <c r="C89" s="902">
        <f t="shared" si="16"/>
        <v>944337.63000000012</v>
      </c>
      <c r="D89" s="902">
        <f t="shared" si="17"/>
        <v>0</v>
      </c>
      <c r="E89" s="902">
        <f t="shared" si="18"/>
        <v>944337.63000000012</v>
      </c>
      <c r="F89" s="918">
        <v>1</v>
      </c>
      <c r="G89" s="911">
        <f t="shared" si="20"/>
        <v>944337.63000000012</v>
      </c>
      <c r="H89" s="911">
        <f t="shared" si="21"/>
        <v>0</v>
      </c>
      <c r="I89" s="911">
        <f t="shared" si="22"/>
        <v>944337.63000000012</v>
      </c>
      <c r="J89" s="1190" t="s">
        <v>2496</v>
      </c>
      <c r="K89" s="896"/>
    </row>
    <row r="90" spans="1:11">
      <c r="A90" s="111">
        <f t="shared" si="19"/>
        <v>64</v>
      </c>
      <c r="B90" s="601" t="s">
        <v>2387</v>
      </c>
      <c r="C90" s="902">
        <f t="shared" si="16"/>
        <v>15401559.169999998</v>
      </c>
      <c r="D90" s="902">
        <f t="shared" si="17"/>
        <v>5528.6026917413601</v>
      </c>
      <c r="E90" s="902">
        <f t="shared" si="18"/>
        <v>15396030.567308256</v>
      </c>
      <c r="F90" s="918">
        <f>'27-Allocators'!$D$35</f>
        <v>0.46754315015460779</v>
      </c>
      <c r="G90" s="911">
        <f t="shared" si="20"/>
        <v>7200893.4916343857</v>
      </c>
      <c r="H90" s="911">
        <f t="shared" si="21"/>
        <v>2584.8603184499993</v>
      </c>
      <c r="I90" s="911">
        <f t="shared" si="22"/>
        <v>7198308.6313159354</v>
      </c>
      <c r="J90" s="623" t="s">
        <v>2407</v>
      </c>
      <c r="K90" s="902"/>
    </row>
    <row r="91" spans="1:11">
      <c r="A91" s="111">
        <f t="shared" si="19"/>
        <v>65</v>
      </c>
      <c r="B91" s="601" t="s">
        <v>1300</v>
      </c>
      <c r="C91" s="902">
        <f t="shared" si="16"/>
        <v>107252.15000000001</v>
      </c>
      <c r="D91" s="902">
        <f t="shared" si="17"/>
        <v>0</v>
      </c>
      <c r="E91" s="902">
        <f t="shared" si="18"/>
        <v>107252.15000000001</v>
      </c>
      <c r="F91" s="918">
        <v>1</v>
      </c>
      <c r="G91" s="911">
        <f t="shared" si="20"/>
        <v>107252.15000000001</v>
      </c>
      <c r="H91" s="911">
        <f t="shared" si="21"/>
        <v>0</v>
      </c>
      <c r="I91" s="911">
        <f t="shared" si="22"/>
        <v>107252.15000000001</v>
      </c>
      <c r="J91" s="1190" t="s">
        <v>2496</v>
      </c>
      <c r="K91" s="494"/>
    </row>
    <row r="92" spans="1:11">
      <c r="A92" s="111">
        <f t="shared" si="19"/>
        <v>66</v>
      </c>
      <c r="B92" s="601" t="s">
        <v>1301</v>
      </c>
      <c r="C92" s="902">
        <f t="shared" si="16"/>
        <v>189601.02000000002</v>
      </c>
      <c r="D92" s="902">
        <f t="shared" si="17"/>
        <v>0</v>
      </c>
      <c r="E92" s="902">
        <f t="shared" si="18"/>
        <v>189601.02000000002</v>
      </c>
      <c r="F92" s="918">
        <v>1</v>
      </c>
      <c r="G92" s="911">
        <f t="shared" ref="G92" si="23">SUM(H92:I92)</f>
        <v>189601.02000000002</v>
      </c>
      <c r="H92" s="911">
        <f t="shared" ref="H92" si="24">D92*F92</f>
        <v>0</v>
      </c>
      <c r="I92" s="911">
        <f t="shared" ref="I92" si="25">E92*F92</f>
        <v>189601.02000000002</v>
      </c>
      <c r="J92" s="1190" t="s">
        <v>2496</v>
      </c>
      <c r="K92" s="494"/>
    </row>
    <row r="93" spans="1:11">
      <c r="A93" s="111">
        <f t="shared" si="19"/>
        <v>67</v>
      </c>
      <c r="B93" s="601" t="s">
        <v>2400</v>
      </c>
      <c r="C93" s="902">
        <f t="shared" si="16"/>
        <v>2384823.7600000002</v>
      </c>
      <c r="D93" s="902">
        <f t="shared" si="17"/>
        <v>2049481.7976254995</v>
      </c>
      <c r="E93" s="902">
        <f t="shared" si="18"/>
        <v>335341.96237450064</v>
      </c>
      <c r="F93" s="918">
        <f>'27-Allocators'!$D$47</f>
        <v>0.36648418491484186</v>
      </c>
      <c r="G93" s="911">
        <f t="shared" si="20"/>
        <v>874000.19184914848</v>
      </c>
      <c r="H93" s="911">
        <f t="shared" si="21"/>
        <v>751102.66610058607</v>
      </c>
      <c r="I93" s="911">
        <f t="shared" si="22"/>
        <v>122897.52574856243</v>
      </c>
      <c r="J93" s="623" t="s">
        <v>2406</v>
      </c>
      <c r="K93" s="896"/>
    </row>
    <row r="94" spans="1:11">
      <c r="A94" s="111">
        <f t="shared" si="19"/>
        <v>68</v>
      </c>
      <c r="B94" s="601" t="s">
        <v>1302</v>
      </c>
      <c r="C94" s="902">
        <f t="shared" si="16"/>
        <v>192593.95</v>
      </c>
      <c r="D94" s="902">
        <f t="shared" si="17"/>
        <v>0</v>
      </c>
      <c r="E94" s="902">
        <f t="shared" si="18"/>
        <v>192593.95</v>
      </c>
      <c r="F94" s="918">
        <v>1</v>
      </c>
      <c r="G94" s="911">
        <f t="shared" si="20"/>
        <v>192593.95</v>
      </c>
      <c r="H94" s="911">
        <f t="shared" si="21"/>
        <v>0</v>
      </c>
      <c r="I94" s="911">
        <f t="shared" si="22"/>
        <v>192593.95</v>
      </c>
      <c r="J94" s="1190" t="s">
        <v>2496</v>
      </c>
      <c r="K94" s="902"/>
    </row>
    <row r="95" spans="1:11">
      <c r="A95" s="111">
        <f t="shared" si="19"/>
        <v>69</v>
      </c>
      <c r="B95" s="601" t="s">
        <v>2401</v>
      </c>
      <c r="C95" s="902">
        <f t="shared" si="16"/>
        <v>3163154.6200000024</v>
      </c>
      <c r="D95" s="902">
        <f t="shared" si="17"/>
        <v>42016.736451102086</v>
      </c>
      <c r="E95" s="902">
        <f t="shared" si="18"/>
        <v>3121137.8835489005</v>
      </c>
      <c r="F95" s="918">
        <f>'27-Allocators'!$D$47</f>
        <v>0.36648418491484186</v>
      </c>
      <c r="G95" s="911">
        <f t="shared" si="20"/>
        <v>1159246.1426703173</v>
      </c>
      <c r="H95" s="911">
        <f t="shared" si="21"/>
        <v>15398.469411063874</v>
      </c>
      <c r="I95" s="911">
        <f t="shared" si="22"/>
        <v>1143847.6732592534</v>
      </c>
      <c r="J95" s="623" t="s">
        <v>2406</v>
      </c>
      <c r="K95" s="494"/>
    </row>
    <row r="96" spans="1:11">
      <c r="A96" s="111">
        <f t="shared" si="19"/>
        <v>70</v>
      </c>
      <c r="B96" s="601" t="s">
        <v>1303</v>
      </c>
      <c r="C96" s="902">
        <f t="shared" si="16"/>
        <v>242950.01</v>
      </c>
      <c r="D96" s="902">
        <f t="shared" si="17"/>
        <v>0</v>
      </c>
      <c r="E96" s="902">
        <f t="shared" si="18"/>
        <v>242950.01</v>
      </c>
      <c r="F96" s="918">
        <v>1</v>
      </c>
      <c r="G96" s="911">
        <f t="shared" si="20"/>
        <v>242950.01</v>
      </c>
      <c r="H96" s="911">
        <f t="shared" si="21"/>
        <v>0</v>
      </c>
      <c r="I96" s="911">
        <f t="shared" si="22"/>
        <v>242950.01</v>
      </c>
      <c r="J96" s="1190" t="s">
        <v>2496</v>
      </c>
      <c r="K96" s="494"/>
    </row>
    <row r="97" spans="1:12">
      <c r="A97" s="111">
        <f t="shared" si="19"/>
        <v>71</v>
      </c>
      <c r="B97" s="601" t="s">
        <v>2402</v>
      </c>
      <c r="C97" s="902">
        <f t="shared" si="16"/>
        <v>10828014.199999999</v>
      </c>
      <c r="D97" s="902">
        <f t="shared" si="17"/>
        <v>5048010.0304463394</v>
      </c>
      <c r="E97" s="902">
        <f t="shared" si="18"/>
        <v>5780004.1695536599</v>
      </c>
      <c r="F97" s="918">
        <f>'27-Allocators'!$D$47</f>
        <v>0.36648418491484186</v>
      </c>
      <c r="G97" s="911">
        <f t="shared" si="20"/>
        <v>3968295.9583333335</v>
      </c>
      <c r="H97" s="911">
        <f t="shared" si="21"/>
        <v>1850015.8414500728</v>
      </c>
      <c r="I97" s="911">
        <f t="shared" si="22"/>
        <v>2118280.1168832607</v>
      </c>
      <c r="J97" s="623" t="s">
        <v>2406</v>
      </c>
      <c r="K97" s="494"/>
    </row>
    <row r="98" spans="1:12">
      <c r="A98" s="111">
        <f t="shared" si="19"/>
        <v>72</v>
      </c>
      <c r="B98" s="601" t="s">
        <v>1304</v>
      </c>
      <c r="C98" s="902">
        <f t="shared" si="16"/>
        <v>1655072.69</v>
      </c>
      <c r="D98" s="902">
        <f t="shared" si="17"/>
        <v>744.12999999999988</v>
      </c>
      <c r="E98" s="902">
        <f t="shared" si="18"/>
        <v>1654328.56</v>
      </c>
      <c r="F98" s="918">
        <v>1</v>
      </c>
      <c r="G98" s="911">
        <f t="shared" si="20"/>
        <v>1655072.69</v>
      </c>
      <c r="H98" s="911">
        <f t="shared" si="21"/>
        <v>744.12999999999988</v>
      </c>
      <c r="I98" s="911">
        <f t="shared" si="22"/>
        <v>1654328.56</v>
      </c>
      <c r="J98" s="1190" t="s">
        <v>2496</v>
      </c>
      <c r="K98" s="494"/>
    </row>
    <row r="99" spans="1:12">
      <c r="A99" s="111">
        <f t="shared" si="19"/>
        <v>73</v>
      </c>
      <c r="B99" s="601" t="s">
        <v>2403</v>
      </c>
      <c r="C99" s="902">
        <f t="shared" si="16"/>
        <v>34668119.970000014</v>
      </c>
      <c r="D99" s="902">
        <f t="shared" si="17"/>
        <v>9134610.9140139986</v>
      </c>
      <c r="E99" s="902">
        <f t="shared" si="18"/>
        <v>25533509.055986013</v>
      </c>
      <c r="F99" s="918">
        <f>'27-Allocators'!$D$35</f>
        <v>0.46754315015460779</v>
      </c>
      <c r="G99" s="911">
        <f t="shared" si="20"/>
        <v>16208842.020711672</v>
      </c>
      <c r="H99" s="911">
        <f t="shared" si="21"/>
        <v>4270824.7621747656</v>
      </c>
      <c r="I99" s="911">
        <f t="shared" si="22"/>
        <v>11938017.258536907</v>
      </c>
      <c r="J99" s="623" t="s">
        <v>2407</v>
      </c>
      <c r="K99" s="494"/>
    </row>
    <row r="100" spans="1:12">
      <c r="A100" s="111">
        <f t="shared" si="19"/>
        <v>74</v>
      </c>
      <c r="B100" s="601" t="s">
        <v>1305</v>
      </c>
      <c r="C100" s="902">
        <f t="shared" si="16"/>
        <v>393016.65</v>
      </c>
      <c r="D100" s="902">
        <f t="shared" si="17"/>
        <v>0</v>
      </c>
      <c r="E100" s="902">
        <f t="shared" si="18"/>
        <v>393016.65</v>
      </c>
      <c r="F100" s="918">
        <v>1</v>
      </c>
      <c r="G100" s="911">
        <f t="shared" si="20"/>
        <v>393016.65</v>
      </c>
      <c r="H100" s="911">
        <f t="shared" si="21"/>
        <v>0</v>
      </c>
      <c r="I100" s="911">
        <f t="shared" si="22"/>
        <v>393016.65</v>
      </c>
      <c r="J100" s="1190" t="s">
        <v>2496</v>
      </c>
      <c r="K100" s="494"/>
    </row>
    <row r="101" spans="1:12">
      <c r="A101" s="111">
        <f t="shared" si="19"/>
        <v>75</v>
      </c>
      <c r="B101" s="601" t="s">
        <v>2404</v>
      </c>
      <c r="C101" s="902">
        <f t="shared" si="16"/>
        <v>388986.69</v>
      </c>
      <c r="D101" s="902">
        <f t="shared" si="17"/>
        <v>203477.59688660022</v>
      </c>
      <c r="E101" s="902">
        <f t="shared" si="18"/>
        <v>185509.09311339978</v>
      </c>
      <c r="F101" s="918">
        <f>'27-Allocators'!$D$41</f>
        <v>1.4473399263697395E-2</v>
      </c>
      <c r="G101" s="911">
        <f t="shared" si="20"/>
        <v>5629.9596726340869</v>
      </c>
      <c r="H101" s="911">
        <f t="shared" si="21"/>
        <v>2945.0125009574349</v>
      </c>
      <c r="I101" s="911">
        <f t="shared" si="22"/>
        <v>2684.947171676652</v>
      </c>
      <c r="J101" s="623" t="s">
        <v>2408</v>
      </c>
      <c r="K101" s="494"/>
    </row>
    <row r="102" spans="1:12">
      <c r="A102" s="111">
        <f t="shared" si="19"/>
        <v>76</v>
      </c>
      <c r="B102" s="601" t="s">
        <v>1307</v>
      </c>
      <c r="C102" s="902">
        <f t="shared" si="16"/>
        <v>2321.62</v>
      </c>
      <c r="D102" s="902">
        <f t="shared" si="17"/>
        <v>0</v>
      </c>
      <c r="E102" s="902">
        <f t="shared" si="18"/>
        <v>2321.62</v>
      </c>
      <c r="F102" s="918">
        <v>1</v>
      </c>
      <c r="G102" s="911">
        <f t="shared" si="20"/>
        <v>2321.62</v>
      </c>
      <c r="H102" s="911">
        <f t="shared" si="21"/>
        <v>0</v>
      </c>
      <c r="I102" s="911">
        <f t="shared" si="22"/>
        <v>2321.62</v>
      </c>
      <c r="J102" s="1190" t="s">
        <v>2496</v>
      </c>
      <c r="K102" s="494"/>
    </row>
    <row r="103" spans="1:12">
      <c r="A103" s="111">
        <f t="shared" si="19"/>
        <v>77</v>
      </c>
      <c r="B103" s="601" t="s">
        <v>2405</v>
      </c>
      <c r="C103" s="902">
        <f t="shared" si="16"/>
        <v>2970933.63</v>
      </c>
      <c r="D103" s="902">
        <f t="shared" si="17"/>
        <v>1053186.9550977601</v>
      </c>
      <c r="E103" s="902">
        <f t="shared" si="18"/>
        <v>1917746.67490224</v>
      </c>
      <c r="F103" s="918">
        <f>'27-Allocators'!$D$47</f>
        <v>0.36648418491484186</v>
      </c>
      <c r="G103" s="911">
        <f t="shared" si="20"/>
        <v>1088800.1898266424</v>
      </c>
      <c r="H103" s="911">
        <f t="shared" si="21"/>
        <v>385976.36280194676</v>
      </c>
      <c r="I103" s="911">
        <f t="shared" si="22"/>
        <v>702823.8270246957</v>
      </c>
      <c r="J103" s="623" t="s">
        <v>2406</v>
      </c>
      <c r="K103" s="494"/>
    </row>
    <row r="104" spans="1:12">
      <c r="A104" s="111">
        <f t="shared" si="19"/>
        <v>78</v>
      </c>
      <c r="B104" s="538" t="s">
        <v>513</v>
      </c>
      <c r="C104" s="887" t="s">
        <v>76</v>
      </c>
      <c r="D104" s="887" t="s">
        <v>76</v>
      </c>
      <c r="E104" s="887" t="s">
        <v>76</v>
      </c>
      <c r="F104" s="887" t="s">
        <v>76</v>
      </c>
      <c r="G104" s="887" t="s">
        <v>76</v>
      </c>
      <c r="H104" s="887" t="s">
        <v>76</v>
      </c>
      <c r="I104" s="887" t="s">
        <v>76</v>
      </c>
      <c r="J104" s="494"/>
      <c r="K104" s="494"/>
    </row>
    <row r="105" spans="1:12">
      <c r="A105" s="111">
        <f t="shared" si="19"/>
        <v>79</v>
      </c>
      <c r="B105" s="601" t="s">
        <v>2035</v>
      </c>
      <c r="C105" s="914">
        <f>J42</f>
        <v>11010551.80557367</v>
      </c>
      <c r="D105" s="914">
        <f>K42</f>
        <v>11010551.80557367</v>
      </c>
      <c r="E105" s="914">
        <f>L42</f>
        <v>0</v>
      </c>
      <c r="F105" s="915"/>
      <c r="G105" s="916">
        <f>SUM(H105:I105)</f>
        <v>4516089.3137486102</v>
      </c>
      <c r="H105" s="916">
        <f>D105*C150</f>
        <v>4516089.3137486102</v>
      </c>
      <c r="I105" s="916">
        <v>0</v>
      </c>
      <c r="J105" s="494"/>
      <c r="K105" s="494"/>
    </row>
    <row r="106" spans="1:12">
      <c r="A106" s="111">
        <f t="shared" si="19"/>
        <v>80</v>
      </c>
      <c r="B106" s="440" t="s">
        <v>1322</v>
      </c>
      <c r="C106" s="900">
        <f>SUM(C74:C105)</f>
        <v>180108044.78557372</v>
      </c>
      <c r="D106" s="900">
        <f>SUM(D74:D105)</f>
        <v>87620934.412763938</v>
      </c>
      <c r="E106" s="900">
        <f>SUM(E74:E105)</f>
        <v>92487110.372809768</v>
      </c>
      <c r="F106" s="917"/>
      <c r="G106" s="900">
        <f>SUM(G74:G105)</f>
        <v>77531619.044176176</v>
      </c>
      <c r="H106" s="900">
        <f>SUM(H74:H105)</f>
        <v>35938613.481827594</v>
      </c>
      <c r="I106" s="900">
        <f>SUM(I74:I105)</f>
        <v>41593005.562348567</v>
      </c>
      <c r="J106" s="494"/>
      <c r="K106" s="876"/>
      <c r="L106" s="494"/>
    </row>
    <row r="107" spans="1:12">
      <c r="A107" s="111">
        <f t="shared" si="19"/>
        <v>81</v>
      </c>
      <c r="B107" s="520"/>
      <c r="C107" s="603"/>
      <c r="D107" s="603"/>
      <c r="E107" s="603"/>
      <c r="F107" s="917"/>
      <c r="G107" s="918"/>
      <c r="H107" s="911"/>
      <c r="I107" s="911"/>
      <c r="J107" s="911"/>
      <c r="K107" s="876"/>
    </row>
    <row r="108" spans="1:12">
      <c r="A108" s="111"/>
      <c r="B108" s="441"/>
      <c r="C108" s="449"/>
      <c r="D108" s="449"/>
      <c r="E108" s="449"/>
      <c r="F108" s="450"/>
      <c r="G108" s="451"/>
      <c r="H108" s="449"/>
      <c r="I108" s="449"/>
      <c r="J108" s="449"/>
      <c r="K108" s="494"/>
    </row>
    <row r="109" spans="1:12">
      <c r="A109" s="111"/>
      <c r="B109" s="84" t="s">
        <v>363</v>
      </c>
      <c r="C109" s="429" t="s">
        <v>347</v>
      </c>
      <c r="D109" s="429" t="s">
        <v>348</v>
      </c>
      <c r="E109" s="429" t="s">
        <v>349</v>
      </c>
      <c r="F109" s="430" t="s">
        <v>350</v>
      </c>
      <c r="G109" s="429" t="s">
        <v>351</v>
      </c>
      <c r="H109" s="429" t="s">
        <v>352</v>
      </c>
      <c r="I109" s="429" t="s">
        <v>544</v>
      </c>
      <c r="J109" s="981" t="s">
        <v>961</v>
      </c>
      <c r="K109" s="494"/>
    </row>
    <row r="110" spans="1:12">
      <c r="A110" s="111"/>
      <c r="C110" s="896" t="s">
        <v>1318</v>
      </c>
      <c r="D110" s="896" t="s">
        <v>1319</v>
      </c>
      <c r="E110" s="896" t="s">
        <v>1320</v>
      </c>
      <c r="F110" s="908" t="s">
        <v>1191</v>
      </c>
      <c r="G110" s="570" t="s">
        <v>1280</v>
      </c>
      <c r="H110" s="571" t="s">
        <v>1685</v>
      </c>
      <c r="I110" s="571" t="s">
        <v>1686</v>
      </c>
      <c r="J110" s="494"/>
      <c r="K110" s="494"/>
    </row>
    <row r="111" spans="1:12">
      <c r="A111" s="111"/>
      <c r="C111" s="896"/>
      <c r="D111" s="896"/>
      <c r="E111" s="896"/>
      <c r="F111" s="907"/>
      <c r="G111" s="908"/>
      <c r="H111" s="520"/>
      <c r="I111" s="520"/>
      <c r="J111" s="896"/>
      <c r="K111" s="494"/>
    </row>
    <row r="112" spans="1:12">
      <c r="A112" s="111"/>
      <c r="B112" s="1395" t="s">
        <v>1284</v>
      </c>
      <c r="C112" s="1386" t="s">
        <v>1287</v>
      </c>
      <c r="D112" s="1387"/>
      <c r="E112" s="1388"/>
      <c r="F112" s="447" t="s">
        <v>1449</v>
      </c>
      <c r="G112" s="1392" t="s">
        <v>1321</v>
      </c>
      <c r="H112" s="1393"/>
      <c r="I112" s="1394"/>
      <c r="J112" s="982" t="s">
        <v>1752</v>
      </c>
      <c r="K112" s="494"/>
    </row>
    <row r="113" spans="1:11">
      <c r="A113" s="111"/>
      <c r="B113" s="1395"/>
      <c r="C113" s="874" t="s">
        <v>196</v>
      </c>
      <c r="D113" s="434" t="s">
        <v>1288</v>
      </c>
      <c r="E113" s="434" t="s">
        <v>1289</v>
      </c>
      <c r="F113" s="447" t="s">
        <v>435</v>
      </c>
      <c r="G113" s="874" t="s">
        <v>196</v>
      </c>
      <c r="H113" s="434" t="s">
        <v>1288</v>
      </c>
      <c r="I113" s="434" t="s">
        <v>1289</v>
      </c>
      <c r="J113" s="934" t="s">
        <v>205</v>
      </c>
      <c r="K113" s="494"/>
    </row>
    <row r="114" spans="1:11" ht="12.75" customHeight="1">
      <c r="A114" s="111"/>
      <c r="B114" s="442" t="s">
        <v>1309</v>
      </c>
      <c r="C114" s="603"/>
      <c r="D114" s="603"/>
      <c r="E114" s="603"/>
      <c r="F114" s="917"/>
      <c r="G114" s="918"/>
      <c r="H114" s="911"/>
      <c r="I114" s="911"/>
      <c r="J114" s="911"/>
      <c r="K114" s="494"/>
    </row>
    <row r="115" spans="1:11" ht="12.75" customHeight="1">
      <c r="A115" s="111">
        <f>A107+1</f>
        <v>82</v>
      </c>
      <c r="B115" s="601" t="s">
        <v>2390</v>
      </c>
      <c r="C115" s="603">
        <f t="shared" ref="C115:E118" si="26">J52</f>
        <v>35012490.969999999</v>
      </c>
      <c r="D115" s="603">
        <f t="shared" si="26"/>
        <v>26445837.651692614</v>
      </c>
      <c r="E115" s="603">
        <f t="shared" si="26"/>
        <v>8566653.3183073848</v>
      </c>
      <c r="F115" s="918">
        <f>'27-Allocators'!$D$53</f>
        <v>0</v>
      </c>
      <c r="G115" s="911">
        <f t="shared" ref="G115:G118" si="27">SUM(H115:I115)</f>
        <v>0</v>
      </c>
      <c r="H115" s="911">
        <f>D115*F115</f>
        <v>0</v>
      </c>
      <c r="I115" s="911">
        <f>E115*F115</f>
        <v>0</v>
      </c>
      <c r="J115" s="623" t="s">
        <v>2409</v>
      </c>
      <c r="K115" s="494"/>
    </row>
    <row r="116" spans="1:11" ht="12.75" customHeight="1">
      <c r="A116" s="111">
        <f t="shared" ref="A116:A125" si="28">A115+1</f>
        <v>83</v>
      </c>
      <c r="B116" s="601" t="s">
        <v>1310</v>
      </c>
      <c r="C116" s="603">
        <f t="shared" si="26"/>
        <v>2386347.5300000007</v>
      </c>
      <c r="D116" s="603">
        <f t="shared" si="26"/>
        <v>2048868.7541387454</v>
      </c>
      <c r="E116" s="603">
        <f t="shared" si="26"/>
        <v>337478.77586125542</v>
      </c>
      <c r="F116" s="918">
        <f>'27-Allocators'!$D$53</f>
        <v>0</v>
      </c>
      <c r="G116" s="911">
        <f t="shared" si="27"/>
        <v>0</v>
      </c>
      <c r="H116" s="911">
        <f t="shared" ref="H116:H119" si="29">D116*F116</f>
        <v>0</v>
      </c>
      <c r="I116" s="911">
        <f t="shared" ref="I116:I119" si="30">E116*F116</f>
        <v>0</v>
      </c>
      <c r="J116" s="623" t="s">
        <v>2409</v>
      </c>
      <c r="K116" s="494"/>
    </row>
    <row r="117" spans="1:11" ht="12.75" customHeight="1">
      <c r="A117" s="111">
        <f t="shared" si="28"/>
        <v>84</v>
      </c>
      <c r="B117" s="601" t="s">
        <v>1311</v>
      </c>
      <c r="C117" s="603">
        <f t="shared" si="26"/>
        <v>72359.460000000006</v>
      </c>
      <c r="D117" s="603">
        <f t="shared" si="26"/>
        <v>7390.4000511447894</v>
      </c>
      <c r="E117" s="603">
        <f t="shared" si="26"/>
        <v>64969.059948855211</v>
      </c>
      <c r="F117" s="918">
        <f>'27-Allocators'!$D$53</f>
        <v>0</v>
      </c>
      <c r="G117" s="911">
        <f t="shared" si="27"/>
        <v>0</v>
      </c>
      <c r="H117" s="911">
        <f t="shared" si="29"/>
        <v>0</v>
      </c>
      <c r="I117" s="911">
        <f t="shared" si="30"/>
        <v>0</v>
      </c>
      <c r="J117" s="623" t="s">
        <v>2409</v>
      </c>
      <c r="K117" s="494"/>
    </row>
    <row r="118" spans="1:11" ht="12.75" customHeight="1">
      <c r="A118" s="111">
        <f t="shared" si="28"/>
        <v>85</v>
      </c>
      <c r="B118" s="601" t="s">
        <v>2391</v>
      </c>
      <c r="C118" s="603">
        <f t="shared" si="26"/>
        <v>10261821.489999998</v>
      </c>
      <c r="D118" s="603">
        <f t="shared" si="26"/>
        <v>5375621.5328013962</v>
      </c>
      <c r="E118" s="603">
        <f t="shared" si="26"/>
        <v>4886199.9571986021</v>
      </c>
      <c r="F118" s="918">
        <f>'27-Allocators'!$D$53</f>
        <v>0</v>
      </c>
      <c r="G118" s="911">
        <f t="shared" si="27"/>
        <v>0</v>
      </c>
      <c r="H118" s="911">
        <f t="shared" si="29"/>
        <v>0</v>
      </c>
      <c r="I118" s="911">
        <f t="shared" si="30"/>
        <v>0</v>
      </c>
      <c r="J118" s="623" t="s">
        <v>2409</v>
      </c>
      <c r="K118" s="494"/>
    </row>
    <row r="119" spans="1:11" ht="12.75" customHeight="1">
      <c r="A119" s="111">
        <f t="shared" si="28"/>
        <v>86</v>
      </c>
      <c r="B119" s="919" t="s">
        <v>1312</v>
      </c>
      <c r="C119" s="920">
        <f t="shared" ref="C119:E120" si="31">J56</f>
        <v>468599879.4600001</v>
      </c>
      <c r="D119" s="603">
        <f t="shared" si="31"/>
        <v>202811589.57225418</v>
      </c>
      <c r="E119" s="603">
        <f t="shared" si="31"/>
        <v>265788289.88774592</v>
      </c>
      <c r="F119" s="987">
        <v>0</v>
      </c>
      <c r="G119" s="452">
        <v>0</v>
      </c>
      <c r="H119" s="911">
        <f t="shared" si="29"/>
        <v>0</v>
      </c>
      <c r="I119" s="911">
        <f t="shared" si="30"/>
        <v>0</v>
      </c>
      <c r="J119" s="983" t="s">
        <v>2497</v>
      </c>
      <c r="K119" s="494"/>
    </row>
    <row r="120" spans="1:11" ht="12.75" customHeight="1">
      <c r="A120" s="111">
        <f t="shared" si="28"/>
        <v>87</v>
      </c>
      <c r="B120" s="601" t="s">
        <v>2036</v>
      </c>
      <c r="C120" s="905">
        <f t="shared" si="31"/>
        <v>34050403.358179212</v>
      </c>
      <c r="D120" s="905">
        <f t="shared" si="31"/>
        <v>34050403.358179212</v>
      </c>
      <c r="E120" s="905">
        <f t="shared" si="31"/>
        <v>0</v>
      </c>
      <c r="F120" s="988">
        <v>0</v>
      </c>
      <c r="G120" s="916">
        <f>SUM(H120:I120)</f>
        <v>0</v>
      </c>
      <c r="H120" s="916">
        <f>D120*F120</f>
        <v>0</v>
      </c>
      <c r="I120" s="916">
        <f>E120*F120</f>
        <v>0</v>
      </c>
      <c r="J120" s="983" t="s">
        <v>2497</v>
      </c>
      <c r="K120" s="494"/>
    </row>
    <row r="121" spans="1:11">
      <c r="A121" s="111">
        <f t="shared" si="28"/>
        <v>88</v>
      </c>
      <c r="B121" s="441" t="s">
        <v>1323</v>
      </c>
      <c r="C121" s="603">
        <f>SUM(C115:C120)</f>
        <v>550383302.2681793</v>
      </c>
      <c r="D121" s="603">
        <f>SUM(D115:D120)</f>
        <v>270739711.2691173</v>
      </c>
      <c r="E121" s="603">
        <f>SUM(E115:E120)</f>
        <v>279643590.999062</v>
      </c>
      <c r="F121" s="450"/>
      <c r="G121" s="900">
        <f>SUM(G115:G120)</f>
        <v>0</v>
      </c>
      <c r="H121" s="900">
        <f>SUM(H115:H120)</f>
        <v>0</v>
      </c>
      <c r="I121" s="900">
        <f>SUM(I115:I120)</f>
        <v>0</v>
      </c>
      <c r="J121" s="494"/>
      <c r="K121" s="494"/>
    </row>
    <row r="122" spans="1:11">
      <c r="A122" s="111">
        <f t="shared" si="28"/>
        <v>89</v>
      </c>
      <c r="B122" s="441"/>
      <c r="C122" s="603"/>
      <c r="D122" s="603"/>
      <c r="E122" s="603"/>
      <c r="F122" s="450"/>
      <c r="G122" s="900"/>
      <c r="H122" s="897"/>
      <c r="I122" s="453"/>
      <c r="J122" s="494"/>
      <c r="K122" s="494"/>
    </row>
    <row r="123" spans="1:11">
      <c r="A123" s="111">
        <f t="shared" si="28"/>
        <v>90</v>
      </c>
      <c r="B123" s="896"/>
      <c r="C123" s="902"/>
      <c r="D123" s="902"/>
      <c r="E123" s="902"/>
      <c r="F123" s="917"/>
      <c r="G123" s="911"/>
      <c r="H123" s="911"/>
      <c r="I123" s="911"/>
    </row>
    <row r="124" spans="1:11">
      <c r="A124" s="111">
        <f t="shared" si="28"/>
        <v>91</v>
      </c>
      <c r="B124" s="441" t="s">
        <v>1688</v>
      </c>
      <c r="C124" s="902">
        <f>+C106+C121</f>
        <v>730491347.05375302</v>
      </c>
      <c r="D124" s="902">
        <f>+D106+D121</f>
        <v>358360645.68188125</v>
      </c>
      <c r="E124" s="902">
        <f>+E106+E121</f>
        <v>372130701.37187177</v>
      </c>
      <c r="F124" s="438"/>
      <c r="G124" s="911">
        <f>SUM(H124:I124)</f>
        <v>77531619.044176161</v>
      </c>
      <c r="H124" s="902">
        <f>+H106+H121</f>
        <v>35938613.481827594</v>
      </c>
      <c r="I124" s="902">
        <f>+I106+I121</f>
        <v>41593005.562348567</v>
      </c>
    </row>
    <row r="125" spans="1:11">
      <c r="A125" s="111">
        <f t="shared" si="28"/>
        <v>92</v>
      </c>
      <c r="B125" s="496" t="str">
        <f>"Line "&amp;A106&amp;" +  Line "&amp;A121&amp;""</f>
        <v>Line 80 +  Line 88</v>
      </c>
    </row>
    <row r="126" spans="1:11">
      <c r="A126" s="494"/>
    </row>
    <row r="127" spans="1:11">
      <c r="A127" s="494"/>
      <c r="B127" s="454" t="s">
        <v>232</v>
      </c>
    </row>
    <row r="128" spans="1:11">
      <c r="A128" s="494"/>
      <c r="B128" s="922" t="s">
        <v>1324</v>
      </c>
      <c r="G128" s="923"/>
      <c r="H128" s="924"/>
      <c r="I128" s="924"/>
      <c r="J128" s="494"/>
      <c r="K128" s="494"/>
    </row>
    <row r="129" spans="1:12">
      <c r="A129" s="494"/>
      <c r="B129" s="925" t="s">
        <v>1325</v>
      </c>
      <c r="G129" s="923"/>
      <c r="H129" s="924"/>
      <c r="I129" s="924"/>
      <c r="J129" s="494"/>
      <c r="K129" s="494"/>
    </row>
    <row r="130" spans="1:12">
      <c r="A130" s="494"/>
      <c r="B130" s="926" t="s">
        <v>1326</v>
      </c>
      <c r="G130" s="923"/>
      <c r="H130" s="924"/>
      <c r="I130" s="924"/>
      <c r="J130" s="494"/>
      <c r="K130" s="494"/>
    </row>
    <row r="131" spans="1:12">
      <c r="A131" s="494"/>
      <c r="B131" s="606" t="s">
        <v>1327</v>
      </c>
      <c r="G131" s="923"/>
      <c r="H131" s="924"/>
      <c r="I131" s="924"/>
      <c r="J131" s="494"/>
      <c r="K131" s="494"/>
    </row>
    <row r="132" spans="1:12">
      <c r="A132" s="494"/>
      <c r="B132" s="606" t="s">
        <v>1328</v>
      </c>
      <c r="G132" s="923"/>
      <c r="H132" s="924"/>
      <c r="I132" s="924"/>
      <c r="J132" s="494"/>
      <c r="K132" s="494"/>
    </row>
    <row r="133" spans="1:12">
      <c r="A133" s="494"/>
      <c r="B133" s="606" t="s">
        <v>1329</v>
      </c>
      <c r="G133" s="923"/>
      <c r="H133" s="924"/>
      <c r="I133" s="924"/>
      <c r="J133" s="494"/>
      <c r="K133" s="494"/>
    </row>
    <row r="134" spans="1:12">
      <c r="A134" s="494"/>
      <c r="B134" s="984" t="s">
        <v>2244</v>
      </c>
      <c r="G134" s="923"/>
      <c r="H134" s="924"/>
      <c r="I134" s="924"/>
      <c r="J134" s="494"/>
      <c r="K134" s="494"/>
    </row>
    <row r="135" spans="1:12">
      <c r="A135" s="494"/>
      <c r="B135" s="606" t="s">
        <v>2343</v>
      </c>
      <c r="G135" s="923"/>
      <c r="H135" s="924"/>
      <c r="I135" s="924"/>
      <c r="J135" s="494"/>
      <c r="K135" s="494"/>
    </row>
    <row r="136" spans="1:12">
      <c r="A136" s="494"/>
      <c r="B136" s="606" t="s">
        <v>2344</v>
      </c>
      <c r="G136" s="923"/>
      <c r="H136" s="924"/>
      <c r="I136" s="924"/>
      <c r="J136" s="494"/>
      <c r="K136" s="494"/>
    </row>
    <row r="137" spans="1:12">
      <c r="A137" s="494"/>
      <c r="B137" s="1363" t="s">
        <v>2886</v>
      </c>
      <c r="C137" s="1073"/>
      <c r="D137" s="1073"/>
      <c r="E137" s="885"/>
      <c r="F137" s="886"/>
      <c r="G137" s="928"/>
      <c r="H137" s="929"/>
      <c r="I137" s="929"/>
      <c r="J137" s="885"/>
      <c r="K137" s="494"/>
      <c r="L137" s="494"/>
    </row>
    <row r="138" spans="1:12">
      <c r="A138" s="494"/>
      <c r="B138" s="927"/>
      <c r="C138" s="1121"/>
      <c r="D138" s="1121"/>
      <c r="E138" s="1121"/>
      <c r="F138" s="886"/>
      <c r="G138" s="928"/>
      <c r="H138" s="929"/>
      <c r="I138" s="929"/>
      <c r="J138" s="885"/>
      <c r="K138" s="494"/>
      <c r="L138" s="494"/>
    </row>
    <row r="139" spans="1:12">
      <c r="A139" s="494"/>
      <c r="B139" s="494" t="s">
        <v>2046</v>
      </c>
      <c r="G139" s="923"/>
      <c r="H139" s="924"/>
      <c r="I139" s="924"/>
      <c r="J139" s="494"/>
      <c r="K139" s="494"/>
    </row>
    <row r="140" spans="1:12">
      <c r="A140" s="494"/>
      <c r="B140" s="494" t="s">
        <v>2037</v>
      </c>
      <c r="G140" s="923"/>
      <c r="H140" s="924"/>
      <c r="I140" s="924"/>
      <c r="J140" s="494"/>
      <c r="K140" s="494"/>
    </row>
    <row r="141" spans="1:12">
      <c r="A141" s="494"/>
      <c r="G141" s="923"/>
      <c r="H141" s="924"/>
      <c r="I141" s="924"/>
      <c r="J141" s="494"/>
      <c r="K141" s="494"/>
    </row>
    <row r="142" spans="1:12">
      <c r="A142" s="494"/>
      <c r="B142" s="985" t="s">
        <v>2038</v>
      </c>
      <c r="C142" s="885">
        <v>47</v>
      </c>
      <c r="G142" s="923"/>
      <c r="H142" s="924"/>
      <c r="I142" s="924"/>
      <c r="J142" s="494"/>
      <c r="K142" s="494"/>
    </row>
    <row r="143" spans="1:12">
      <c r="A143" s="494"/>
      <c r="G143" s="923"/>
      <c r="H143" s="924"/>
      <c r="I143" s="924"/>
      <c r="J143" s="494"/>
      <c r="K143" s="494"/>
    </row>
    <row r="144" spans="1:12">
      <c r="A144" s="494"/>
      <c r="B144" s="930"/>
      <c r="C144" s="475" t="s">
        <v>1450</v>
      </c>
      <c r="D144" s="475" t="s">
        <v>154</v>
      </c>
      <c r="G144" s="923"/>
      <c r="H144" s="924"/>
      <c r="I144" s="924"/>
      <c r="J144" s="494"/>
      <c r="K144" s="494"/>
    </row>
    <row r="145" spans="1:11">
      <c r="A145" s="494"/>
      <c r="B145" s="930" t="s">
        <v>2039</v>
      </c>
      <c r="C145" s="931">
        <f>D43/D60</f>
        <v>0.24434794525684134</v>
      </c>
      <c r="D145" s="930" t="str">
        <f>"Line "&amp;A43&amp;", Col 3 / Line "&amp;A60&amp;", Col 3"</f>
        <v>Line 33, Col 3 / Line 43, Col 3</v>
      </c>
      <c r="G145" s="923"/>
      <c r="H145" s="924"/>
      <c r="I145" s="924"/>
      <c r="J145" s="494"/>
      <c r="K145" s="494"/>
    </row>
    <row r="146" spans="1:11">
      <c r="A146" s="494"/>
      <c r="B146" s="930" t="s">
        <v>2040</v>
      </c>
      <c r="C146" s="931">
        <f>D58/D60</f>
        <v>0.75565205474315877</v>
      </c>
      <c r="D146" s="930" t="str">
        <f>"Line "&amp;A58&amp;", Col 3 / Line "&amp;A60&amp;", Col 3"</f>
        <v>Line 41, Col 3 / Line 43, Col 3</v>
      </c>
      <c r="G146" s="923"/>
      <c r="H146" s="924"/>
      <c r="I146" s="924"/>
      <c r="J146" s="494"/>
      <c r="K146" s="494"/>
    </row>
    <row r="147" spans="1:11">
      <c r="A147" s="494"/>
      <c r="G147" s="923"/>
      <c r="H147" s="924"/>
      <c r="I147" s="924"/>
      <c r="J147" s="494"/>
      <c r="K147" s="494"/>
    </row>
    <row r="148" spans="1:11">
      <c r="A148" s="494"/>
      <c r="B148" s="494" t="s">
        <v>2041</v>
      </c>
      <c r="G148" s="923"/>
      <c r="H148" s="924"/>
      <c r="I148" s="924"/>
      <c r="J148" s="494"/>
      <c r="K148" s="494"/>
    </row>
    <row r="149" spans="1:11">
      <c r="A149" s="494"/>
      <c r="B149" s="494" t="s">
        <v>2042</v>
      </c>
      <c r="G149" s="923"/>
      <c r="H149" s="924"/>
      <c r="I149" s="924"/>
      <c r="J149" s="494"/>
      <c r="K149" s="494"/>
    </row>
    <row r="150" spans="1:11">
      <c r="A150" s="494"/>
      <c r="B150" s="494" t="s">
        <v>1751</v>
      </c>
      <c r="C150" s="986">
        <f>(SUM(H74:H103)/SUM(D74:D103))</f>
        <v>0.41016012580427741</v>
      </c>
      <c r="G150" s="923"/>
      <c r="H150" s="924"/>
      <c r="I150" s="924"/>
      <c r="J150" s="494"/>
      <c r="K150" s="494"/>
    </row>
    <row r="151" spans="1:11">
      <c r="A151" s="494"/>
      <c r="B151" s="494" t="s">
        <v>1687</v>
      </c>
      <c r="G151" s="923"/>
      <c r="H151" s="924"/>
      <c r="I151" s="924"/>
      <c r="J151" s="494"/>
      <c r="K151" s="494"/>
    </row>
    <row r="152" spans="1:11">
      <c r="A152" s="494"/>
      <c r="B152" s="494" t="s">
        <v>2498</v>
      </c>
      <c r="G152" s="923"/>
      <c r="H152" s="924"/>
      <c r="I152" s="924"/>
      <c r="J152" s="494"/>
      <c r="K152" s="494"/>
    </row>
    <row r="153" spans="1:11">
      <c r="A153" s="494"/>
      <c r="B153" s="494" t="s">
        <v>1837</v>
      </c>
      <c r="G153" s="923"/>
      <c r="H153" s="924"/>
      <c r="I153" s="924"/>
      <c r="J153" s="494"/>
      <c r="K153" s="494"/>
    </row>
    <row r="154" spans="1:11">
      <c r="A154" s="494"/>
      <c r="B154" s="494"/>
      <c r="G154" s="923"/>
      <c r="H154" s="924"/>
      <c r="I154" s="924"/>
      <c r="J154" s="494"/>
      <c r="K154" s="494"/>
    </row>
    <row r="155" spans="1:11">
      <c r="A155" s="494"/>
    </row>
    <row r="156" spans="1:11">
      <c r="A156" s="494"/>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&amp;RTO2019 Draft Annual Update 
Attachment1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
  <sheetViews>
    <sheetView zoomScaleNormal="100" workbookViewId="0"/>
  </sheetViews>
  <sheetFormatPr defaultRowHeight="12.75"/>
  <cols>
    <col min="1" max="1" width="4.7109375" customWidth="1"/>
    <col min="2" max="2" width="2.7109375" customWidth="1"/>
    <col min="3" max="3" width="8.7109375" customWidth="1"/>
    <col min="4" max="4" width="32.5703125" customWidth="1"/>
    <col min="5" max="5" width="14.7109375" customWidth="1"/>
    <col min="6" max="6" width="15.7109375" customWidth="1"/>
    <col min="7" max="8" width="14.7109375" customWidth="1"/>
    <col min="9" max="9" width="20" customWidth="1"/>
    <col min="10" max="10" width="15.85546875" customWidth="1"/>
    <col min="11" max="11" width="11" bestFit="1" customWidth="1"/>
  </cols>
  <sheetData>
    <row r="1" spans="1:24">
      <c r="A1" s="1" t="s">
        <v>282</v>
      </c>
      <c r="F1" s="43" t="s">
        <v>17</v>
      </c>
      <c r="G1" s="97"/>
      <c r="H1" s="61"/>
      <c r="I1" s="61"/>
    </row>
    <row r="2" spans="1:24">
      <c r="E2" s="84" t="s">
        <v>363</v>
      </c>
      <c r="F2" s="84" t="s">
        <v>347</v>
      </c>
      <c r="G2" s="84" t="s">
        <v>348</v>
      </c>
      <c r="H2" s="84" t="s">
        <v>349</v>
      </c>
      <c r="I2" s="61"/>
    </row>
    <row r="3" spans="1:24">
      <c r="G3" s="61" t="s">
        <v>212</v>
      </c>
    </row>
    <row r="4" spans="1:24">
      <c r="E4" s="2" t="s">
        <v>484</v>
      </c>
      <c r="F4" s="26" t="s">
        <v>194</v>
      </c>
      <c r="G4" s="2" t="s">
        <v>1389</v>
      </c>
      <c r="I4" s="2"/>
    </row>
    <row r="5" spans="1:24">
      <c r="A5" s="53" t="s">
        <v>322</v>
      </c>
      <c r="B5" s="3"/>
      <c r="C5" s="3" t="s">
        <v>115</v>
      </c>
      <c r="D5" s="3" t="s">
        <v>100</v>
      </c>
      <c r="E5" s="3" t="s">
        <v>175</v>
      </c>
      <c r="F5" s="25" t="s">
        <v>179</v>
      </c>
      <c r="G5" s="3" t="s">
        <v>116</v>
      </c>
      <c r="H5" s="3" t="s">
        <v>266</v>
      </c>
      <c r="I5" s="3" t="s">
        <v>168</v>
      </c>
      <c r="K5" s="3"/>
      <c r="L5" s="3"/>
      <c r="M5" s="3"/>
      <c r="N5" s="3"/>
      <c r="O5" s="3"/>
      <c r="P5" s="3"/>
      <c r="Q5" s="3"/>
      <c r="R5" s="3"/>
      <c r="S5" s="3"/>
      <c r="T5" s="3"/>
      <c r="U5" s="3"/>
      <c r="V5" s="3"/>
      <c r="W5" s="3"/>
      <c r="X5" s="3"/>
    </row>
    <row r="6" spans="1:24">
      <c r="A6" s="2">
        <v>1</v>
      </c>
      <c r="C6" s="61">
        <v>920</v>
      </c>
      <c r="D6" t="s">
        <v>102</v>
      </c>
      <c r="E6" s="80">
        <v>354859044</v>
      </c>
      <c r="F6" s="61" t="s">
        <v>117</v>
      </c>
      <c r="G6" s="63">
        <f>D37</f>
        <v>44861860.830003619</v>
      </c>
      <c r="H6" s="7">
        <f t="shared" ref="H6:H19" si="0">E6-G6</f>
        <v>309997183.16999638</v>
      </c>
      <c r="J6" s="483"/>
    </row>
    <row r="7" spans="1:24">
      <c r="A7" s="2">
        <f>A6+1</f>
        <v>2</v>
      </c>
      <c r="C7" s="61">
        <v>921</v>
      </c>
      <c r="D7" t="s">
        <v>103</v>
      </c>
      <c r="E7" s="80">
        <v>249803334</v>
      </c>
      <c r="F7" s="61" t="s">
        <v>118</v>
      </c>
      <c r="G7" s="63">
        <f t="shared" ref="G7:G19" si="1">D38</f>
        <v>5610135.4679282326</v>
      </c>
      <c r="H7" s="7">
        <f t="shared" si="0"/>
        <v>244193198.53207177</v>
      </c>
      <c r="J7" s="483"/>
    </row>
    <row r="8" spans="1:24">
      <c r="A8" s="2">
        <f>A7+1</f>
        <v>3</v>
      </c>
      <c r="C8" s="61">
        <v>922</v>
      </c>
      <c r="D8" t="s">
        <v>104</v>
      </c>
      <c r="E8" s="80">
        <v>-145897634</v>
      </c>
      <c r="F8" s="61" t="s">
        <v>119</v>
      </c>
      <c r="G8" s="63">
        <f t="shared" si="1"/>
        <v>-48972720.492640004</v>
      </c>
      <c r="H8" s="7">
        <f t="shared" si="0"/>
        <v>-96924913.507359996</v>
      </c>
      <c r="I8" s="114" t="s">
        <v>1776</v>
      </c>
      <c r="J8" s="483"/>
    </row>
    <row r="9" spans="1:24">
      <c r="A9" s="2">
        <f t="shared" ref="A9:A20" si="2">A8+1</f>
        <v>4</v>
      </c>
      <c r="B9" s="2"/>
      <c r="C9" s="61">
        <v>923</v>
      </c>
      <c r="D9" t="s">
        <v>105</v>
      </c>
      <c r="E9" s="80">
        <v>54121017</v>
      </c>
      <c r="F9" s="61" t="s">
        <v>120</v>
      </c>
      <c r="G9" s="63">
        <f t="shared" si="1"/>
        <v>7684282</v>
      </c>
      <c r="H9" s="7">
        <f t="shared" si="0"/>
        <v>46436735</v>
      </c>
      <c r="J9" s="483"/>
    </row>
    <row r="10" spans="1:24">
      <c r="A10" s="2">
        <f t="shared" si="2"/>
        <v>5</v>
      </c>
      <c r="B10" s="2"/>
      <c r="C10" s="61">
        <v>924</v>
      </c>
      <c r="D10" t="s">
        <v>106</v>
      </c>
      <c r="E10" s="80">
        <v>14497978</v>
      </c>
      <c r="F10" s="61" t="s">
        <v>121</v>
      </c>
      <c r="G10" s="63">
        <f t="shared" si="1"/>
        <v>0</v>
      </c>
      <c r="H10" s="7">
        <f t="shared" si="0"/>
        <v>14497978</v>
      </c>
      <c r="J10" s="483"/>
    </row>
    <row r="11" spans="1:24">
      <c r="A11" s="2">
        <f t="shared" si="2"/>
        <v>6</v>
      </c>
      <c r="B11" s="2"/>
      <c r="C11" s="61">
        <v>925</v>
      </c>
      <c r="D11" t="s">
        <v>107</v>
      </c>
      <c r="E11" s="80">
        <v>117581984</v>
      </c>
      <c r="F11" s="61" t="s">
        <v>122</v>
      </c>
      <c r="G11" s="63">
        <f t="shared" si="1"/>
        <v>-695634</v>
      </c>
      <c r="H11" s="7">
        <f t="shared" si="0"/>
        <v>118277618</v>
      </c>
      <c r="J11" s="483"/>
    </row>
    <row r="12" spans="1:24">
      <c r="A12" s="2">
        <f t="shared" si="2"/>
        <v>7</v>
      </c>
      <c r="B12" s="2"/>
      <c r="C12" s="61">
        <v>926</v>
      </c>
      <c r="D12" t="s">
        <v>108</v>
      </c>
      <c r="E12" s="80">
        <v>142806958</v>
      </c>
      <c r="F12" s="61" t="s">
        <v>123</v>
      </c>
      <c r="G12" s="63">
        <f t="shared" si="1"/>
        <v>-37470823.897359997</v>
      </c>
      <c r="H12" s="7">
        <f t="shared" si="0"/>
        <v>180277781.89736</v>
      </c>
      <c r="J12" s="483"/>
    </row>
    <row r="13" spans="1:24">
      <c r="A13" s="2">
        <f t="shared" si="2"/>
        <v>8</v>
      </c>
      <c r="B13" s="2"/>
      <c r="C13" s="61">
        <v>927</v>
      </c>
      <c r="D13" t="s">
        <v>109</v>
      </c>
      <c r="E13" s="80">
        <v>110632750</v>
      </c>
      <c r="F13" s="61" t="s">
        <v>124</v>
      </c>
      <c r="G13" s="63">
        <f t="shared" si="1"/>
        <v>110632750</v>
      </c>
      <c r="H13" s="7">
        <f t="shared" si="0"/>
        <v>0</v>
      </c>
      <c r="J13" s="483"/>
    </row>
    <row r="14" spans="1:24">
      <c r="A14" s="2">
        <f t="shared" si="2"/>
        <v>9</v>
      </c>
      <c r="B14" s="2"/>
      <c r="C14" s="61">
        <v>928</v>
      </c>
      <c r="D14" s="12" t="s">
        <v>110</v>
      </c>
      <c r="E14" s="80">
        <v>16012736</v>
      </c>
      <c r="F14" s="61" t="s">
        <v>125</v>
      </c>
      <c r="G14" s="63">
        <f t="shared" si="1"/>
        <v>17351998</v>
      </c>
      <c r="H14" s="7">
        <f t="shared" si="0"/>
        <v>-1339262</v>
      </c>
      <c r="J14" s="483"/>
    </row>
    <row r="15" spans="1:24">
      <c r="A15" s="2">
        <f t="shared" si="2"/>
        <v>10</v>
      </c>
      <c r="B15" s="2"/>
      <c r="C15" s="61">
        <v>929</v>
      </c>
      <c r="D15" t="s">
        <v>111</v>
      </c>
      <c r="E15" s="80">
        <v>0</v>
      </c>
      <c r="F15" s="61" t="s">
        <v>126</v>
      </c>
      <c r="G15" s="63">
        <f t="shared" si="1"/>
        <v>0</v>
      </c>
      <c r="H15" s="7">
        <f t="shared" si="0"/>
        <v>0</v>
      </c>
      <c r="J15" s="483"/>
    </row>
    <row r="16" spans="1:24">
      <c r="A16" s="2">
        <f t="shared" si="2"/>
        <v>11</v>
      </c>
      <c r="B16" s="2"/>
      <c r="C16" s="61">
        <v>930.1</v>
      </c>
      <c r="D16" t="s">
        <v>112</v>
      </c>
      <c r="E16" s="80">
        <v>5718074</v>
      </c>
      <c r="F16" s="61" t="s">
        <v>127</v>
      </c>
      <c r="G16" s="63">
        <f t="shared" si="1"/>
        <v>0</v>
      </c>
      <c r="H16" s="7">
        <f t="shared" si="0"/>
        <v>5718074</v>
      </c>
      <c r="J16" s="483"/>
    </row>
    <row r="17" spans="1:11">
      <c r="A17" s="2">
        <f t="shared" si="2"/>
        <v>12</v>
      </c>
      <c r="B17" s="2"/>
      <c r="C17" s="61">
        <v>930.2</v>
      </c>
      <c r="D17" t="s">
        <v>88</v>
      </c>
      <c r="E17" s="80">
        <v>34422373</v>
      </c>
      <c r="F17" s="61" t="s">
        <v>128</v>
      </c>
      <c r="G17" s="63">
        <f t="shared" si="1"/>
        <v>24004995.530000001</v>
      </c>
      <c r="H17" s="7">
        <f t="shared" si="0"/>
        <v>10417377.469999999</v>
      </c>
      <c r="J17" s="483"/>
    </row>
    <row r="18" spans="1:11">
      <c r="A18" s="2">
        <f t="shared" si="2"/>
        <v>13</v>
      </c>
      <c r="B18" s="2"/>
      <c r="C18" s="61">
        <v>931</v>
      </c>
      <c r="D18" t="s">
        <v>113</v>
      </c>
      <c r="E18" s="80">
        <v>6627867</v>
      </c>
      <c r="F18" s="61" t="s">
        <v>129</v>
      </c>
      <c r="G18" s="63">
        <f t="shared" si="1"/>
        <v>11411119</v>
      </c>
      <c r="H18" s="7">
        <f t="shared" si="0"/>
        <v>-4783252</v>
      </c>
      <c r="J18" s="483"/>
    </row>
    <row r="19" spans="1:11">
      <c r="A19" s="2">
        <f t="shared" si="2"/>
        <v>14</v>
      </c>
      <c r="B19" s="2"/>
      <c r="C19" s="61">
        <v>935</v>
      </c>
      <c r="D19" t="s">
        <v>114</v>
      </c>
      <c r="E19" s="1200">
        <v>13296044</v>
      </c>
      <c r="F19" s="61" t="s">
        <v>130</v>
      </c>
      <c r="G19" s="63">
        <f t="shared" si="1"/>
        <v>697671</v>
      </c>
      <c r="H19" s="91">
        <f t="shared" si="0"/>
        <v>12598373</v>
      </c>
      <c r="J19" s="483"/>
    </row>
    <row r="20" spans="1:11">
      <c r="A20" s="2">
        <f t="shared" si="2"/>
        <v>15</v>
      </c>
      <c r="E20" s="7">
        <f>SUM(E6:E19)</f>
        <v>974482525</v>
      </c>
      <c r="G20" s="37" t="s">
        <v>131</v>
      </c>
      <c r="H20" s="101">
        <f>SUM(H6:H19)</f>
        <v>839366891.5620681</v>
      </c>
    </row>
    <row r="22" spans="1:11">
      <c r="F22" s="3" t="s">
        <v>175</v>
      </c>
      <c r="G22" s="3" t="s">
        <v>179</v>
      </c>
    </row>
    <row r="23" spans="1:11">
      <c r="A23" s="2">
        <f>A20+1</f>
        <v>16</v>
      </c>
      <c r="E23" s="941" t="s">
        <v>2022</v>
      </c>
      <c r="F23" s="63">
        <f>H20</f>
        <v>839366891.5620681</v>
      </c>
      <c r="G23" s="46" t="str">
        <f>"Line "&amp;A20&amp;""</f>
        <v>Line 15</v>
      </c>
      <c r="H23" s="14"/>
      <c r="I23" s="14"/>
      <c r="J23" s="14"/>
      <c r="K23" s="14"/>
    </row>
    <row r="24" spans="1:11">
      <c r="A24" s="2">
        <f t="shared" ref="A24:A30" si="3">A23+1</f>
        <v>17</v>
      </c>
      <c r="E24" s="365" t="s">
        <v>295</v>
      </c>
      <c r="F24" s="112">
        <f>E10</f>
        <v>14497978</v>
      </c>
      <c r="G24" s="46" t="str">
        <f>"Line "&amp;A10&amp;""</f>
        <v>Line 5</v>
      </c>
      <c r="H24" s="14"/>
      <c r="I24" s="14"/>
      <c r="J24" s="14"/>
      <c r="K24" s="14"/>
    </row>
    <row r="25" spans="1:11">
      <c r="A25" s="2">
        <f t="shared" si="3"/>
        <v>18</v>
      </c>
      <c r="E25" s="365" t="s">
        <v>1384</v>
      </c>
      <c r="F25" s="63">
        <f>F23-F24</f>
        <v>824868913.5620681</v>
      </c>
      <c r="G25" s="46" t="str">
        <f>"Line "&amp;A23&amp;" - Line "&amp;A24&amp;""</f>
        <v>Line 16 - Line 17</v>
      </c>
      <c r="H25" s="14"/>
      <c r="I25" s="14"/>
      <c r="J25" s="14"/>
      <c r="K25" s="14"/>
    </row>
    <row r="26" spans="1:11">
      <c r="A26" s="2">
        <f t="shared" si="3"/>
        <v>19</v>
      </c>
      <c r="E26" s="79" t="s">
        <v>132</v>
      </c>
      <c r="F26" s="989">
        <f>'27-Allocators'!G14</f>
        <v>6.0143362776597958E-2</v>
      </c>
      <c r="G26" s="46" t="str">
        <f>"27-Allocators, Line "&amp;'27-Allocators'!A14&amp;""</f>
        <v>27-Allocators, Line 9</v>
      </c>
      <c r="H26" s="14"/>
      <c r="I26" s="14"/>
      <c r="J26" s="14"/>
      <c r="K26" s="14"/>
    </row>
    <row r="27" spans="1:11">
      <c r="A27" s="2">
        <f t="shared" si="3"/>
        <v>20</v>
      </c>
      <c r="E27" s="365" t="s">
        <v>1385</v>
      </c>
      <c r="F27" s="63">
        <f>F25*F26</f>
        <v>49610390.311501689</v>
      </c>
      <c r="G27" s="46" t="str">
        <f>"Line "&amp;A25&amp;" * Line "&amp;A26&amp;""</f>
        <v>Line 18 * Line 19</v>
      </c>
      <c r="H27" s="14"/>
      <c r="I27" s="14"/>
      <c r="J27" s="14"/>
      <c r="K27" s="14"/>
    </row>
    <row r="28" spans="1:11">
      <c r="A28" s="2">
        <f t="shared" si="3"/>
        <v>21</v>
      </c>
      <c r="E28" s="365" t="s">
        <v>94</v>
      </c>
      <c r="F28" s="67">
        <f>'27-Allocators'!G27</f>
        <v>0.19148424914638884</v>
      </c>
      <c r="G28" s="114" t="str">
        <f>"27-Allocators, Line "&amp;'27-Allocators'!A27&amp;""</f>
        <v>27-Allocators, Line 22</v>
      </c>
      <c r="H28" s="14"/>
      <c r="I28" s="14"/>
      <c r="J28" s="14"/>
      <c r="K28" s="14"/>
    </row>
    <row r="29" spans="1:11">
      <c r="A29" s="2">
        <f t="shared" si="3"/>
        <v>22</v>
      </c>
      <c r="E29" s="365" t="s">
        <v>296</v>
      </c>
      <c r="F29" s="112">
        <f>H10*F28</f>
        <v>2776134.431470864</v>
      </c>
      <c r="G29" s="46" t="str">
        <f>"Line "&amp;A10&amp;" Col 4 * Line "&amp;A28&amp;""</f>
        <v>Line 5 Col 4 * Line 21</v>
      </c>
      <c r="H29" s="14"/>
      <c r="I29" s="14"/>
      <c r="J29" s="14"/>
      <c r="K29" s="14"/>
    </row>
    <row r="30" spans="1:11">
      <c r="A30" s="2">
        <f t="shared" si="3"/>
        <v>23</v>
      </c>
      <c r="E30" s="365" t="s">
        <v>297</v>
      </c>
      <c r="F30" s="497">
        <f>F27+F29</f>
        <v>52386524.742972553</v>
      </c>
      <c r="G30" s="46" t="str">
        <f>"Line "&amp;A27&amp;" + Line "&amp;A29&amp;""</f>
        <v>Line 20 + Line 22</v>
      </c>
      <c r="H30" s="14"/>
      <c r="I30" s="14"/>
      <c r="J30" s="14"/>
      <c r="K30" s="14"/>
    </row>
    <row r="31" spans="1:11">
      <c r="E31" s="14"/>
      <c r="F31" s="14"/>
      <c r="G31" s="14"/>
      <c r="H31" s="14"/>
      <c r="I31" s="14"/>
      <c r="J31" s="14"/>
      <c r="K31" s="14"/>
    </row>
    <row r="32" spans="1:11">
      <c r="B32" s="1" t="s">
        <v>491</v>
      </c>
      <c r="E32" s="360" t="s">
        <v>363</v>
      </c>
      <c r="F32" s="360" t="s">
        <v>347</v>
      </c>
      <c r="G32" s="360" t="s">
        <v>348</v>
      </c>
      <c r="H32" s="360" t="s">
        <v>349</v>
      </c>
      <c r="I32" s="14"/>
      <c r="J32" s="14"/>
      <c r="K32" s="14"/>
    </row>
    <row r="33" spans="1:11">
      <c r="B33" s="1"/>
      <c r="E33" s="111" t="s">
        <v>486</v>
      </c>
      <c r="F33" s="360"/>
      <c r="G33" s="360"/>
      <c r="H33" s="360"/>
      <c r="I33" s="14"/>
      <c r="J33" s="14"/>
      <c r="K33" s="14"/>
    </row>
    <row r="34" spans="1:11">
      <c r="E34" s="111" t="s">
        <v>552</v>
      </c>
      <c r="F34" s="14"/>
      <c r="G34" s="14"/>
      <c r="H34" s="14"/>
      <c r="I34" s="14"/>
      <c r="J34" s="14"/>
      <c r="K34" s="14"/>
    </row>
    <row r="35" spans="1:11">
      <c r="D35" s="2" t="s">
        <v>485</v>
      </c>
      <c r="E35" s="111" t="s">
        <v>551</v>
      </c>
      <c r="F35" s="111" t="s">
        <v>487</v>
      </c>
      <c r="G35" s="111"/>
      <c r="H35" s="111"/>
      <c r="I35" s="14"/>
      <c r="J35" s="14"/>
      <c r="K35" s="14"/>
    </row>
    <row r="36" spans="1:11">
      <c r="C36" s="3" t="s">
        <v>115</v>
      </c>
      <c r="D36" s="84" t="s">
        <v>1109</v>
      </c>
      <c r="E36" s="125" t="s">
        <v>1286</v>
      </c>
      <c r="F36" s="125" t="s">
        <v>488</v>
      </c>
      <c r="G36" s="125" t="s">
        <v>2023</v>
      </c>
      <c r="H36" s="125" t="s">
        <v>489</v>
      </c>
      <c r="I36" s="125" t="s">
        <v>168</v>
      </c>
      <c r="J36" s="14"/>
      <c r="K36" s="14"/>
    </row>
    <row r="37" spans="1:11">
      <c r="A37" s="2">
        <f>A30+1</f>
        <v>24</v>
      </c>
      <c r="C37" s="61">
        <v>920</v>
      </c>
      <c r="D37" s="142">
        <f>SUM(E37:H37)</f>
        <v>44861860.830003619</v>
      </c>
      <c r="E37" s="517">
        <v>-28840749.100680005</v>
      </c>
      <c r="F37" s="107"/>
      <c r="G37" s="63">
        <f>G57</f>
        <v>73702609.930683628</v>
      </c>
      <c r="H37" s="107"/>
      <c r="I37" s="482" t="s">
        <v>1787</v>
      </c>
      <c r="J37" s="14"/>
    </row>
    <row r="38" spans="1:11">
      <c r="A38" s="2">
        <f>A37+1</f>
        <v>25</v>
      </c>
      <c r="C38" s="61">
        <v>921</v>
      </c>
      <c r="D38" s="142">
        <f t="shared" ref="D38:D50" si="4">SUM(E38:H38)</f>
        <v>5610135.4679282326</v>
      </c>
      <c r="E38" s="517">
        <v>5610135.4679282326</v>
      </c>
      <c r="F38" s="107"/>
      <c r="G38" s="1099">
        <v>0</v>
      </c>
      <c r="H38" s="107"/>
      <c r="I38" s="16"/>
    </row>
    <row r="39" spans="1:11">
      <c r="A39" s="2">
        <f t="shared" ref="A39:A50" si="5">A38+1</f>
        <v>26</v>
      </c>
      <c r="C39" s="61">
        <v>922</v>
      </c>
      <c r="D39" s="142">
        <f t="shared" si="4"/>
        <v>-48972720.492640004</v>
      </c>
      <c r="E39" s="517">
        <v>-7655813.4926399998</v>
      </c>
      <c r="F39" s="107"/>
      <c r="G39" s="1074">
        <v>-41316907</v>
      </c>
      <c r="H39" s="107"/>
      <c r="I39" s="16"/>
    </row>
    <row r="40" spans="1:11">
      <c r="A40" s="2">
        <f t="shared" si="5"/>
        <v>27</v>
      </c>
      <c r="C40" s="61">
        <v>923</v>
      </c>
      <c r="D40" s="142">
        <f t="shared" si="4"/>
        <v>7684282</v>
      </c>
      <c r="E40" s="1103">
        <v>7684282</v>
      </c>
      <c r="F40" s="107"/>
      <c r="G40" s="1099">
        <v>0</v>
      </c>
      <c r="H40" s="107"/>
      <c r="I40" s="16"/>
      <c r="J40" s="3"/>
      <c r="K40" s="3"/>
    </row>
    <row r="41" spans="1:11">
      <c r="A41" s="2">
        <f t="shared" si="5"/>
        <v>28</v>
      </c>
      <c r="C41" s="61">
        <v>924</v>
      </c>
      <c r="D41" s="142">
        <f t="shared" si="4"/>
        <v>0</v>
      </c>
      <c r="E41" s="517">
        <v>0</v>
      </c>
      <c r="F41" s="107"/>
      <c r="G41" s="1099">
        <v>0</v>
      </c>
      <c r="H41" s="107"/>
      <c r="I41" s="16"/>
      <c r="K41" s="7"/>
    </row>
    <row r="42" spans="1:11">
      <c r="A42" s="2">
        <f t="shared" si="5"/>
        <v>29</v>
      </c>
      <c r="C42" s="61">
        <v>925</v>
      </c>
      <c r="D42" s="142">
        <f t="shared" si="4"/>
        <v>-695634</v>
      </c>
      <c r="E42" s="517">
        <v>-695634</v>
      </c>
      <c r="F42" s="107"/>
      <c r="G42" s="1099">
        <v>0</v>
      </c>
      <c r="H42" s="107"/>
      <c r="I42" s="13"/>
      <c r="K42" s="7"/>
    </row>
    <row r="43" spans="1:11">
      <c r="A43" s="2">
        <f t="shared" si="5"/>
        <v>30</v>
      </c>
      <c r="C43" s="61">
        <v>926</v>
      </c>
      <c r="D43" s="142">
        <f t="shared" si="4"/>
        <v>-37470823.897359997</v>
      </c>
      <c r="E43" s="517">
        <v>-2461671.8973599998</v>
      </c>
      <c r="F43" s="107"/>
      <c r="G43" s="1099">
        <v>0</v>
      </c>
      <c r="H43" s="63">
        <f>E70</f>
        <v>-35009152</v>
      </c>
      <c r="I43" s="13" t="s">
        <v>284</v>
      </c>
      <c r="K43" s="7"/>
    </row>
    <row r="44" spans="1:11">
      <c r="A44" s="2">
        <f t="shared" si="5"/>
        <v>31</v>
      </c>
      <c r="C44" s="61">
        <v>927</v>
      </c>
      <c r="D44" s="142">
        <f t="shared" si="4"/>
        <v>110632750</v>
      </c>
      <c r="E44" s="63">
        <v>0</v>
      </c>
      <c r="F44" s="478">
        <f>E13</f>
        <v>110632750</v>
      </c>
      <c r="G44" s="63">
        <v>0</v>
      </c>
      <c r="H44" s="63">
        <v>0</v>
      </c>
      <c r="I44" s="16" t="s">
        <v>963</v>
      </c>
      <c r="K44" s="7"/>
    </row>
    <row r="45" spans="1:11">
      <c r="A45" s="2">
        <f t="shared" si="5"/>
        <v>32</v>
      </c>
      <c r="C45" s="61">
        <v>928</v>
      </c>
      <c r="D45" s="142">
        <f t="shared" si="4"/>
        <v>17351998</v>
      </c>
      <c r="E45" s="1103">
        <v>17351998</v>
      </c>
      <c r="F45" s="1099"/>
      <c r="G45" s="1099">
        <v>0</v>
      </c>
      <c r="H45" s="1099"/>
      <c r="I45" s="16"/>
      <c r="K45" s="7"/>
    </row>
    <row r="46" spans="1:11">
      <c r="A46" s="2">
        <f t="shared" si="5"/>
        <v>33</v>
      </c>
      <c r="C46" s="61">
        <v>929</v>
      </c>
      <c r="D46" s="142">
        <f t="shared" si="4"/>
        <v>0</v>
      </c>
      <c r="E46" s="517">
        <v>0</v>
      </c>
      <c r="F46" s="1099"/>
      <c r="G46" s="1099">
        <v>0</v>
      </c>
      <c r="H46" s="1099"/>
      <c r="I46" s="16"/>
      <c r="K46" s="7"/>
    </row>
    <row r="47" spans="1:11">
      <c r="A47" s="2">
        <f t="shared" si="5"/>
        <v>34</v>
      </c>
      <c r="C47" s="61">
        <v>930.1</v>
      </c>
      <c r="D47" s="142">
        <f t="shared" si="4"/>
        <v>0</v>
      </c>
      <c r="E47" s="517">
        <v>0</v>
      </c>
      <c r="F47" s="1099"/>
      <c r="G47" s="1099">
        <v>0</v>
      </c>
      <c r="H47" s="1099"/>
      <c r="I47" s="16"/>
      <c r="K47" s="7"/>
    </row>
    <row r="48" spans="1:11">
      <c r="A48" s="2">
        <f t="shared" si="5"/>
        <v>35</v>
      </c>
      <c r="C48" s="61">
        <v>930.2</v>
      </c>
      <c r="D48" s="142">
        <f t="shared" si="4"/>
        <v>24004995.530000001</v>
      </c>
      <c r="E48" s="517">
        <v>24004995.530000001</v>
      </c>
      <c r="F48" s="1099"/>
      <c r="G48" s="1099">
        <v>0</v>
      </c>
      <c r="H48" s="1099"/>
      <c r="I48" s="16"/>
      <c r="J48" s="490"/>
    </row>
    <row r="49" spans="1:10">
      <c r="A49" s="2">
        <f t="shared" si="5"/>
        <v>36</v>
      </c>
      <c r="C49" s="61">
        <v>931</v>
      </c>
      <c r="D49" s="142">
        <f t="shared" si="4"/>
        <v>11411119</v>
      </c>
      <c r="E49" s="517">
        <v>11411119</v>
      </c>
      <c r="F49" s="1099"/>
      <c r="G49" s="1099">
        <v>0</v>
      </c>
      <c r="H49" s="1099"/>
      <c r="I49" s="16"/>
      <c r="J49" s="7"/>
    </row>
    <row r="50" spans="1:10">
      <c r="A50" s="2">
        <f t="shared" si="5"/>
        <v>37</v>
      </c>
      <c r="C50" s="61">
        <v>935</v>
      </c>
      <c r="D50" s="142">
        <f t="shared" si="4"/>
        <v>697671</v>
      </c>
      <c r="E50" s="517">
        <v>697671</v>
      </c>
      <c r="F50" s="1099"/>
      <c r="G50" s="1099">
        <v>0</v>
      </c>
      <c r="H50" s="1099"/>
      <c r="I50" s="16"/>
    </row>
    <row r="51" spans="1:10">
      <c r="B51" s="44" t="s">
        <v>2024</v>
      </c>
      <c r="C51" s="14"/>
      <c r="D51" s="14"/>
      <c r="E51" s="14"/>
      <c r="F51" s="14"/>
      <c r="G51" s="14"/>
      <c r="H51" s="14"/>
    </row>
    <row r="52" spans="1:10">
      <c r="B52" s="44"/>
      <c r="C52" s="485" t="s">
        <v>2025</v>
      </c>
      <c r="D52" s="14"/>
      <c r="E52" s="14"/>
      <c r="F52" s="14"/>
      <c r="G52" s="111"/>
      <c r="H52" s="111"/>
    </row>
    <row r="53" spans="1:10">
      <c r="B53" s="44"/>
      <c r="C53" s="623" t="s">
        <v>2204</v>
      </c>
      <c r="D53" s="607"/>
      <c r="E53" s="607"/>
      <c r="F53" s="14"/>
      <c r="G53" s="111"/>
      <c r="H53" s="111"/>
    </row>
    <row r="54" spans="1:10">
      <c r="B54" s="44"/>
      <c r="C54" s="14"/>
      <c r="D54" s="14"/>
      <c r="E54" s="14"/>
      <c r="F54" s="14"/>
      <c r="G54" s="125" t="s">
        <v>175</v>
      </c>
      <c r="H54" s="125" t="s">
        <v>179</v>
      </c>
    </row>
    <row r="55" spans="1:10">
      <c r="A55" s="2"/>
      <c r="B55" s="580" t="s">
        <v>1698</v>
      </c>
      <c r="E55" s="14"/>
      <c r="F55" s="941" t="s">
        <v>2026</v>
      </c>
      <c r="G55" s="517">
        <v>103811324.56999999</v>
      </c>
      <c r="H55" s="482" t="s">
        <v>33</v>
      </c>
    </row>
    <row r="56" spans="1:10">
      <c r="A56" s="2"/>
      <c r="B56" s="580" t="s">
        <v>1699</v>
      </c>
      <c r="C56" s="12"/>
      <c r="E56" s="14"/>
      <c r="F56" s="941" t="s">
        <v>2027</v>
      </c>
      <c r="G56" s="102">
        <f>E60</f>
        <v>30108714.639316365</v>
      </c>
      <c r="H56" s="487" t="str">
        <f>"Note 2, "&amp;B60&amp;""</f>
        <v>Note 2, d</v>
      </c>
    </row>
    <row r="57" spans="1:10">
      <c r="A57" s="2"/>
      <c r="B57" s="580" t="s">
        <v>1700</v>
      </c>
      <c r="F57" s="481" t="s">
        <v>1704</v>
      </c>
      <c r="G57" s="7">
        <f>G55-G56</f>
        <v>73702609.930683628</v>
      </c>
    </row>
    <row r="58" spans="1:10">
      <c r="A58" s="2"/>
      <c r="C58" s="623" t="s">
        <v>2203</v>
      </c>
      <c r="D58" s="607"/>
      <c r="E58" s="607"/>
      <c r="G58" s="7"/>
    </row>
    <row r="59" spans="1:10">
      <c r="A59" s="2"/>
      <c r="D59" s="51" t="s">
        <v>1386</v>
      </c>
      <c r="E59" s="3" t="s">
        <v>175</v>
      </c>
      <c r="F59" s="62" t="s">
        <v>179</v>
      </c>
      <c r="G59" s="7"/>
    </row>
    <row r="60" spans="1:10">
      <c r="A60" s="2"/>
      <c r="B60" s="580" t="s">
        <v>1701</v>
      </c>
      <c r="D60" t="s">
        <v>1387</v>
      </c>
      <c r="E60" s="1074">
        <v>30108714.639316365</v>
      </c>
      <c r="F60" s="482" t="s">
        <v>2021</v>
      </c>
      <c r="G60" s="63"/>
      <c r="I60" s="14"/>
    </row>
    <row r="61" spans="1:10">
      <c r="A61" s="2"/>
      <c r="B61" s="111" t="s">
        <v>1702</v>
      </c>
      <c r="C61" s="14"/>
      <c r="D61" s="485" t="s">
        <v>361</v>
      </c>
      <c r="E61" s="1074">
        <v>13613012.517520862</v>
      </c>
      <c r="F61" s="482" t="s">
        <v>2021</v>
      </c>
      <c r="G61" s="63"/>
      <c r="I61" s="611"/>
    </row>
    <row r="62" spans="1:10">
      <c r="A62" s="2"/>
      <c r="B62" s="111" t="s">
        <v>1703</v>
      </c>
      <c r="C62" s="14"/>
      <c r="D62" s="485" t="s">
        <v>1388</v>
      </c>
      <c r="E62" s="748">
        <v>45060955.163752876</v>
      </c>
      <c r="F62" s="482" t="s">
        <v>2021</v>
      </c>
      <c r="G62" s="63"/>
      <c r="I62" s="63"/>
    </row>
    <row r="63" spans="1:10">
      <c r="A63" s="2"/>
      <c r="B63" s="111" t="s">
        <v>1705</v>
      </c>
      <c r="C63" s="14"/>
      <c r="D63" s="365" t="s">
        <v>4</v>
      </c>
      <c r="E63" s="7">
        <f>SUM(E60:E62)</f>
        <v>88782682.320590109</v>
      </c>
      <c r="F63" s="46" t="str">
        <f>"Sum of "&amp;B60&amp;" to "&amp;B62&amp;""</f>
        <v>Sum of d to f</v>
      </c>
      <c r="G63" s="63"/>
      <c r="I63" s="14"/>
    </row>
    <row r="64" spans="1:10">
      <c r="F64" s="14"/>
      <c r="G64" s="14"/>
    </row>
    <row r="65" spans="1:10">
      <c r="B65" s="1107" t="s">
        <v>493</v>
      </c>
      <c r="C65" s="60"/>
      <c r="D65" s="60"/>
      <c r="E65" s="60"/>
      <c r="F65" s="540"/>
      <c r="G65" s="540"/>
    </row>
    <row r="66" spans="1:10">
      <c r="B66" s="60"/>
      <c r="C66" s="60"/>
      <c r="D66" s="60"/>
      <c r="E66" s="62" t="s">
        <v>175</v>
      </c>
      <c r="F66" s="1104" t="s">
        <v>238</v>
      </c>
      <c r="G66" s="540"/>
    </row>
    <row r="67" spans="1:10">
      <c r="A67" s="2"/>
      <c r="B67" s="194" t="s">
        <v>1698</v>
      </c>
      <c r="C67" s="60"/>
      <c r="D67" s="1112" t="s">
        <v>1991</v>
      </c>
      <c r="E67" s="1122">
        <v>40171333</v>
      </c>
      <c r="F67" s="5" t="s">
        <v>495</v>
      </c>
      <c r="G67" s="540"/>
    </row>
    <row r="68" spans="1:10" s="1075" customFormat="1">
      <c r="A68" s="580"/>
      <c r="B68" s="194" t="s">
        <v>1699</v>
      </c>
      <c r="C68" s="60"/>
      <c r="D68" s="1112" t="s">
        <v>2489</v>
      </c>
      <c r="E68" s="1245">
        <v>40055779</v>
      </c>
      <c r="F68" s="1110" t="s">
        <v>2490</v>
      </c>
      <c r="G68" s="540"/>
    </row>
    <row r="69" spans="1:10">
      <c r="A69" s="2"/>
      <c r="B69" s="194" t="s">
        <v>1700</v>
      </c>
      <c r="C69" s="60"/>
      <c r="D69" s="1112" t="s">
        <v>490</v>
      </c>
      <c r="E69" s="1106">
        <v>5046627</v>
      </c>
      <c r="F69" s="967" t="s">
        <v>33</v>
      </c>
      <c r="G69" s="540"/>
    </row>
    <row r="70" spans="1:10">
      <c r="A70" s="2"/>
      <c r="B70" s="194" t="s">
        <v>1701</v>
      </c>
      <c r="C70" s="60"/>
      <c r="D70" s="1105" t="s">
        <v>492</v>
      </c>
      <c r="E70" s="1108">
        <f>E69-E68</f>
        <v>-35009152</v>
      </c>
      <c r="F70" s="1109" t="str">
        <f>""&amp;B69&amp;" - "&amp;B68&amp;""</f>
        <v>c - b</v>
      </c>
      <c r="G70" s="60"/>
    </row>
    <row r="71" spans="1:10">
      <c r="A71" s="477"/>
      <c r="B71" s="1" t="s">
        <v>1461</v>
      </c>
      <c r="D71" s="94"/>
      <c r="E71" s="143"/>
      <c r="F71" s="13"/>
    </row>
    <row r="72" spans="1:10">
      <c r="A72" s="477"/>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94"/>
      <c r="E72" s="143"/>
      <c r="F72" s="13"/>
    </row>
    <row r="73" spans="1:10">
      <c r="A73" s="477"/>
      <c r="B73" s="1"/>
      <c r="C73" s="12" t="s">
        <v>1462</v>
      </c>
      <c r="D73" s="94"/>
      <c r="E73" s="143"/>
      <c r="F73" s="13"/>
    </row>
    <row r="75" spans="1:10">
      <c r="B75" s="1" t="s">
        <v>382</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485" t="s">
        <v>2028</v>
      </c>
      <c r="D77" s="14"/>
      <c r="E77" s="14"/>
      <c r="F77" s="14"/>
      <c r="G77" s="14" t="str">
        <f>"Column 3, Line "&amp;A37&amp;""</f>
        <v>Column 3, Line 24</v>
      </c>
      <c r="H77" s="14"/>
      <c r="I77" s="14"/>
      <c r="J77" s="14"/>
    </row>
    <row r="78" spans="1:10">
      <c r="C78" s="48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482" t="s">
        <v>1689</v>
      </c>
      <c r="D79" s="14"/>
      <c r="E79" s="14"/>
      <c r="F79" s="14"/>
      <c r="G79" s="14"/>
      <c r="H79" s="14"/>
      <c r="I79" s="14"/>
      <c r="J79" s="14"/>
    </row>
    <row r="80" spans="1:10">
      <c r="C80" s="482" t="s">
        <v>1774</v>
      </c>
      <c r="D80" s="365"/>
      <c r="E80" s="478"/>
      <c r="F80" s="46"/>
      <c r="G80" s="14"/>
      <c r="H80" s="14"/>
      <c r="I80" s="14"/>
      <c r="J80" s="14"/>
    </row>
    <row r="81" spans="3:10">
      <c r="C81" s="482" t="s">
        <v>1770</v>
      </c>
      <c r="D81" s="365"/>
      <c r="E81" s="478"/>
      <c r="F81" s="46"/>
      <c r="G81" s="14"/>
      <c r="H81" s="14"/>
      <c r="I81" s="14"/>
      <c r="J81" s="14"/>
    </row>
    <row r="82" spans="3:10">
      <c r="C82" s="482" t="s">
        <v>1771</v>
      </c>
      <c r="D82" s="14"/>
      <c r="E82" s="14"/>
      <c r="F82" s="14"/>
      <c r="G82" s="14"/>
      <c r="H82" s="14"/>
      <c r="I82" s="14"/>
      <c r="J82" s="14"/>
    </row>
    <row r="83" spans="3:10">
      <c r="C83" s="46" t="s">
        <v>494</v>
      </c>
      <c r="D83" s="14"/>
      <c r="E83" s="14"/>
      <c r="F83" s="14"/>
      <c r="G83" s="14"/>
      <c r="H83" s="14"/>
      <c r="I83" s="14"/>
      <c r="J83" s="14"/>
    </row>
    <row r="84" spans="3:10">
      <c r="C84" s="482" t="s">
        <v>1772</v>
      </c>
      <c r="D84" s="14"/>
      <c r="E84" s="14"/>
      <c r="F84" s="14"/>
      <c r="G84" s="14"/>
      <c r="H84" s="14"/>
      <c r="I84" s="14"/>
      <c r="J84" s="14"/>
    </row>
    <row r="85" spans="3:10">
      <c r="C85" s="482" t="s">
        <v>1470</v>
      </c>
      <c r="D85" s="14"/>
      <c r="E85" s="14"/>
      <c r="F85" s="14"/>
      <c r="G85" s="14"/>
      <c r="H85" s="14"/>
      <c r="I85" s="14"/>
      <c r="J85" s="14"/>
    </row>
    <row r="86" spans="3:10">
      <c r="C86" s="482" t="s">
        <v>1773</v>
      </c>
      <c r="D86" s="14"/>
      <c r="E86" s="14"/>
      <c r="F86" s="14"/>
      <c r="G86" s="14"/>
      <c r="H86" s="14"/>
      <c r="I86" s="14"/>
      <c r="J86" s="14"/>
    </row>
    <row r="87" spans="3:10">
      <c r="C87" s="482" t="s">
        <v>1795</v>
      </c>
      <c r="D87" s="485"/>
      <c r="E87" s="990"/>
      <c r="F87" s="990"/>
      <c r="G87" s="990"/>
      <c r="H87" s="14"/>
      <c r="I87" s="14"/>
      <c r="J87" s="14"/>
    </row>
    <row r="88" spans="3:10">
      <c r="C88" s="944" t="s">
        <v>1793</v>
      </c>
      <c r="D88" s="485"/>
      <c r="E88" s="990"/>
      <c r="F88" s="990"/>
      <c r="G88" s="990"/>
      <c r="H88" s="14"/>
      <c r="I88" s="14"/>
      <c r="J88" s="14"/>
    </row>
    <row r="89" spans="3:10">
      <c r="C89" s="944" t="s">
        <v>1794</v>
      </c>
      <c r="D89" s="485"/>
      <c r="E89" s="990"/>
      <c r="F89" s="990"/>
      <c r="G89" s="990"/>
      <c r="H89" s="14"/>
      <c r="I89" s="14"/>
      <c r="J89" s="14"/>
    </row>
    <row r="90" spans="3:10">
      <c r="C90" s="944" t="s">
        <v>1796</v>
      </c>
      <c r="D90" s="485"/>
      <c r="E90" s="990"/>
      <c r="F90" s="990"/>
      <c r="G90" s="990"/>
      <c r="H90" s="14"/>
      <c r="I90" s="14"/>
      <c r="J90" s="14"/>
    </row>
    <row r="91" spans="3:10">
      <c r="C91" s="482" t="s">
        <v>1873</v>
      </c>
      <c r="D91" s="485"/>
      <c r="E91" s="990"/>
      <c r="F91" s="990"/>
      <c r="G91" s="990"/>
      <c r="H91" s="14"/>
      <c r="I91" s="14"/>
      <c r="J91" s="14"/>
    </row>
    <row r="92" spans="3:10">
      <c r="C92" s="944" t="s">
        <v>1871</v>
      </c>
      <c r="D92" s="485"/>
      <c r="E92" s="990"/>
      <c r="F92" s="990"/>
      <c r="G92" s="990"/>
      <c r="H92" s="14"/>
      <c r="I92" s="14"/>
      <c r="J92" s="14"/>
    </row>
    <row r="93" spans="3:10">
      <c r="C93" s="944" t="s">
        <v>1872</v>
      </c>
      <c r="D93" s="485"/>
      <c r="E93" s="990"/>
      <c r="F93" s="990"/>
      <c r="G93" s="990"/>
      <c r="H93" s="14"/>
      <c r="I93" s="14"/>
      <c r="J93" s="14"/>
    </row>
    <row r="94" spans="3:10">
      <c r="C94" s="944" t="s">
        <v>2421</v>
      </c>
      <c r="D94" s="485"/>
      <c r="E94" s="990"/>
      <c r="F94" s="990"/>
      <c r="G94" s="990"/>
      <c r="H94" s="14"/>
      <c r="I94" s="14"/>
      <c r="J94" s="14"/>
    </row>
    <row r="95" spans="3:10">
      <c r="C95" s="944" t="s">
        <v>1874</v>
      </c>
      <c r="D95" s="485"/>
      <c r="E95" s="990"/>
      <c r="F95" s="990"/>
      <c r="G95" s="990"/>
      <c r="H95" s="14"/>
      <c r="I95" s="14"/>
      <c r="J95" s="14"/>
    </row>
    <row r="96" spans="3:10">
      <c r="C96" s="991" t="s">
        <v>2029</v>
      </c>
      <c r="D96" s="607"/>
      <c r="E96" s="607"/>
      <c r="F96" s="607"/>
      <c r="G96" s="607"/>
      <c r="H96" s="607"/>
      <c r="I96" s="607"/>
      <c r="J96" s="607"/>
    </row>
    <row r="97" spans="3:10">
      <c r="C97" s="485" t="s">
        <v>2030</v>
      </c>
      <c r="D97" s="14"/>
      <c r="E97" s="14"/>
      <c r="F97" s="14"/>
      <c r="G97" s="14"/>
      <c r="H97" s="14"/>
      <c r="I97" s="14"/>
      <c r="J97" s="14"/>
    </row>
    <row r="98" spans="3:10">
      <c r="C98" s="991" t="s">
        <v>2031</v>
      </c>
      <c r="D98" s="623"/>
      <c r="E98" s="623"/>
      <c r="F98" s="623"/>
      <c r="G98" s="623"/>
      <c r="H98" s="623"/>
      <c r="I98" s="623"/>
      <c r="J98" s="14"/>
    </row>
    <row r="99" spans="3:10">
      <c r="C99" s="15" t="str">
        <f>"4) Determine the PBOPs exclusion.  The authorized amount of PBOPs expense (line "&amp;B67&amp;") may only be revised"</f>
        <v>4) Determine the PBOPs exclusion.  The authorized amount of PBOPs expense (line a) may only be revised</v>
      </c>
      <c r="D99" s="14"/>
      <c r="E99" s="14"/>
      <c r="F99" s="14"/>
      <c r="G99" s="14"/>
      <c r="H99" s="14"/>
      <c r="I99" s="14"/>
      <c r="J99" s="14"/>
    </row>
    <row r="100" spans="3:10">
      <c r="C100" s="15" t="s">
        <v>1108</v>
      </c>
      <c r="D100" s="14"/>
      <c r="E100" s="14"/>
      <c r="F100" s="14"/>
      <c r="G100" s="14"/>
      <c r="H100" s="14"/>
      <c r="I100" s="14"/>
      <c r="J100" s="14"/>
    </row>
    <row r="101" spans="3:10">
      <c r="C101" s="485" t="s">
        <v>2491</v>
      </c>
      <c r="D101" s="14"/>
      <c r="E101" s="14"/>
      <c r="F101" s="14"/>
      <c r="G101" s="14"/>
      <c r="H101" s="14"/>
      <c r="I101" s="14"/>
      <c r="J101" s="14"/>
    </row>
    <row r="102" spans="3:10">
      <c r="C102" s="485" t="s">
        <v>2492</v>
      </c>
      <c r="D102" s="14"/>
      <c r="E102" s="14"/>
      <c r="F102" s="14"/>
      <c r="G102" s="14"/>
      <c r="H102" s="14"/>
      <c r="I102" s="1111" t="s">
        <v>2644</v>
      </c>
      <c r="J102" s="1111"/>
    </row>
    <row r="103" spans="3:10">
      <c r="C103" s="485" t="s">
        <v>1838</v>
      </c>
      <c r="D103" s="14"/>
      <c r="E103" s="14"/>
      <c r="F103" s="14"/>
      <c r="G103" s="14"/>
      <c r="H103" s="14"/>
      <c r="I103" s="14"/>
    </row>
  </sheetData>
  <phoneticPr fontId="22" type="noConversion"/>
  <pageMargins left="0.75" right="0.75" top="1" bottom="1" header="0.5" footer="0.5"/>
  <pageSetup scale="73" orientation="landscape" cellComments="asDisplayed" r:id="rId1"/>
  <headerFooter alignWithMargins="0">
    <oddHeader>&amp;CSchedule 20
Administrative and General Expenses
&amp;RTO2019 Draft Annual Update 
Attachment1</oddHeader>
    <oddFooter>&amp;R&amp;A</oddFooter>
  </headerFooter>
  <rowBreaks count="2" manualBreakCount="2">
    <brk id="50" max="9" man="1"/>
    <brk id="7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45"/>
  <sheetViews>
    <sheetView zoomScale="90" zoomScaleNormal="90" zoomScalePageLayoutView="80" workbookViewId="0">
      <pane ySplit="3" topLeftCell="A4" activePane="bottomLeft" state="frozen"/>
      <selection activeCell="A3" sqref="A3"/>
      <selection pane="bottomLeft" activeCell="A3" sqref="A3"/>
    </sheetView>
  </sheetViews>
  <sheetFormatPr defaultRowHeight="12.75"/>
  <cols>
    <col min="1" max="1" width="6.28515625" style="225" customWidth="1"/>
    <col min="2" max="2" width="8.5703125" style="41" customWidth="1"/>
    <col min="3" max="3" width="9.85546875" style="225" customWidth="1"/>
    <col min="4" max="4" width="51.5703125" style="41" customWidth="1"/>
    <col min="5" max="5" width="16.28515625" style="359" customWidth="1"/>
    <col min="6" max="6" width="16.140625" style="359" customWidth="1"/>
    <col min="7" max="7" width="18.42578125" style="359" bestFit="1" customWidth="1"/>
    <col min="8" max="8" width="15.85546875" style="223" bestFit="1" customWidth="1"/>
    <col min="9" max="9" width="16.85546875" style="223" bestFit="1" customWidth="1"/>
    <col min="10" max="10" width="15.7109375" style="359" customWidth="1"/>
    <col min="11" max="11" width="6.5703125" style="315" customWidth="1"/>
    <col min="12" max="12" width="16.42578125" style="301" customWidth="1"/>
    <col min="13" max="13" width="17.140625" style="215" bestFit="1" customWidth="1"/>
    <col min="14" max="14" width="18.42578125" style="359" bestFit="1" customWidth="1"/>
    <col min="15" max="15" width="8.5703125" style="215" customWidth="1"/>
  </cols>
  <sheetData>
    <row r="1" spans="1:15">
      <c r="A1" s="337"/>
      <c r="B1" s="195" t="s">
        <v>561</v>
      </c>
      <c r="C1" s="196" t="s">
        <v>562</v>
      </c>
      <c r="D1" s="195" t="s">
        <v>563</v>
      </c>
      <c r="E1" s="196" t="s">
        <v>564</v>
      </c>
      <c r="F1" s="195" t="s">
        <v>565</v>
      </c>
      <c r="G1" s="196" t="s">
        <v>566</v>
      </c>
      <c r="H1" s="195" t="s">
        <v>567</v>
      </c>
      <c r="I1" s="196" t="s">
        <v>568</v>
      </c>
      <c r="J1" s="195" t="s">
        <v>569</v>
      </c>
      <c r="K1" s="196" t="s">
        <v>570</v>
      </c>
      <c r="L1" s="195" t="s">
        <v>571</v>
      </c>
      <c r="M1" s="196" t="s">
        <v>572</v>
      </c>
      <c r="N1" s="195" t="s">
        <v>573</v>
      </c>
      <c r="O1" s="196" t="s">
        <v>574</v>
      </c>
    </row>
    <row r="2" spans="1:15">
      <c r="A2" s="334"/>
      <c r="B2" s="335"/>
      <c r="C2" s="335"/>
      <c r="D2" s="335"/>
      <c r="E2" s="336"/>
      <c r="F2" s="336"/>
      <c r="G2" s="1418" t="s">
        <v>575</v>
      </c>
      <c r="H2" s="1419"/>
      <c r="I2" s="1420"/>
      <c r="J2" s="1418" t="s">
        <v>576</v>
      </c>
      <c r="K2" s="1419"/>
      <c r="L2" s="1419"/>
      <c r="M2" s="1420"/>
      <c r="N2" s="318" t="s">
        <v>577</v>
      </c>
      <c r="O2" s="334"/>
    </row>
    <row r="3" spans="1:15" ht="26.25" customHeight="1">
      <c r="A3" s="197" t="s">
        <v>332</v>
      </c>
      <c r="B3" s="198" t="s">
        <v>578</v>
      </c>
      <c r="C3" s="199" t="s">
        <v>579</v>
      </c>
      <c r="D3" s="198" t="s">
        <v>580</v>
      </c>
      <c r="E3" s="292" t="s">
        <v>581</v>
      </c>
      <c r="F3" s="293" t="s">
        <v>582</v>
      </c>
      <c r="G3" s="293" t="s">
        <v>196</v>
      </c>
      <c r="H3" s="200" t="s">
        <v>435</v>
      </c>
      <c r="I3" s="200" t="s">
        <v>583</v>
      </c>
      <c r="J3" s="292" t="s">
        <v>196</v>
      </c>
      <c r="K3" s="314" t="s">
        <v>584</v>
      </c>
      <c r="L3" s="295" t="s">
        <v>585</v>
      </c>
      <c r="M3" s="201" t="s">
        <v>299</v>
      </c>
      <c r="N3" s="292" t="s">
        <v>196</v>
      </c>
      <c r="O3" s="201" t="s">
        <v>168</v>
      </c>
    </row>
    <row r="4" spans="1:15">
      <c r="A4" s="202" t="s">
        <v>586</v>
      </c>
      <c r="B4" s="203">
        <v>450</v>
      </c>
      <c r="C4" s="203" t="s">
        <v>587</v>
      </c>
      <c r="D4" s="204" t="s">
        <v>1212</v>
      </c>
      <c r="E4" s="1096">
        <v>5873550.0599999996</v>
      </c>
      <c r="F4" s="303" t="s">
        <v>575</v>
      </c>
      <c r="G4" s="299">
        <f>IF(F4=$G$2,E4,0)</f>
        <v>5873550.0599999996</v>
      </c>
      <c r="H4" s="205">
        <v>0</v>
      </c>
      <c r="I4" s="206">
        <f>G4-H4</f>
        <v>5873550.0599999996</v>
      </c>
      <c r="J4" s="299">
        <f>IF(F4=$J$2,E4,0)</f>
        <v>0</v>
      </c>
      <c r="K4" s="294"/>
      <c r="L4" s="303"/>
      <c r="M4" s="206">
        <f>J4-L4</f>
        <v>0</v>
      </c>
      <c r="N4" s="299">
        <f>IF(F4=$N$2,E4,0)</f>
        <v>0</v>
      </c>
      <c r="O4" s="205">
        <v>1</v>
      </c>
    </row>
    <row r="5" spans="1:15">
      <c r="A5" s="207" t="s">
        <v>588</v>
      </c>
      <c r="B5" s="203">
        <v>450</v>
      </c>
      <c r="C5" s="208" t="s">
        <v>589</v>
      </c>
      <c r="D5" s="204" t="s">
        <v>590</v>
      </c>
      <c r="E5" s="1096">
        <v>11837660.35</v>
      </c>
      <c r="F5" s="303" t="s">
        <v>575</v>
      </c>
      <c r="G5" s="299">
        <f>IF(F5=$G$2,E5,0)</f>
        <v>11837660.35</v>
      </c>
      <c r="H5" s="205">
        <v>0</v>
      </c>
      <c r="I5" s="206">
        <f>G5-H5</f>
        <v>11837660.35</v>
      </c>
      <c r="J5" s="299">
        <f>IF(F5=$J$2,E5,0)</f>
        <v>0</v>
      </c>
      <c r="K5" s="294"/>
      <c r="L5" s="303"/>
      <c r="M5" s="206">
        <f>J5-L5</f>
        <v>0</v>
      </c>
      <c r="N5" s="299">
        <f>IF(F5=$N$2,E5,0)</f>
        <v>0</v>
      </c>
      <c r="O5" s="205">
        <v>1</v>
      </c>
    </row>
    <row r="6" spans="1:15">
      <c r="A6" s="333"/>
      <c r="B6" s="329"/>
      <c r="C6" s="328"/>
      <c r="D6" s="330"/>
      <c r="E6" s="308"/>
      <c r="F6" s="308"/>
      <c r="G6" s="303"/>
      <c r="H6" s="304"/>
      <c r="I6" s="305"/>
      <c r="J6" s="303"/>
      <c r="K6" s="307"/>
      <c r="L6" s="303"/>
      <c r="M6" s="305"/>
      <c r="N6" s="303"/>
      <c r="O6" s="304"/>
    </row>
    <row r="7" spans="1:15">
      <c r="A7" s="333"/>
      <c r="B7" s="329"/>
      <c r="C7" s="328"/>
      <c r="D7" s="330"/>
      <c r="E7" s="308"/>
      <c r="F7" s="308"/>
      <c r="G7" s="303"/>
      <c r="H7" s="304"/>
      <c r="I7" s="305"/>
      <c r="J7" s="303"/>
      <c r="K7" s="307"/>
      <c r="L7" s="303"/>
      <c r="M7" s="305"/>
      <c r="N7" s="303"/>
      <c r="O7" s="304"/>
    </row>
    <row r="8" spans="1:15">
      <c r="A8" s="207">
        <v>2</v>
      </c>
      <c r="B8" s="1399" t="s">
        <v>592</v>
      </c>
      <c r="C8" s="1400"/>
      <c r="D8" s="1401"/>
      <c r="E8" s="312">
        <f>SUM(E4:E7)</f>
        <v>17711210.41</v>
      </c>
      <c r="F8" s="321"/>
      <c r="G8" s="312">
        <f>SUM(G4:G7)</f>
        <v>17711210.41</v>
      </c>
      <c r="H8" s="196">
        <f>SUM(H4:H7)</f>
        <v>0</v>
      </c>
      <c r="I8" s="312">
        <f>SUM(I4:I7)</f>
        <v>17711210.41</v>
      </c>
      <c r="J8" s="312">
        <f>SUM(J4:J7)</f>
        <v>0</v>
      </c>
      <c r="K8" s="321"/>
      <c r="L8" s="312">
        <f>SUM(L4:L7)</f>
        <v>0</v>
      </c>
      <c r="M8" s="312">
        <f>SUM(M4:M7)</f>
        <v>0</v>
      </c>
      <c r="N8" s="312">
        <f>SUM(N4:N7)</f>
        <v>0</v>
      </c>
      <c r="O8" s="205"/>
    </row>
    <row r="9" spans="1:15" ht="12.75" customHeight="1">
      <c r="A9" s="207">
        <v>3</v>
      </c>
      <c r="B9" s="1421" t="s">
        <v>1245</v>
      </c>
      <c r="C9" s="1422"/>
      <c r="D9" s="1423"/>
      <c r="E9" s="1228">
        <v>17711210</v>
      </c>
      <c r="F9" s="311"/>
      <c r="G9" s="298"/>
      <c r="H9" s="311"/>
      <c r="I9" s="311"/>
      <c r="J9" s="298"/>
      <c r="K9" s="311"/>
      <c r="L9" s="298"/>
      <c r="M9" s="298"/>
      <c r="N9" s="298"/>
      <c r="O9" s="194"/>
    </row>
    <row r="10" spans="1:15">
      <c r="A10" s="210"/>
      <c r="B10" s="211"/>
      <c r="C10" s="212"/>
      <c r="D10" s="213"/>
      <c r="E10" s="298"/>
      <c r="F10" s="298"/>
      <c r="G10" s="298"/>
      <c r="H10" s="311"/>
      <c r="I10" s="311"/>
      <c r="J10" s="298"/>
      <c r="K10" s="311"/>
      <c r="L10" s="298"/>
      <c r="M10" s="298"/>
      <c r="N10" s="298"/>
      <c r="O10" s="194"/>
    </row>
    <row r="11" spans="1:15">
      <c r="A11" s="207" t="s">
        <v>593</v>
      </c>
      <c r="B11" s="203">
        <v>451</v>
      </c>
      <c r="C11" s="208" t="s">
        <v>594</v>
      </c>
      <c r="D11" s="204" t="s">
        <v>595</v>
      </c>
      <c r="E11" s="1096">
        <v>113378.95</v>
      </c>
      <c r="F11" s="303" t="s">
        <v>575</v>
      </c>
      <c r="G11" s="299">
        <f t="shared" ref="G11:G20" si="0">IF(F11=$G$2,E11,0)</f>
        <v>113378.95</v>
      </c>
      <c r="H11" s="205">
        <v>0</v>
      </c>
      <c r="I11" s="206">
        <f>G11-H11</f>
        <v>113378.95</v>
      </c>
      <c r="J11" s="299">
        <f t="shared" ref="J11:J20" si="1">IF(F11=$J$2,E11,0)</f>
        <v>0</v>
      </c>
      <c r="K11" s="299"/>
      <c r="L11" s="747"/>
      <c r="M11" s="206">
        <f t="shared" ref="M11:M17" si="2">J11-L11</f>
        <v>0</v>
      </c>
      <c r="N11" s="299">
        <f t="shared" ref="N11:N18" si="3">IF(F11=$N$2,E11,0)</f>
        <v>0</v>
      </c>
      <c r="O11" s="205">
        <v>1</v>
      </c>
    </row>
    <row r="12" spans="1:15">
      <c r="A12" s="207" t="s">
        <v>596</v>
      </c>
      <c r="B12" s="203">
        <v>451</v>
      </c>
      <c r="C12" s="208" t="s">
        <v>597</v>
      </c>
      <c r="D12" s="994" t="s">
        <v>598</v>
      </c>
      <c r="E12" s="1096">
        <v>364706.32</v>
      </c>
      <c r="F12" s="303" t="s">
        <v>575</v>
      </c>
      <c r="G12" s="299">
        <f>IF(F12=$G$2,E12,0)</f>
        <v>364706.32</v>
      </c>
      <c r="H12" s="205">
        <v>0</v>
      </c>
      <c r="I12" s="206">
        <f t="shared" ref="I12:I20" si="4">G12-H12</f>
        <v>364706.32</v>
      </c>
      <c r="J12" s="299">
        <f t="shared" si="1"/>
        <v>0</v>
      </c>
      <c r="K12" s="299"/>
      <c r="L12" s="747"/>
      <c r="M12" s="206">
        <f t="shared" si="2"/>
        <v>0</v>
      </c>
      <c r="N12" s="299">
        <f t="shared" si="3"/>
        <v>0</v>
      </c>
      <c r="O12" s="205">
        <v>1</v>
      </c>
    </row>
    <row r="13" spans="1:15">
      <c r="A13" s="207" t="s">
        <v>599</v>
      </c>
      <c r="B13" s="203">
        <v>451</v>
      </c>
      <c r="C13" s="208" t="s">
        <v>600</v>
      </c>
      <c r="D13" s="204" t="s">
        <v>601</v>
      </c>
      <c r="E13" s="1096">
        <v>33304278</v>
      </c>
      <c r="F13" s="303" t="s">
        <v>575</v>
      </c>
      <c r="G13" s="299">
        <f t="shared" si="0"/>
        <v>33304278</v>
      </c>
      <c r="H13" s="205">
        <v>0</v>
      </c>
      <c r="I13" s="206">
        <f t="shared" si="4"/>
        <v>33304278</v>
      </c>
      <c r="J13" s="299">
        <f t="shared" si="1"/>
        <v>0</v>
      </c>
      <c r="K13" s="299"/>
      <c r="L13" s="747"/>
      <c r="M13" s="206">
        <f t="shared" si="2"/>
        <v>0</v>
      </c>
      <c r="N13" s="299">
        <f t="shared" si="3"/>
        <v>0</v>
      </c>
      <c r="O13" s="205">
        <v>1</v>
      </c>
    </row>
    <row r="14" spans="1:15">
      <c r="A14" s="207" t="s">
        <v>602</v>
      </c>
      <c r="B14" s="203">
        <v>451</v>
      </c>
      <c r="C14" s="208" t="s">
        <v>603</v>
      </c>
      <c r="D14" s="204" t="s">
        <v>604</v>
      </c>
      <c r="E14" s="1096">
        <v>1427740.06</v>
      </c>
      <c r="F14" s="303" t="s">
        <v>575</v>
      </c>
      <c r="G14" s="299">
        <f t="shared" si="0"/>
        <v>1427740.06</v>
      </c>
      <c r="H14" s="205">
        <v>0</v>
      </c>
      <c r="I14" s="206">
        <f t="shared" si="4"/>
        <v>1427740.06</v>
      </c>
      <c r="J14" s="299">
        <f t="shared" si="1"/>
        <v>0</v>
      </c>
      <c r="K14" s="299"/>
      <c r="L14" s="747"/>
      <c r="M14" s="206">
        <f t="shared" si="2"/>
        <v>0</v>
      </c>
      <c r="N14" s="299">
        <f t="shared" si="3"/>
        <v>0</v>
      </c>
      <c r="O14" s="205">
        <v>1</v>
      </c>
    </row>
    <row r="15" spans="1:15">
      <c r="A15" s="207" t="s">
        <v>605</v>
      </c>
      <c r="B15" s="203">
        <v>451</v>
      </c>
      <c r="C15" s="208" t="s">
        <v>606</v>
      </c>
      <c r="D15" s="204" t="s">
        <v>607</v>
      </c>
      <c r="E15" s="1096">
        <v>5877.47</v>
      </c>
      <c r="F15" s="303" t="s">
        <v>575</v>
      </c>
      <c r="G15" s="299">
        <f t="shared" si="0"/>
        <v>5877.47</v>
      </c>
      <c r="H15" s="205">
        <v>0</v>
      </c>
      <c r="I15" s="206">
        <f t="shared" si="4"/>
        <v>5877.47</v>
      </c>
      <c r="J15" s="299">
        <f t="shared" si="1"/>
        <v>0</v>
      </c>
      <c r="K15" s="299"/>
      <c r="L15" s="747"/>
      <c r="M15" s="206">
        <f t="shared" si="2"/>
        <v>0</v>
      </c>
      <c r="N15" s="299">
        <f t="shared" si="3"/>
        <v>0</v>
      </c>
      <c r="O15" s="205">
        <v>1</v>
      </c>
    </row>
    <row r="16" spans="1:15">
      <c r="A16" s="207" t="s">
        <v>608</v>
      </c>
      <c r="B16" s="203">
        <v>451</v>
      </c>
      <c r="C16" s="208" t="s">
        <v>609</v>
      </c>
      <c r="D16" s="204" t="s">
        <v>610</v>
      </c>
      <c r="E16" s="1096">
        <v>455.61</v>
      </c>
      <c r="F16" s="303" t="s">
        <v>575</v>
      </c>
      <c r="G16" s="299">
        <f t="shared" si="0"/>
        <v>455.61</v>
      </c>
      <c r="H16" s="205">
        <v>0</v>
      </c>
      <c r="I16" s="206">
        <f t="shared" si="4"/>
        <v>455.61</v>
      </c>
      <c r="J16" s="299">
        <f t="shared" si="1"/>
        <v>0</v>
      </c>
      <c r="K16" s="299"/>
      <c r="L16" s="747"/>
      <c r="M16" s="206">
        <f t="shared" si="2"/>
        <v>0</v>
      </c>
      <c r="N16" s="299">
        <f t="shared" si="3"/>
        <v>0</v>
      </c>
      <c r="O16" s="205">
        <v>1</v>
      </c>
    </row>
    <row r="17" spans="1:15">
      <c r="A17" s="207" t="s">
        <v>611</v>
      </c>
      <c r="B17" s="203">
        <v>451</v>
      </c>
      <c r="C17" s="208" t="s">
        <v>612</v>
      </c>
      <c r="D17" s="204" t="s">
        <v>613</v>
      </c>
      <c r="E17" s="1096">
        <v>340</v>
      </c>
      <c r="F17" s="303" t="s">
        <v>575</v>
      </c>
      <c r="G17" s="299">
        <f t="shared" si="0"/>
        <v>340</v>
      </c>
      <c r="H17" s="205">
        <v>0</v>
      </c>
      <c r="I17" s="206">
        <f t="shared" si="4"/>
        <v>340</v>
      </c>
      <c r="J17" s="299">
        <f t="shared" si="1"/>
        <v>0</v>
      </c>
      <c r="K17" s="299"/>
      <c r="L17" s="747"/>
      <c r="M17" s="206">
        <f t="shared" si="2"/>
        <v>0</v>
      </c>
      <c r="N17" s="299">
        <f t="shared" si="3"/>
        <v>0</v>
      </c>
      <c r="O17" s="205">
        <v>1</v>
      </c>
    </row>
    <row r="18" spans="1:15">
      <c r="A18" s="207" t="s">
        <v>614</v>
      </c>
      <c r="B18" s="203">
        <v>451</v>
      </c>
      <c r="C18" s="208" t="s">
        <v>615</v>
      </c>
      <c r="D18" s="204" t="s">
        <v>616</v>
      </c>
      <c r="E18" s="1096">
        <v>43.61</v>
      </c>
      <c r="F18" s="303" t="s">
        <v>576</v>
      </c>
      <c r="G18" s="299">
        <f t="shared" si="0"/>
        <v>0</v>
      </c>
      <c r="H18" s="205">
        <v>0</v>
      </c>
      <c r="I18" s="206">
        <f t="shared" si="4"/>
        <v>0</v>
      </c>
      <c r="J18" s="299">
        <f>IF(F18=$J$2,E18,0)</f>
        <v>43.61</v>
      </c>
      <c r="K18" s="338" t="s">
        <v>617</v>
      </c>
      <c r="L18" s="747">
        <v>0</v>
      </c>
      <c r="M18" s="206">
        <f t="shared" ref="M18:M27" si="5">J18-L18</f>
        <v>43.61</v>
      </c>
      <c r="N18" s="299">
        <f t="shared" si="3"/>
        <v>0</v>
      </c>
      <c r="O18" s="205">
        <v>2</v>
      </c>
    </row>
    <row r="19" spans="1:15">
      <c r="A19" s="207" t="s">
        <v>618</v>
      </c>
      <c r="B19" s="203">
        <v>451</v>
      </c>
      <c r="C19" s="208" t="s">
        <v>619</v>
      </c>
      <c r="D19" s="204" t="s">
        <v>620</v>
      </c>
      <c r="E19" s="1096">
        <v>411073.34</v>
      </c>
      <c r="F19" s="303" t="s">
        <v>577</v>
      </c>
      <c r="G19" s="299">
        <f>IF(F19=$G$2,E19,0)</f>
        <v>0</v>
      </c>
      <c r="H19" s="205">
        <v>0</v>
      </c>
      <c r="I19" s="206">
        <f t="shared" si="4"/>
        <v>0</v>
      </c>
      <c r="J19" s="299">
        <f>IF(F19=$J$2,E19,0)</f>
        <v>0</v>
      </c>
      <c r="K19" s="299"/>
      <c r="L19" s="747"/>
      <c r="M19" s="206">
        <f t="shared" si="5"/>
        <v>0</v>
      </c>
      <c r="N19" s="299">
        <f t="shared" ref="N19:N27" si="6">IF(F19=$N$2,E19,0)</f>
        <v>411073.34</v>
      </c>
      <c r="O19" s="205">
        <v>6</v>
      </c>
    </row>
    <row r="20" spans="1:15">
      <c r="A20" s="202" t="s">
        <v>2081</v>
      </c>
      <c r="B20" s="203">
        <v>451</v>
      </c>
      <c r="C20" s="203">
        <v>4182120</v>
      </c>
      <c r="D20" s="220" t="s">
        <v>2082</v>
      </c>
      <c r="E20" s="1096">
        <v>228.17</v>
      </c>
      <c r="F20" s="303" t="s">
        <v>575</v>
      </c>
      <c r="G20" s="299">
        <f t="shared" si="0"/>
        <v>228.17</v>
      </c>
      <c r="H20" s="205">
        <v>0</v>
      </c>
      <c r="I20" s="206">
        <f t="shared" si="4"/>
        <v>228.17</v>
      </c>
      <c r="J20" s="299">
        <f t="shared" si="1"/>
        <v>0</v>
      </c>
      <c r="K20" s="299"/>
      <c r="L20" s="747"/>
      <c r="M20" s="206">
        <f t="shared" si="5"/>
        <v>0</v>
      </c>
      <c r="N20" s="299">
        <f t="shared" si="6"/>
        <v>0</v>
      </c>
      <c r="O20" s="205">
        <v>1</v>
      </c>
    </row>
    <row r="21" spans="1:15">
      <c r="A21" s="202" t="s">
        <v>2083</v>
      </c>
      <c r="B21" s="203">
        <v>451</v>
      </c>
      <c r="C21" s="203">
        <v>4192152</v>
      </c>
      <c r="D21" s="220" t="s">
        <v>2084</v>
      </c>
      <c r="E21" s="1096">
        <v>1560</v>
      </c>
      <c r="F21" s="303" t="s">
        <v>577</v>
      </c>
      <c r="G21" s="299">
        <f t="shared" ref="G21:G27" si="7">IF(F21=$G$2,E21,0)</f>
        <v>0</v>
      </c>
      <c r="H21" s="205">
        <v>0</v>
      </c>
      <c r="I21" s="206">
        <f t="shared" ref="I21:I27" si="8">G21-H21</f>
        <v>0</v>
      </c>
      <c r="J21" s="299">
        <f t="shared" ref="J21:J27" si="9">IF(F21=$J$2,E21,0)</f>
        <v>0</v>
      </c>
      <c r="K21" s="299"/>
      <c r="L21" s="747"/>
      <c r="M21" s="206">
        <f t="shared" si="5"/>
        <v>0</v>
      </c>
      <c r="N21" s="299">
        <f t="shared" si="6"/>
        <v>1560</v>
      </c>
      <c r="O21" s="205">
        <v>1</v>
      </c>
    </row>
    <row r="22" spans="1:15">
      <c r="A22" s="202" t="s">
        <v>2085</v>
      </c>
      <c r="B22" s="203">
        <v>451</v>
      </c>
      <c r="C22" s="203">
        <v>4192155</v>
      </c>
      <c r="D22" s="220" t="s">
        <v>2086</v>
      </c>
      <c r="E22" s="1096">
        <v>34655</v>
      </c>
      <c r="F22" s="303" t="s">
        <v>577</v>
      </c>
      <c r="G22" s="299">
        <f t="shared" si="7"/>
        <v>0</v>
      </c>
      <c r="H22" s="205">
        <v>0</v>
      </c>
      <c r="I22" s="206">
        <f t="shared" si="8"/>
        <v>0</v>
      </c>
      <c r="J22" s="299">
        <f t="shared" si="9"/>
        <v>0</v>
      </c>
      <c r="K22" s="299"/>
      <c r="L22" s="747"/>
      <c r="M22" s="206">
        <f t="shared" si="5"/>
        <v>0</v>
      </c>
      <c r="N22" s="299">
        <f t="shared" si="6"/>
        <v>34655</v>
      </c>
      <c r="O22" s="205">
        <v>1</v>
      </c>
    </row>
    <row r="23" spans="1:15">
      <c r="A23" s="202" t="s">
        <v>2087</v>
      </c>
      <c r="B23" s="203">
        <v>451</v>
      </c>
      <c r="C23" s="203">
        <v>4192158</v>
      </c>
      <c r="D23" s="220" t="s">
        <v>2088</v>
      </c>
      <c r="E23" s="1096">
        <v>45600</v>
      </c>
      <c r="F23" s="303" t="s">
        <v>577</v>
      </c>
      <c r="G23" s="299">
        <f t="shared" si="7"/>
        <v>0</v>
      </c>
      <c r="H23" s="205">
        <v>0</v>
      </c>
      <c r="I23" s="206">
        <f t="shared" si="8"/>
        <v>0</v>
      </c>
      <c r="J23" s="299">
        <f t="shared" si="9"/>
        <v>0</v>
      </c>
      <c r="K23" s="299"/>
      <c r="L23" s="747"/>
      <c r="M23" s="206">
        <f t="shared" si="5"/>
        <v>0</v>
      </c>
      <c r="N23" s="299">
        <f t="shared" si="6"/>
        <v>45600</v>
      </c>
      <c r="O23" s="205">
        <v>1</v>
      </c>
    </row>
    <row r="24" spans="1:15">
      <c r="A24" s="202" t="s">
        <v>2089</v>
      </c>
      <c r="B24" s="203">
        <v>451</v>
      </c>
      <c r="C24" s="203">
        <v>4192160</v>
      </c>
      <c r="D24" s="220" t="s">
        <v>2090</v>
      </c>
      <c r="E24" s="1096">
        <v>251230</v>
      </c>
      <c r="F24" s="303" t="s">
        <v>577</v>
      </c>
      <c r="G24" s="299">
        <f t="shared" si="7"/>
        <v>0</v>
      </c>
      <c r="H24" s="205">
        <v>0</v>
      </c>
      <c r="I24" s="206">
        <f t="shared" si="8"/>
        <v>0</v>
      </c>
      <c r="J24" s="299">
        <f t="shared" si="9"/>
        <v>0</v>
      </c>
      <c r="K24" s="299"/>
      <c r="L24" s="747"/>
      <c r="M24" s="206">
        <f t="shared" si="5"/>
        <v>0</v>
      </c>
      <c r="N24" s="299">
        <f t="shared" si="6"/>
        <v>251230</v>
      </c>
      <c r="O24" s="205">
        <v>1</v>
      </c>
    </row>
    <row r="25" spans="1:15" s="1075" customFormat="1">
      <c r="A25" s="202" t="s">
        <v>2236</v>
      </c>
      <c r="B25" s="203">
        <v>451</v>
      </c>
      <c r="C25" s="203">
        <v>4192135</v>
      </c>
      <c r="D25" s="1094" t="s">
        <v>2237</v>
      </c>
      <c r="E25" s="1096">
        <v>5815680.5599999996</v>
      </c>
      <c r="F25" s="1183" t="s">
        <v>575</v>
      </c>
      <c r="G25" s="299">
        <f t="shared" si="7"/>
        <v>5815680.5599999996</v>
      </c>
      <c r="H25" s="205">
        <v>0</v>
      </c>
      <c r="I25" s="206">
        <f t="shared" si="8"/>
        <v>5815680.5599999996</v>
      </c>
      <c r="J25" s="299">
        <f t="shared" si="9"/>
        <v>0</v>
      </c>
      <c r="K25" s="299"/>
      <c r="L25" s="747"/>
      <c r="M25" s="206">
        <f t="shared" si="5"/>
        <v>0</v>
      </c>
      <c r="N25" s="299">
        <f t="shared" si="6"/>
        <v>0</v>
      </c>
      <c r="O25" s="205">
        <v>1</v>
      </c>
    </row>
    <row r="26" spans="1:15" s="1075" customFormat="1">
      <c r="A26" s="202" t="s">
        <v>2238</v>
      </c>
      <c r="B26" s="203">
        <v>451</v>
      </c>
      <c r="C26" s="203">
        <v>4192145</v>
      </c>
      <c r="D26" s="1094" t="s">
        <v>2239</v>
      </c>
      <c r="E26" s="1096">
        <v>2178888.33</v>
      </c>
      <c r="F26" s="1183" t="s">
        <v>575</v>
      </c>
      <c r="G26" s="299">
        <f t="shared" si="7"/>
        <v>2178888.33</v>
      </c>
      <c r="H26" s="205">
        <v>0</v>
      </c>
      <c r="I26" s="206">
        <f t="shared" si="8"/>
        <v>2178888.33</v>
      </c>
      <c r="J26" s="299">
        <f t="shared" si="9"/>
        <v>0</v>
      </c>
      <c r="K26" s="299"/>
      <c r="L26" s="747"/>
      <c r="M26" s="206">
        <f t="shared" si="5"/>
        <v>0</v>
      </c>
      <c r="N26" s="299">
        <f t="shared" si="6"/>
        <v>0</v>
      </c>
      <c r="O26" s="205">
        <v>1</v>
      </c>
    </row>
    <row r="27" spans="1:15" s="1075" customFormat="1">
      <c r="A27" s="202" t="s">
        <v>2240</v>
      </c>
      <c r="B27" s="203">
        <v>451</v>
      </c>
      <c r="C27" s="203">
        <v>4192150</v>
      </c>
      <c r="D27" s="1094" t="s">
        <v>2241</v>
      </c>
      <c r="E27" s="1096">
        <v>22027</v>
      </c>
      <c r="F27" s="1183" t="s">
        <v>575</v>
      </c>
      <c r="G27" s="299">
        <f t="shared" si="7"/>
        <v>22027</v>
      </c>
      <c r="H27" s="205">
        <v>0</v>
      </c>
      <c r="I27" s="206">
        <f t="shared" si="8"/>
        <v>22027</v>
      </c>
      <c r="J27" s="299">
        <f t="shared" si="9"/>
        <v>0</v>
      </c>
      <c r="K27" s="299"/>
      <c r="L27" s="747"/>
      <c r="M27" s="206">
        <f t="shared" si="5"/>
        <v>0</v>
      </c>
      <c r="N27" s="299">
        <f t="shared" si="6"/>
        <v>0</v>
      </c>
      <c r="O27" s="205">
        <v>1</v>
      </c>
    </row>
    <row r="28" spans="1:15">
      <c r="A28" s="1229"/>
      <c r="B28" s="329"/>
      <c r="C28" s="329"/>
      <c r="D28" s="1347"/>
      <c r="E28" s="303"/>
      <c r="F28" s="303"/>
      <c r="G28" s="303"/>
      <c r="H28" s="304"/>
      <c r="I28" s="305"/>
      <c r="J28" s="303"/>
      <c r="K28" s="303"/>
      <c r="L28" s="305"/>
      <c r="M28" s="305"/>
      <c r="N28" s="303"/>
      <c r="O28" s="304"/>
    </row>
    <row r="29" spans="1:15">
      <c r="A29" s="333"/>
      <c r="B29" s="329"/>
      <c r="C29" s="328"/>
      <c r="D29" s="746"/>
      <c r="E29" s="303"/>
      <c r="F29" s="303"/>
      <c r="G29" s="307"/>
      <c r="H29" s="304"/>
      <c r="I29" s="305"/>
      <c r="J29" s="303"/>
      <c r="K29" s="303"/>
      <c r="L29" s="305"/>
      <c r="M29" s="305"/>
      <c r="N29" s="303"/>
      <c r="O29" s="304"/>
    </row>
    <row r="30" spans="1:15">
      <c r="A30" s="207">
        <v>5</v>
      </c>
      <c r="B30" s="1399" t="s">
        <v>621</v>
      </c>
      <c r="C30" s="1400"/>
      <c r="D30" s="1401"/>
      <c r="E30" s="312">
        <f>SUM(E11:E29)</f>
        <v>43977762.420000009</v>
      </c>
      <c r="F30" s="321"/>
      <c r="G30" s="312">
        <f>SUM(G11:G29)</f>
        <v>43233600.470000006</v>
      </c>
      <c r="H30" s="196">
        <f>SUM(H11:H29)</f>
        <v>0</v>
      </c>
      <c r="I30" s="312">
        <f>SUM(I11:I29)</f>
        <v>43233600.470000006</v>
      </c>
      <c r="J30" s="312">
        <f>SUM(J11:J29)</f>
        <v>43.61</v>
      </c>
      <c r="K30" s="321"/>
      <c r="L30" s="312">
        <f>SUM(L11:L29)</f>
        <v>0</v>
      </c>
      <c r="M30" s="312">
        <f>SUM(M11:M29)</f>
        <v>43.61</v>
      </c>
      <c r="N30" s="312">
        <f>SUM(N11:N29)</f>
        <v>744118.34000000008</v>
      </c>
      <c r="O30" s="205"/>
    </row>
    <row r="31" spans="1:15" ht="25.5" customHeight="1">
      <c r="A31" s="207">
        <v>6</v>
      </c>
      <c r="B31" s="1421" t="s">
        <v>1246</v>
      </c>
      <c r="C31" s="1422"/>
      <c r="D31" s="1423"/>
      <c r="E31" s="1228">
        <v>43977762</v>
      </c>
      <c r="F31" s="311"/>
      <c r="G31" s="298"/>
      <c r="H31" s="214"/>
      <c r="I31" s="214"/>
      <c r="J31" s="298"/>
      <c r="K31" s="311"/>
      <c r="L31" s="298"/>
      <c r="M31" s="298"/>
      <c r="N31" s="311"/>
    </row>
    <row r="32" spans="1:15">
      <c r="A32" s="216"/>
      <c r="B32" s="211"/>
      <c r="C32" s="212"/>
      <c r="D32" s="213"/>
      <c r="E32" s="298"/>
      <c r="F32" s="298"/>
      <c r="G32" s="298"/>
      <c r="H32" s="214"/>
      <c r="I32" s="214"/>
      <c r="J32" s="298"/>
      <c r="K32" s="311"/>
      <c r="L32" s="298"/>
      <c r="M32" s="298"/>
      <c r="N32" s="298"/>
    </row>
    <row r="33" spans="1:15">
      <c r="A33" s="333"/>
      <c r="B33" s="329"/>
      <c r="C33" s="328"/>
      <c r="D33" s="330"/>
      <c r="E33" s="303"/>
      <c r="F33" s="303"/>
      <c r="G33" s="307"/>
      <c r="H33" s="304"/>
      <c r="I33" s="305"/>
      <c r="J33" s="303"/>
      <c r="K33" s="303"/>
      <c r="L33" s="305"/>
      <c r="M33" s="305"/>
      <c r="N33" s="303"/>
      <c r="O33" s="304"/>
    </row>
    <row r="34" spans="1:15">
      <c r="A34" s="333"/>
      <c r="B34" s="329"/>
      <c r="C34" s="328"/>
      <c r="D34" s="330"/>
      <c r="E34" s="303"/>
      <c r="F34" s="303"/>
      <c r="G34" s="307"/>
      <c r="H34" s="304"/>
      <c r="I34" s="305"/>
      <c r="J34" s="303"/>
      <c r="K34" s="303"/>
      <c r="L34" s="305"/>
      <c r="M34" s="305"/>
      <c r="N34" s="303"/>
      <c r="O34" s="304"/>
    </row>
    <row r="35" spans="1:15">
      <c r="A35" s="207">
        <v>8</v>
      </c>
      <c r="B35" s="1399" t="s">
        <v>622</v>
      </c>
      <c r="C35" s="1400"/>
      <c r="D35" s="1401"/>
      <c r="E35" s="312">
        <f>SUM(E33:E34)</f>
        <v>0</v>
      </c>
      <c r="F35" s="321"/>
      <c r="G35" s="312">
        <f>SUM(G33:G34)</f>
        <v>0</v>
      </c>
      <c r="H35" s="196">
        <f>SUM(H33:H34)</f>
        <v>0</v>
      </c>
      <c r="I35" s="312">
        <f>SUM(I33:I34)</f>
        <v>0</v>
      </c>
      <c r="J35" s="312">
        <f>SUM(J33:J34)</f>
        <v>0</v>
      </c>
      <c r="K35" s="321"/>
      <c r="L35" s="312">
        <f>SUM(L33:L34)</f>
        <v>0</v>
      </c>
      <c r="M35" s="312">
        <f>SUM(M33:M34)</f>
        <v>0</v>
      </c>
      <c r="N35" s="312">
        <f>SUM(N33:N34)</f>
        <v>0</v>
      </c>
      <c r="O35" s="196"/>
    </row>
    <row r="36" spans="1:15" ht="25.5" customHeight="1">
      <c r="A36" s="207">
        <v>9</v>
      </c>
      <c r="B36" s="1424" t="s">
        <v>1247</v>
      </c>
      <c r="C36" s="1415"/>
      <c r="D36" s="1415"/>
      <c r="E36" s="324">
        <v>0</v>
      </c>
      <c r="F36" s="311"/>
      <c r="G36" s="298"/>
      <c r="H36" s="214"/>
      <c r="I36" s="218"/>
      <c r="J36" s="298"/>
      <c r="K36" s="311"/>
      <c r="L36" s="298"/>
      <c r="M36" s="298"/>
      <c r="N36" s="298"/>
      <c r="O36" s="194"/>
    </row>
    <row r="37" spans="1:15">
      <c r="A37" s="210"/>
      <c r="B37" s="211"/>
      <c r="C37" s="212"/>
      <c r="D37" s="213"/>
      <c r="E37" s="298"/>
      <c r="F37" s="298"/>
      <c r="G37" s="298"/>
      <c r="H37" s="214"/>
      <c r="I37" s="218"/>
      <c r="J37" s="298"/>
      <c r="K37" s="311"/>
      <c r="L37" s="298"/>
      <c r="M37" s="298"/>
      <c r="N37" s="298"/>
      <c r="O37" s="194"/>
    </row>
    <row r="38" spans="1:15">
      <c r="A38" s="207" t="s">
        <v>623</v>
      </c>
      <c r="B38" s="203">
        <v>454</v>
      </c>
      <c r="C38" s="204" t="s">
        <v>627</v>
      </c>
      <c r="D38" s="204" t="s">
        <v>628</v>
      </c>
      <c r="E38" s="1096">
        <v>548368.75</v>
      </c>
      <c r="F38" s="303" t="s">
        <v>575</v>
      </c>
      <c r="G38" s="299">
        <f>IF(F38=$G$2,E38,0)</f>
        <v>548368.75</v>
      </c>
      <c r="H38" s="206">
        <v>0</v>
      </c>
      <c r="I38" s="206">
        <f>G38-H38</f>
        <v>548368.75</v>
      </c>
      <c r="J38" s="299">
        <f>IF(F38=$J$2,E38,0)</f>
        <v>0</v>
      </c>
      <c r="K38" s="299"/>
      <c r="L38" s="747"/>
      <c r="M38" s="206">
        <f>J38-L38</f>
        <v>0</v>
      </c>
      <c r="N38" s="299">
        <f>IF(F38=$N$2,E38,0)</f>
        <v>0</v>
      </c>
      <c r="O38" s="205">
        <v>4</v>
      </c>
    </row>
    <row r="39" spans="1:15">
      <c r="A39" s="207" t="s">
        <v>624</v>
      </c>
      <c r="B39" s="203">
        <v>454</v>
      </c>
      <c r="C39" s="208" t="s">
        <v>630</v>
      </c>
      <c r="D39" s="204" t="s">
        <v>631</v>
      </c>
      <c r="E39" s="1096">
        <v>3349083.61</v>
      </c>
      <c r="F39" s="303" t="s">
        <v>575</v>
      </c>
      <c r="G39" s="299">
        <f>IF(F39=$G$2,E39,0)</f>
        <v>3349083.61</v>
      </c>
      <c r="H39" s="206">
        <v>0</v>
      </c>
      <c r="I39" s="206">
        <f>G39-H39</f>
        <v>3349083.61</v>
      </c>
      <c r="J39" s="299">
        <f t="shared" ref="J39:J50" si="10">IF(F39=$J$2,E39,0)</f>
        <v>0</v>
      </c>
      <c r="K39" s="299"/>
      <c r="L39" s="747"/>
      <c r="M39" s="206">
        <f t="shared" ref="M39:M41" si="11">J39-L39</f>
        <v>0</v>
      </c>
      <c r="N39" s="299">
        <f>IF(F39=$N$2,E39,0)</f>
        <v>0</v>
      </c>
      <c r="O39" s="205">
        <v>4</v>
      </c>
    </row>
    <row r="40" spans="1:15">
      <c r="A40" s="207" t="s">
        <v>625</v>
      </c>
      <c r="B40" s="203">
        <v>454</v>
      </c>
      <c r="C40" s="208" t="s">
        <v>633</v>
      </c>
      <c r="D40" s="204" t="s">
        <v>634</v>
      </c>
      <c r="E40" s="1096">
        <v>426320</v>
      </c>
      <c r="F40" s="303" t="s">
        <v>575</v>
      </c>
      <c r="G40" s="299">
        <f>IF(F40=$G$2,E40,0)</f>
        <v>426320</v>
      </c>
      <c r="H40" s="206">
        <v>0</v>
      </c>
      <c r="I40" s="206">
        <f>G40-H40</f>
        <v>426320</v>
      </c>
      <c r="J40" s="299">
        <f t="shared" si="10"/>
        <v>0</v>
      </c>
      <c r="K40" s="299"/>
      <c r="L40" s="747"/>
      <c r="M40" s="206">
        <f t="shared" si="11"/>
        <v>0</v>
      </c>
      <c r="N40" s="299">
        <f>IF(F40=$N$2,E40,0)</f>
        <v>0</v>
      </c>
      <c r="O40" s="205">
        <v>4</v>
      </c>
    </row>
    <row r="41" spans="1:15">
      <c r="A41" s="1313" t="s">
        <v>626</v>
      </c>
      <c r="B41" s="203">
        <v>454</v>
      </c>
      <c r="C41" s="219">
        <v>4184120</v>
      </c>
      <c r="D41" s="204" t="s">
        <v>1391</v>
      </c>
      <c r="E41" s="1096">
        <v>718500</v>
      </c>
      <c r="F41" s="303" t="s">
        <v>575</v>
      </c>
      <c r="G41" s="299">
        <f>IF(F41=$G$2,E41,0)</f>
        <v>718500</v>
      </c>
      <c r="H41" s="206">
        <v>0</v>
      </c>
      <c r="I41" s="206">
        <f>G41-H41</f>
        <v>718500</v>
      </c>
      <c r="J41" s="299">
        <f t="shared" si="10"/>
        <v>0</v>
      </c>
      <c r="K41" s="299"/>
      <c r="L41" s="747"/>
      <c r="M41" s="206">
        <f t="shared" si="11"/>
        <v>0</v>
      </c>
      <c r="N41" s="299">
        <f>IF(F41=$N$2,E41,0)</f>
        <v>0</v>
      </c>
      <c r="O41" s="205">
        <v>4</v>
      </c>
    </row>
    <row r="42" spans="1:15">
      <c r="A42" s="1312" t="s">
        <v>629</v>
      </c>
      <c r="B42" s="203">
        <v>454</v>
      </c>
      <c r="C42" s="208" t="s">
        <v>638</v>
      </c>
      <c r="D42" s="204" t="s">
        <v>639</v>
      </c>
      <c r="E42" s="1096">
        <v>146982.10999999999</v>
      </c>
      <c r="F42" s="303" t="s">
        <v>576</v>
      </c>
      <c r="G42" s="299">
        <f t="shared" ref="G42:G48" si="12">IF(F42=$G$2,E42,0)</f>
        <v>0</v>
      </c>
      <c r="H42" s="206">
        <v>0</v>
      </c>
      <c r="I42" s="206">
        <f>G42-H42</f>
        <v>0</v>
      </c>
      <c r="J42" s="299">
        <f t="shared" si="10"/>
        <v>146982.10999999999</v>
      </c>
      <c r="K42" s="338" t="s">
        <v>617</v>
      </c>
      <c r="L42" s="1097">
        <v>29678.495876543999</v>
      </c>
      <c r="M42" s="206">
        <f>J42-L42</f>
        <v>117303.61412345599</v>
      </c>
      <c r="N42" s="299">
        <f>IF(F42=$N$2,E42,0)</f>
        <v>0</v>
      </c>
      <c r="O42" s="205">
        <v>2</v>
      </c>
    </row>
    <row r="43" spans="1:15">
      <c r="A43" s="207" t="s">
        <v>632</v>
      </c>
      <c r="B43" s="203">
        <v>454</v>
      </c>
      <c r="C43" s="208" t="s">
        <v>641</v>
      </c>
      <c r="D43" s="204" t="s">
        <v>642</v>
      </c>
      <c r="E43" s="1096">
        <v>9240</v>
      </c>
      <c r="F43" s="303" t="s">
        <v>576</v>
      </c>
      <c r="G43" s="299">
        <f t="shared" si="12"/>
        <v>0</v>
      </c>
      <c r="H43" s="206">
        <v>0</v>
      </c>
      <c r="I43" s="206">
        <f t="shared" ref="I43:I45" si="13">G43-H43</f>
        <v>0</v>
      </c>
      <c r="J43" s="299">
        <f t="shared" si="10"/>
        <v>9240</v>
      </c>
      <c r="K43" s="338" t="s">
        <v>617</v>
      </c>
      <c r="L43" s="1097">
        <v>1003.7752927775</v>
      </c>
      <c r="M43" s="206">
        <f>J43-L43</f>
        <v>8236.2247072225</v>
      </c>
      <c r="N43" s="299">
        <f t="shared" ref="N43:N48" si="14">IF(F43=$N$2,E43,0)</f>
        <v>0</v>
      </c>
      <c r="O43" s="205">
        <v>2</v>
      </c>
    </row>
    <row r="44" spans="1:15">
      <c r="A44" s="207" t="s">
        <v>635</v>
      </c>
      <c r="B44" s="203">
        <v>454</v>
      </c>
      <c r="C44" s="208" t="s">
        <v>644</v>
      </c>
      <c r="D44" s="204" t="s">
        <v>645</v>
      </c>
      <c r="E44" s="1096">
        <v>18880</v>
      </c>
      <c r="F44" s="303" t="s">
        <v>576</v>
      </c>
      <c r="G44" s="299">
        <f t="shared" si="12"/>
        <v>0</v>
      </c>
      <c r="H44" s="206">
        <v>0</v>
      </c>
      <c r="I44" s="206">
        <f t="shared" si="13"/>
        <v>0</v>
      </c>
      <c r="J44" s="299">
        <f t="shared" si="10"/>
        <v>18880</v>
      </c>
      <c r="K44" s="338" t="s">
        <v>617</v>
      </c>
      <c r="L44" s="1097">
        <v>17840</v>
      </c>
      <c r="M44" s="206">
        <f>J44-L44</f>
        <v>1040</v>
      </c>
      <c r="N44" s="299">
        <f t="shared" si="14"/>
        <v>0</v>
      </c>
      <c r="O44" s="205">
        <v>2</v>
      </c>
    </row>
    <row r="45" spans="1:15">
      <c r="A45" s="207" t="s">
        <v>636</v>
      </c>
      <c r="B45" s="203">
        <v>454</v>
      </c>
      <c r="C45" s="219" t="s">
        <v>647</v>
      </c>
      <c r="D45" s="204" t="s">
        <v>648</v>
      </c>
      <c r="E45" s="1096">
        <v>13134.36</v>
      </c>
      <c r="F45" s="303" t="s">
        <v>576</v>
      </c>
      <c r="G45" s="299">
        <f t="shared" si="12"/>
        <v>0</v>
      </c>
      <c r="H45" s="206">
        <v>0</v>
      </c>
      <c r="I45" s="206">
        <f t="shared" si="13"/>
        <v>0</v>
      </c>
      <c r="J45" s="299">
        <f t="shared" si="10"/>
        <v>13134.36</v>
      </c>
      <c r="K45" s="338" t="s">
        <v>617</v>
      </c>
      <c r="L45" s="1097">
        <v>2112.3112490588001</v>
      </c>
      <c r="M45" s="206">
        <f t="shared" ref="M45:M63" si="15">J45-L45</f>
        <v>11022.048750941201</v>
      </c>
      <c r="N45" s="299">
        <f t="shared" si="14"/>
        <v>0</v>
      </c>
      <c r="O45" s="205">
        <v>2</v>
      </c>
    </row>
    <row r="46" spans="1:15">
      <c r="A46" s="207" t="s">
        <v>637</v>
      </c>
      <c r="B46" s="203">
        <v>454</v>
      </c>
      <c r="C46" s="204" t="s">
        <v>650</v>
      </c>
      <c r="D46" s="204" t="s">
        <v>1243</v>
      </c>
      <c r="E46" s="1096">
        <v>-787608.96</v>
      </c>
      <c r="F46" s="303" t="s">
        <v>575</v>
      </c>
      <c r="G46" s="299">
        <f>IF(F46=$G$2,E46,0)</f>
        <v>-787608.96</v>
      </c>
      <c r="H46" s="206">
        <v>0</v>
      </c>
      <c r="I46" s="206">
        <f>G46-H46</f>
        <v>-787608.96</v>
      </c>
      <c r="J46" s="299">
        <f>IF(F46=$J$2,E46,0)</f>
        <v>0</v>
      </c>
      <c r="K46" s="299"/>
      <c r="L46" s="747"/>
      <c r="M46" s="206">
        <f t="shared" si="15"/>
        <v>0</v>
      </c>
      <c r="N46" s="299">
        <f t="shared" si="14"/>
        <v>0</v>
      </c>
      <c r="O46" s="205">
        <v>4</v>
      </c>
    </row>
    <row r="47" spans="1:15">
      <c r="A47" s="207" t="s">
        <v>640</v>
      </c>
      <c r="B47" s="203">
        <v>454</v>
      </c>
      <c r="C47" s="208" t="s">
        <v>652</v>
      </c>
      <c r="D47" s="204" t="s">
        <v>653</v>
      </c>
      <c r="E47" s="1096">
        <v>60454.31</v>
      </c>
      <c r="F47" s="303" t="s">
        <v>577</v>
      </c>
      <c r="G47" s="299">
        <f>I47+H47</f>
        <v>3578.2906088999998</v>
      </c>
      <c r="H47" s="206">
        <f>E47*$D$237</f>
        <v>3578.2906088999998</v>
      </c>
      <c r="I47" s="206">
        <v>0</v>
      </c>
      <c r="J47" s="299">
        <f t="shared" si="10"/>
        <v>0</v>
      </c>
      <c r="K47" s="299"/>
      <c r="L47" s="747"/>
      <c r="M47" s="206">
        <f>J47-L47</f>
        <v>0</v>
      </c>
      <c r="N47" s="299">
        <f>IF(F47=$N$2,E47-H47,0)</f>
        <v>56876.019391099995</v>
      </c>
      <c r="O47" s="205" t="s">
        <v>654</v>
      </c>
    </row>
    <row r="48" spans="1:15">
      <c r="A48" s="207" t="s">
        <v>643</v>
      </c>
      <c r="B48" s="203">
        <v>454</v>
      </c>
      <c r="C48" s="208" t="s">
        <v>656</v>
      </c>
      <c r="D48" s="204" t="s">
        <v>657</v>
      </c>
      <c r="E48" s="1096"/>
      <c r="F48" s="303" t="s">
        <v>575</v>
      </c>
      <c r="G48" s="299">
        <f t="shared" si="12"/>
        <v>0</v>
      </c>
      <c r="H48" s="206">
        <f>E48*$D$237</f>
        <v>0</v>
      </c>
      <c r="I48" s="206">
        <f>G48-H48</f>
        <v>0</v>
      </c>
      <c r="J48" s="299">
        <f t="shared" si="10"/>
        <v>0</v>
      </c>
      <c r="K48" s="299"/>
      <c r="L48" s="747"/>
      <c r="M48" s="206">
        <f t="shared" si="15"/>
        <v>0</v>
      </c>
      <c r="N48" s="299">
        <f t="shared" si="14"/>
        <v>0</v>
      </c>
      <c r="O48" s="205">
        <v>7</v>
      </c>
    </row>
    <row r="49" spans="1:15">
      <c r="A49" s="207" t="s">
        <v>646</v>
      </c>
      <c r="B49" s="203">
        <v>454</v>
      </c>
      <c r="C49" s="204" t="s">
        <v>659</v>
      </c>
      <c r="D49" s="204" t="s">
        <v>660</v>
      </c>
      <c r="E49" s="1096">
        <v>1344451.36</v>
      </c>
      <c r="F49" s="303" t="s">
        <v>577</v>
      </c>
      <c r="G49" s="299">
        <f>I49+H49</f>
        <v>79578.075998400003</v>
      </c>
      <c r="H49" s="206">
        <f>E49*$D$237</f>
        <v>79578.075998400003</v>
      </c>
      <c r="I49" s="206">
        <v>0</v>
      </c>
      <c r="J49" s="299">
        <f>IF(F49=$J$2,E49,0)</f>
        <v>0</v>
      </c>
      <c r="K49" s="299"/>
      <c r="L49" s="747"/>
      <c r="M49" s="206">
        <f>J49-L49</f>
        <v>0</v>
      </c>
      <c r="N49" s="299">
        <f>IF(F49=$N$2,E49-H49,0)</f>
        <v>1264873.2840016</v>
      </c>
      <c r="O49" s="205" t="s">
        <v>654</v>
      </c>
    </row>
    <row r="50" spans="1:15">
      <c r="A50" s="207" t="s">
        <v>649</v>
      </c>
      <c r="B50" s="203">
        <v>454</v>
      </c>
      <c r="C50" s="208" t="s">
        <v>662</v>
      </c>
      <c r="D50" s="204" t="s">
        <v>663</v>
      </c>
      <c r="E50" s="1096"/>
      <c r="F50" s="303" t="s">
        <v>575</v>
      </c>
      <c r="G50" s="299">
        <f>I50+H50</f>
        <v>0</v>
      </c>
      <c r="H50" s="206">
        <f>E50*$D$231</f>
        <v>0</v>
      </c>
      <c r="I50" s="206">
        <v>0</v>
      </c>
      <c r="J50" s="299">
        <f t="shared" si="10"/>
        <v>0</v>
      </c>
      <c r="K50" s="299"/>
      <c r="L50" s="747"/>
      <c r="M50" s="206">
        <f t="shared" si="15"/>
        <v>0</v>
      </c>
      <c r="N50" s="299">
        <f t="shared" ref="N50:N61" si="16">IF(F50=$N$2,E50,0)</f>
        <v>0</v>
      </c>
      <c r="O50" s="205">
        <v>7</v>
      </c>
    </row>
    <row r="51" spans="1:15">
      <c r="A51" s="207" t="s">
        <v>651</v>
      </c>
      <c r="B51" s="203">
        <v>454</v>
      </c>
      <c r="C51" s="208" t="s">
        <v>665</v>
      </c>
      <c r="D51" s="204" t="s">
        <v>666</v>
      </c>
      <c r="E51" s="1096"/>
      <c r="F51" s="303" t="s">
        <v>575</v>
      </c>
      <c r="G51" s="299">
        <f t="shared" ref="G51:G61" si="17">IF(F51=$G$2,E51,0)</f>
        <v>0</v>
      </c>
      <c r="H51" s="206">
        <v>0</v>
      </c>
      <c r="I51" s="206">
        <f t="shared" ref="I51:I56" si="18">G51-H51</f>
        <v>0</v>
      </c>
      <c r="J51" s="299">
        <f t="shared" ref="J51:J62" si="19">IF(F51=$J$2,E51,0)</f>
        <v>0</v>
      </c>
      <c r="K51" s="299"/>
      <c r="L51" s="747"/>
      <c r="M51" s="206">
        <f t="shared" si="15"/>
        <v>0</v>
      </c>
      <c r="N51" s="299">
        <f t="shared" si="16"/>
        <v>0</v>
      </c>
      <c r="O51" s="205">
        <v>1</v>
      </c>
    </row>
    <row r="52" spans="1:15">
      <c r="A52" s="207" t="s">
        <v>655</v>
      </c>
      <c r="B52" s="203">
        <v>454</v>
      </c>
      <c r="C52" s="208" t="s">
        <v>668</v>
      </c>
      <c r="D52" s="204" t="s">
        <v>669</v>
      </c>
      <c r="E52" s="1096">
        <v>10649093.380000001</v>
      </c>
      <c r="F52" s="303" t="s">
        <v>575</v>
      </c>
      <c r="G52" s="299">
        <f t="shared" si="17"/>
        <v>10649093.380000001</v>
      </c>
      <c r="H52" s="206">
        <v>0</v>
      </c>
      <c r="I52" s="206">
        <f>G52-H52</f>
        <v>10649093.380000001</v>
      </c>
      <c r="J52" s="299">
        <f t="shared" si="19"/>
        <v>0</v>
      </c>
      <c r="K52" s="299"/>
      <c r="L52" s="747"/>
      <c r="M52" s="206">
        <f t="shared" si="15"/>
        <v>0</v>
      </c>
      <c r="N52" s="299">
        <f t="shared" si="16"/>
        <v>0</v>
      </c>
      <c r="O52" s="205">
        <v>4</v>
      </c>
    </row>
    <row r="53" spans="1:15">
      <c r="A53" s="207" t="s">
        <v>658</v>
      </c>
      <c r="B53" s="203">
        <v>454</v>
      </c>
      <c r="C53" s="208" t="s">
        <v>671</v>
      </c>
      <c r="D53" s="204" t="s">
        <v>672</v>
      </c>
      <c r="E53" s="1096">
        <v>747195.91</v>
      </c>
      <c r="F53" s="303" t="s">
        <v>575</v>
      </c>
      <c r="G53" s="299">
        <f t="shared" si="17"/>
        <v>747195.91</v>
      </c>
      <c r="H53" s="206">
        <v>0</v>
      </c>
      <c r="I53" s="206">
        <f>G53-H53</f>
        <v>747195.91</v>
      </c>
      <c r="J53" s="299">
        <f t="shared" si="19"/>
        <v>0</v>
      </c>
      <c r="K53" s="299"/>
      <c r="L53" s="747"/>
      <c r="M53" s="206">
        <f t="shared" si="15"/>
        <v>0</v>
      </c>
      <c r="N53" s="299">
        <f t="shared" si="16"/>
        <v>0</v>
      </c>
      <c r="O53" s="205">
        <v>4</v>
      </c>
    </row>
    <row r="54" spans="1:15">
      <c r="A54" s="207" t="s">
        <v>661</v>
      </c>
      <c r="B54" s="203">
        <v>454</v>
      </c>
      <c r="C54" s="208" t="s">
        <v>674</v>
      </c>
      <c r="D54" s="204" t="s">
        <v>675</v>
      </c>
      <c r="E54" s="1096">
        <v>22731824.84</v>
      </c>
      <c r="F54" s="303" t="s">
        <v>575</v>
      </c>
      <c r="G54" s="299">
        <f t="shared" si="17"/>
        <v>22731824.84</v>
      </c>
      <c r="H54" s="206">
        <v>0</v>
      </c>
      <c r="I54" s="206">
        <f>G54-H54</f>
        <v>22731824.84</v>
      </c>
      <c r="J54" s="299">
        <f t="shared" si="19"/>
        <v>0</v>
      </c>
      <c r="K54" s="299"/>
      <c r="L54" s="747"/>
      <c r="M54" s="206">
        <f t="shared" si="15"/>
        <v>0</v>
      </c>
      <c r="N54" s="299">
        <f t="shared" si="16"/>
        <v>0</v>
      </c>
      <c r="O54" s="205">
        <v>4</v>
      </c>
    </row>
    <row r="55" spans="1:15">
      <c r="A55" s="207" t="s">
        <v>664</v>
      </c>
      <c r="B55" s="203">
        <v>454</v>
      </c>
      <c r="C55" s="208" t="s">
        <v>677</v>
      </c>
      <c r="D55" s="204" t="s">
        <v>678</v>
      </c>
      <c r="E55" s="1096">
        <v>13246533.060000001</v>
      </c>
      <c r="F55" s="303" t="s">
        <v>575</v>
      </c>
      <c r="G55" s="299">
        <f t="shared" si="17"/>
        <v>13246533.060000001</v>
      </c>
      <c r="H55" s="747">
        <v>3119188.1941049998</v>
      </c>
      <c r="I55" s="206">
        <f>G55-H55</f>
        <v>10127344.865895001</v>
      </c>
      <c r="J55" s="299">
        <f t="shared" si="19"/>
        <v>0</v>
      </c>
      <c r="K55" s="299"/>
      <c r="L55" s="747"/>
      <c r="M55" s="206">
        <f t="shared" si="15"/>
        <v>0</v>
      </c>
      <c r="N55" s="299">
        <f t="shared" si="16"/>
        <v>0</v>
      </c>
      <c r="O55" s="205">
        <v>8</v>
      </c>
    </row>
    <row r="56" spans="1:15">
      <c r="A56" s="207" t="s">
        <v>667</v>
      </c>
      <c r="B56" s="203">
        <v>454</v>
      </c>
      <c r="C56" s="204" t="s">
        <v>680</v>
      </c>
      <c r="D56" s="204" t="s">
        <v>681</v>
      </c>
      <c r="E56" s="1096">
        <f>21987089.23</f>
        <v>21987089.23</v>
      </c>
      <c r="F56" s="303" t="s">
        <v>576</v>
      </c>
      <c r="G56" s="299">
        <f t="shared" si="17"/>
        <v>0</v>
      </c>
      <c r="H56" s="206">
        <v>0</v>
      </c>
      <c r="I56" s="206">
        <f t="shared" si="18"/>
        <v>0</v>
      </c>
      <c r="J56" s="299">
        <f t="shared" si="19"/>
        <v>21987089.23</v>
      </c>
      <c r="K56" s="338" t="s">
        <v>617</v>
      </c>
      <c r="L56" s="1097">
        <v>4456796.6464858698</v>
      </c>
      <c r="M56" s="206">
        <f t="shared" ref="M56:M61" si="20">J56-L56</f>
        <v>17530292.583514132</v>
      </c>
      <c r="N56" s="299">
        <f t="shared" si="16"/>
        <v>0</v>
      </c>
      <c r="O56" s="205">
        <v>2</v>
      </c>
    </row>
    <row r="57" spans="1:15">
      <c r="A57" s="207" t="s">
        <v>670</v>
      </c>
      <c r="B57" s="203">
        <v>454</v>
      </c>
      <c r="C57" s="208" t="s">
        <v>682</v>
      </c>
      <c r="D57" s="204" t="s">
        <v>683</v>
      </c>
      <c r="E57" s="1096"/>
      <c r="F57" s="303" t="s">
        <v>575</v>
      </c>
      <c r="G57" s="299">
        <f t="shared" si="17"/>
        <v>0</v>
      </c>
      <c r="H57" s="206">
        <v>0</v>
      </c>
      <c r="I57" s="206">
        <f>G57-H57</f>
        <v>0</v>
      </c>
      <c r="J57" s="299">
        <f t="shared" si="19"/>
        <v>0</v>
      </c>
      <c r="K57" s="299"/>
      <c r="L57" s="747"/>
      <c r="M57" s="206">
        <f t="shared" si="20"/>
        <v>0</v>
      </c>
      <c r="N57" s="299">
        <f t="shared" si="16"/>
        <v>0</v>
      </c>
      <c r="O57" s="205">
        <v>4</v>
      </c>
    </row>
    <row r="58" spans="1:15">
      <c r="A58" s="207" t="s">
        <v>673</v>
      </c>
      <c r="B58" s="203">
        <v>454</v>
      </c>
      <c r="C58" s="202" t="s">
        <v>1394</v>
      </c>
      <c r="D58" s="204" t="s">
        <v>1393</v>
      </c>
      <c r="E58" s="1096">
        <f>79426770-79462641.1</f>
        <v>-35871.09999999404</v>
      </c>
      <c r="F58" s="303" t="s">
        <v>575</v>
      </c>
      <c r="G58" s="299">
        <f t="shared" si="17"/>
        <v>-35871.09999999404</v>
      </c>
      <c r="H58" s="206">
        <v>0</v>
      </c>
      <c r="I58" s="206">
        <f>G58-H58</f>
        <v>-35871.09999999404</v>
      </c>
      <c r="J58" s="299">
        <f t="shared" si="19"/>
        <v>0</v>
      </c>
      <c r="K58" s="299"/>
      <c r="L58" s="747"/>
      <c r="M58" s="206">
        <f t="shared" si="20"/>
        <v>0</v>
      </c>
      <c r="N58" s="299">
        <f t="shared" si="16"/>
        <v>0</v>
      </c>
      <c r="O58" s="205">
        <v>1</v>
      </c>
    </row>
    <row r="59" spans="1:15">
      <c r="A59" s="207" t="s">
        <v>676</v>
      </c>
      <c r="B59" s="203">
        <v>454</v>
      </c>
      <c r="C59" s="203">
        <v>4206515</v>
      </c>
      <c r="D59" s="220" t="s">
        <v>2092</v>
      </c>
      <c r="E59" s="1096">
        <f>1353393.45</f>
        <v>1353393.45</v>
      </c>
      <c r="F59" s="303" t="s">
        <v>576</v>
      </c>
      <c r="G59" s="299">
        <f t="shared" si="17"/>
        <v>0</v>
      </c>
      <c r="H59" s="206">
        <v>0</v>
      </c>
      <c r="I59" s="992">
        <f>G59-H59</f>
        <v>0</v>
      </c>
      <c r="J59" s="993">
        <f t="shared" si="19"/>
        <v>1353393.45</v>
      </c>
      <c r="K59" s="993" t="s">
        <v>617</v>
      </c>
      <c r="L59" s="747">
        <v>272457.58135189</v>
      </c>
      <c r="M59" s="206">
        <f t="shared" si="20"/>
        <v>1080935.86864811</v>
      </c>
      <c r="N59" s="299">
        <f t="shared" si="16"/>
        <v>0</v>
      </c>
      <c r="O59" s="205">
        <v>2</v>
      </c>
    </row>
    <row r="60" spans="1:15">
      <c r="A60" s="207" t="s">
        <v>679</v>
      </c>
      <c r="B60" s="203">
        <v>454</v>
      </c>
      <c r="C60" s="203">
        <v>4184122</v>
      </c>
      <c r="D60" s="220" t="s">
        <v>2094</v>
      </c>
      <c r="E60" s="1096"/>
      <c r="F60" s="303" t="s">
        <v>575</v>
      </c>
      <c r="G60" s="299">
        <f t="shared" si="17"/>
        <v>0</v>
      </c>
      <c r="H60" s="206">
        <v>0</v>
      </c>
      <c r="I60" s="992">
        <f>G60-H60</f>
        <v>0</v>
      </c>
      <c r="J60" s="993">
        <f t="shared" si="19"/>
        <v>0</v>
      </c>
      <c r="K60" s="299"/>
      <c r="L60" s="305"/>
      <c r="M60" s="206">
        <f t="shared" si="20"/>
        <v>0</v>
      </c>
      <c r="N60" s="299">
        <f t="shared" si="16"/>
        <v>0</v>
      </c>
      <c r="O60" s="205">
        <v>4</v>
      </c>
    </row>
    <row r="61" spans="1:15">
      <c r="A61" s="202" t="s">
        <v>2091</v>
      </c>
      <c r="B61" s="203">
        <v>454</v>
      </c>
      <c r="C61" s="203">
        <v>4184124</v>
      </c>
      <c r="D61" s="220" t="s">
        <v>2096</v>
      </c>
      <c r="E61" s="1096">
        <v>5840</v>
      </c>
      <c r="F61" s="303" t="s">
        <v>575</v>
      </c>
      <c r="G61" s="299">
        <f t="shared" si="17"/>
        <v>5840</v>
      </c>
      <c r="H61" s="206">
        <v>0</v>
      </c>
      <c r="I61" s="992">
        <f>G61-H61</f>
        <v>5840</v>
      </c>
      <c r="J61" s="993">
        <f t="shared" si="19"/>
        <v>0</v>
      </c>
      <c r="K61" s="299"/>
      <c r="L61" s="305"/>
      <c r="M61" s="206">
        <f t="shared" si="20"/>
        <v>0</v>
      </c>
      <c r="N61" s="299">
        <f t="shared" si="16"/>
        <v>0</v>
      </c>
      <c r="O61" s="205">
        <v>4</v>
      </c>
    </row>
    <row r="62" spans="1:15">
      <c r="A62" s="995" t="s">
        <v>2093</v>
      </c>
      <c r="B62" s="1368">
        <v>454</v>
      </c>
      <c r="C62" s="1368">
        <v>4184821</v>
      </c>
      <c r="D62" s="1367" t="s">
        <v>2463</v>
      </c>
      <c r="E62" s="1096">
        <v>84599.8</v>
      </c>
      <c r="F62" s="1096" t="s">
        <v>577</v>
      </c>
      <c r="G62" s="299">
        <f>I62+H62</f>
        <v>5007.4621619999998</v>
      </c>
      <c r="H62" s="206">
        <f>E62*$D$237</f>
        <v>5007.4621619999998</v>
      </c>
      <c r="I62" s="206">
        <v>0</v>
      </c>
      <c r="J62" s="299">
        <f t="shared" si="19"/>
        <v>0</v>
      </c>
      <c r="K62" s="299"/>
      <c r="L62" s="305"/>
      <c r="M62" s="206">
        <f t="shared" si="15"/>
        <v>0</v>
      </c>
      <c r="N62" s="299">
        <f>IF(F62=$N$2,E62-H62,0)</f>
        <v>79592.337838000007</v>
      </c>
      <c r="O62" s="573" t="s">
        <v>654</v>
      </c>
    </row>
    <row r="63" spans="1:15" s="1075" customFormat="1">
      <c r="A63" s="995" t="s">
        <v>2095</v>
      </c>
      <c r="B63" s="1368">
        <v>454</v>
      </c>
      <c r="C63" s="1368">
        <v>4184811</v>
      </c>
      <c r="D63" s="1367" t="s">
        <v>2464</v>
      </c>
      <c r="E63" s="1096">
        <v>960790.89</v>
      </c>
      <c r="F63" s="1096" t="s">
        <v>577</v>
      </c>
      <c r="G63" s="299">
        <f>I63+H63</f>
        <v>56869.212779100002</v>
      </c>
      <c r="H63" s="206">
        <f>E63*$D$237</f>
        <v>56869.212779100002</v>
      </c>
      <c r="I63" s="206">
        <v>0</v>
      </c>
      <c r="J63" s="993">
        <f t="shared" ref="J63" si="21">IF(F63=$J$2,E63,0)</f>
        <v>0</v>
      </c>
      <c r="K63" s="299"/>
      <c r="L63" s="305"/>
      <c r="M63" s="206">
        <f t="shared" si="15"/>
        <v>0</v>
      </c>
      <c r="N63" s="299">
        <f t="shared" ref="N63" si="22">IF(F63=$N$2,E63-H63,0)</f>
        <v>903921.67722089996</v>
      </c>
      <c r="O63" s="573" t="s">
        <v>654</v>
      </c>
    </row>
    <row r="64" spans="1:15" s="1075" customFormat="1">
      <c r="A64" s="1229" t="s">
        <v>2736</v>
      </c>
      <c r="B64" s="1230">
        <v>454</v>
      </c>
      <c r="C64" s="1230">
        <v>4184515</v>
      </c>
      <c r="D64" s="1231" t="s">
        <v>2737</v>
      </c>
      <c r="E64" s="1096">
        <v>1848475</v>
      </c>
      <c r="F64" s="1096" t="s">
        <v>577</v>
      </c>
      <c r="G64" s="303">
        <f>IF(F64=$G$2,E64,0)</f>
        <v>0</v>
      </c>
      <c r="H64" s="305">
        <v>0</v>
      </c>
      <c r="I64" s="305">
        <f>G64-H64</f>
        <v>0</v>
      </c>
      <c r="J64" s="1096">
        <f>IF(F64=$J$2,E64,0)</f>
        <v>0</v>
      </c>
      <c r="K64" s="303"/>
      <c r="L64" s="305"/>
      <c r="M64" s="305">
        <f>J64-L64</f>
        <v>0</v>
      </c>
      <c r="N64" s="303">
        <f>IF(F64=$N$2,E64-H64,0)</f>
        <v>1848475</v>
      </c>
      <c r="O64" s="1232">
        <v>6</v>
      </c>
    </row>
    <row r="65" spans="1:15">
      <c r="A65" s="333"/>
      <c r="B65" s="329"/>
      <c r="C65" s="328"/>
      <c r="D65" s="330"/>
      <c r="E65" s="303"/>
      <c r="F65" s="303"/>
      <c r="G65" s="307"/>
      <c r="H65" s="305"/>
      <c r="I65" s="305"/>
      <c r="J65" s="303"/>
      <c r="K65" s="303"/>
      <c r="L65" s="305"/>
      <c r="M65" s="305"/>
      <c r="N65" s="303"/>
      <c r="O65" s="304"/>
    </row>
    <row r="66" spans="1:15" s="1075" customFormat="1">
      <c r="A66" s="333"/>
      <c r="B66" s="1369"/>
      <c r="C66" s="1370"/>
      <c r="D66" s="746"/>
      <c r="E66" s="303"/>
      <c r="F66" s="303"/>
      <c r="G66" s="307"/>
      <c r="H66" s="305"/>
      <c r="I66" s="305"/>
      <c r="J66" s="303"/>
      <c r="K66" s="303"/>
      <c r="L66" s="305"/>
      <c r="M66" s="305"/>
      <c r="N66" s="303"/>
      <c r="O66" s="304"/>
    </row>
    <row r="67" spans="1:15">
      <c r="A67" s="207">
        <v>11</v>
      </c>
      <c r="B67" s="1399" t="s">
        <v>684</v>
      </c>
      <c r="C67" s="1400"/>
      <c r="D67" s="1401"/>
      <c r="E67" s="312">
        <f>SUM(E38:E66)</f>
        <v>79426770.000000015</v>
      </c>
      <c r="F67" s="321"/>
      <c r="G67" s="312">
        <f>SUM(G38:G66)</f>
        <v>51744312.531548411</v>
      </c>
      <c r="H67" s="312">
        <f>SUM(H38:H66)</f>
        <v>3264221.2356534</v>
      </c>
      <c r="I67" s="312">
        <f>SUM(I38:I66)</f>
        <v>48480091.29589501</v>
      </c>
      <c r="J67" s="312">
        <f>SUM(J38:J66)</f>
        <v>23528719.149999999</v>
      </c>
      <c r="K67" s="321"/>
      <c r="L67" s="312">
        <f>SUM(L38:L66)</f>
        <v>4779888.8102561403</v>
      </c>
      <c r="M67" s="312">
        <f>SUM(M38:M66)</f>
        <v>18748830.33974386</v>
      </c>
      <c r="N67" s="312">
        <f>SUM(N38:N66)</f>
        <v>4153738.3184515997</v>
      </c>
      <c r="O67" s="196"/>
    </row>
    <row r="68" spans="1:15" ht="24.75" customHeight="1">
      <c r="A68" s="207">
        <v>12</v>
      </c>
      <c r="B68" s="1421" t="s">
        <v>1248</v>
      </c>
      <c r="C68" s="1422"/>
      <c r="D68" s="1423"/>
      <c r="E68" s="1228">
        <v>79426770</v>
      </c>
      <c r="F68" s="311"/>
      <c r="G68" s="327"/>
      <c r="H68" s="311"/>
      <c r="I68" s="311"/>
      <c r="J68" s="298"/>
      <c r="K68" s="311"/>
      <c r="L68" s="298"/>
      <c r="M68" s="298"/>
      <c r="N68" s="298"/>
      <c r="O68" s="194"/>
    </row>
    <row r="69" spans="1:15">
      <c r="A69" s="210"/>
      <c r="B69" s="211"/>
      <c r="C69" s="212"/>
      <c r="D69" s="213"/>
      <c r="E69" s="298"/>
      <c r="F69" s="298"/>
      <c r="G69" s="298"/>
      <c r="H69" s="311"/>
      <c r="I69" s="311"/>
      <c r="J69" s="298"/>
      <c r="K69" s="311"/>
      <c r="L69" s="298"/>
      <c r="M69" s="298"/>
      <c r="N69" s="298"/>
      <c r="O69" s="194"/>
    </row>
    <row r="70" spans="1:15">
      <c r="A70" s="207" t="s">
        <v>685</v>
      </c>
      <c r="B70" s="203">
        <v>456</v>
      </c>
      <c r="C70" s="208" t="s">
        <v>689</v>
      </c>
      <c r="D70" s="204" t="s">
        <v>690</v>
      </c>
      <c r="E70" s="1096">
        <v>3857355.73</v>
      </c>
      <c r="F70" s="303" t="s">
        <v>575</v>
      </c>
      <c r="G70" s="299">
        <f t="shared" ref="G70:G78" si="23">IF(F70=$G$2,E70,0)</f>
        <v>3857355.73</v>
      </c>
      <c r="H70" s="206">
        <v>0</v>
      </c>
      <c r="I70" s="206">
        <f t="shared" ref="I70:I78" si="24">G70-H70</f>
        <v>3857355.73</v>
      </c>
      <c r="J70" s="299">
        <f t="shared" ref="J70:J85" si="25">IF(F70=$J$2,E70,0)</f>
        <v>0</v>
      </c>
      <c r="K70" s="299"/>
      <c r="L70" s="747"/>
      <c r="M70" s="206">
        <f t="shared" ref="M70:M85" si="26">J70-L70</f>
        <v>0</v>
      </c>
      <c r="N70" s="299">
        <f t="shared" ref="N70:N78" si="27">IF(F70=$N$2,E70,0)</f>
        <v>0</v>
      </c>
      <c r="O70" s="205">
        <v>1</v>
      </c>
    </row>
    <row r="71" spans="1:15">
      <c r="A71" s="207" t="s">
        <v>686</v>
      </c>
      <c r="B71" s="203">
        <v>456</v>
      </c>
      <c r="C71" s="208" t="s">
        <v>691</v>
      </c>
      <c r="D71" s="204" t="s">
        <v>692</v>
      </c>
      <c r="E71" s="1096">
        <v>576.14</v>
      </c>
      <c r="F71" s="303" t="s">
        <v>575</v>
      </c>
      <c r="G71" s="299">
        <f t="shared" si="23"/>
        <v>576.14</v>
      </c>
      <c r="H71" s="206">
        <v>0</v>
      </c>
      <c r="I71" s="206">
        <f t="shared" si="24"/>
        <v>576.14</v>
      </c>
      <c r="J71" s="299">
        <f t="shared" si="25"/>
        <v>0</v>
      </c>
      <c r="K71" s="299"/>
      <c r="L71" s="747"/>
      <c r="M71" s="206">
        <f t="shared" si="26"/>
        <v>0</v>
      </c>
      <c r="N71" s="299">
        <f t="shared" si="27"/>
        <v>0</v>
      </c>
      <c r="O71" s="205">
        <v>4</v>
      </c>
    </row>
    <row r="72" spans="1:15">
      <c r="A72" s="207" t="s">
        <v>687</v>
      </c>
      <c r="B72" s="203">
        <v>456</v>
      </c>
      <c r="C72" s="208" t="s">
        <v>693</v>
      </c>
      <c r="D72" s="204" t="s">
        <v>694</v>
      </c>
      <c r="E72" s="1096">
        <v>133079.85</v>
      </c>
      <c r="F72" s="303" t="s">
        <v>575</v>
      </c>
      <c r="G72" s="299">
        <f t="shared" si="23"/>
        <v>133079.85</v>
      </c>
      <c r="H72" s="206">
        <v>0</v>
      </c>
      <c r="I72" s="206">
        <f t="shared" si="24"/>
        <v>133079.85</v>
      </c>
      <c r="J72" s="299">
        <f t="shared" si="25"/>
        <v>0</v>
      </c>
      <c r="K72" s="299"/>
      <c r="L72" s="747"/>
      <c r="M72" s="206">
        <f t="shared" si="26"/>
        <v>0</v>
      </c>
      <c r="N72" s="299">
        <f t="shared" si="27"/>
        <v>0</v>
      </c>
      <c r="O72" s="205">
        <v>4</v>
      </c>
    </row>
    <row r="73" spans="1:15">
      <c r="A73" s="207" t="s">
        <v>688</v>
      </c>
      <c r="B73" s="203">
        <v>456</v>
      </c>
      <c r="C73" s="208" t="s">
        <v>696</v>
      </c>
      <c r="D73" s="204" t="s">
        <v>697</v>
      </c>
      <c r="E73" s="1096"/>
      <c r="F73" s="303" t="s">
        <v>575</v>
      </c>
      <c r="G73" s="299">
        <f t="shared" si="23"/>
        <v>0</v>
      </c>
      <c r="H73" s="206">
        <v>0</v>
      </c>
      <c r="I73" s="206">
        <f t="shared" si="24"/>
        <v>0</v>
      </c>
      <c r="J73" s="299">
        <f t="shared" si="25"/>
        <v>0</v>
      </c>
      <c r="K73" s="299"/>
      <c r="L73" s="747"/>
      <c r="M73" s="206">
        <f t="shared" si="26"/>
        <v>0</v>
      </c>
      <c r="N73" s="299">
        <f t="shared" si="27"/>
        <v>0</v>
      </c>
      <c r="O73" s="205">
        <v>3</v>
      </c>
    </row>
    <row r="74" spans="1:15">
      <c r="A74" s="202" t="s">
        <v>695</v>
      </c>
      <c r="B74" s="203">
        <v>456</v>
      </c>
      <c r="C74" s="204" t="s">
        <v>699</v>
      </c>
      <c r="D74" s="204" t="s">
        <v>700</v>
      </c>
      <c r="E74" s="1096">
        <v>160</v>
      </c>
      <c r="F74" s="303" t="s">
        <v>575</v>
      </c>
      <c r="G74" s="299">
        <f t="shared" si="23"/>
        <v>160</v>
      </c>
      <c r="H74" s="206">
        <v>0</v>
      </c>
      <c r="I74" s="206">
        <f t="shared" si="24"/>
        <v>160</v>
      </c>
      <c r="J74" s="299">
        <f t="shared" si="25"/>
        <v>0</v>
      </c>
      <c r="K74" s="299"/>
      <c r="L74" s="747"/>
      <c r="M74" s="206">
        <f t="shared" si="26"/>
        <v>0</v>
      </c>
      <c r="N74" s="299">
        <f t="shared" si="27"/>
        <v>0</v>
      </c>
      <c r="O74" s="205">
        <v>1</v>
      </c>
    </row>
    <row r="75" spans="1:15">
      <c r="A75" s="202" t="s">
        <v>698</v>
      </c>
      <c r="B75" s="203">
        <v>456</v>
      </c>
      <c r="C75" s="204" t="s">
        <v>702</v>
      </c>
      <c r="D75" s="204" t="s">
        <v>703</v>
      </c>
      <c r="E75" s="1096">
        <v>803911.17</v>
      </c>
      <c r="F75" s="303" t="s">
        <v>575</v>
      </c>
      <c r="G75" s="299">
        <f t="shared" si="23"/>
        <v>803911.17</v>
      </c>
      <c r="H75" s="206">
        <v>0</v>
      </c>
      <c r="I75" s="206">
        <f t="shared" si="24"/>
        <v>803911.17</v>
      </c>
      <c r="J75" s="299">
        <f t="shared" si="25"/>
        <v>0</v>
      </c>
      <c r="K75" s="299"/>
      <c r="L75" s="747"/>
      <c r="M75" s="206">
        <f t="shared" si="26"/>
        <v>0</v>
      </c>
      <c r="N75" s="299">
        <f t="shared" si="27"/>
        <v>0</v>
      </c>
      <c r="O75" s="205">
        <v>1</v>
      </c>
    </row>
    <row r="76" spans="1:15">
      <c r="A76" s="202" t="s">
        <v>701</v>
      </c>
      <c r="B76" s="203">
        <v>456</v>
      </c>
      <c r="C76" s="204" t="s">
        <v>705</v>
      </c>
      <c r="D76" s="204" t="s">
        <v>706</v>
      </c>
      <c r="E76" s="1096"/>
      <c r="F76" s="303" t="s">
        <v>575</v>
      </c>
      <c r="G76" s="299">
        <f t="shared" si="23"/>
        <v>0</v>
      </c>
      <c r="H76" s="206">
        <v>0</v>
      </c>
      <c r="I76" s="206">
        <f t="shared" si="24"/>
        <v>0</v>
      </c>
      <c r="J76" s="299">
        <f t="shared" si="25"/>
        <v>0</v>
      </c>
      <c r="K76" s="299"/>
      <c r="L76" s="747"/>
      <c r="M76" s="206">
        <f t="shared" si="26"/>
        <v>0</v>
      </c>
      <c r="N76" s="299">
        <f t="shared" si="27"/>
        <v>0</v>
      </c>
      <c r="O76" s="205">
        <v>3</v>
      </c>
    </row>
    <row r="77" spans="1:15">
      <c r="A77" s="202" t="s">
        <v>704</v>
      </c>
      <c r="B77" s="203">
        <v>456</v>
      </c>
      <c r="C77" s="203">
        <v>4186142</v>
      </c>
      <c r="D77" s="204" t="s">
        <v>1392</v>
      </c>
      <c r="E77" s="1096">
        <v>3427.67</v>
      </c>
      <c r="F77" s="303" t="s">
        <v>575</v>
      </c>
      <c r="G77" s="299">
        <f t="shared" si="23"/>
        <v>3427.67</v>
      </c>
      <c r="H77" s="206">
        <v>0</v>
      </c>
      <c r="I77" s="206">
        <f t="shared" si="24"/>
        <v>3427.67</v>
      </c>
      <c r="J77" s="299">
        <f t="shared" si="25"/>
        <v>0</v>
      </c>
      <c r="K77" s="299"/>
      <c r="L77" s="747"/>
      <c r="M77" s="206">
        <f t="shared" si="26"/>
        <v>0</v>
      </c>
      <c r="N77" s="299">
        <f t="shared" si="27"/>
        <v>0</v>
      </c>
      <c r="O77" s="205">
        <v>4</v>
      </c>
    </row>
    <row r="78" spans="1:15">
      <c r="A78" s="202" t="s">
        <v>707</v>
      </c>
      <c r="B78" s="203">
        <v>456</v>
      </c>
      <c r="C78" s="204" t="s">
        <v>708</v>
      </c>
      <c r="D78" s="204" t="s">
        <v>709</v>
      </c>
      <c r="E78" s="1096"/>
      <c r="F78" s="303" t="s">
        <v>575</v>
      </c>
      <c r="G78" s="299">
        <f t="shared" si="23"/>
        <v>0</v>
      </c>
      <c r="H78" s="206">
        <f>E78*$D$231</f>
        <v>0</v>
      </c>
      <c r="I78" s="206">
        <f t="shared" si="24"/>
        <v>0</v>
      </c>
      <c r="J78" s="299">
        <f t="shared" si="25"/>
        <v>0</v>
      </c>
      <c r="K78" s="299"/>
      <c r="L78" s="747"/>
      <c r="M78" s="206">
        <f t="shared" si="26"/>
        <v>0</v>
      </c>
      <c r="N78" s="299">
        <f t="shared" si="27"/>
        <v>0</v>
      </c>
      <c r="O78" s="205">
        <v>7</v>
      </c>
    </row>
    <row r="79" spans="1:15">
      <c r="A79" s="202" t="s">
        <v>710</v>
      </c>
      <c r="B79" s="203">
        <v>456</v>
      </c>
      <c r="C79" s="204" t="s">
        <v>711</v>
      </c>
      <c r="D79" s="204" t="s">
        <v>712</v>
      </c>
      <c r="E79" s="1096">
        <v>8005.24</v>
      </c>
      <c r="F79" s="303" t="s">
        <v>577</v>
      </c>
      <c r="G79" s="1372">
        <f>I79+H79</f>
        <v>473.83015560000001</v>
      </c>
      <c r="H79" s="992">
        <f>E79*$D$237</f>
        <v>473.83015560000001</v>
      </c>
      <c r="I79" s="992">
        <v>0</v>
      </c>
      <c r="J79" s="299">
        <f t="shared" si="25"/>
        <v>0</v>
      </c>
      <c r="K79" s="299"/>
      <c r="L79" s="747"/>
      <c r="M79" s="206">
        <f t="shared" si="26"/>
        <v>0</v>
      </c>
      <c r="N79" s="299">
        <f>IF(F79=$N$2,E79-H79,0)</f>
        <v>7531.4098444000001</v>
      </c>
      <c r="O79" s="205" t="s">
        <v>654</v>
      </c>
    </row>
    <row r="80" spans="1:15">
      <c r="A80" s="202" t="s">
        <v>713</v>
      </c>
      <c r="B80" s="203">
        <v>456</v>
      </c>
      <c r="C80" s="204" t="s">
        <v>714</v>
      </c>
      <c r="D80" s="204" t="s">
        <v>715</v>
      </c>
      <c r="E80" s="1096">
        <v>1446.84</v>
      </c>
      <c r="F80" s="303" t="s">
        <v>575</v>
      </c>
      <c r="G80" s="299">
        <f t="shared" ref="G80:G119" si="28">IF(F80=$G$2,E80,0)</f>
        <v>1446.84</v>
      </c>
      <c r="H80" s="206">
        <v>0</v>
      </c>
      <c r="I80" s="206">
        <f t="shared" ref="I80:I85" si="29">G80-H80</f>
        <v>1446.84</v>
      </c>
      <c r="J80" s="299">
        <f t="shared" si="25"/>
        <v>0</v>
      </c>
      <c r="K80" s="299"/>
      <c r="L80" s="747"/>
      <c r="M80" s="206">
        <f t="shared" si="26"/>
        <v>0</v>
      </c>
      <c r="N80" s="299">
        <f t="shared" ref="N80:N85" si="30">IF(F80=$N$2,E80,0)</f>
        <v>0</v>
      </c>
      <c r="O80" s="205">
        <v>4</v>
      </c>
    </row>
    <row r="81" spans="1:15">
      <c r="A81" s="202" t="s">
        <v>716</v>
      </c>
      <c r="B81" s="203">
        <v>456</v>
      </c>
      <c r="C81" s="204" t="s">
        <v>717</v>
      </c>
      <c r="D81" s="204" t="s">
        <v>718</v>
      </c>
      <c r="E81" s="1096">
        <v>14521.92</v>
      </c>
      <c r="F81" s="303" t="s">
        <v>575</v>
      </c>
      <c r="G81" s="299">
        <f t="shared" si="28"/>
        <v>14521.92</v>
      </c>
      <c r="H81" s="206">
        <v>0</v>
      </c>
      <c r="I81" s="206">
        <f t="shared" si="29"/>
        <v>14521.92</v>
      </c>
      <c r="J81" s="299">
        <f t="shared" si="25"/>
        <v>0</v>
      </c>
      <c r="K81" s="299"/>
      <c r="L81" s="747"/>
      <c r="M81" s="206">
        <f t="shared" si="26"/>
        <v>0</v>
      </c>
      <c r="N81" s="299">
        <f t="shared" si="30"/>
        <v>0</v>
      </c>
      <c r="O81" s="205">
        <v>4</v>
      </c>
    </row>
    <row r="82" spans="1:15">
      <c r="A82" s="202" t="s">
        <v>719</v>
      </c>
      <c r="B82" s="203">
        <v>456</v>
      </c>
      <c r="C82" s="204" t="s">
        <v>720</v>
      </c>
      <c r="D82" s="204" t="s">
        <v>721</v>
      </c>
      <c r="E82" s="1096">
        <v>4387.92</v>
      </c>
      <c r="F82" s="303" t="s">
        <v>575</v>
      </c>
      <c r="G82" s="299">
        <f t="shared" si="28"/>
        <v>4387.92</v>
      </c>
      <c r="H82" s="206">
        <v>0</v>
      </c>
      <c r="I82" s="206">
        <f t="shared" si="29"/>
        <v>4387.92</v>
      </c>
      <c r="J82" s="299">
        <f t="shared" si="25"/>
        <v>0</v>
      </c>
      <c r="K82" s="299"/>
      <c r="L82" s="747"/>
      <c r="M82" s="206">
        <f t="shared" si="26"/>
        <v>0</v>
      </c>
      <c r="N82" s="299">
        <f t="shared" si="30"/>
        <v>0</v>
      </c>
      <c r="O82" s="205">
        <v>4</v>
      </c>
    </row>
    <row r="83" spans="1:15">
      <c r="A83" s="202" t="s">
        <v>722</v>
      </c>
      <c r="B83" s="203">
        <v>456</v>
      </c>
      <c r="C83" s="204" t="s">
        <v>723</v>
      </c>
      <c r="D83" s="204" t="s">
        <v>724</v>
      </c>
      <c r="E83" s="1096">
        <v>993</v>
      </c>
      <c r="F83" s="303" t="s">
        <v>575</v>
      </c>
      <c r="G83" s="299">
        <f t="shared" si="28"/>
        <v>993</v>
      </c>
      <c r="H83" s="206">
        <v>0</v>
      </c>
      <c r="I83" s="206">
        <f t="shared" si="29"/>
        <v>993</v>
      </c>
      <c r="J83" s="299">
        <f t="shared" si="25"/>
        <v>0</v>
      </c>
      <c r="K83" s="299"/>
      <c r="L83" s="747"/>
      <c r="M83" s="206">
        <f t="shared" si="26"/>
        <v>0</v>
      </c>
      <c r="N83" s="299">
        <f t="shared" si="30"/>
        <v>0</v>
      </c>
      <c r="O83" s="205">
        <v>4</v>
      </c>
    </row>
    <row r="84" spans="1:15">
      <c r="A84" s="202" t="s">
        <v>725</v>
      </c>
      <c r="B84" s="203">
        <v>456</v>
      </c>
      <c r="C84" s="204" t="s">
        <v>726</v>
      </c>
      <c r="D84" s="204" t="s">
        <v>727</v>
      </c>
      <c r="E84" s="1096">
        <v>844.92</v>
      </c>
      <c r="F84" s="303" t="s">
        <v>575</v>
      </c>
      <c r="G84" s="299">
        <f t="shared" si="28"/>
        <v>844.92</v>
      </c>
      <c r="H84" s="206">
        <v>0</v>
      </c>
      <c r="I84" s="206">
        <f t="shared" si="29"/>
        <v>844.92</v>
      </c>
      <c r="J84" s="299">
        <f t="shared" si="25"/>
        <v>0</v>
      </c>
      <c r="K84" s="299"/>
      <c r="L84" s="747"/>
      <c r="M84" s="206">
        <f t="shared" si="26"/>
        <v>0</v>
      </c>
      <c r="N84" s="299">
        <f t="shared" si="30"/>
        <v>0</v>
      </c>
      <c r="O84" s="205">
        <v>4</v>
      </c>
    </row>
    <row r="85" spans="1:15">
      <c r="A85" s="202" t="s">
        <v>728</v>
      </c>
      <c r="B85" s="203">
        <v>456</v>
      </c>
      <c r="C85" s="204" t="s">
        <v>729</v>
      </c>
      <c r="D85" s="204" t="s">
        <v>730</v>
      </c>
      <c r="E85" s="1096">
        <v>173880</v>
      </c>
      <c r="F85" s="303" t="s">
        <v>575</v>
      </c>
      <c r="G85" s="299">
        <f t="shared" si="28"/>
        <v>173880</v>
      </c>
      <c r="H85" s="206">
        <v>0</v>
      </c>
      <c r="I85" s="206">
        <f t="shared" si="29"/>
        <v>173880</v>
      </c>
      <c r="J85" s="299">
        <f t="shared" si="25"/>
        <v>0</v>
      </c>
      <c r="K85" s="299"/>
      <c r="L85" s="747"/>
      <c r="M85" s="206">
        <f t="shared" si="26"/>
        <v>0</v>
      </c>
      <c r="N85" s="299">
        <f t="shared" si="30"/>
        <v>0</v>
      </c>
      <c r="O85" s="205">
        <v>4</v>
      </c>
    </row>
    <row r="86" spans="1:15">
      <c r="A86" s="202" t="s">
        <v>731</v>
      </c>
      <c r="B86" s="203">
        <v>456</v>
      </c>
      <c r="C86" s="204" t="s">
        <v>732</v>
      </c>
      <c r="D86" s="204" t="s">
        <v>733</v>
      </c>
      <c r="E86" s="1096">
        <v>1965773.85</v>
      </c>
      <c r="F86" s="303" t="s">
        <v>576</v>
      </c>
      <c r="G86" s="299">
        <f t="shared" si="28"/>
        <v>0</v>
      </c>
      <c r="H86" s="206">
        <v>0</v>
      </c>
      <c r="I86" s="206">
        <f t="shared" ref="I86:I96" si="31">G86-H86</f>
        <v>0</v>
      </c>
      <c r="J86" s="299">
        <f t="shared" ref="J86:J96" si="32">IF(F86=$J$2,E86,0)</f>
        <v>1965773.85</v>
      </c>
      <c r="K86" s="338" t="s">
        <v>617</v>
      </c>
      <c r="L86" s="1097">
        <v>315815.45309682202</v>
      </c>
      <c r="M86" s="206">
        <f t="shared" ref="M86:M96" si="33">J86-L86</f>
        <v>1649958.3969031782</v>
      </c>
      <c r="N86" s="299">
        <f t="shared" ref="N86:N96" si="34">IF(F86=$N$2,E86,0)</f>
        <v>0</v>
      </c>
      <c r="O86" s="205">
        <v>2</v>
      </c>
    </row>
    <row r="87" spans="1:15">
      <c r="A87" s="202" t="s">
        <v>734</v>
      </c>
      <c r="B87" s="203">
        <v>456</v>
      </c>
      <c r="C87" s="204" t="s">
        <v>735</v>
      </c>
      <c r="D87" s="204" t="s">
        <v>736</v>
      </c>
      <c r="E87" s="1096">
        <v>161224.70000000001</v>
      </c>
      <c r="F87" s="303" t="s">
        <v>576</v>
      </c>
      <c r="G87" s="299">
        <f t="shared" si="28"/>
        <v>0</v>
      </c>
      <c r="H87" s="206">
        <v>0</v>
      </c>
      <c r="I87" s="206">
        <f t="shared" si="31"/>
        <v>0</v>
      </c>
      <c r="J87" s="299">
        <f t="shared" si="32"/>
        <v>161224.70000000001</v>
      </c>
      <c r="K87" s="338" t="s">
        <v>617</v>
      </c>
      <c r="L87" s="1097">
        <v>37882.929004293001</v>
      </c>
      <c r="M87" s="206">
        <f t="shared" si="33"/>
        <v>123341.77099570702</v>
      </c>
      <c r="N87" s="299">
        <f t="shared" si="34"/>
        <v>0</v>
      </c>
      <c r="O87" s="205">
        <v>2</v>
      </c>
    </row>
    <row r="88" spans="1:15">
      <c r="A88" s="202" t="s">
        <v>737</v>
      </c>
      <c r="B88" s="203">
        <v>456</v>
      </c>
      <c r="C88" s="204" t="s">
        <v>738</v>
      </c>
      <c r="D88" s="204" t="s">
        <v>739</v>
      </c>
      <c r="E88" s="1096">
        <v>40875</v>
      </c>
      <c r="F88" s="303" t="s">
        <v>576</v>
      </c>
      <c r="G88" s="299">
        <f t="shared" si="28"/>
        <v>0</v>
      </c>
      <c r="H88" s="206">
        <v>0</v>
      </c>
      <c r="I88" s="206">
        <f t="shared" si="31"/>
        <v>0</v>
      </c>
      <c r="J88" s="299">
        <f t="shared" si="32"/>
        <v>40875</v>
      </c>
      <c r="K88" s="338" t="s">
        <v>617</v>
      </c>
      <c r="L88" s="747">
        <v>84.116480806000098</v>
      </c>
      <c r="M88" s="206">
        <f t="shared" si="33"/>
        <v>40790.883519194002</v>
      </c>
      <c r="N88" s="299">
        <f t="shared" si="34"/>
        <v>0</v>
      </c>
      <c r="O88" s="205">
        <v>2</v>
      </c>
    </row>
    <row r="89" spans="1:15">
      <c r="A89" s="995" t="s">
        <v>740</v>
      </c>
      <c r="B89" s="203">
        <v>456</v>
      </c>
      <c r="C89" s="204" t="s">
        <v>742</v>
      </c>
      <c r="D89" s="204" t="s">
        <v>743</v>
      </c>
      <c r="E89" s="1096"/>
      <c r="F89" s="303" t="s">
        <v>576</v>
      </c>
      <c r="G89" s="299">
        <f t="shared" si="28"/>
        <v>0</v>
      </c>
      <c r="H89" s="206">
        <v>0</v>
      </c>
      <c r="I89" s="206">
        <f t="shared" si="31"/>
        <v>0</v>
      </c>
      <c r="J89" s="299">
        <f t="shared" si="32"/>
        <v>0</v>
      </c>
      <c r="K89" s="338" t="s">
        <v>617</v>
      </c>
      <c r="L89" s="747"/>
      <c r="M89" s="206">
        <f t="shared" si="33"/>
        <v>0</v>
      </c>
      <c r="N89" s="299">
        <f t="shared" si="34"/>
        <v>0</v>
      </c>
      <c r="O89" s="205">
        <v>2</v>
      </c>
    </row>
    <row r="90" spans="1:15">
      <c r="A90" s="995" t="s">
        <v>741</v>
      </c>
      <c r="B90" s="203">
        <v>456</v>
      </c>
      <c r="C90" s="204" t="s">
        <v>745</v>
      </c>
      <c r="D90" s="204" t="s">
        <v>746</v>
      </c>
      <c r="E90" s="1096">
        <v>1700</v>
      </c>
      <c r="F90" s="303" t="s">
        <v>576</v>
      </c>
      <c r="G90" s="299">
        <f t="shared" si="28"/>
        <v>0</v>
      </c>
      <c r="H90" s="206">
        <v>0</v>
      </c>
      <c r="I90" s="206">
        <f t="shared" si="31"/>
        <v>0</v>
      </c>
      <c r="J90" s="299">
        <f t="shared" si="32"/>
        <v>1700</v>
      </c>
      <c r="K90" s="338" t="s">
        <v>617</v>
      </c>
      <c r="L90" s="747">
        <v>0</v>
      </c>
      <c r="M90" s="206">
        <f t="shared" si="33"/>
        <v>1700</v>
      </c>
      <c r="N90" s="299">
        <f t="shared" si="34"/>
        <v>0</v>
      </c>
      <c r="O90" s="205">
        <v>2</v>
      </c>
    </row>
    <row r="91" spans="1:15">
      <c r="A91" s="995" t="s">
        <v>744</v>
      </c>
      <c r="B91" s="203">
        <v>456</v>
      </c>
      <c r="C91" s="204" t="s">
        <v>748</v>
      </c>
      <c r="D91" s="204" t="s">
        <v>749</v>
      </c>
      <c r="E91" s="1096">
        <v>3775</v>
      </c>
      <c r="F91" s="303" t="s">
        <v>576</v>
      </c>
      <c r="G91" s="299">
        <f t="shared" si="28"/>
        <v>0</v>
      </c>
      <c r="H91" s="206">
        <v>0</v>
      </c>
      <c r="I91" s="206">
        <f t="shared" si="31"/>
        <v>0</v>
      </c>
      <c r="J91" s="299">
        <f t="shared" si="32"/>
        <v>3775</v>
      </c>
      <c r="K91" s="338" t="s">
        <v>617</v>
      </c>
      <c r="L91" s="747">
        <v>2775</v>
      </c>
      <c r="M91" s="206">
        <f t="shared" si="33"/>
        <v>1000</v>
      </c>
      <c r="N91" s="299">
        <f t="shared" si="34"/>
        <v>0</v>
      </c>
      <c r="O91" s="205">
        <v>2</v>
      </c>
    </row>
    <row r="92" spans="1:15">
      <c r="A92" s="995" t="s">
        <v>747</v>
      </c>
      <c r="B92" s="203">
        <v>456</v>
      </c>
      <c r="C92" s="204" t="s">
        <v>750</v>
      </c>
      <c r="D92" s="204" t="s">
        <v>751</v>
      </c>
      <c r="E92" s="1096"/>
      <c r="F92" s="303" t="s">
        <v>576</v>
      </c>
      <c r="G92" s="299">
        <f t="shared" si="28"/>
        <v>0</v>
      </c>
      <c r="H92" s="206">
        <v>0</v>
      </c>
      <c r="I92" s="206">
        <f t="shared" si="31"/>
        <v>0</v>
      </c>
      <c r="J92" s="299">
        <f t="shared" si="32"/>
        <v>0</v>
      </c>
      <c r="K92" s="338" t="s">
        <v>561</v>
      </c>
      <c r="L92" s="747"/>
      <c r="M92" s="206">
        <f t="shared" si="33"/>
        <v>0</v>
      </c>
      <c r="N92" s="299">
        <f t="shared" si="34"/>
        <v>0</v>
      </c>
      <c r="O92" s="205">
        <v>2</v>
      </c>
    </row>
    <row r="93" spans="1:15">
      <c r="A93" s="1315" t="s">
        <v>814</v>
      </c>
      <c r="B93" s="203">
        <v>456</v>
      </c>
      <c r="C93" s="204" t="s">
        <v>753</v>
      </c>
      <c r="D93" s="204" t="s">
        <v>754</v>
      </c>
      <c r="E93" s="1096"/>
      <c r="F93" s="303" t="s">
        <v>576</v>
      </c>
      <c r="G93" s="299">
        <f t="shared" si="28"/>
        <v>0</v>
      </c>
      <c r="H93" s="206">
        <v>0</v>
      </c>
      <c r="I93" s="206">
        <f t="shared" si="31"/>
        <v>0</v>
      </c>
      <c r="J93" s="299">
        <f t="shared" si="32"/>
        <v>0</v>
      </c>
      <c r="K93" s="338" t="s">
        <v>561</v>
      </c>
      <c r="L93" s="747"/>
      <c r="M93" s="206">
        <f t="shared" si="33"/>
        <v>0</v>
      </c>
      <c r="N93" s="299">
        <f t="shared" si="34"/>
        <v>0</v>
      </c>
      <c r="O93" s="205">
        <v>2</v>
      </c>
    </row>
    <row r="94" spans="1:15">
      <c r="A94" s="1314" t="s">
        <v>817</v>
      </c>
      <c r="B94" s="203">
        <v>456</v>
      </c>
      <c r="C94" s="204" t="s">
        <v>756</v>
      </c>
      <c r="D94" s="204" t="s">
        <v>757</v>
      </c>
      <c r="E94" s="1096"/>
      <c r="F94" s="303" t="s">
        <v>576</v>
      </c>
      <c r="G94" s="299">
        <f t="shared" si="28"/>
        <v>0</v>
      </c>
      <c r="H94" s="206">
        <v>0</v>
      </c>
      <c r="I94" s="206">
        <f t="shared" si="31"/>
        <v>0</v>
      </c>
      <c r="J94" s="299">
        <f t="shared" si="32"/>
        <v>0</v>
      </c>
      <c r="K94" s="338" t="s">
        <v>561</v>
      </c>
      <c r="L94" s="747"/>
      <c r="M94" s="206">
        <f t="shared" si="33"/>
        <v>0</v>
      </c>
      <c r="N94" s="299">
        <f t="shared" si="34"/>
        <v>0</v>
      </c>
      <c r="O94" s="205">
        <v>2</v>
      </c>
    </row>
    <row r="95" spans="1:15">
      <c r="A95" s="1315" t="s">
        <v>820</v>
      </c>
      <c r="B95" s="203">
        <v>456</v>
      </c>
      <c r="C95" s="204" t="s">
        <v>759</v>
      </c>
      <c r="D95" s="204" t="s">
        <v>760</v>
      </c>
      <c r="E95" s="1096"/>
      <c r="F95" s="303" t="s">
        <v>576</v>
      </c>
      <c r="G95" s="299">
        <f t="shared" si="28"/>
        <v>0</v>
      </c>
      <c r="H95" s="206">
        <v>0</v>
      </c>
      <c r="I95" s="206">
        <f t="shared" si="31"/>
        <v>0</v>
      </c>
      <c r="J95" s="299">
        <f t="shared" si="32"/>
        <v>0</v>
      </c>
      <c r="K95" s="338" t="s">
        <v>561</v>
      </c>
      <c r="L95" s="747"/>
      <c r="M95" s="206">
        <f t="shared" si="33"/>
        <v>0</v>
      </c>
      <c r="N95" s="299">
        <f t="shared" si="34"/>
        <v>0</v>
      </c>
      <c r="O95" s="205">
        <v>2</v>
      </c>
    </row>
    <row r="96" spans="1:15">
      <c r="A96" s="202" t="s">
        <v>752</v>
      </c>
      <c r="B96" s="203">
        <v>456</v>
      </c>
      <c r="C96" s="204" t="s">
        <v>762</v>
      </c>
      <c r="D96" s="204" t="s">
        <v>763</v>
      </c>
      <c r="E96" s="1096">
        <v>56262.27</v>
      </c>
      <c r="F96" s="303" t="s">
        <v>576</v>
      </c>
      <c r="G96" s="299">
        <f t="shared" si="28"/>
        <v>0</v>
      </c>
      <c r="H96" s="206">
        <v>0</v>
      </c>
      <c r="I96" s="206">
        <f t="shared" si="31"/>
        <v>0</v>
      </c>
      <c r="J96" s="299">
        <f t="shared" si="32"/>
        <v>56262.27</v>
      </c>
      <c r="K96" s="338" t="s">
        <v>561</v>
      </c>
      <c r="L96" s="1097">
        <v>20209.25</v>
      </c>
      <c r="M96" s="206">
        <f t="shared" si="33"/>
        <v>36053.019999999997</v>
      </c>
      <c r="N96" s="299">
        <f t="shared" si="34"/>
        <v>0</v>
      </c>
      <c r="O96" s="205">
        <v>2</v>
      </c>
    </row>
    <row r="97" spans="1:15">
      <c r="A97" s="202" t="s">
        <v>755</v>
      </c>
      <c r="B97" s="203">
        <v>456</v>
      </c>
      <c r="C97" s="204" t="s">
        <v>765</v>
      </c>
      <c r="D97" s="204" t="s">
        <v>766</v>
      </c>
      <c r="E97" s="1096"/>
      <c r="F97" s="303" t="s">
        <v>577</v>
      </c>
      <c r="G97" s="299">
        <f t="shared" si="28"/>
        <v>0</v>
      </c>
      <c r="H97" s="206">
        <v>0</v>
      </c>
      <c r="I97" s="206">
        <f t="shared" ref="I97:I119" si="35">G97-H97</f>
        <v>0</v>
      </c>
      <c r="J97" s="299">
        <f t="shared" ref="J97:J119" si="36">IF(F97=$J$2,E97,0)</f>
        <v>0</v>
      </c>
      <c r="K97" s="299"/>
      <c r="L97" s="747"/>
      <c r="M97" s="206">
        <f t="shared" ref="M97:M119" si="37">J97-L97</f>
        <v>0</v>
      </c>
      <c r="N97" s="299">
        <f t="shared" ref="N97:N104" si="38">IF(F97=$N$2,E97,0)</f>
        <v>0</v>
      </c>
      <c r="O97" s="205">
        <v>6</v>
      </c>
    </row>
    <row r="98" spans="1:15">
      <c r="A98" s="202" t="s">
        <v>758</v>
      </c>
      <c r="B98" s="203">
        <v>456</v>
      </c>
      <c r="C98" s="204" t="s">
        <v>768</v>
      </c>
      <c r="D98" s="204" t="s">
        <v>769</v>
      </c>
      <c r="E98" s="1096">
        <v>25076869.25</v>
      </c>
      <c r="F98" s="303" t="s">
        <v>575</v>
      </c>
      <c r="G98" s="299">
        <f t="shared" si="28"/>
        <v>25076869.25</v>
      </c>
      <c r="H98" s="206">
        <v>0</v>
      </c>
      <c r="I98" s="206">
        <f t="shared" si="35"/>
        <v>25076869.25</v>
      </c>
      <c r="J98" s="299">
        <f t="shared" si="36"/>
        <v>0</v>
      </c>
      <c r="K98" s="299"/>
      <c r="L98" s="747"/>
      <c r="M98" s="206">
        <f t="shared" si="37"/>
        <v>0</v>
      </c>
      <c r="N98" s="299">
        <f t="shared" si="38"/>
        <v>0</v>
      </c>
      <c r="O98" s="205">
        <v>4</v>
      </c>
    </row>
    <row r="99" spans="1:15">
      <c r="A99" s="202" t="s">
        <v>761</v>
      </c>
      <c r="B99" s="203">
        <v>456</v>
      </c>
      <c r="C99" s="204" t="s">
        <v>771</v>
      </c>
      <c r="D99" s="994" t="s">
        <v>1732</v>
      </c>
      <c r="E99" s="1096">
        <v>-450696490.37</v>
      </c>
      <c r="F99" s="303" t="s">
        <v>577</v>
      </c>
      <c r="G99" s="299">
        <f t="shared" si="28"/>
        <v>0</v>
      </c>
      <c r="H99" s="206">
        <v>0</v>
      </c>
      <c r="I99" s="206">
        <f t="shared" si="35"/>
        <v>0</v>
      </c>
      <c r="J99" s="299">
        <f t="shared" si="36"/>
        <v>0</v>
      </c>
      <c r="K99" s="299"/>
      <c r="L99" s="747"/>
      <c r="M99" s="206">
        <f t="shared" si="37"/>
        <v>0</v>
      </c>
      <c r="N99" s="299">
        <f t="shared" si="38"/>
        <v>-450696490.37</v>
      </c>
      <c r="O99" s="205">
        <v>6</v>
      </c>
    </row>
    <row r="100" spans="1:15">
      <c r="A100" s="202" t="s">
        <v>764</v>
      </c>
      <c r="B100" s="203">
        <v>456</v>
      </c>
      <c r="C100" s="204" t="s">
        <v>773</v>
      </c>
      <c r="D100" s="994" t="s">
        <v>1733</v>
      </c>
      <c r="E100" s="1096">
        <v>-11397579.4</v>
      </c>
      <c r="F100" s="303" t="s">
        <v>577</v>
      </c>
      <c r="G100" s="299">
        <f t="shared" si="28"/>
        <v>0</v>
      </c>
      <c r="H100" s="206">
        <v>0</v>
      </c>
      <c r="I100" s="206">
        <f t="shared" si="35"/>
        <v>0</v>
      </c>
      <c r="J100" s="299">
        <f t="shared" si="36"/>
        <v>0</v>
      </c>
      <c r="K100" s="299"/>
      <c r="L100" s="747"/>
      <c r="M100" s="206">
        <f t="shared" si="37"/>
        <v>0</v>
      </c>
      <c r="N100" s="299">
        <f t="shared" si="38"/>
        <v>-11397579.4</v>
      </c>
      <c r="O100" s="205">
        <v>6</v>
      </c>
    </row>
    <row r="101" spans="1:15">
      <c r="A101" s="202" t="s">
        <v>767</v>
      </c>
      <c r="B101" s="203">
        <v>456</v>
      </c>
      <c r="C101" s="204" t="s">
        <v>775</v>
      </c>
      <c r="D101" s="204" t="s">
        <v>776</v>
      </c>
      <c r="E101" s="1096">
        <v>450696233.61000001</v>
      </c>
      <c r="F101" s="303" t="s">
        <v>577</v>
      </c>
      <c r="G101" s="299">
        <f t="shared" si="28"/>
        <v>0</v>
      </c>
      <c r="H101" s="206">
        <v>0</v>
      </c>
      <c r="I101" s="206">
        <f t="shared" si="35"/>
        <v>0</v>
      </c>
      <c r="J101" s="299">
        <f t="shared" si="36"/>
        <v>0</v>
      </c>
      <c r="K101" s="299"/>
      <c r="L101" s="747"/>
      <c r="M101" s="206">
        <f t="shared" si="37"/>
        <v>0</v>
      </c>
      <c r="N101" s="299">
        <f t="shared" si="38"/>
        <v>450696233.61000001</v>
      </c>
      <c r="O101" s="205">
        <v>6</v>
      </c>
    </row>
    <row r="102" spans="1:15">
      <c r="A102" s="202" t="s">
        <v>770</v>
      </c>
      <c r="B102" s="203">
        <v>456</v>
      </c>
      <c r="C102" s="204" t="s">
        <v>778</v>
      </c>
      <c r="D102" s="204" t="s">
        <v>779</v>
      </c>
      <c r="E102" s="1096">
        <v>11397579.4</v>
      </c>
      <c r="F102" s="303" t="s">
        <v>577</v>
      </c>
      <c r="G102" s="299">
        <f t="shared" si="28"/>
        <v>0</v>
      </c>
      <c r="H102" s="206">
        <v>0</v>
      </c>
      <c r="I102" s="206">
        <f t="shared" si="35"/>
        <v>0</v>
      </c>
      <c r="J102" s="299">
        <f t="shared" si="36"/>
        <v>0</v>
      </c>
      <c r="K102" s="299"/>
      <c r="L102" s="747"/>
      <c r="M102" s="206">
        <f t="shared" si="37"/>
        <v>0</v>
      </c>
      <c r="N102" s="299">
        <f t="shared" si="38"/>
        <v>11397579.4</v>
      </c>
      <c r="O102" s="205">
        <v>6</v>
      </c>
    </row>
    <row r="103" spans="1:15">
      <c r="A103" s="202" t="s">
        <v>772</v>
      </c>
      <c r="B103" s="203">
        <v>456</v>
      </c>
      <c r="C103" s="204" t="s">
        <v>781</v>
      </c>
      <c r="D103" s="994" t="s">
        <v>1734</v>
      </c>
      <c r="E103" s="1096">
        <v>38748031.759999998</v>
      </c>
      <c r="F103" s="303" t="s">
        <v>577</v>
      </c>
      <c r="G103" s="299">
        <f t="shared" si="28"/>
        <v>0</v>
      </c>
      <c r="H103" s="206">
        <v>0</v>
      </c>
      <c r="I103" s="206">
        <f t="shared" si="35"/>
        <v>0</v>
      </c>
      <c r="J103" s="299">
        <f t="shared" si="36"/>
        <v>0</v>
      </c>
      <c r="K103" s="299"/>
      <c r="L103" s="747"/>
      <c r="M103" s="206">
        <f t="shared" si="37"/>
        <v>0</v>
      </c>
      <c r="N103" s="299">
        <f t="shared" si="38"/>
        <v>38748031.759999998</v>
      </c>
      <c r="O103" s="205">
        <v>6</v>
      </c>
    </row>
    <row r="104" spans="1:15">
      <c r="A104" s="202" t="s">
        <v>774</v>
      </c>
      <c r="B104" s="203">
        <v>456</v>
      </c>
      <c r="C104" s="204" t="s">
        <v>783</v>
      </c>
      <c r="D104" s="204" t="s">
        <v>784</v>
      </c>
      <c r="E104" s="1096">
        <v>-38748031.759999998</v>
      </c>
      <c r="F104" s="303" t="s">
        <v>577</v>
      </c>
      <c r="G104" s="299">
        <f t="shared" si="28"/>
        <v>0</v>
      </c>
      <c r="H104" s="206">
        <v>0</v>
      </c>
      <c r="I104" s="206">
        <f t="shared" si="35"/>
        <v>0</v>
      </c>
      <c r="J104" s="299">
        <f t="shared" si="36"/>
        <v>0</v>
      </c>
      <c r="K104" s="299"/>
      <c r="L104" s="747"/>
      <c r="M104" s="206">
        <f t="shared" si="37"/>
        <v>0</v>
      </c>
      <c r="N104" s="299">
        <f t="shared" si="38"/>
        <v>-38748031.759999998</v>
      </c>
      <c r="O104" s="205">
        <v>6</v>
      </c>
    </row>
    <row r="105" spans="1:15">
      <c r="A105" s="202" t="s">
        <v>777</v>
      </c>
      <c r="B105" s="203">
        <v>456</v>
      </c>
      <c r="C105" s="204" t="s">
        <v>786</v>
      </c>
      <c r="D105" s="204" t="s">
        <v>787</v>
      </c>
      <c r="E105" s="1096"/>
      <c r="F105" s="303" t="s">
        <v>576</v>
      </c>
      <c r="G105" s="299">
        <f t="shared" si="28"/>
        <v>0</v>
      </c>
      <c r="H105" s="206">
        <v>0</v>
      </c>
      <c r="I105" s="206">
        <f t="shared" si="35"/>
        <v>0</v>
      </c>
      <c r="J105" s="299">
        <f t="shared" si="36"/>
        <v>0</v>
      </c>
      <c r="K105" s="338" t="s">
        <v>561</v>
      </c>
      <c r="L105" s="747"/>
      <c r="M105" s="206">
        <f t="shared" si="37"/>
        <v>0</v>
      </c>
      <c r="N105" s="299">
        <f t="shared" ref="N105:N106" si="39">IF(F105=$N$2,E105,0)</f>
        <v>0</v>
      </c>
      <c r="O105" s="205">
        <v>2</v>
      </c>
    </row>
    <row r="106" spans="1:15">
      <c r="A106" s="202" t="s">
        <v>780</v>
      </c>
      <c r="B106" s="203">
        <v>456</v>
      </c>
      <c r="C106" s="204" t="s">
        <v>789</v>
      </c>
      <c r="D106" s="204" t="s">
        <v>790</v>
      </c>
      <c r="E106" s="1097"/>
      <c r="F106" s="303" t="s">
        <v>576</v>
      </c>
      <c r="G106" s="299">
        <f t="shared" si="28"/>
        <v>0</v>
      </c>
      <c r="H106" s="206">
        <v>0</v>
      </c>
      <c r="I106" s="206">
        <f t="shared" si="35"/>
        <v>0</v>
      </c>
      <c r="J106" s="299">
        <f t="shared" si="36"/>
        <v>0</v>
      </c>
      <c r="K106" s="338" t="s">
        <v>561</v>
      </c>
      <c r="L106" s="1097"/>
      <c r="M106" s="206">
        <f t="shared" si="37"/>
        <v>0</v>
      </c>
      <c r="N106" s="299">
        <f t="shared" si="39"/>
        <v>0</v>
      </c>
      <c r="O106" s="205">
        <v>2</v>
      </c>
    </row>
    <row r="107" spans="1:15">
      <c r="A107" s="202" t="s">
        <v>782</v>
      </c>
      <c r="B107" s="203">
        <v>456</v>
      </c>
      <c r="C107" s="204" t="s">
        <v>793</v>
      </c>
      <c r="D107" s="204" t="s">
        <v>794</v>
      </c>
      <c r="E107" s="1096">
        <v>137951.74</v>
      </c>
      <c r="F107" s="303" t="s">
        <v>575</v>
      </c>
      <c r="G107" s="299">
        <f t="shared" si="28"/>
        <v>137951.74</v>
      </c>
      <c r="H107" s="206">
        <v>0</v>
      </c>
      <c r="I107" s="206">
        <f t="shared" si="35"/>
        <v>137951.74</v>
      </c>
      <c r="J107" s="299">
        <f t="shared" si="36"/>
        <v>0</v>
      </c>
      <c r="K107" s="299"/>
      <c r="L107" s="747"/>
      <c r="M107" s="206">
        <f t="shared" si="37"/>
        <v>0</v>
      </c>
      <c r="N107" s="299">
        <f t="shared" ref="N107:N122" si="40">IF(F107=$N$2,E107,0)</f>
        <v>0</v>
      </c>
      <c r="O107" s="205">
        <v>1</v>
      </c>
    </row>
    <row r="108" spans="1:15">
      <c r="A108" s="202" t="s">
        <v>785</v>
      </c>
      <c r="B108" s="203">
        <v>456</v>
      </c>
      <c r="C108" s="204" t="s">
        <v>797</v>
      </c>
      <c r="D108" s="204" t="s">
        <v>798</v>
      </c>
      <c r="E108" s="1096">
        <v>4720962.3099999996</v>
      </c>
      <c r="F108" s="303" t="s">
        <v>575</v>
      </c>
      <c r="G108" s="299">
        <f t="shared" si="28"/>
        <v>4720962.3099999996</v>
      </c>
      <c r="H108" s="206">
        <v>0</v>
      </c>
      <c r="I108" s="206">
        <f t="shared" si="35"/>
        <v>4720962.3099999996</v>
      </c>
      <c r="J108" s="299">
        <f t="shared" si="36"/>
        <v>0</v>
      </c>
      <c r="K108" s="299"/>
      <c r="L108" s="747"/>
      <c r="M108" s="206">
        <f t="shared" si="37"/>
        <v>0</v>
      </c>
      <c r="N108" s="299">
        <f t="shared" si="40"/>
        <v>0</v>
      </c>
      <c r="O108" s="205">
        <v>4</v>
      </c>
    </row>
    <row r="109" spans="1:15">
      <c r="A109" s="202" t="s">
        <v>788</v>
      </c>
      <c r="B109" s="203">
        <v>456</v>
      </c>
      <c r="C109" s="204" t="s">
        <v>800</v>
      </c>
      <c r="D109" s="204" t="s">
        <v>801</v>
      </c>
      <c r="E109" s="1096">
        <v>139470</v>
      </c>
      <c r="F109" s="303" t="s">
        <v>575</v>
      </c>
      <c r="G109" s="299">
        <f t="shared" si="28"/>
        <v>139470</v>
      </c>
      <c r="H109" s="206">
        <v>0</v>
      </c>
      <c r="I109" s="206">
        <f t="shared" si="35"/>
        <v>139470</v>
      </c>
      <c r="J109" s="299">
        <f t="shared" si="36"/>
        <v>0</v>
      </c>
      <c r="K109" s="299"/>
      <c r="L109" s="747"/>
      <c r="M109" s="206">
        <f t="shared" si="37"/>
        <v>0</v>
      </c>
      <c r="N109" s="299">
        <f t="shared" si="40"/>
        <v>0</v>
      </c>
      <c r="O109" s="205">
        <v>4</v>
      </c>
    </row>
    <row r="110" spans="1:15">
      <c r="A110" s="995" t="s">
        <v>791</v>
      </c>
      <c r="B110" s="203">
        <v>456</v>
      </c>
      <c r="C110" s="204" t="s">
        <v>803</v>
      </c>
      <c r="D110" s="204" t="s">
        <v>804</v>
      </c>
      <c r="E110" s="1096"/>
      <c r="F110" s="303" t="s">
        <v>575</v>
      </c>
      <c r="G110" s="299">
        <f t="shared" si="28"/>
        <v>0</v>
      </c>
      <c r="H110" s="206">
        <v>0</v>
      </c>
      <c r="I110" s="206">
        <f t="shared" si="35"/>
        <v>0</v>
      </c>
      <c r="J110" s="299">
        <f t="shared" si="36"/>
        <v>0</v>
      </c>
      <c r="K110" s="299"/>
      <c r="L110" s="747"/>
      <c r="M110" s="206">
        <f t="shared" si="37"/>
        <v>0</v>
      </c>
      <c r="N110" s="299">
        <f t="shared" si="40"/>
        <v>0</v>
      </c>
      <c r="O110" s="205">
        <v>4</v>
      </c>
    </row>
    <row r="111" spans="1:15">
      <c r="A111" s="995" t="s">
        <v>792</v>
      </c>
      <c r="B111" s="203">
        <v>456</v>
      </c>
      <c r="C111" s="204" t="s">
        <v>806</v>
      </c>
      <c r="D111" s="204" t="s">
        <v>807</v>
      </c>
      <c r="E111" s="1096"/>
      <c r="F111" s="303" t="s">
        <v>575</v>
      </c>
      <c r="G111" s="299">
        <f t="shared" si="28"/>
        <v>0</v>
      </c>
      <c r="H111" s="206">
        <v>0</v>
      </c>
      <c r="I111" s="206">
        <f t="shared" si="35"/>
        <v>0</v>
      </c>
      <c r="J111" s="299">
        <f t="shared" si="36"/>
        <v>0</v>
      </c>
      <c r="K111" s="299"/>
      <c r="L111" s="747"/>
      <c r="M111" s="206">
        <f t="shared" si="37"/>
        <v>0</v>
      </c>
      <c r="N111" s="299">
        <f t="shared" si="40"/>
        <v>0</v>
      </c>
      <c r="O111" s="205">
        <v>1</v>
      </c>
    </row>
    <row r="112" spans="1:15">
      <c r="A112" s="995" t="s">
        <v>795</v>
      </c>
      <c r="B112" s="203">
        <v>456</v>
      </c>
      <c r="C112" s="204" t="s">
        <v>809</v>
      </c>
      <c r="D112" s="204" t="s">
        <v>810</v>
      </c>
      <c r="E112" s="1096"/>
      <c r="F112" s="303" t="s">
        <v>575</v>
      </c>
      <c r="G112" s="299">
        <f t="shared" si="28"/>
        <v>0</v>
      </c>
      <c r="H112" s="206">
        <v>0</v>
      </c>
      <c r="I112" s="206">
        <f t="shared" si="35"/>
        <v>0</v>
      </c>
      <c r="J112" s="299">
        <f t="shared" si="36"/>
        <v>0</v>
      </c>
      <c r="K112" s="299"/>
      <c r="L112" s="747"/>
      <c r="M112" s="206">
        <f t="shared" si="37"/>
        <v>0</v>
      </c>
      <c r="N112" s="299">
        <f t="shared" si="40"/>
        <v>0</v>
      </c>
      <c r="O112" s="205">
        <v>4</v>
      </c>
    </row>
    <row r="113" spans="1:15">
      <c r="A113" s="995" t="s">
        <v>796</v>
      </c>
      <c r="B113" s="203">
        <v>456</v>
      </c>
      <c r="C113" s="204" t="s">
        <v>812</v>
      </c>
      <c r="D113" s="204" t="s">
        <v>813</v>
      </c>
      <c r="E113" s="1096">
        <v>3322796.92</v>
      </c>
      <c r="F113" s="303" t="s">
        <v>575</v>
      </c>
      <c r="G113" s="299">
        <f t="shared" si="28"/>
        <v>3322796.92</v>
      </c>
      <c r="H113" s="747">
        <v>24627.91</v>
      </c>
      <c r="I113" s="206">
        <f t="shared" si="35"/>
        <v>3298169.01</v>
      </c>
      <c r="J113" s="299">
        <f t="shared" si="36"/>
        <v>0</v>
      </c>
      <c r="K113" s="299"/>
      <c r="L113" s="747"/>
      <c r="M113" s="206">
        <f t="shared" si="37"/>
        <v>0</v>
      </c>
      <c r="N113" s="299">
        <f t="shared" si="40"/>
        <v>0</v>
      </c>
      <c r="O113" s="205">
        <v>8</v>
      </c>
    </row>
    <row r="114" spans="1:15">
      <c r="A114" s="995" t="s">
        <v>799</v>
      </c>
      <c r="B114" s="203">
        <v>456</v>
      </c>
      <c r="C114" s="204" t="s">
        <v>815</v>
      </c>
      <c r="D114" s="204" t="s">
        <v>816</v>
      </c>
      <c r="E114" s="1096">
        <v>15018440.6</v>
      </c>
      <c r="F114" s="303" t="s">
        <v>575</v>
      </c>
      <c r="G114" s="299">
        <f t="shared" si="28"/>
        <v>15018440.6</v>
      </c>
      <c r="H114" s="206">
        <v>0</v>
      </c>
      <c r="I114" s="206">
        <f t="shared" si="35"/>
        <v>15018440.6</v>
      </c>
      <c r="J114" s="299">
        <f t="shared" si="36"/>
        <v>0</v>
      </c>
      <c r="K114" s="299"/>
      <c r="L114" s="747"/>
      <c r="M114" s="206">
        <f t="shared" si="37"/>
        <v>0</v>
      </c>
      <c r="N114" s="299">
        <f t="shared" si="40"/>
        <v>0</v>
      </c>
      <c r="O114" s="205">
        <v>4</v>
      </c>
    </row>
    <row r="115" spans="1:15">
      <c r="A115" s="995" t="s">
        <v>802</v>
      </c>
      <c r="B115" s="203">
        <v>456</v>
      </c>
      <c r="C115" s="204" t="s">
        <v>818</v>
      </c>
      <c r="D115" s="204" t="s">
        <v>819</v>
      </c>
      <c r="E115" s="1096">
        <v>2757</v>
      </c>
      <c r="F115" s="303" t="s">
        <v>575</v>
      </c>
      <c r="G115" s="299">
        <f t="shared" si="28"/>
        <v>2757</v>
      </c>
      <c r="H115" s="206">
        <v>0</v>
      </c>
      <c r="I115" s="206">
        <f t="shared" si="35"/>
        <v>2757</v>
      </c>
      <c r="J115" s="299">
        <f t="shared" si="36"/>
        <v>0</v>
      </c>
      <c r="K115" s="299"/>
      <c r="L115" s="747"/>
      <c r="M115" s="206">
        <f t="shared" si="37"/>
        <v>0</v>
      </c>
      <c r="N115" s="299">
        <f t="shared" si="40"/>
        <v>0</v>
      </c>
      <c r="O115" s="205">
        <v>4</v>
      </c>
    </row>
    <row r="116" spans="1:15">
      <c r="A116" s="995" t="s">
        <v>805</v>
      </c>
      <c r="B116" s="203">
        <v>456</v>
      </c>
      <c r="C116" s="204" t="s">
        <v>821</v>
      </c>
      <c r="D116" s="204" t="s">
        <v>822</v>
      </c>
      <c r="E116" s="1096">
        <v>435631.35999999999</v>
      </c>
      <c r="F116" s="303" t="s">
        <v>575</v>
      </c>
      <c r="G116" s="299">
        <f t="shared" si="28"/>
        <v>435631.35999999999</v>
      </c>
      <c r="H116" s="206">
        <v>0</v>
      </c>
      <c r="I116" s="206">
        <f t="shared" si="35"/>
        <v>435631.35999999999</v>
      </c>
      <c r="J116" s="299">
        <f t="shared" si="36"/>
        <v>0</v>
      </c>
      <c r="K116" s="299"/>
      <c r="L116" s="747"/>
      <c r="M116" s="206">
        <f t="shared" si="37"/>
        <v>0</v>
      </c>
      <c r="N116" s="299">
        <f t="shared" si="40"/>
        <v>0</v>
      </c>
      <c r="O116" s="205">
        <v>6</v>
      </c>
    </row>
    <row r="117" spans="1:15">
      <c r="A117" s="995" t="s">
        <v>808</v>
      </c>
      <c r="B117" s="203">
        <v>456</v>
      </c>
      <c r="C117" s="202" t="s">
        <v>1394</v>
      </c>
      <c r="D117" s="204" t="s">
        <v>1393</v>
      </c>
      <c r="E117" s="1096">
        <f>E130-467086886.66</f>
        <v>513.33999997377396</v>
      </c>
      <c r="F117" s="303" t="s">
        <v>575</v>
      </c>
      <c r="G117" s="299">
        <f t="shared" si="28"/>
        <v>513.33999997377396</v>
      </c>
      <c r="H117" s="206">
        <v>0</v>
      </c>
      <c r="I117" s="206">
        <f t="shared" si="35"/>
        <v>513.33999997377396</v>
      </c>
      <c r="J117" s="299">
        <f t="shared" si="36"/>
        <v>0</v>
      </c>
      <c r="K117" s="299"/>
      <c r="L117" s="747"/>
      <c r="M117" s="206">
        <f t="shared" si="37"/>
        <v>0</v>
      </c>
      <c r="N117" s="299">
        <f t="shared" si="40"/>
        <v>0</v>
      </c>
      <c r="O117" s="205">
        <v>1</v>
      </c>
    </row>
    <row r="118" spans="1:15">
      <c r="A118" s="995" t="s">
        <v>811</v>
      </c>
      <c r="B118" s="203">
        <v>456</v>
      </c>
      <c r="C118" s="203">
        <v>4186911</v>
      </c>
      <c r="D118" s="220" t="s">
        <v>2097</v>
      </c>
      <c r="E118" s="1096">
        <v>4866854.92</v>
      </c>
      <c r="F118" s="303" t="s">
        <v>577</v>
      </c>
      <c r="G118" s="299">
        <f t="shared" si="28"/>
        <v>0</v>
      </c>
      <c r="H118" s="206">
        <v>0</v>
      </c>
      <c r="I118" s="206">
        <f t="shared" si="35"/>
        <v>0</v>
      </c>
      <c r="J118" s="299">
        <f t="shared" si="36"/>
        <v>0</v>
      </c>
      <c r="K118" s="299"/>
      <c r="L118" s="747"/>
      <c r="M118" s="206">
        <f t="shared" si="37"/>
        <v>0</v>
      </c>
      <c r="N118" s="299">
        <f t="shared" si="40"/>
        <v>4866854.92</v>
      </c>
      <c r="O118" s="205">
        <v>6</v>
      </c>
    </row>
    <row r="119" spans="1:15">
      <c r="A119" s="995" t="s">
        <v>814</v>
      </c>
      <c r="B119" s="203">
        <v>456</v>
      </c>
      <c r="C119" s="203">
        <v>4186925</v>
      </c>
      <c r="D119" s="220" t="s">
        <v>2098</v>
      </c>
      <c r="E119" s="1096">
        <v>384894151.81</v>
      </c>
      <c r="F119" s="303" t="s">
        <v>577</v>
      </c>
      <c r="G119" s="299">
        <f t="shared" si="28"/>
        <v>0</v>
      </c>
      <c r="H119" s="206">
        <v>0</v>
      </c>
      <c r="I119" s="206">
        <f t="shared" si="35"/>
        <v>0</v>
      </c>
      <c r="J119" s="299">
        <f t="shared" si="36"/>
        <v>0</v>
      </c>
      <c r="K119" s="299"/>
      <c r="L119" s="747"/>
      <c r="M119" s="206">
        <f t="shared" si="37"/>
        <v>0</v>
      </c>
      <c r="N119" s="299">
        <f t="shared" si="40"/>
        <v>384894151.81</v>
      </c>
      <c r="O119" s="205">
        <v>6</v>
      </c>
    </row>
    <row r="120" spans="1:15" s="1075" customFormat="1">
      <c r="A120" s="995" t="s">
        <v>817</v>
      </c>
      <c r="B120" s="1368">
        <v>456</v>
      </c>
      <c r="C120" s="1368">
        <v>4186132</v>
      </c>
      <c r="D120" s="1367" t="s">
        <v>2465</v>
      </c>
      <c r="E120" s="1096">
        <v>1589444.76</v>
      </c>
      <c r="F120" s="1096" t="s">
        <v>575</v>
      </c>
      <c r="G120" s="299">
        <f t="shared" ref="G120:G125" si="41">IF(F120=$G$2,E120,0)</f>
        <v>1589444.76</v>
      </c>
      <c r="H120" s="206">
        <v>0</v>
      </c>
      <c r="I120" s="206">
        <f t="shared" ref="I120:I125" si="42">G120-H120</f>
        <v>1589444.76</v>
      </c>
      <c r="J120" s="299">
        <f t="shared" ref="J120:J125" si="43">IF(F120=$J$2,E120,0)</f>
        <v>0</v>
      </c>
      <c r="K120" s="299"/>
      <c r="L120" s="747"/>
      <c r="M120" s="206">
        <f t="shared" ref="M120:M125" si="44">J120-L120</f>
        <v>0</v>
      </c>
      <c r="N120" s="299">
        <f t="shared" si="40"/>
        <v>0</v>
      </c>
      <c r="O120" s="573">
        <v>4</v>
      </c>
    </row>
    <row r="121" spans="1:15" s="1075" customFormat="1">
      <c r="A121" s="995" t="s">
        <v>820</v>
      </c>
      <c r="B121" s="1368">
        <v>456</v>
      </c>
      <c r="C121" s="1368">
        <v>4186116</v>
      </c>
      <c r="D121" s="1367" t="s">
        <v>2466</v>
      </c>
      <c r="E121" s="1096"/>
      <c r="F121" s="1096" t="s">
        <v>575</v>
      </c>
      <c r="G121" s="299">
        <f t="shared" si="41"/>
        <v>0</v>
      </c>
      <c r="H121" s="206">
        <v>0</v>
      </c>
      <c r="I121" s="206">
        <f t="shared" si="42"/>
        <v>0</v>
      </c>
      <c r="J121" s="299">
        <f t="shared" si="43"/>
        <v>0</v>
      </c>
      <c r="K121" s="299"/>
      <c r="L121" s="747"/>
      <c r="M121" s="206">
        <f t="shared" si="44"/>
        <v>0</v>
      </c>
      <c r="N121" s="299">
        <f t="shared" si="40"/>
        <v>0</v>
      </c>
      <c r="O121" s="573">
        <v>4</v>
      </c>
    </row>
    <row r="122" spans="1:15" s="1075" customFormat="1">
      <c r="A122" s="995" t="s">
        <v>1716</v>
      </c>
      <c r="B122" s="1368">
        <v>456</v>
      </c>
      <c r="C122" s="1368">
        <v>4186115</v>
      </c>
      <c r="D122" s="14" t="s">
        <v>2467</v>
      </c>
      <c r="E122" s="1096">
        <v>95176.73</v>
      </c>
      <c r="F122" s="1096" t="s">
        <v>575</v>
      </c>
      <c r="G122" s="299">
        <f t="shared" si="41"/>
        <v>95176.73</v>
      </c>
      <c r="H122" s="206">
        <v>0</v>
      </c>
      <c r="I122" s="206">
        <f t="shared" si="42"/>
        <v>95176.73</v>
      </c>
      <c r="J122" s="299">
        <f t="shared" si="43"/>
        <v>0</v>
      </c>
      <c r="K122" s="299"/>
      <c r="L122" s="747"/>
      <c r="M122" s="206">
        <f t="shared" si="44"/>
        <v>0</v>
      </c>
      <c r="N122" s="299">
        <f t="shared" si="40"/>
        <v>0</v>
      </c>
      <c r="O122" s="573">
        <v>4</v>
      </c>
    </row>
    <row r="123" spans="1:15" s="1075" customFormat="1">
      <c r="A123" s="995" t="s">
        <v>1717</v>
      </c>
      <c r="B123" s="1368">
        <v>456</v>
      </c>
      <c r="C123" s="1368">
        <v>4186156</v>
      </c>
      <c r="D123" s="1367" t="s">
        <v>2468</v>
      </c>
      <c r="E123" s="1096">
        <v>131684.79999999999</v>
      </c>
      <c r="F123" s="1096" t="s">
        <v>577</v>
      </c>
      <c r="G123" s="299">
        <f>H123+I123</f>
        <v>7794.423311999999</v>
      </c>
      <c r="H123" s="206">
        <f>E123*D237</f>
        <v>7794.423311999999</v>
      </c>
      <c r="I123" s="206">
        <v>0</v>
      </c>
      <c r="J123" s="299">
        <f t="shared" si="43"/>
        <v>0</v>
      </c>
      <c r="K123" s="299"/>
      <c r="L123" s="747"/>
      <c r="M123" s="206">
        <f>J123-L123</f>
        <v>0</v>
      </c>
      <c r="N123" s="299">
        <f>IF(F123=$N$2,E123-H123,0)</f>
        <v>123890.37668799999</v>
      </c>
      <c r="O123" s="573" t="s">
        <v>654</v>
      </c>
    </row>
    <row r="124" spans="1:15" s="1075" customFormat="1">
      <c r="A124" s="995" t="s">
        <v>2099</v>
      </c>
      <c r="B124" s="1368">
        <v>456</v>
      </c>
      <c r="C124" s="994" t="s">
        <v>2469</v>
      </c>
      <c r="D124" s="1367" t="s">
        <v>2470</v>
      </c>
      <c r="E124" s="1096">
        <v>19405750</v>
      </c>
      <c r="F124" s="1096" t="s">
        <v>575</v>
      </c>
      <c r="G124" s="299">
        <f t="shared" si="41"/>
        <v>19405750</v>
      </c>
      <c r="H124" s="206">
        <v>0</v>
      </c>
      <c r="I124" s="206">
        <f t="shared" si="42"/>
        <v>19405750</v>
      </c>
      <c r="J124" s="299">
        <f t="shared" si="43"/>
        <v>0</v>
      </c>
      <c r="K124" s="299"/>
      <c r="L124" s="747"/>
      <c r="M124" s="206">
        <f t="shared" si="44"/>
        <v>0</v>
      </c>
      <c r="N124" s="299">
        <f>IF(F124=$N$2,E124,0)</f>
        <v>0</v>
      </c>
      <c r="O124" s="573">
        <v>4</v>
      </c>
    </row>
    <row r="125" spans="1:15" s="1075" customFormat="1">
      <c r="A125" s="995" t="s">
        <v>2100</v>
      </c>
      <c r="B125" s="1368">
        <v>456</v>
      </c>
      <c r="C125" s="994" t="s">
        <v>702</v>
      </c>
      <c r="D125" s="1367" t="s">
        <v>2471</v>
      </c>
      <c r="E125" s="1096">
        <v>5000</v>
      </c>
      <c r="F125" s="1096" t="s">
        <v>575</v>
      </c>
      <c r="G125" s="299">
        <f t="shared" si="41"/>
        <v>5000</v>
      </c>
      <c r="H125" s="206">
        <f>G125</f>
        <v>5000</v>
      </c>
      <c r="I125" s="206">
        <f t="shared" si="42"/>
        <v>0</v>
      </c>
      <c r="J125" s="299">
        <f t="shared" si="43"/>
        <v>0</v>
      </c>
      <c r="K125" s="299"/>
      <c r="L125" s="747"/>
      <c r="M125" s="206">
        <f t="shared" si="44"/>
        <v>0</v>
      </c>
      <c r="N125" s="299">
        <f>IF(F125=$N$2,E125,0)</f>
        <v>0</v>
      </c>
      <c r="O125" s="573">
        <v>5</v>
      </c>
    </row>
    <row r="126" spans="1:15" s="1075" customFormat="1">
      <c r="A126" s="1229" t="s">
        <v>2893</v>
      </c>
      <c r="B126" s="1230">
        <v>456</v>
      </c>
      <c r="C126" s="1230">
        <v>4186732</v>
      </c>
      <c r="D126" s="1231" t="s">
        <v>2894</v>
      </c>
      <c r="E126" s="1096">
        <v>12000</v>
      </c>
      <c r="F126" s="1096" t="s">
        <v>576</v>
      </c>
      <c r="G126" s="303">
        <f>IF(F126=$G$2,E126,0)</f>
        <v>0</v>
      </c>
      <c r="H126" s="305">
        <v>0</v>
      </c>
      <c r="I126" s="305">
        <f t="shared" ref="I126" si="45">G126-H126</f>
        <v>0</v>
      </c>
      <c r="J126" s="303">
        <f t="shared" ref="J126" si="46">IF(F126=$J$2,E126,0)</f>
        <v>12000</v>
      </c>
      <c r="K126" s="1183" t="s">
        <v>617</v>
      </c>
      <c r="L126" s="747">
        <v>0</v>
      </c>
      <c r="M126" s="305">
        <f t="shared" ref="M126" si="47">J126-L126</f>
        <v>12000</v>
      </c>
      <c r="N126" s="303">
        <f>IF(F126=$N$2,E126,0)</f>
        <v>0</v>
      </c>
      <c r="O126" s="1232">
        <v>2</v>
      </c>
    </row>
    <row r="127" spans="1:15">
      <c r="A127" s="333"/>
      <c r="B127" s="329"/>
      <c r="C127" s="328"/>
      <c r="D127" s="330"/>
      <c r="E127" s="303"/>
      <c r="F127" s="303"/>
      <c r="G127" s="307"/>
      <c r="H127" s="305"/>
      <c r="I127" s="305"/>
      <c r="J127" s="303"/>
      <c r="K127" s="303"/>
      <c r="L127" s="305"/>
      <c r="M127" s="305"/>
      <c r="N127" s="303"/>
      <c r="O127" s="304"/>
    </row>
    <row r="128" spans="1:15">
      <c r="A128" s="333"/>
      <c r="B128" s="329"/>
      <c r="C128" s="328"/>
      <c r="D128" s="330"/>
      <c r="E128" s="303"/>
      <c r="F128" s="303"/>
      <c r="G128" s="307"/>
      <c r="H128" s="305"/>
      <c r="I128" s="305"/>
      <c r="J128" s="303"/>
      <c r="K128" s="303"/>
      <c r="L128" s="305"/>
      <c r="M128" s="305"/>
      <c r="N128" s="303"/>
      <c r="O128" s="304"/>
    </row>
    <row r="129" spans="1:15">
      <c r="A129" s="207">
        <v>13</v>
      </c>
      <c r="B129" s="1399" t="s">
        <v>823</v>
      </c>
      <c r="C129" s="1400"/>
      <c r="D129" s="1401"/>
      <c r="E129" s="312">
        <f>SUM(E70:E128)</f>
        <v>467087400.00000006</v>
      </c>
      <c r="F129" s="321"/>
      <c r="G129" s="312">
        <f>SUM(G70:G128)</f>
        <v>74953617.423467577</v>
      </c>
      <c r="H129" s="312">
        <f>SUM(H70:H128)</f>
        <v>37896.163467599996</v>
      </c>
      <c r="I129" s="312">
        <f>SUM(I70:I128)</f>
        <v>74915721.259999961</v>
      </c>
      <c r="J129" s="312">
        <f>SUM(J70:J128)</f>
        <v>2241610.8200000003</v>
      </c>
      <c r="K129" s="321"/>
      <c r="L129" s="312">
        <f>SUM(L70:L128)</f>
        <v>376766.74858192104</v>
      </c>
      <c r="M129" s="312">
        <f>SUM(M70:M128)</f>
        <v>1864844.0714180793</v>
      </c>
      <c r="N129" s="312">
        <f>SUM(N70:N128)</f>
        <v>389892171.75653243</v>
      </c>
      <c r="O129" s="195"/>
    </row>
    <row r="130" spans="1:15" ht="25.5" customHeight="1">
      <c r="A130" s="207">
        <v>14</v>
      </c>
      <c r="B130" s="1421" t="s">
        <v>1249</v>
      </c>
      <c r="C130" s="1422"/>
      <c r="D130" s="1423"/>
      <c r="E130" s="1228">
        <v>467087400</v>
      </c>
      <c r="F130" s="311"/>
      <c r="G130" s="327"/>
      <c r="H130" s="311"/>
      <c r="I130" s="311"/>
      <c r="J130" s="327"/>
      <c r="K130" s="311"/>
      <c r="L130" s="298"/>
      <c r="M130" s="298"/>
      <c r="N130" s="298"/>
      <c r="O130" s="194"/>
    </row>
    <row r="131" spans="1:15">
      <c r="A131" s="210"/>
      <c r="B131" s="211"/>
      <c r="C131" s="212"/>
      <c r="D131" s="213"/>
      <c r="E131" s="298"/>
      <c r="F131" s="298"/>
      <c r="G131" s="298"/>
      <c r="H131" s="311"/>
      <c r="I131" s="311"/>
      <c r="J131" s="298"/>
      <c r="K131" s="311"/>
      <c r="L131" s="298"/>
      <c r="M131" s="298"/>
      <c r="N131" s="298"/>
      <c r="O131" s="194"/>
    </row>
    <row r="132" spans="1:15">
      <c r="A132" s="207" t="s">
        <v>824</v>
      </c>
      <c r="B132" s="203">
        <v>456.1</v>
      </c>
      <c r="C132" s="208" t="s">
        <v>825</v>
      </c>
      <c r="D132" s="204" t="s">
        <v>826</v>
      </c>
      <c r="E132" s="1097"/>
      <c r="F132" s="303" t="s">
        <v>575</v>
      </c>
      <c r="G132" s="299">
        <f t="shared" ref="G132:G144" si="48">IF(F132=$G$2,E132,0)</f>
        <v>0</v>
      </c>
      <c r="H132" s="206">
        <f>G132</f>
        <v>0</v>
      </c>
      <c r="I132" s="206">
        <f t="shared" ref="I132:I151" si="49">G132-H132</f>
        <v>0</v>
      </c>
      <c r="J132" s="299">
        <f t="shared" ref="J132:J145" si="50">IF(F132=$J$2,E132,0)</f>
        <v>0</v>
      </c>
      <c r="K132" s="338"/>
      <c r="L132" s="305"/>
      <c r="M132" s="206">
        <f>J132-L132</f>
        <v>0</v>
      </c>
      <c r="N132" s="299">
        <f t="shared" ref="N132:N151" si="51">IF(F132=$N$2,E132,0)</f>
        <v>0</v>
      </c>
      <c r="O132" s="205">
        <v>5</v>
      </c>
    </row>
    <row r="133" spans="1:15">
      <c r="A133" s="207" t="s">
        <v>827</v>
      </c>
      <c r="B133" s="203">
        <v>456.1</v>
      </c>
      <c r="C133" s="208" t="s">
        <v>828</v>
      </c>
      <c r="D133" s="204" t="s">
        <v>829</v>
      </c>
      <c r="E133" s="1097">
        <v>296028</v>
      </c>
      <c r="F133" s="303" t="s">
        <v>575</v>
      </c>
      <c r="G133" s="299">
        <f t="shared" si="48"/>
        <v>296028</v>
      </c>
      <c r="H133" s="206">
        <v>0</v>
      </c>
      <c r="I133" s="206">
        <f t="shared" si="49"/>
        <v>296028</v>
      </c>
      <c r="J133" s="299">
        <f t="shared" si="50"/>
        <v>0</v>
      </c>
      <c r="K133" s="338"/>
      <c r="L133" s="305"/>
      <c r="M133" s="206">
        <f>J133-L133</f>
        <v>0</v>
      </c>
      <c r="N133" s="299">
        <f t="shared" si="51"/>
        <v>0</v>
      </c>
      <c r="O133" s="205">
        <v>4</v>
      </c>
    </row>
    <row r="134" spans="1:15">
      <c r="A134" s="207" t="s">
        <v>830</v>
      </c>
      <c r="B134" s="203">
        <v>456.1</v>
      </c>
      <c r="C134" s="208" t="s">
        <v>831</v>
      </c>
      <c r="D134" s="204" t="s">
        <v>832</v>
      </c>
      <c r="E134" s="1097">
        <v>930162.96</v>
      </c>
      <c r="F134" s="303" t="s">
        <v>575</v>
      </c>
      <c r="G134" s="299">
        <f t="shared" si="48"/>
        <v>930162.96</v>
      </c>
      <c r="H134" s="206">
        <v>0</v>
      </c>
      <c r="I134" s="206">
        <f t="shared" si="49"/>
        <v>930162.96</v>
      </c>
      <c r="J134" s="299">
        <f t="shared" si="50"/>
        <v>0</v>
      </c>
      <c r="K134" s="338"/>
      <c r="L134" s="305"/>
      <c r="M134" s="206">
        <f>J134-L134</f>
        <v>0</v>
      </c>
      <c r="N134" s="299">
        <f t="shared" si="51"/>
        <v>0</v>
      </c>
      <c r="O134" s="205">
        <v>4</v>
      </c>
    </row>
    <row r="135" spans="1:15">
      <c r="A135" s="207" t="s">
        <v>833</v>
      </c>
      <c r="B135" s="203">
        <v>456.1</v>
      </c>
      <c r="C135" s="208" t="s">
        <v>834</v>
      </c>
      <c r="D135" s="204" t="s">
        <v>835</v>
      </c>
      <c r="E135" s="1097">
        <v>151885.32999999999</v>
      </c>
      <c r="F135" s="303" t="s">
        <v>577</v>
      </c>
      <c r="G135" s="299">
        <f t="shared" si="48"/>
        <v>0</v>
      </c>
      <c r="H135" s="206">
        <v>0</v>
      </c>
      <c r="I135" s="206">
        <f t="shared" si="49"/>
        <v>0</v>
      </c>
      <c r="J135" s="299">
        <f t="shared" si="50"/>
        <v>0</v>
      </c>
      <c r="K135" s="338"/>
      <c r="L135" s="305"/>
      <c r="M135" s="206">
        <f>J135-L135</f>
        <v>0</v>
      </c>
      <c r="N135" s="299">
        <f t="shared" si="51"/>
        <v>151885.32999999999</v>
      </c>
      <c r="O135" s="205">
        <v>6</v>
      </c>
    </row>
    <row r="136" spans="1:15">
      <c r="A136" s="207" t="s">
        <v>836</v>
      </c>
      <c r="B136" s="203">
        <v>456.1</v>
      </c>
      <c r="C136" s="208" t="s">
        <v>837</v>
      </c>
      <c r="D136" s="204" t="s">
        <v>838</v>
      </c>
      <c r="E136" s="1097">
        <v>74458174.980000004</v>
      </c>
      <c r="F136" s="303" t="s">
        <v>577</v>
      </c>
      <c r="G136" s="299">
        <f t="shared" si="48"/>
        <v>0</v>
      </c>
      <c r="H136" s="206">
        <v>0</v>
      </c>
      <c r="I136" s="206">
        <f t="shared" si="49"/>
        <v>0</v>
      </c>
      <c r="J136" s="299">
        <f t="shared" si="50"/>
        <v>0</v>
      </c>
      <c r="K136" s="338"/>
      <c r="L136" s="305"/>
      <c r="M136" s="206">
        <f>J136-L136</f>
        <v>0</v>
      </c>
      <c r="N136" s="299">
        <f t="shared" si="51"/>
        <v>74458174.980000004</v>
      </c>
      <c r="O136" s="205">
        <v>6</v>
      </c>
    </row>
    <row r="137" spans="1:15">
      <c r="A137" s="207" t="s">
        <v>839</v>
      </c>
      <c r="B137" s="203">
        <v>456.1</v>
      </c>
      <c r="C137" s="208" t="s">
        <v>840</v>
      </c>
      <c r="D137" s="204" t="s">
        <v>841</v>
      </c>
      <c r="E137" s="1097"/>
      <c r="F137" s="303" t="s">
        <v>577</v>
      </c>
      <c r="G137" s="299">
        <f t="shared" si="48"/>
        <v>0</v>
      </c>
      <c r="H137" s="206">
        <v>0</v>
      </c>
      <c r="I137" s="206">
        <f t="shared" si="49"/>
        <v>0</v>
      </c>
      <c r="J137" s="299">
        <f t="shared" si="50"/>
        <v>0</v>
      </c>
      <c r="K137" s="338"/>
      <c r="L137" s="305"/>
      <c r="M137" s="206">
        <f t="shared" ref="M137" si="52">J137-L137</f>
        <v>0</v>
      </c>
      <c r="N137" s="299">
        <f t="shared" si="51"/>
        <v>0</v>
      </c>
      <c r="O137" s="205">
        <v>6</v>
      </c>
    </row>
    <row r="138" spans="1:15">
      <c r="A138" s="207" t="s">
        <v>842</v>
      </c>
      <c r="B138" s="203">
        <v>456.1</v>
      </c>
      <c r="C138" s="208" t="s">
        <v>843</v>
      </c>
      <c r="D138" s="204" t="s">
        <v>844</v>
      </c>
      <c r="E138" s="1097">
        <v>46329300.560000002</v>
      </c>
      <c r="F138" s="303" t="s">
        <v>575</v>
      </c>
      <c r="G138" s="299">
        <f t="shared" si="48"/>
        <v>46329300.560000002</v>
      </c>
      <c r="H138" s="206">
        <f>G138</f>
        <v>46329300.560000002</v>
      </c>
      <c r="I138" s="206">
        <f t="shared" si="49"/>
        <v>0</v>
      </c>
      <c r="J138" s="299">
        <f t="shared" si="50"/>
        <v>0</v>
      </c>
      <c r="K138" s="338"/>
      <c r="L138" s="305"/>
      <c r="M138" s="206">
        <f t="shared" ref="M138:M151" si="53">J138-L138</f>
        <v>0</v>
      </c>
      <c r="N138" s="299">
        <f t="shared" si="51"/>
        <v>0</v>
      </c>
      <c r="O138" s="205">
        <v>5</v>
      </c>
    </row>
    <row r="139" spans="1:15">
      <c r="A139" s="207" t="s">
        <v>845</v>
      </c>
      <c r="B139" s="203">
        <v>456.1</v>
      </c>
      <c r="C139" s="208" t="s">
        <v>846</v>
      </c>
      <c r="D139" s="204" t="s">
        <v>847</v>
      </c>
      <c r="E139" s="1097">
        <v>5560312.75</v>
      </c>
      <c r="F139" s="303" t="s">
        <v>575</v>
      </c>
      <c r="G139" s="299">
        <f t="shared" si="48"/>
        <v>5560312.75</v>
      </c>
      <c r="H139" s="206">
        <v>0</v>
      </c>
      <c r="I139" s="206">
        <f t="shared" si="49"/>
        <v>5560312.75</v>
      </c>
      <c r="J139" s="299">
        <f t="shared" si="50"/>
        <v>0</v>
      </c>
      <c r="K139" s="338"/>
      <c r="L139" s="305"/>
      <c r="M139" s="206">
        <f t="shared" si="53"/>
        <v>0</v>
      </c>
      <c r="N139" s="299">
        <f t="shared" si="51"/>
        <v>0</v>
      </c>
      <c r="O139" s="205">
        <v>4</v>
      </c>
    </row>
    <row r="140" spans="1:15">
      <c r="A140" s="207" t="s">
        <v>848</v>
      </c>
      <c r="B140" s="203">
        <v>456.1</v>
      </c>
      <c r="C140" s="208" t="s">
        <v>849</v>
      </c>
      <c r="D140" s="204" t="s">
        <v>850</v>
      </c>
      <c r="E140" s="1097">
        <v>-574575</v>
      </c>
      <c r="F140" s="303" t="s">
        <v>575</v>
      </c>
      <c r="G140" s="299">
        <f t="shared" si="48"/>
        <v>-574575</v>
      </c>
      <c r="H140" s="206">
        <v>0</v>
      </c>
      <c r="I140" s="206">
        <f t="shared" si="49"/>
        <v>-574575</v>
      </c>
      <c r="J140" s="299">
        <f t="shared" si="50"/>
        <v>0</v>
      </c>
      <c r="K140" s="338"/>
      <c r="L140" s="305"/>
      <c r="M140" s="206">
        <f t="shared" si="53"/>
        <v>0</v>
      </c>
      <c r="N140" s="299">
        <f t="shared" si="51"/>
        <v>0</v>
      </c>
      <c r="O140" s="205">
        <v>4</v>
      </c>
    </row>
    <row r="141" spans="1:15">
      <c r="A141" s="1316" t="s">
        <v>851</v>
      </c>
      <c r="B141" s="203">
        <v>456.1</v>
      </c>
      <c r="C141" s="208" t="s">
        <v>853</v>
      </c>
      <c r="D141" s="204" t="s">
        <v>854</v>
      </c>
      <c r="E141" s="1097">
        <v>1080948.48</v>
      </c>
      <c r="F141" s="303" t="s">
        <v>575</v>
      </c>
      <c r="G141" s="299">
        <f t="shared" si="48"/>
        <v>1080948.48</v>
      </c>
      <c r="H141" s="206">
        <v>0</v>
      </c>
      <c r="I141" s="206">
        <f t="shared" si="49"/>
        <v>1080948.48</v>
      </c>
      <c r="J141" s="299">
        <f t="shared" si="50"/>
        <v>0</v>
      </c>
      <c r="K141" s="338"/>
      <c r="L141" s="305"/>
      <c r="M141" s="206">
        <f t="shared" si="53"/>
        <v>0</v>
      </c>
      <c r="N141" s="299">
        <f t="shared" si="51"/>
        <v>0</v>
      </c>
      <c r="O141" s="205">
        <v>4</v>
      </c>
    </row>
    <row r="142" spans="1:15">
      <c r="A142" s="1316" t="s">
        <v>852</v>
      </c>
      <c r="B142" s="203">
        <v>456.1</v>
      </c>
      <c r="C142" s="208" t="s">
        <v>856</v>
      </c>
      <c r="D142" s="204" t="s">
        <v>857</v>
      </c>
      <c r="E142" s="1097">
        <v>402147.6</v>
      </c>
      <c r="F142" s="303" t="s">
        <v>575</v>
      </c>
      <c r="G142" s="299">
        <f t="shared" si="48"/>
        <v>402147.6</v>
      </c>
      <c r="H142" s="206">
        <v>0</v>
      </c>
      <c r="I142" s="206">
        <f t="shared" si="49"/>
        <v>402147.6</v>
      </c>
      <c r="J142" s="299">
        <f t="shared" si="50"/>
        <v>0</v>
      </c>
      <c r="K142" s="338"/>
      <c r="L142" s="305"/>
      <c r="M142" s="206">
        <f t="shared" si="53"/>
        <v>0</v>
      </c>
      <c r="N142" s="299">
        <f t="shared" si="51"/>
        <v>0</v>
      </c>
      <c r="O142" s="205">
        <v>4</v>
      </c>
    </row>
    <row r="143" spans="1:15">
      <c r="A143" s="1316" t="s">
        <v>855</v>
      </c>
      <c r="B143" s="203">
        <v>456.1</v>
      </c>
      <c r="C143" s="208" t="s">
        <v>859</v>
      </c>
      <c r="D143" s="204" t="s">
        <v>860</v>
      </c>
      <c r="E143" s="1097">
        <v>209706</v>
      </c>
      <c r="F143" s="303" t="s">
        <v>575</v>
      </c>
      <c r="G143" s="299">
        <f t="shared" si="48"/>
        <v>209706</v>
      </c>
      <c r="H143" s="206">
        <v>0</v>
      </c>
      <c r="I143" s="206">
        <f t="shared" si="49"/>
        <v>209706</v>
      </c>
      <c r="J143" s="299">
        <f t="shared" si="50"/>
        <v>0</v>
      </c>
      <c r="K143" s="338"/>
      <c r="L143" s="305"/>
      <c r="M143" s="206">
        <f t="shared" si="53"/>
        <v>0</v>
      </c>
      <c r="N143" s="299">
        <f t="shared" si="51"/>
        <v>0</v>
      </c>
      <c r="O143" s="205">
        <v>4</v>
      </c>
    </row>
    <row r="144" spans="1:15">
      <c r="A144" s="1316" t="s">
        <v>858</v>
      </c>
      <c r="B144" s="203">
        <v>456.1</v>
      </c>
      <c r="C144" s="208" t="s">
        <v>862</v>
      </c>
      <c r="D144" s="204" t="s">
        <v>863</v>
      </c>
      <c r="E144" s="1097">
        <v>89265.32</v>
      </c>
      <c r="F144" s="303" t="s">
        <v>575</v>
      </c>
      <c r="G144" s="299">
        <f t="shared" si="48"/>
        <v>89265.32</v>
      </c>
      <c r="H144" s="206">
        <v>0</v>
      </c>
      <c r="I144" s="206">
        <f t="shared" si="49"/>
        <v>89265.32</v>
      </c>
      <c r="J144" s="299">
        <f t="shared" si="50"/>
        <v>0</v>
      </c>
      <c r="K144" s="338"/>
      <c r="L144" s="305"/>
      <c r="M144" s="206">
        <f t="shared" si="53"/>
        <v>0</v>
      </c>
      <c r="N144" s="299">
        <f t="shared" si="51"/>
        <v>0</v>
      </c>
      <c r="O144" s="205">
        <v>4</v>
      </c>
    </row>
    <row r="145" spans="1:15">
      <c r="A145" s="1316" t="s">
        <v>861</v>
      </c>
      <c r="B145" s="203">
        <v>456.1</v>
      </c>
      <c r="C145" s="208" t="s">
        <v>865</v>
      </c>
      <c r="D145" s="204" t="s">
        <v>866</v>
      </c>
      <c r="E145" s="1097">
        <v>651331.07999999996</v>
      </c>
      <c r="F145" s="303" t="s">
        <v>575</v>
      </c>
      <c r="G145" s="299">
        <f t="shared" ref="G145" si="54">IF(F145=$G$2,E145,0)</f>
        <v>651331.07999999996</v>
      </c>
      <c r="H145" s="206">
        <v>0</v>
      </c>
      <c r="I145" s="206">
        <f t="shared" si="49"/>
        <v>651331.07999999996</v>
      </c>
      <c r="J145" s="299">
        <f t="shared" si="50"/>
        <v>0</v>
      </c>
      <c r="K145" s="338"/>
      <c r="L145" s="305"/>
      <c r="M145" s="206">
        <f t="shared" si="53"/>
        <v>0</v>
      </c>
      <c r="N145" s="299">
        <f t="shared" si="51"/>
        <v>0</v>
      </c>
      <c r="O145" s="205">
        <v>4</v>
      </c>
    </row>
    <row r="146" spans="1:15">
      <c r="A146" s="1316" t="s">
        <v>864</v>
      </c>
      <c r="B146" s="203">
        <v>456.1</v>
      </c>
      <c r="C146" s="208" t="s">
        <v>868</v>
      </c>
      <c r="D146" s="204" t="s">
        <v>869</v>
      </c>
      <c r="E146" s="1097">
        <v>264133.44</v>
      </c>
      <c r="F146" s="303" t="s">
        <v>575</v>
      </c>
      <c r="G146" s="299">
        <f t="shared" ref="G146:G151" si="55">IF(F146=$G$2,E146,0)</f>
        <v>264133.44</v>
      </c>
      <c r="H146" s="206">
        <v>0</v>
      </c>
      <c r="I146" s="206">
        <f t="shared" si="49"/>
        <v>264133.44</v>
      </c>
      <c r="J146" s="299">
        <f t="shared" ref="J146" si="56">IF(F146=$J$2,E146,0)</f>
        <v>0</v>
      </c>
      <c r="K146" s="338"/>
      <c r="L146" s="305"/>
      <c r="M146" s="206">
        <f t="shared" si="53"/>
        <v>0</v>
      </c>
      <c r="N146" s="299">
        <f t="shared" si="51"/>
        <v>0</v>
      </c>
      <c r="O146" s="205">
        <v>4</v>
      </c>
    </row>
    <row r="147" spans="1:15">
      <c r="A147" s="1316" t="s">
        <v>867</v>
      </c>
      <c r="B147" s="203">
        <v>456.1</v>
      </c>
      <c r="C147" s="208" t="s">
        <v>872</v>
      </c>
      <c r="D147" s="204" t="s">
        <v>873</v>
      </c>
      <c r="E147" s="1097">
        <v>42492.12</v>
      </c>
      <c r="F147" s="303" t="s">
        <v>575</v>
      </c>
      <c r="G147" s="299">
        <f t="shared" si="55"/>
        <v>42492.12</v>
      </c>
      <c r="H147" s="206">
        <v>0</v>
      </c>
      <c r="I147" s="206">
        <f t="shared" si="49"/>
        <v>42492.12</v>
      </c>
      <c r="J147" s="299">
        <f>IF(F147=$J$2,E147,0)</f>
        <v>0</v>
      </c>
      <c r="K147" s="338"/>
      <c r="L147" s="305"/>
      <c r="M147" s="206">
        <f t="shared" si="53"/>
        <v>0</v>
      </c>
      <c r="N147" s="299">
        <f t="shared" si="51"/>
        <v>0</v>
      </c>
      <c r="O147" s="205">
        <v>4</v>
      </c>
    </row>
    <row r="148" spans="1:15">
      <c r="A148" s="1316" t="s">
        <v>870</v>
      </c>
      <c r="B148" s="203">
        <v>456.1</v>
      </c>
      <c r="C148" s="208" t="s">
        <v>875</v>
      </c>
      <c r="D148" s="204" t="s">
        <v>876</v>
      </c>
      <c r="E148" s="1097">
        <v>285798.44</v>
      </c>
      <c r="F148" s="303" t="s">
        <v>577</v>
      </c>
      <c r="G148" s="299">
        <f t="shared" si="55"/>
        <v>0</v>
      </c>
      <c r="H148" s="206">
        <v>0</v>
      </c>
      <c r="I148" s="206">
        <f t="shared" si="49"/>
        <v>0</v>
      </c>
      <c r="J148" s="299">
        <f>IF(F148=$J$2,E148,0)</f>
        <v>0</v>
      </c>
      <c r="K148" s="338"/>
      <c r="L148" s="305"/>
      <c r="M148" s="206">
        <f t="shared" si="53"/>
        <v>0</v>
      </c>
      <c r="N148" s="299">
        <f t="shared" si="51"/>
        <v>285798.44</v>
      </c>
      <c r="O148" s="205">
        <v>6</v>
      </c>
    </row>
    <row r="149" spans="1:15" s="1075" customFormat="1">
      <c r="A149" s="995" t="s">
        <v>871</v>
      </c>
      <c r="B149" s="1368">
        <v>456.1</v>
      </c>
      <c r="C149" s="994" t="s">
        <v>2473</v>
      </c>
      <c r="D149" s="994" t="s">
        <v>2474</v>
      </c>
      <c r="E149" s="1097">
        <v>90532.92</v>
      </c>
      <c r="F149" s="1096" t="s">
        <v>575</v>
      </c>
      <c r="G149" s="299">
        <f t="shared" si="55"/>
        <v>90532.92</v>
      </c>
      <c r="H149" s="206">
        <v>0</v>
      </c>
      <c r="I149" s="206">
        <f t="shared" si="49"/>
        <v>90532.92</v>
      </c>
      <c r="J149" s="299">
        <f>IF(F149=$J$2,E149,0)</f>
        <v>0</v>
      </c>
      <c r="K149" s="1374"/>
      <c r="L149" s="747"/>
      <c r="M149" s="206">
        <f t="shared" si="53"/>
        <v>0</v>
      </c>
      <c r="N149" s="299">
        <f t="shared" si="51"/>
        <v>0</v>
      </c>
      <c r="O149" s="573">
        <v>4</v>
      </c>
    </row>
    <row r="150" spans="1:15" s="1075" customFormat="1">
      <c r="A150" s="995" t="s">
        <v>874</v>
      </c>
      <c r="B150" s="1368">
        <v>456.1</v>
      </c>
      <c r="C150" s="994" t="s">
        <v>2475</v>
      </c>
      <c r="D150" s="994" t="s">
        <v>2476</v>
      </c>
      <c r="E150" s="1097">
        <v>229853.64</v>
      </c>
      <c r="F150" s="1096" t="s">
        <v>575</v>
      </c>
      <c r="G150" s="299">
        <f t="shared" si="55"/>
        <v>229853.64</v>
      </c>
      <c r="H150" s="206">
        <v>0</v>
      </c>
      <c r="I150" s="206">
        <f t="shared" si="49"/>
        <v>229853.64</v>
      </c>
      <c r="J150" s="299">
        <f>IF(F150=$J$2,E150,0)</f>
        <v>0</v>
      </c>
      <c r="K150" s="1374"/>
      <c r="L150" s="747"/>
      <c r="M150" s="206">
        <f t="shared" si="53"/>
        <v>0</v>
      </c>
      <c r="N150" s="299">
        <f t="shared" si="51"/>
        <v>0</v>
      </c>
      <c r="O150" s="573">
        <v>4</v>
      </c>
    </row>
    <row r="151" spans="1:15">
      <c r="A151" s="995" t="s">
        <v>2472</v>
      </c>
      <c r="B151" s="1368">
        <v>456.1</v>
      </c>
      <c r="C151" s="994" t="s">
        <v>2477</v>
      </c>
      <c r="D151" s="1367" t="s">
        <v>2478</v>
      </c>
      <c r="E151" s="1097">
        <v>3708122.66</v>
      </c>
      <c r="F151" s="1097" t="s">
        <v>577</v>
      </c>
      <c r="G151" s="299">
        <f t="shared" si="55"/>
        <v>0</v>
      </c>
      <c r="H151" s="206">
        <v>0</v>
      </c>
      <c r="I151" s="206">
        <f t="shared" si="49"/>
        <v>0</v>
      </c>
      <c r="J151" s="299">
        <f>IF(F151=$J$2,E151,0)</f>
        <v>0</v>
      </c>
      <c r="K151" s="1374"/>
      <c r="L151" s="747"/>
      <c r="M151" s="206">
        <f t="shared" si="53"/>
        <v>0</v>
      </c>
      <c r="N151" s="299">
        <f t="shared" si="51"/>
        <v>3708122.66</v>
      </c>
      <c r="O151" s="573">
        <v>6</v>
      </c>
    </row>
    <row r="152" spans="1:15" s="1075" customFormat="1">
      <c r="A152" s="1229"/>
      <c r="B152" s="1230"/>
      <c r="C152" s="1233"/>
      <c r="D152" s="1231"/>
      <c r="E152" s="1097"/>
      <c r="F152" s="1097"/>
      <c r="G152" s="1096"/>
      <c r="H152" s="747"/>
      <c r="I152" s="747"/>
      <c r="J152" s="1096"/>
      <c r="K152" s="1097"/>
      <c r="L152" s="747"/>
      <c r="M152" s="747"/>
      <c r="N152" s="1096"/>
      <c r="O152" s="1232"/>
    </row>
    <row r="153" spans="1:15">
      <c r="A153" s="333"/>
      <c r="B153" s="329"/>
      <c r="C153" s="328"/>
      <c r="D153" s="330"/>
      <c r="E153" s="306"/>
      <c r="F153" s="306"/>
      <c r="G153" s="307"/>
      <c r="H153" s="305"/>
      <c r="I153" s="305"/>
      <c r="J153" s="303"/>
      <c r="K153" s="306"/>
      <c r="L153" s="305"/>
      <c r="M153" s="305"/>
      <c r="N153" s="303"/>
      <c r="O153" s="304"/>
    </row>
    <row r="154" spans="1:15">
      <c r="A154" s="207">
        <v>16</v>
      </c>
      <c r="B154" s="1399" t="s">
        <v>877</v>
      </c>
      <c r="C154" s="1400"/>
      <c r="D154" s="1401"/>
      <c r="E154" s="312">
        <f>SUM(E132:E153)</f>
        <v>134205621.28</v>
      </c>
      <c r="F154" s="321"/>
      <c r="G154" s="312">
        <f>SUM(G132:G153)</f>
        <v>55601639.869999997</v>
      </c>
      <c r="H154" s="312">
        <f>SUM(H132:H153)</f>
        <v>46329300.560000002</v>
      </c>
      <c r="I154" s="312">
        <f>SUM(I132:I153)</f>
        <v>9272339.3099999987</v>
      </c>
      <c r="J154" s="312">
        <f>SUM(J132:J153)</f>
        <v>0</v>
      </c>
      <c r="K154" s="321"/>
      <c r="L154" s="312">
        <f>SUM(L132:L153)</f>
        <v>0</v>
      </c>
      <c r="M154" s="312">
        <f>SUM(M132:M153)</f>
        <v>0</v>
      </c>
      <c r="N154" s="312">
        <f>SUM(N132:N153)</f>
        <v>78603981.409999996</v>
      </c>
      <c r="O154" s="196"/>
    </row>
    <row r="155" spans="1:15" ht="25.5" customHeight="1">
      <c r="A155" s="207">
        <v>17</v>
      </c>
      <c r="B155" s="1421" t="s">
        <v>1244</v>
      </c>
      <c r="C155" s="1422"/>
      <c r="D155" s="1423"/>
      <c r="E155" s="1228">
        <v>134205621</v>
      </c>
      <c r="F155" s="311"/>
      <c r="G155" s="323"/>
      <c r="H155" s="313"/>
      <c r="I155" s="313"/>
      <c r="J155" s="296"/>
      <c r="K155" s="313"/>
      <c r="L155" s="296"/>
      <c r="M155" s="296"/>
      <c r="N155" s="296"/>
      <c r="O155" s="194"/>
    </row>
    <row r="156" spans="1:15">
      <c r="A156" s="210"/>
      <c r="B156" s="211"/>
      <c r="C156" s="212"/>
      <c r="D156" s="213"/>
      <c r="E156" s="296"/>
      <c r="F156" s="296"/>
      <c r="G156" s="296"/>
      <c r="H156" s="313"/>
      <c r="I156" s="313"/>
      <c r="J156" s="296"/>
      <c r="K156" s="313"/>
      <c r="L156" s="296"/>
      <c r="M156" s="296"/>
      <c r="N156" s="296"/>
      <c r="O156" s="194"/>
    </row>
    <row r="157" spans="1:15">
      <c r="A157" s="333" t="s">
        <v>878</v>
      </c>
      <c r="B157" s="331"/>
      <c r="C157" s="351"/>
      <c r="D157" s="351"/>
      <c r="E157" s="352"/>
      <c r="F157" s="352"/>
      <c r="G157" s="352"/>
      <c r="H157" s="352"/>
      <c r="I157" s="352"/>
      <c r="J157" s="352"/>
      <c r="K157" s="352"/>
      <c r="L157" s="352"/>
      <c r="M157" s="352"/>
      <c r="N157" s="352"/>
      <c r="O157" s="304"/>
    </row>
    <row r="158" spans="1:15">
      <c r="A158" s="333"/>
      <c r="B158" s="353"/>
      <c r="C158" s="351"/>
      <c r="D158" s="351"/>
      <c r="E158" s="352"/>
      <c r="F158" s="352"/>
      <c r="G158" s="352"/>
      <c r="H158" s="352"/>
      <c r="I158" s="352"/>
      <c r="J158" s="352"/>
      <c r="K158" s="352"/>
      <c r="L158" s="352"/>
      <c r="M158" s="352"/>
      <c r="N158" s="352"/>
      <c r="O158" s="304"/>
    </row>
    <row r="159" spans="1:15">
      <c r="A159" s="202">
        <v>19</v>
      </c>
      <c r="B159" s="1399" t="s">
        <v>879</v>
      </c>
      <c r="C159" s="1400"/>
      <c r="D159" s="1401"/>
      <c r="E159" s="297">
        <f>SUM(E157:E158)</f>
        <v>0</v>
      </c>
      <c r="F159" s="358"/>
      <c r="G159" s="297">
        <f>SUM(G157:G158)</f>
        <v>0</v>
      </c>
      <c r="H159" s="297">
        <f>SUM(H157:H158)</f>
        <v>0</v>
      </c>
      <c r="I159" s="297">
        <f>SUM(I157:I158)</f>
        <v>0</v>
      </c>
      <c r="J159" s="297">
        <f>SUM(J157:J158)</f>
        <v>0</v>
      </c>
      <c r="K159" s="321"/>
      <c r="L159" s="297">
        <f>SUM(L157:L158)</f>
        <v>0</v>
      </c>
      <c r="M159" s="297">
        <f>SUM(M157:M158)</f>
        <v>0</v>
      </c>
      <c r="N159" s="297">
        <f>SUM(N157:N158)</f>
        <v>0</v>
      </c>
      <c r="O159" s="297"/>
    </row>
    <row r="160" spans="1:15" ht="26.25" customHeight="1">
      <c r="A160" s="202">
        <v>20</v>
      </c>
      <c r="B160" s="1406" t="s">
        <v>1250</v>
      </c>
      <c r="C160" s="1407"/>
      <c r="D160" s="1408"/>
      <c r="E160" s="309">
        <v>0</v>
      </c>
      <c r="F160" s="296"/>
      <c r="G160" s="298"/>
      <c r="H160" s="311"/>
      <c r="I160" s="311"/>
      <c r="J160" s="298"/>
      <c r="K160" s="311"/>
      <c r="L160" s="298"/>
      <c r="M160" s="298"/>
      <c r="N160" s="298"/>
      <c r="O160" s="410"/>
    </row>
    <row r="161" spans="1:15">
      <c r="A161" s="210"/>
      <c r="B161" s="211"/>
      <c r="C161" s="212"/>
      <c r="D161" s="213"/>
      <c r="E161" s="296"/>
      <c r="F161" s="296"/>
      <c r="G161" s="298"/>
      <c r="H161" s="311"/>
      <c r="I161" s="311"/>
      <c r="J161" s="298"/>
      <c r="K161" s="311"/>
      <c r="L161" s="298"/>
      <c r="M161" s="298"/>
      <c r="N161" s="298"/>
      <c r="O161" s="410"/>
    </row>
    <row r="162" spans="1:15">
      <c r="A162" s="333" t="s">
        <v>880</v>
      </c>
      <c r="B162" s="331"/>
      <c r="C162" s="351"/>
      <c r="D162" s="351"/>
      <c r="E162" s="352"/>
      <c r="F162" s="352"/>
      <c r="G162" s="309"/>
      <c r="H162" s="309"/>
      <c r="I162" s="309"/>
      <c r="J162" s="309"/>
      <c r="K162" s="309"/>
      <c r="L162" s="309"/>
      <c r="M162" s="309"/>
      <c r="N162" s="309"/>
      <c r="O162" s="305"/>
    </row>
    <row r="163" spans="1:15">
      <c r="A163" s="333"/>
      <c r="B163" s="353"/>
      <c r="C163" s="351"/>
      <c r="D163" s="351"/>
      <c r="E163" s="352"/>
      <c r="F163" s="352"/>
      <c r="G163" s="309"/>
      <c r="H163" s="309"/>
      <c r="I163" s="309"/>
      <c r="J163" s="309"/>
      <c r="K163" s="309"/>
      <c r="L163" s="309"/>
      <c r="M163" s="309"/>
      <c r="N163" s="309"/>
      <c r="O163" s="305"/>
    </row>
    <row r="164" spans="1:15">
      <c r="A164" s="202">
        <v>22</v>
      </c>
      <c r="B164" s="1399" t="s">
        <v>881</v>
      </c>
      <c r="C164" s="1400"/>
      <c r="D164" s="1401"/>
      <c r="E164" s="297">
        <f>SUM(E162:E163)</f>
        <v>0</v>
      </c>
      <c r="F164" s="358"/>
      <c r="G164" s="297">
        <f>SUM(G162:G163)</f>
        <v>0</v>
      </c>
      <c r="H164" s="297">
        <f>SUM(H162:H163)</f>
        <v>0</v>
      </c>
      <c r="I164" s="297">
        <f>SUM(I162:I163)</f>
        <v>0</v>
      </c>
      <c r="J164" s="297">
        <f>SUM(J162:J163)</f>
        <v>0</v>
      </c>
      <c r="K164" s="321"/>
      <c r="L164" s="297">
        <f>SUM(L162:L163)</f>
        <v>0</v>
      </c>
      <c r="M164" s="297">
        <f>SUM(M162:M163)</f>
        <v>0</v>
      </c>
      <c r="N164" s="297">
        <f>SUM(N162:N163)</f>
        <v>0</v>
      </c>
      <c r="O164" s="297"/>
    </row>
    <row r="165" spans="1:15" ht="26.25" customHeight="1">
      <c r="A165" s="202">
        <v>23</v>
      </c>
      <c r="B165" s="1406" t="s">
        <v>1251</v>
      </c>
      <c r="C165" s="1407"/>
      <c r="D165" s="1408"/>
      <c r="E165" s="309">
        <v>0</v>
      </c>
      <c r="F165" s="296"/>
      <c r="G165" s="296"/>
      <c r="H165" s="313"/>
      <c r="I165" s="313"/>
      <c r="J165" s="296"/>
      <c r="K165" s="313"/>
      <c r="L165" s="296"/>
      <c r="M165" s="296"/>
      <c r="N165" s="296"/>
      <c r="O165" s="194"/>
    </row>
    <row r="166" spans="1:15">
      <c r="A166" s="210"/>
      <c r="B166" s="211"/>
      <c r="C166" s="212"/>
      <c r="D166" s="213"/>
      <c r="E166" s="296"/>
      <c r="F166" s="296"/>
      <c r="G166" s="296"/>
      <c r="H166" s="313"/>
      <c r="I166" s="313"/>
      <c r="J166" s="296"/>
      <c r="K166" s="313"/>
      <c r="L166" s="296"/>
      <c r="M166" s="296"/>
      <c r="N166" s="296"/>
      <c r="O166" s="194"/>
    </row>
    <row r="167" spans="1:15">
      <c r="A167" s="210"/>
      <c r="B167" s="211" t="s">
        <v>882</v>
      </c>
      <c r="C167" s="212"/>
      <c r="D167" s="213"/>
      <c r="E167" s="296"/>
      <c r="F167" s="296"/>
      <c r="G167" s="296"/>
      <c r="H167" s="313"/>
      <c r="I167" s="313"/>
      <c r="J167" s="296"/>
      <c r="K167" s="313"/>
      <c r="L167" s="296"/>
      <c r="M167" s="296"/>
      <c r="N167" s="296"/>
      <c r="O167" s="194"/>
    </row>
    <row r="168" spans="1:15">
      <c r="A168" s="1316" t="s">
        <v>883</v>
      </c>
      <c r="B168" s="221">
        <v>417</v>
      </c>
      <c r="C168" s="302">
        <v>4863130</v>
      </c>
      <c r="D168" s="217" t="s">
        <v>885</v>
      </c>
      <c r="E168" s="1097">
        <v>605718.55000000005</v>
      </c>
      <c r="F168" s="1183" t="s">
        <v>576</v>
      </c>
      <c r="G168" s="299">
        <f t="shared" ref="G168:G184" si="57">IF(F168=$G$2,E168,0)</f>
        <v>0</v>
      </c>
      <c r="H168" s="206">
        <v>0</v>
      </c>
      <c r="I168" s="206">
        <f t="shared" ref="I168:I184" si="58">G168-H168</f>
        <v>0</v>
      </c>
      <c r="J168" s="299">
        <f t="shared" ref="J168:J184" si="59">IF(F168=$J$2,E168,0)</f>
        <v>605718.55000000005</v>
      </c>
      <c r="K168" s="205" t="s">
        <v>617</v>
      </c>
      <c r="L168" s="1096">
        <v>138131.96721339901</v>
      </c>
      <c r="M168" s="299">
        <f t="shared" ref="M168:M184" si="60">J168-L168</f>
        <v>467586.58278660104</v>
      </c>
      <c r="N168" s="299">
        <f>IF(F168=$N$2,E168,0)</f>
        <v>0</v>
      </c>
      <c r="O168" s="205">
        <v>2</v>
      </c>
    </row>
    <row r="169" spans="1:15">
      <c r="A169" s="1316" t="s">
        <v>884</v>
      </c>
      <c r="B169" s="221">
        <v>417</v>
      </c>
      <c r="C169" s="302">
        <v>4862110</v>
      </c>
      <c r="D169" s="217" t="s">
        <v>887</v>
      </c>
      <c r="E169" s="1097">
        <v>6207732.0899999999</v>
      </c>
      <c r="F169" s="1183" t="s">
        <v>576</v>
      </c>
      <c r="G169" s="299">
        <f t="shared" si="57"/>
        <v>0</v>
      </c>
      <c r="H169" s="206">
        <v>0</v>
      </c>
      <c r="I169" s="206">
        <f t="shared" si="58"/>
        <v>0</v>
      </c>
      <c r="J169" s="299">
        <f t="shared" si="59"/>
        <v>6207732.0899999999</v>
      </c>
      <c r="K169" s="205" t="s">
        <v>561</v>
      </c>
      <c r="L169" s="1096">
        <v>1179301.20482908</v>
      </c>
      <c r="M169" s="299">
        <f t="shared" si="60"/>
        <v>5028430.8851709198</v>
      </c>
      <c r="N169" s="299">
        <f t="shared" ref="N169:N180" si="61">IF(F169=$N$2,E169,0)</f>
        <v>0</v>
      </c>
      <c r="O169" s="205">
        <v>2</v>
      </c>
    </row>
    <row r="170" spans="1:15">
      <c r="A170" s="1316" t="s">
        <v>886</v>
      </c>
      <c r="B170" s="221">
        <v>417</v>
      </c>
      <c r="C170" s="302">
        <v>4862115</v>
      </c>
      <c r="D170" s="217" t="s">
        <v>889</v>
      </c>
      <c r="E170" s="1097">
        <v>3328620</v>
      </c>
      <c r="F170" s="1183" t="s">
        <v>576</v>
      </c>
      <c r="G170" s="299">
        <f t="shared" si="57"/>
        <v>0</v>
      </c>
      <c r="H170" s="206">
        <v>0</v>
      </c>
      <c r="I170" s="206">
        <f t="shared" si="58"/>
        <v>0</v>
      </c>
      <c r="J170" s="299">
        <f t="shared" si="59"/>
        <v>3328620</v>
      </c>
      <c r="K170" s="205" t="s">
        <v>561</v>
      </c>
      <c r="L170" s="1096">
        <v>648085.661532089</v>
      </c>
      <c r="M170" s="299">
        <f t="shared" si="60"/>
        <v>2680534.3384679109</v>
      </c>
      <c r="N170" s="299">
        <f t="shared" si="61"/>
        <v>0</v>
      </c>
      <c r="O170" s="205">
        <v>2</v>
      </c>
    </row>
    <row r="171" spans="1:15">
      <c r="A171" s="1316" t="s">
        <v>888</v>
      </c>
      <c r="B171" s="221">
        <v>417</v>
      </c>
      <c r="C171" s="302">
        <v>4862120</v>
      </c>
      <c r="D171" s="217" t="s">
        <v>891</v>
      </c>
      <c r="E171" s="1097">
        <v>283556.24</v>
      </c>
      <c r="F171" s="1183" t="s">
        <v>576</v>
      </c>
      <c r="G171" s="299">
        <f t="shared" si="57"/>
        <v>0</v>
      </c>
      <c r="H171" s="206">
        <v>0</v>
      </c>
      <c r="I171" s="206">
        <f t="shared" si="58"/>
        <v>0</v>
      </c>
      <c r="J171" s="299">
        <f t="shared" si="59"/>
        <v>283556.24</v>
      </c>
      <c r="K171" s="205" t="s">
        <v>561</v>
      </c>
      <c r="L171" s="1096">
        <v>55207.917686504203</v>
      </c>
      <c r="M171" s="299">
        <f t="shared" si="60"/>
        <v>228348.3223134958</v>
      </c>
      <c r="N171" s="299">
        <f t="shared" si="61"/>
        <v>0</v>
      </c>
      <c r="O171" s="205">
        <v>2</v>
      </c>
    </row>
    <row r="172" spans="1:15">
      <c r="A172" s="1316" t="s">
        <v>890</v>
      </c>
      <c r="B172" s="221">
        <v>417</v>
      </c>
      <c r="C172" s="302">
        <v>4862135</v>
      </c>
      <c r="D172" s="217" t="s">
        <v>893</v>
      </c>
      <c r="E172" s="1097">
        <v>21488152.460000001</v>
      </c>
      <c r="F172" s="1183" t="s">
        <v>576</v>
      </c>
      <c r="G172" s="299">
        <f t="shared" si="57"/>
        <v>0</v>
      </c>
      <c r="H172" s="206">
        <v>0</v>
      </c>
      <c r="I172" s="206">
        <f t="shared" si="58"/>
        <v>0</v>
      </c>
      <c r="J172" s="299">
        <f t="shared" si="59"/>
        <v>21488152.460000001</v>
      </c>
      <c r="K172" s="205" t="s">
        <v>561</v>
      </c>
      <c r="L172" s="1096">
        <v>4216369.36878186</v>
      </c>
      <c r="M172" s="299">
        <f t="shared" si="60"/>
        <v>17271783.09121814</v>
      </c>
      <c r="N172" s="299">
        <f t="shared" si="61"/>
        <v>0</v>
      </c>
      <c r="O172" s="205">
        <v>2</v>
      </c>
    </row>
    <row r="173" spans="1:15">
      <c r="A173" s="1316" t="s">
        <v>892</v>
      </c>
      <c r="B173" s="221">
        <v>417</v>
      </c>
      <c r="C173" s="302">
        <v>4864115</v>
      </c>
      <c r="D173" s="217" t="s">
        <v>896</v>
      </c>
      <c r="E173" s="1097">
        <v>-237195.39</v>
      </c>
      <c r="F173" s="1183" t="s">
        <v>576</v>
      </c>
      <c r="G173" s="299">
        <f t="shared" si="57"/>
        <v>0</v>
      </c>
      <c r="H173" s="206">
        <v>0</v>
      </c>
      <c r="I173" s="206">
        <f t="shared" si="58"/>
        <v>0</v>
      </c>
      <c r="J173" s="299">
        <f t="shared" si="59"/>
        <v>-237195.39</v>
      </c>
      <c r="K173" s="205" t="s">
        <v>561</v>
      </c>
      <c r="L173" s="1096">
        <v>114301.960766612</v>
      </c>
      <c r="M173" s="299">
        <f t="shared" si="60"/>
        <v>-351497.35076661198</v>
      </c>
      <c r="N173" s="299">
        <f t="shared" si="61"/>
        <v>0</v>
      </c>
      <c r="O173" s="205">
        <v>2</v>
      </c>
    </row>
    <row r="174" spans="1:15">
      <c r="A174" s="1316" t="s">
        <v>894</v>
      </c>
      <c r="B174" s="221">
        <v>417</v>
      </c>
      <c r="C174" s="302">
        <v>4862125</v>
      </c>
      <c r="D174" s="217" t="s">
        <v>898</v>
      </c>
      <c r="E174" s="1097">
        <v>13328277.4</v>
      </c>
      <c r="F174" s="1183" t="s">
        <v>576</v>
      </c>
      <c r="G174" s="299">
        <f t="shared" si="57"/>
        <v>0</v>
      </c>
      <c r="H174" s="206">
        <v>0</v>
      </c>
      <c r="I174" s="206">
        <f t="shared" si="58"/>
        <v>0</v>
      </c>
      <c r="J174" s="299">
        <f t="shared" si="59"/>
        <v>13328277.4</v>
      </c>
      <c r="K174" s="205" t="s">
        <v>561</v>
      </c>
      <c r="L174" s="1096">
        <v>2561825.4077460002</v>
      </c>
      <c r="M174" s="299">
        <f t="shared" si="60"/>
        <v>10766451.992254</v>
      </c>
      <c r="N174" s="299">
        <f t="shared" si="61"/>
        <v>0</v>
      </c>
      <c r="O174" s="205">
        <v>2</v>
      </c>
    </row>
    <row r="175" spans="1:15">
      <c r="A175" s="1316" t="s">
        <v>895</v>
      </c>
      <c r="B175" s="221">
        <v>417</v>
      </c>
      <c r="C175" s="302">
        <v>4862130</v>
      </c>
      <c r="D175" s="217" t="s">
        <v>900</v>
      </c>
      <c r="E175" s="1097">
        <v>4452839.3</v>
      </c>
      <c r="F175" s="1183" t="s">
        <v>576</v>
      </c>
      <c r="G175" s="299">
        <f t="shared" si="57"/>
        <v>0</v>
      </c>
      <c r="H175" s="206">
        <v>0</v>
      </c>
      <c r="I175" s="206">
        <f t="shared" si="58"/>
        <v>0</v>
      </c>
      <c r="J175" s="299">
        <f t="shared" si="59"/>
        <v>4452839.3</v>
      </c>
      <c r="K175" s="205" t="s">
        <v>561</v>
      </c>
      <c r="L175" s="1096">
        <v>1066218.4715759801</v>
      </c>
      <c r="M175" s="299">
        <f t="shared" si="60"/>
        <v>3386620.8284240197</v>
      </c>
      <c r="N175" s="299">
        <f t="shared" si="61"/>
        <v>0</v>
      </c>
      <c r="O175" s="205">
        <v>2</v>
      </c>
    </row>
    <row r="176" spans="1:15">
      <c r="A176" s="1316" t="s">
        <v>897</v>
      </c>
      <c r="B176" s="221">
        <v>417</v>
      </c>
      <c r="C176" s="302">
        <v>4863120</v>
      </c>
      <c r="D176" s="217" t="s">
        <v>902</v>
      </c>
      <c r="E176" s="1097">
        <v>342230.56</v>
      </c>
      <c r="F176" s="1183" t="s">
        <v>576</v>
      </c>
      <c r="G176" s="299">
        <f t="shared" si="57"/>
        <v>0</v>
      </c>
      <c r="H176" s="206">
        <v>0</v>
      </c>
      <c r="I176" s="206">
        <f t="shared" si="58"/>
        <v>0</v>
      </c>
      <c r="J176" s="299">
        <f t="shared" si="59"/>
        <v>342230.56</v>
      </c>
      <c r="K176" s="205" t="s">
        <v>617</v>
      </c>
      <c r="L176" s="1096">
        <v>71854.152810042593</v>
      </c>
      <c r="M176" s="299">
        <f t="shared" si="60"/>
        <v>270376.40718995739</v>
      </c>
      <c r="N176" s="299">
        <f t="shared" si="61"/>
        <v>0</v>
      </c>
      <c r="O176" s="205">
        <v>2</v>
      </c>
    </row>
    <row r="177" spans="1:15">
      <c r="A177" s="1316" t="s">
        <v>899</v>
      </c>
      <c r="B177" s="221">
        <v>417</v>
      </c>
      <c r="C177" s="302">
        <v>4863110</v>
      </c>
      <c r="D177" s="217" t="s">
        <v>904</v>
      </c>
      <c r="E177" s="1097">
        <v>3528303.67</v>
      </c>
      <c r="F177" s="1183" t="s">
        <v>576</v>
      </c>
      <c r="G177" s="299">
        <f t="shared" si="57"/>
        <v>0</v>
      </c>
      <c r="H177" s="206">
        <v>0</v>
      </c>
      <c r="I177" s="206">
        <f t="shared" si="58"/>
        <v>0</v>
      </c>
      <c r="J177" s="299">
        <f t="shared" si="59"/>
        <v>3528303.67</v>
      </c>
      <c r="K177" s="205" t="s">
        <v>617</v>
      </c>
      <c r="L177" s="1096">
        <v>685429.29947367404</v>
      </c>
      <c r="M177" s="299">
        <f t="shared" si="60"/>
        <v>2842874.3705263259</v>
      </c>
      <c r="N177" s="299">
        <f t="shared" si="61"/>
        <v>0</v>
      </c>
      <c r="O177" s="205">
        <v>2</v>
      </c>
    </row>
    <row r="178" spans="1:15">
      <c r="A178" s="1316" t="s">
        <v>901</v>
      </c>
      <c r="B178" s="221">
        <v>417</v>
      </c>
      <c r="C178" s="302">
        <v>4863115</v>
      </c>
      <c r="D178" s="217" t="s">
        <v>906</v>
      </c>
      <c r="E178" s="1097">
        <v>873100.26</v>
      </c>
      <c r="F178" s="1183" t="s">
        <v>576</v>
      </c>
      <c r="G178" s="299">
        <f t="shared" si="57"/>
        <v>0</v>
      </c>
      <c r="H178" s="206">
        <v>0</v>
      </c>
      <c r="I178" s="206">
        <f t="shared" si="58"/>
        <v>0</v>
      </c>
      <c r="J178" s="299">
        <f t="shared" si="59"/>
        <v>873100.26</v>
      </c>
      <c r="K178" s="205" t="s">
        <v>617</v>
      </c>
      <c r="L178" s="1096">
        <v>325605.38007717102</v>
      </c>
      <c r="M178" s="299">
        <f t="shared" si="60"/>
        <v>547494.87992282899</v>
      </c>
      <c r="N178" s="299">
        <f t="shared" si="61"/>
        <v>0</v>
      </c>
      <c r="O178" s="205">
        <v>2</v>
      </c>
    </row>
    <row r="179" spans="1:15">
      <c r="A179" s="1316" t="s">
        <v>903</v>
      </c>
      <c r="B179" s="221">
        <v>417</v>
      </c>
      <c r="C179" s="302">
        <v>4863125</v>
      </c>
      <c r="D179" s="217" t="s">
        <v>908</v>
      </c>
      <c r="E179" s="1097">
        <v>1970237.17</v>
      </c>
      <c r="F179" s="1183" t="s">
        <v>576</v>
      </c>
      <c r="G179" s="299">
        <f t="shared" si="57"/>
        <v>0</v>
      </c>
      <c r="H179" s="206">
        <v>0</v>
      </c>
      <c r="I179" s="206">
        <f t="shared" si="58"/>
        <v>0</v>
      </c>
      <c r="J179" s="299">
        <f t="shared" si="59"/>
        <v>1970237.17</v>
      </c>
      <c r="K179" s="205" t="s">
        <v>617</v>
      </c>
      <c r="L179" s="1096">
        <v>365769.63078297401</v>
      </c>
      <c r="M179" s="299">
        <f t="shared" si="60"/>
        <v>1604467.539217026</v>
      </c>
      <c r="N179" s="299">
        <f t="shared" si="61"/>
        <v>0</v>
      </c>
      <c r="O179" s="205">
        <v>2</v>
      </c>
    </row>
    <row r="180" spans="1:15">
      <c r="A180" s="1316" t="s">
        <v>905</v>
      </c>
      <c r="B180" s="221">
        <v>417</v>
      </c>
      <c r="C180" s="302">
        <v>4864120</v>
      </c>
      <c r="D180" s="217" t="s">
        <v>910</v>
      </c>
      <c r="E180" s="1097">
        <v>-42476.75</v>
      </c>
      <c r="F180" s="1183" t="s">
        <v>576</v>
      </c>
      <c r="G180" s="299">
        <f t="shared" si="57"/>
        <v>0</v>
      </c>
      <c r="H180" s="206">
        <v>0</v>
      </c>
      <c r="I180" s="206">
        <f t="shared" si="58"/>
        <v>0</v>
      </c>
      <c r="J180" s="299">
        <f t="shared" si="59"/>
        <v>-42476.75</v>
      </c>
      <c r="K180" s="205" t="s">
        <v>561</v>
      </c>
      <c r="L180" s="1096">
        <v>21209.800791499201</v>
      </c>
      <c r="M180" s="299">
        <f t="shared" si="60"/>
        <v>-63686.550791499205</v>
      </c>
      <c r="N180" s="299">
        <f t="shared" si="61"/>
        <v>0</v>
      </c>
      <c r="O180" s="205">
        <v>2</v>
      </c>
    </row>
    <row r="181" spans="1:15" s="1075" customFormat="1">
      <c r="A181" s="995" t="s">
        <v>907</v>
      </c>
      <c r="B181" s="1365">
        <v>417</v>
      </c>
      <c r="C181" s="1366">
        <v>4864116</v>
      </c>
      <c r="D181" s="1367" t="s">
        <v>2479</v>
      </c>
      <c r="E181" s="1234">
        <v>1330785.19</v>
      </c>
      <c r="F181" s="1183" t="s">
        <v>576</v>
      </c>
      <c r="G181" s="299">
        <f t="shared" si="57"/>
        <v>0</v>
      </c>
      <c r="H181" s="206">
        <v>0</v>
      </c>
      <c r="I181" s="206">
        <f t="shared" si="58"/>
        <v>0</v>
      </c>
      <c r="J181" s="299">
        <f t="shared" si="59"/>
        <v>1330785.19</v>
      </c>
      <c r="K181" s="205" t="s">
        <v>561</v>
      </c>
      <c r="L181" s="1096">
        <v>60758.400373770397</v>
      </c>
      <c r="M181" s="299">
        <f t="shared" si="60"/>
        <v>1270026.7896262296</v>
      </c>
      <c r="N181" s="299">
        <f t="shared" ref="N181:N184" si="62">IF(F181=$N$2,E181,0)</f>
        <v>0</v>
      </c>
      <c r="O181" s="205">
        <v>2</v>
      </c>
    </row>
    <row r="182" spans="1:15" s="1075" customFormat="1">
      <c r="A182" s="995" t="s">
        <v>909</v>
      </c>
      <c r="B182" s="1365">
        <v>417</v>
      </c>
      <c r="C182" s="1366">
        <v>4864121</v>
      </c>
      <c r="D182" s="1367" t="s">
        <v>2480</v>
      </c>
      <c r="E182" s="1234">
        <v>107810.01</v>
      </c>
      <c r="F182" s="1183" t="s">
        <v>576</v>
      </c>
      <c r="G182" s="299">
        <f t="shared" si="57"/>
        <v>0</v>
      </c>
      <c r="H182" s="206">
        <v>0</v>
      </c>
      <c r="I182" s="206">
        <f t="shared" si="58"/>
        <v>0</v>
      </c>
      <c r="J182" s="299">
        <f t="shared" si="59"/>
        <v>107810.01</v>
      </c>
      <c r="K182" s="205" t="s">
        <v>561</v>
      </c>
      <c r="L182" s="1096">
        <v>4664.8620446452996</v>
      </c>
      <c r="M182" s="299">
        <f t="shared" si="60"/>
        <v>103145.1479553547</v>
      </c>
      <c r="N182" s="299">
        <f t="shared" si="62"/>
        <v>0</v>
      </c>
      <c r="O182" s="205">
        <v>2</v>
      </c>
    </row>
    <row r="183" spans="1:15">
      <c r="A183" s="1229" t="s">
        <v>2889</v>
      </c>
      <c r="B183" s="331">
        <v>417</v>
      </c>
      <c r="C183" s="332">
        <v>4864117</v>
      </c>
      <c r="D183" s="330" t="s">
        <v>2891</v>
      </c>
      <c r="E183" s="310">
        <v>40857</v>
      </c>
      <c r="F183" s="1183" t="s">
        <v>576</v>
      </c>
      <c r="G183" s="303">
        <f t="shared" si="57"/>
        <v>0</v>
      </c>
      <c r="H183" s="305">
        <v>0</v>
      </c>
      <c r="I183" s="305">
        <f t="shared" si="58"/>
        <v>0</v>
      </c>
      <c r="J183" s="303">
        <f t="shared" si="59"/>
        <v>40857</v>
      </c>
      <c r="K183" s="304" t="s">
        <v>561</v>
      </c>
      <c r="L183" s="303">
        <v>0</v>
      </c>
      <c r="M183" s="303">
        <f t="shared" si="60"/>
        <v>40857</v>
      </c>
      <c r="N183" s="303">
        <f t="shared" si="62"/>
        <v>0</v>
      </c>
      <c r="O183" s="304">
        <v>2</v>
      </c>
    </row>
    <row r="184" spans="1:15" s="1075" customFormat="1">
      <c r="A184" s="1229" t="s">
        <v>2890</v>
      </c>
      <c r="B184" s="331">
        <v>417</v>
      </c>
      <c r="C184" s="332">
        <v>4864122</v>
      </c>
      <c r="D184" s="330" t="s">
        <v>2892</v>
      </c>
      <c r="E184" s="310">
        <v>27607.3</v>
      </c>
      <c r="F184" s="1183" t="s">
        <v>576</v>
      </c>
      <c r="G184" s="303">
        <f t="shared" si="57"/>
        <v>0</v>
      </c>
      <c r="H184" s="305">
        <v>0</v>
      </c>
      <c r="I184" s="305">
        <f t="shared" si="58"/>
        <v>0</v>
      </c>
      <c r="J184" s="303">
        <f t="shared" si="59"/>
        <v>27607.3</v>
      </c>
      <c r="K184" s="304" t="s">
        <v>561</v>
      </c>
      <c r="L184" s="303">
        <v>0</v>
      </c>
      <c r="M184" s="303">
        <f t="shared" si="60"/>
        <v>27607.3</v>
      </c>
      <c r="N184" s="303">
        <f t="shared" si="62"/>
        <v>0</v>
      </c>
      <c r="O184" s="304">
        <v>2</v>
      </c>
    </row>
    <row r="185" spans="1:15" s="1075" customFormat="1">
      <c r="A185" s="1229"/>
      <c r="B185" s="331"/>
      <c r="C185" s="332"/>
      <c r="D185" s="330"/>
      <c r="E185" s="310"/>
      <c r="F185" s="310"/>
      <c r="G185" s="307"/>
      <c r="H185" s="305"/>
      <c r="I185" s="305"/>
      <c r="J185" s="303"/>
      <c r="K185" s="304"/>
      <c r="L185" s="303"/>
      <c r="M185" s="303"/>
      <c r="N185" s="303"/>
      <c r="O185" s="304"/>
    </row>
    <row r="186" spans="1:15" s="1075" customFormat="1">
      <c r="A186" s="1229"/>
      <c r="B186" s="331"/>
      <c r="C186" s="332"/>
      <c r="D186" s="330"/>
      <c r="E186" s="310"/>
      <c r="F186" s="310"/>
      <c r="G186" s="307"/>
      <c r="H186" s="305"/>
      <c r="I186" s="305"/>
      <c r="J186" s="303"/>
      <c r="K186" s="304"/>
      <c r="L186" s="303"/>
      <c r="M186" s="303"/>
      <c r="N186" s="303"/>
      <c r="O186" s="304"/>
    </row>
    <row r="187" spans="1:15">
      <c r="A187" s="207">
        <v>25</v>
      </c>
      <c r="B187" s="1409" t="s">
        <v>911</v>
      </c>
      <c r="C187" s="1400"/>
      <c r="D187" s="1401"/>
      <c r="E187" s="312">
        <f>SUM(E168:E186)</f>
        <v>57636155.059999995</v>
      </c>
      <c r="F187" s="321"/>
      <c r="G187" s="312">
        <f>SUM(G168:G186)</f>
        <v>0</v>
      </c>
      <c r="H187" s="312">
        <f>SUM(H168:H186)</f>
        <v>0</v>
      </c>
      <c r="I187" s="312">
        <f>SUM(I168:I186)</f>
        <v>0</v>
      </c>
      <c r="J187" s="312">
        <f>SUM(J168:J186)</f>
        <v>57636155.059999995</v>
      </c>
      <c r="K187" s="321"/>
      <c r="L187" s="312">
        <f>SUM(L168:L186)</f>
        <v>11514733.486485299</v>
      </c>
      <c r="M187" s="312">
        <f>SUM(M168:M186)</f>
        <v>46121421.5735147</v>
      </c>
      <c r="N187" s="312">
        <f>SUM(N168:N186)</f>
        <v>0</v>
      </c>
      <c r="O187" s="196"/>
    </row>
    <row r="188" spans="1:15">
      <c r="A188" s="207">
        <v>26</v>
      </c>
      <c r="B188" s="1409" t="s">
        <v>912</v>
      </c>
      <c r="C188" s="1400"/>
      <c r="D188" s="1401"/>
      <c r="E188" s="1228">
        <f>E189-E187</f>
        <v>7774303.9400000051</v>
      </c>
      <c r="F188" s="298"/>
      <c r="G188" s="296"/>
      <c r="H188" s="313"/>
      <c r="I188" s="313"/>
      <c r="J188" s="296"/>
      <c r="K188" s="313"/>
      <c r="L188" s="296"/>
      <c r="M188" s="296"/>
      <c r="N188" s="296"/>
      <c r="O188" s="194"/>
    </row>
    <row r="189" spans="1:15" ht="25.5" customHeight="1">
      <c r="A189" s="207">
        <v>27</v>
      </c>
      <c r="B189" s="1421" t="s">
        <v>1253</v>
      </c>
      <c r="C189" s="1422"/>
      <c r="D189" s="1423"/>
      <c r="E189" s="1228">
        <v>65410459</v>
      </c>
      <c r="F189" s="354" t="s">
        <v>331</v>
      </c>
    </row>
    <row r="190" spans="1:15">
      <c r="A190" s="215"/>
    </row>
    <row r="191" spans="1:15">
      <c r="B191" s="40" t="s">
        <v>913</v>
      </c>
    </row>
    <row r="192" spans="1:15">
      <c r="A192" s="205" t="s">
        <v>914</v>
      </c>
      <c r="B192" s="1412">
        <v>418.1</v>
      </c>
      <c r="C192" s="1413"/>
      <c r="D192" s="217" t="s">
        <v>915</v>
      </c>
      <c r="E192" s="1097"/>
      <c r="F192" s="303" t="s">
        <v>576</v>
      </c>
      <c r="G192" s="299">
        <f>IF(F192=$G$2,E192,0)</f>
        <v>0</v>
      </c>
      <c r="H192" s="205">
        <v>0</v>
      </c>
      <c r="I192" s="206">
        <f t="shared" ref="I192:I195" si="63">G192-H192</f>
        <v>0</v>
      </c>
      <c r="J192" s="299">
        <f>IF(F192=$J$2,E192,0)</f>
        <v>0</v>
      </c>
      <c r="K192" s="339" t="s">
        <v>561</v>
      </c>
      <c r="L192" s="303"/>
      <c r="M192" s="206">
        <f>J192-L192</f>
        <v>0</v>
      </c>
      <c r="N192" s="299">
        <f>IF(F192=$N$2,E192,0)</f>
        <v>0</v>
      </c>
      <c r="O192" s="209" t="s">
        <v>916</v>
      </c>
    </row>
    <row r="193" spans="1:16">
      <c r="A193" s="205" t="s">
        <v>917</v>
      </c>
      <c r="B193" s="1412">
        <v>418.1</v>
      </c>
      <c r="C193" s="1413"/>
      <c r="D193" s="217" t="s">
        <v>918</v>
      </c>
      <c r="E193" s="1097"/>
      <c r="F193" s="303" t="s">
        <v>576</v>
      </c>
      <c r="G193" s="299">
        <f>IF(F193=$G$2,E193,0)</f>
        <v>0</v>
      </c>
      <c r="H193" s="205">
        <v>0</v>
      </c>
      <c r="I193" s="206">
        <f t="shared" si="63"/>
        <v>0</v>
      </c>
      <c r="J193" s="299">
        <f>IF(F193=$J$2,E193,0)</f>
        <v>0</v>
      </c>
      <c r="K193" s="339" t="s">
        <v>617</v>
      </c>
      <c r="L193" s="303"/>
      <c r="M193" s="206">
        <f>J193-L193</f>
        <v>0</v>
      </c>
      <c r="N193" s="299">
        <f>IF(F193=$N$2,E193,0)</f>
        <v>0</v>
      </c>
      <c r="O193" s="209" t="s">
        <v>916</v>
      </c>
    </row>
    <row r="194" spans="1:16">
      <c r="A194" s="205" t="s">
        <v>919</v>
      </c>
      <c r="B194" s="1412">
        <v>418.1</v>
      </c>
      <c r="C194" s="1413"/>
      <c r="D194" s="574" t="s">
        <v>1691</v>
      </c>
      <c r="E194" s="1097">
        <v>0</v>
      </c>
      <c r="F194" s="1183" t="s">
        <v>576</v>
      </c>
      <c r="G194" s="299">
        <f>IF(F194=$G$2,E194,0)</f>
        <v>0</v>
      </c>
      <c r="H194" s="205">
        <v>0</v>
      </c>
      <c r="I194" s="206">
        <f t="shared" si="63"/>
        <v>0</v>
      </c>
      <c r="J194" s="299">
        <f>IF(F194=$J$2,E194,0)</f>
        <v>0</v>
      </c>
      <c r="K194" s="575" t="s">
        <v>617</v>
      </c>
      <c r="L194" s="303"/>
      <c r="M194" s="206">
        <f>J194-L194</f>
        <v>0</v>
      </c>
      <c r="N194" s="299">
        <f>IF(F194=$N$2,E194,0)</f>
        <v>0</v>
      </c>
      <c r="O194" s="572" t="s">
        <v>1692</v>
      </c>
    </row>
    <row r="195" spans="1:16">
      <c r="A195" s="205" t="s">
        <v>921</v>
      </c>
      <c r="B195" s="1412">
        <v>418.1</v>
      </c>
      <c r="C195" s="1413"/>
      <c r="D195" s="217" t="s">
        <v>920</v>
      </c>
      <c r="E195" s="1097">
        <f>-45</f>
        <v>-45</v>
      </c>
      <c r="F195" s="303" t="s">
        <v>575</v>
      </c>
      <c r="G195" s="299">
        <f>IF(F195=$G$2,E195,0)</f>
        <v>-45</v>
      </c>
      <c r="H195" s="205">
        <v>0</v>
      </c>
      <c r="I195" s="206">
        <f t="shared" si="63"/>
        <v>-45</v>
      </c>
      <c r="J195" s="299">
        <f>IF(F195=$J$2,E195,0)</f>
        <v>0</v>
      </c>
      <c r="K195" s="339"/>
      <c r="L195" s="303"/>
      <c r="M195" s="206">
        <f>J195-L195</f>
        <v>0</v>
      </c>
      <c r="N195" s="299">
        <f>IF(F195=$N$2,E195,0)</f>
        <v>0</v>
      </c>
      <c r="O195" s="205">
        <v>13</v>
      </c>
    </row>
    <row r="196" spans="1:16">
      <c r="A196" s="573" t="s">
        <v>1199</v>
      </c>
      <c r="B196" s="935">
        <v>418.1</v>
      </c>
      <c r="C196" s="996"/>
      <c r="D196" s="574" t="s">
        <v>1828</v>
      </c>
      <c r="E196" s="1097">
        <v>-1824112.55</v>
      </c>
      <c r="F196" s="303" t="s">
        <v>575</v>
      </c>
      <c r="G196" s="299">
        <f>IF(F196=$G$2,E196,0)</f>
        <v>-1824112.55</v>
      </c>
      <c r="H196" s="206">
        <f>E196*$D$237</f>
        <v>-107969.2218345</v>
      </c>
      <c r="I196" s="206">
        <f>G196-H196</f>
        <v>-1716143.3281655</v>
      </c>
      <c r="J196" s="299">
        <f>IF(F196=$J$2,E196,0)</f>
        <v>0</v>
      </c>
      <c r="K196" s="339"/>
      <c r="L196" s="303"/>
      <c r="M196" s="206">
        <f>J196-L196</f>
        <v>0</v>
      </c>
      <c r="N196" s="299">
        <f>IF(F196=$N$2,E196,0)</f>
        <v>0</v>
      </c>
      <c r="O196" s="573" t="s">
        <v>2212</v>
      </c>
    </row>
    <row r="197" spans="1:16">
      <c r="A197" s="304"/>
      <c r="B197" s="346"/>
      <c r="C197" s="347"/>
      <c r="D197" s="348"/>
      <c r="E197" s="306"/>
      <c r="F197" s="303"/>
      <c r="G197" s="307"/>
      <c r="H197" s="304"/>
      <c r="I197" s="305"/>
      <c r="J197" s="303"/>
      <c r="K197" s="349"/>
      <c r="L197" s="303"/>
      <c r="M197" s="350"/>
      <c r="N197" s="303"/>
      <c r="O197" s="304"/>
    </row>
    <row r="198" spans="1:16">
      <c r="A198" s="304"/>
      <c r="B198" s="346"/>
      <c r="C198" s="347"/>
      <c r="D198" s="348"/>
      <c r="E198" s="306"/>
      <c r="F198" s="303"/>
      <c r="G198" s="307"/>
      <c r="H198" s="304"/>
      <c r="I198" s="305"/>
      <c r="J198" s="303"/>
      <c r="K198" s="349"/>
      <c r="L198" s="303"/>
      <c r="M198" s="350"/>
      <c r="N198" s="303"/>
      <c r="O198" s="304"/>
    </row>
    <row r="199" spans="1:16">
      <c r="A199" s="209">
        <v>29</v>
      </c>
      <c r="B199" s="1409" t="s">
        <v>922</v>
      </c>
      <c r="C199" s="1400"/>
      <c r="D199" s="1401"/>
      <c r="E199" s="406">
        <f>SUM(E192:E198)</f>
        <v>-1824157.55</v>
      </c>
      <c r="F199" s="357"/>
      <c r="G199" s="406">
        <f>SUM(G192:G198)</f>
        <v>-1824157.55</v>
      </c>
      <c r="H199" s="406">
        <f>SUM(H192:H198)</f>
        <v>-107969.2218345</v>
      </c>
      <c r="I199" s="406">
        <f>SUM(I192:I198)</f>
        <v>-1716188.3281655</v>
      </c>
      <c r="J199" s="406">
        <f>SUM(J192:J198)</f>
        <v>0</v>
      </c>
      <c r="K199" s="322"/>
      <c r="L199" s="406">
        <f>SUM(L192:L198)</f>
        <v>0</v>
      </c>
      <c r="M199" s="406">
        <f>SUM(M192:M198)</f>
        <v>0</v>
      </c>
      <c r="N199" s="406">
        <f>SUM(N192:N198)</f>
        <v>0</v>
      </c>
      <c r="O199" s="196"/>
      <c r="P199" s="14"/>
    </row>
    <row r="200" spans="1:16">
      <c r="A200" s="209">
        <v>30</v>
      </c>
      <c r="B200" s="1409" t="s">
        <v>1766</v>
      </c>
      <c r="C200" s="1416"/>
      <c r="D200" s="1417"/>
      <c r="E200" s="1235">
        <f>E199-0</f>
        <v>-1824157.55</v>
      </c>
      <c r="F200" s="356"/>
      <c r="G200" s="356"/>
      <c r="H200" s="356"/>
      <c r="I200" s="356"/>
      <c r="J200" s="355"/>
      <c r="K200" s="356"/>
      <c r="L200" s="355"/>
      <c r="M200" s="355"/>
      <c r="N200" s="355"/>
      <c r="O200" s="194"/>
    </row>
    <row r="201" spans="1:16" ht="25.5" customHeight="1">
      <c r="A201" s="209">
        <v>31</v>
      </c>
      <c r="B201" s="1414" t="s">
        <v>1252</v>
      </c>
      <c r="C201" s="1415"/>
      <c r="D201" s="1415"/>
      <c r="E201" s="1235">
        <v>-45</v>
      </c>
      <c r="F201" s="356"/>
      <c r="G201" s="356"/>
      <c r="H201" s="356"/>
      <c r="I201" s="356"/>
      <c r="J201" s="355"/>
      <c r="K201" s="356"/>
      <c r="L201" s="355"/>
      <c r="M201" s="355"/>
      <c r="N201" s="355"/>
      <c r="O201" s="194"/>
    </row>
    <row r="202" spans="1:16">
      <c r="A202" s="215"/>
    </row>
    <row r="203" spans="1:16">
      <c r="A203" s="209">
        <v>32</v>
      </c>
      <c r="B203" s="326"/>
      <c r="C203" s="325"/>
      <c r="D203" s="226" t="s">
        <v>923</v>
      </c>
      <c r="E203" s="1373">
        <f>E8+E30+E35+E67+E129+E154+E159+E164+E187+E199</f>
        <v>798220761.62000012</v>
      </c>
      <c r="F203" s="408"/>
      <c r="G203" s="1373">
        <f>G8+G30+G35+G67+G129+G154+G159+G164+G187+G199</f>
        <v>241420223.15501601</v>
      </c>
      <c r="H203" s="1373">
        <f>H8+H30+H35+H67+H129+H154+H159+H164+H187+H199</f>
        <v>49523448.737286501</v>
      </c>
      <c r="I203" s="1373">
        <f>I8+I30+I35+I67+I129+I154+I159+I164+I187+I199</f>
        <v>191896774.41772947</v>
      </c>
      <c r="J203" s="1373">
        <f>J8+J30+J35+J67+J129+J154+J159+J164+J187+J199</f>
        <v>83406528.639999986</v>
      </c>
      <c r="K203" s="408"/>
      <c r="L203" s="1373">
        <f>L8+L30+L35+L67+L129+L154+L159+L164+L187+L199</f>
        <v>16671389.045323361</v>
      </c>
      <c r="M203" s="407">
        <f>M8+M30+M35+M67+M129+M154+M159+M164+M187+M199</f>
        <v>66735139.594676644</v>
      </c>
      <c r="N203" s="407">
        <f>N8+N30+N35+N67+N129+N154+N159+N164+N187+N199</f>
        <v>473394009.82498407</v>
      </c>
      <c r="O203" s="195"/>
    </row>
    <row r="204" spans="1:16">
      <c r="A204" s="227"/>
      <c r="B204" s="228"/>
      <c r="C204" s="227"/>
      <c r="E204" s="215"/>
      <c r="F204" s="215"/>
      <c r="G204" s="300"/>
      <c r="J204" s="317"/>
      <c r="K204" s="316"/>
      <c r="N204" s="300"/>
    </row>
    <row r="205" spans="1:16">
      <c r="A205" s="227"/>
      <c r="B205" s="228"/>
      <c r="C205" s="227"/>
      <c r="E205" s="215"/>
      <c r="F205" s="215" t="s">
        <v>154</v>
      </c>
      <c r="J205" s="317"/>
      <c r="K205" s="316"/>
      <c r="N205" s="300"/>
    </row>
    <row r="206" spans="1:16">
      <c r="A206" s="209">
        <v>33</v>
      </c>
      <c r="B206" s="345"/>
      <c r="C206" s="345"/>
      <c r="D206" s="341" t="s">
        <v>924</v>
      </c>
      <c r="E206" s="338">
        <f>L203</f>
        <v>16671389.045323361</v>
      </c>
      <c r="F206" s="340" t="s">
        <v>925</v>
      </c>
      <c r="G206" s="300"/>
      <c r="N206" s="300"/>
    </row>
    <row r="207" spans="1:16">
      <c r="A207" s="205">
        <v>34</v>
      </c>
      <c r="B207" s="345"/>
      <c r="C207" s="345"/>
      <c r="D207" s="341" t="s">
        <v>927</v>
      </c>
      <c r="E207" s="338">
        <f>E206*(5.425/16.671)</f>
        <v>5425126.6013364065</v>
      </c>
      <c r="F207" s="997" t="s">
        <v>1193</v>
      </c>
      <c r="G207" s="316"/>
      <c r="N207" s="300"/>
    </row>
    <row r="208" spans="1:16">
      <c r="A208" s="205">
        <v>35</v>
      </c>
      <c r="B208" s="345"/>
      <c r="C208" s="345"/>
      <c r="D208" s="343"/>
      <c r="E208" s="294"/>
      <c r="F208" s="998"/>
      <c r="G208" s="316"/>
      <c r="N208" s="300"/>
    </row>
    <row r="209" spans="1:254">
      <c r="A209" s="205">
        <v>36</v>
      </c>
      <c r="B209" s="345"/>
      <c r="C209" s="345"/>
      <c r="D209" s="341" t="s">
        <v>928</v>
      </c>
      <c r="E209" s="338">
        <f>SUMIF(K4:K193,"=A",M4:M193)</f>
        <v>40424674.813871965</v>
      </c>
      <c r="F209" s="999" t="s">
        <v>929</v>
      </c>
      <c r="G209" s="316"/>
      <c r="N209" s="300"/>
    </row>
    <row r="210" spans="1:254">
      <c r="A210" s="205">
        <v>37</v>
      </c>
      <c r="B210" s="335"/>
      <c r="C210" s="335"/>
      <c r="D210" s="341" t="s">
        <v>930</v>
      </c>
      <c r="E210" s="338">
        <f>0.1*E209</f>
        <v>4042467.4813871966</v>
      </c>
      <c r="F210" s="66" t="str">
        <f>"= Line "&amp;A209&amp;"D * 10%"</f>
        <v>= Line 36D * 10%</v>
      </c>
      <c r="G210" s="41"/>
      <c r="H210" s="319"/>
      <c r="I210" s="320"/>
    </row>
    <row r="211" spans="1:254">
      <c r="A211" s="205">
        <v>38</v>
      </c>
      <c r="B211" s="335"/>
      <c r="C211" s="335"/>
      <c r="D211" s="341" t="s">
        <v>931</v>
      </c>
      <c r="E211" s="338">
        <f>SUMIF(K4:K195,"=P",M4:M195)</f>
        <v>26310464.780804679</v>
      </c>
      <c r="F211" s="1000" t="s">
        <v>932</v>
      </c>
      <c r="G211" s="41"/>
      <c r="H211" s="215"/>
      <c r="I211" s="320"/>
    </row>
    <row r="212" spans="1:254">
      <c r="A212" s="205">
        <v>39</v>
      </c>
      <c r="B212" s="335"/>
      <c r="C212" s="335"/>
      <c r="D212" s="341" t="s">
        <v>933</v>
      </c>
      <c r="E212" s="338">
        <f>0.3*E211</f>
        <v>7893139.4342414029</v>
      </c>
      <c r="F212" s="66" t="str">
        <f>"= Line "&amp;A211&amp;"D * 30%"</f>
        <v>= Line 38D * 30%</v>
      </c>
      <c r="G212" s="41"/>
      <c r="H212" s="319"/>
      <c r="I212" s="320"/>
    </row>
    <row r="213" spans="1:254">
      <c r="A213" s="205">
        <v>40</v>
      </c>
      <c r="B213" s="335"/>
      <c r="C213" s="335"/>
      <c r="D213" s="341" t="s">
        <v>934</v>
      </c>
      <c r="E213" s="338">
        <f>E210+E212</f>
        <v>11935606.915628599</v>
      </c>
      <c r="F213" s="66" t="str">
        <f>"= Line "&amp;A210&amp;"D + Line "&amp;A212&amp;"D"</f>
        <v>= Line 37D + Line 39D</v>
      </c>
      <c r="G213" s="315"/>
    </row>
    <row r="214" spans="1:254">
      <c r="A214" s="205">
        <v>41</v>
      </c>
      <c r="B214" s="335"/>
      <c r="C214" s="335"/>
      <c r="D214" s="341" t="s">
        <v>935</v>
      </c>
      <c r="E214" s="342">
        <f>5.425/16.671</f>
        <v>0.32541539199808051</v>
      </c>
      <c r="F214" s="999" t="s">
        <v>926</v>
      </c>
      <c r="G214" s="315"/>
    </row>
    <row r="215" spans="1:254">
      <c r="A215" s="205">
        <v>42</v>
      </c>
      <c r="B215" s="335"/>
      <c r="C215" s="335"/>
      <c r="D215" s="341" t="s">
        <v>936</v>
      </c>
      <c r="E215" s="338">
        <f>E213*E214</f>
        <v>3884030.203184281</v>
      </c>
      <c r="F215" s="66" t="str">
        <f>"= Line "&amp;A213&amp;"D * Line "&amp;A214&amp;"D"</f>
        <v>= Line 40D * Line 41D</v>
      </c>
      <c r="G215" s="315"/>
    </row>
    <row r="216" spans="1:254" ht="12.75" customHeight="1">
      <c r="A216" s="205">
        <v>43</v>
      </c>
      <c r="B216" s="335"/>
      <c r="C216" s="335"/>
      <c r="D216" s="344" t="s">
        <v>1767</v>
      </c>
      <c r="E216" s="406">
        <f>E215+E207</f>
        <v>9309156.8045206871</v>
      </c>
      <c r="F216" s="66" t="str">
        <f>"= Line "&amp;A207&amp;"D + Line "&amp;A215&amp;"D"</f>
        <v>= Line 34D + Line 42D</v>
      </c>
      <c r="G216" s="315"/>
    </row>
    <row r="217" spans="1:254">
      <c r="A217" s="41"/>
      <c r="D217" s="315"/>
      <c r="E217" s="1001"/>
      <c r="F217" s="999"/>
      <c r="G217" s="315"/>
    </row>
    <row r="218" spans="1:254">
      <c r="A218" s="41"/>
      <c r="D218" s="224"/>
      <c r="E218" s="230" t="s">
        <v>175</v>
      </c>
      <c r="F218" s="230" t="s">
        <v>154</v>
      </c>
      <c r="G218" s="222"/>
      <c r="I218" s="225"/>
      <c r="J218" s="41"/>
      <c r="K218" s="225"/>
      <c r="L218" s="224"/>
      <c r="M218" s="230"/>
      <c r="N218" s="230"/>
      <c r="O218" s="222"/>
      <c r="P218" s="223"/>
      <c r="Q218" s="225"/>
      <c r="R218" s="224"/>
      <c r="S218" s="230"/>
      <c r="T218" s="230"/>
      <c r="U218" s="222"/>
      <c r="V218" s="223"/>
      <c r="W218" s="225"/>
      <c r="X218" s="41"/>
      <c r="Y218" s="225"/>
      <c r="Z218" s="224"/>
      <c r="AA218" s="230"/>
      <c r="AB218" s="230"/>
      <c r="AC218" s="222"/>
      <c r="AD218" s="223"/>
      <c r="AE218" s="225"/>
      <c r="AF218" s="41"/>
      <c r="AG218" s="225"/>
      <c r="AH218" s="224"/>
      <c r="AI218" s="230"/>
      <c r="AJ218" s="230"/>
      <c r="AK218" s="222"/>
      <c r="AL218" s="223"/>
      <c r="AM218" s="225"/>
      <c r="AN218" s="41"/>
      <c r="AO218" s="225"/>
      <c r="AP218" s="224"/>
      <c r="AQ218" s="230"/>
      <c r="AR218" s="230"/>
      <c r="AS218" s="222"/>
      <c r="AT218" s="223"/>
      <c r="AU218" s="225"/>
      <c r="AV218" s="41"/>
      <c r="AW218" s="225"/>
      <c r="AX218" s="224"/>
      <c r="AY218" s="230"/>
      <c r="AZ218" s="230"/>
      <c r="BA218" s="222"/>
      <c r="BB218" s="223"/>
      <c r="BC218" s="225"/>
      <c r="BD218" s="41"/>
      <c r="BE218" s="225"/>
      <c r="BF218" s="224"/>
      <c r="BG218" s="230"/>
      <c r="BH218" s="230"/>
      <c r="BI218" s="222"/>
      <c r="BJ218" s="223"/>
      <c r="BK218" s="225"/>
      <c r="BL218" s="41"/>
      <c r="BM218" s="225"/>
      <c r="BN218" s="224"/>
      <c r="BO218" s="230"/>
      <c r="BP218" s="230"/>
      <c r="BQ218" s="222"/>
      <c r="BR218" s="223"/>
      <c r="BS218" s="225"/>
      <c r="BT218" s="41"/>
      <c r="BU218" s="225"/>
      <c r="BV218" s="224"/>
      <c r="BW218" s="230"/>
      <c r="BX218" s="230"/>
      <c r="BY218" s="222"/>
      <c r="BZ218" s="223"/>
      <c r="CA218" s="225"/>
      <c r="CB218" s="41"/>
      <c r="CC218" s="225"/>
      <c r="CD218" s="224"/>
      <c r="CE218" s="230"/>
      <c r="CF218" s="230"/>
      <c r="CG218" s="222"/>
      <c r="CH218" s="223"/>
      <c r="CI218" s="225"/>
      <c r="CJ218" s="41"/>
      <c r="CK218" s="225"/>
      <c r="CL218" s="224"/>
      <c r="CM218" s="230"/>
      <c r="CN218" s="230"/>
      <c r="CO218" s="222"/>
      <c r="CP218" s="223"/>
      <c r="CQ218" s="225"/>
      <c r="CR218" s="41"/>
      <c r="CS218" s="225"/>
      <c r="CT218" s="224"/>
      <c r="CU218" s="230"/>
      <c r="CV218" s="230"/>
      <c r="CW218" s="222"/>
      <c r="CX218" s="223"/>
      <c r="CY218" s="225"/>
      <c r="CZ218" s="41"/>
      <c r="DA218" s="225"/>
      <c r="DB218" s="224"/>
      <c r="DC218" s="230"/>
      <c r="DD218" s="230"/>
      <c r="DE218" s="222"/>
      <c r="DF218" s="223"/>
      <c r="DG218" s="225"/>
      <c r="DH218" s="41"/>
      <c r="DI218" s="225"/>
      <c r="DJ218" s="224"/>
      <c r="DK218" s="230"/>
      <c r="DL218" s="230"/>
      <c r="DM218" s="222"/>
      <c r="DN218" s="223"/>
      <c r="DO218" s="225"/>
      <c r="DP218" s="41"/>
      <c r="DQ218" s="225"/>
      <c r="DR218" s="224"/>
      <c r="DS218" s="230"/>
      <c r="DT218" s="230"/>
      <c r="DU218" s="222"/>
      <c r="DV218" s="223"/>
      <c r="DW218" s="225"/>
      <c r="DX218" s="41"/>
      <c r="DY218" s="225"/>
      <c r="DZ218" s="224"/>
      <c r="EA218" s="230"/>
      <c r="EB218" s="230"/>
      <c r="EC218" s="222"/>
      <c r="ED218" s="223"/>
      <c r="EE218" s="225"/>
      <c r="EF218" s="41"/>
      <c r="EG218" s="225"/>
      <c r="EH218" s="224"/>
      <c r="EI218" s="230"/>
      <c r="EJ218" s="230"/>
      <c r="EK218" s="222"/>
      <c r="EL218" s="223"/>
      <c r="EM218" s="225"/>
      <c r="EN218" s="41"/>
      <c r="EO218" s="225"/>
      <c r="EP218" s="224"/>
      <c r="EQ218" s="230"/>
      <c r="ER218" s="230"/>
      <c r="ES218" s="222"/>
      <c r="ET218" s="223"/>
      <c r="EU218" s="225"/>
      <c r="EV218" s="41"/>
      <c r="EW218" s="225"/>
      <c r="EX218" s="224"/>
      <c r="EY218" s="230"/>
      <c r="EZ218" s="230"/>
      <c r="FA218" s="222"/>
      <c r="FB218" s="223"/>
      <c r="FC218" s="225"/>
      <c r="FD218" s="41"/>
      <c r="FE218" s="225"/>
      <c r="FF218" s="224"/>
      <c r="FG218" s="230"/>
      <c r="FH218" s="230"/>
      <c r="FI218" s="222"/>
      <c r="FJ218" s="223"/>
      <c r="FK218" s="225"/>
      <c r="FL218" s="41"/>
      <c r="FM218" s="225"/>
      <c r="FN218" s="224"/>
      <c r="FO218" s="230"/>
      <c r="FP218" s="230"/>
      <c r="FQ218" s="222"/>
      <c r="FR218" s="223"/>
      <c r="FS218" s="225"/>
      <c r="FT218" s="41"/>
      <c r="FU218" s="225"/>
      <c r="FV218" s="224"/>
      <c r="FW218" s="230"/>
      <c r="FX218" s="230"/>
      <c r="FY218" s="222"/>
      <c r="FZ218" s="223"/>
      <c r="GA218" s="225"/>
      <c r="GB218" s="41"/>
      <c r="GC218" s="225"/>
      <c r="GD218" s="224"/>
      <c r="GE218" s="230"/>
      <c r="GF218" s="230"/>
      <c r="GG218" s="222"/>
      <c r="GH218" s="223"/>
      <c r="GI218" s="225"/>
      <c r="GJ218" s="41"/>
      <c r="GK218" s="225"/>
      <c r="GL218" s="224"/>
      <c r="GM218" s="230"/>
      <c r="GN218" s="230"/>
      <c r="GO218" s="222"/>
      <c r="GP218" s="223"/>
      <c r="GQ218" s="225"/>
      <c r="GR218" s="41"/>
      <c r="GS218" s="225"/>
      <c r="GT218" s="224"/>
      <c r="GU218" s="230"/>
      <c r="GV218" s="230"/>
      <c r="GW218" s="222"/>
      <c r="GX218" s="223"/>
      <c r="GY218" s="225"/>
      <c r="GZ218" s="41"/>
      <c r="HA218" s="225"/>
      <c r="HB218" s="224"/>
      <c r="HC218" s="230"/>
      <c r="HD218" s="230"/>
      <c r="HE218" s="222"/>
      <c r="HF218" s="223"/>
      <c r="HG218" s="225"/>
      <c r="HH218" s="41"/>
      <c r="HI218" s="225"/>
      <c r="HJ218" s="224"/>
      <c r="HK218" s="230"/>
      <c r="HL218" s="230"/>
      <c r="HM218" s="222"/>
      <c r="HN218" s="223"/>
      <c r="HO218" s="225"/>
      <c r="HP218" s="41"/>
      <c r="HQ218" s="225"/>
      <c r="HR218" s="224"/>
      <c r="HS218" s="230"/>
      <c r="HT218" s="230"/>
      <c r="HU218" s="222"/>
      <c r="HV218" s="223"/>
      <c r="HW218" s="225"/>
      <c r="HX218" s="41"/>
      <c r="HY218" s="225"/>
      <c r="HZ218" s="224"/>
      <c r="IA218" s="230"/>
      <c r="IB218" s="230"/>
      <c r="IC218" s="222"/>
      <c r="ID218" s="223"/>
      <c r="IE218" s="225"/>
      <c r="IF218" s="41"/>
      <c r="IG218" s="225"/>
      <c r="IH218" s="224"/>
      <c r="II218" s="230"/>
      <c r="IJ218" s="230"/>
      <c r="IK218" s="222"/>
      <c r="IL218" s="223"/>
      <c r="IM218" s="225"/>
      <c r="IN218" s="41"/>
      <c r="IO218" s="225"/>
      <c r="IP218" s="224"/>
      <c r="IQ218" s="230"/>
      <c r="IR218" s="230"/>
      <c r="IS218" s="222"/>
      <c r="IT218" s="223"/>
    </row>
    <row r="219" spans="1:254">
      <c r="A219" s="205">
        <v>44</v>
      </c>
      <c r="B219" s="40" t="s">
        <v>959</v>
      </c>
      <c r="D219" s="224"/>
      <c r="E219" s="409">
        <f>H203+E216</f>
        <v>58832605.54180719</v>
      </c>
      <c r="F219" s="744" t="s">
        <v>2069</v>
      </c>
      <c r="G219" s="222"/>
      <c r="J219" s="40"/>
      <c r="K219" s="225"/>
      <c r="L219" s="224"/>
      <c r="M219" s="229"/>
      <c r="N219" s="231"/>
      <c r="O219" s="222"/>
      <c r="P219" s="223"/>
      <c r="Q219" s="225"/>
      <c r="R219" s="224"/>
      <c r="S219" s="229"/>
      <c r="T219" s="231"/>
      <c r="U219" s="222"/>
      <c r="V219" s="223"/>
      <c r="W219" s="215"/>
      <c r="X219" s="40"/>
      <c r="Y219" s="225"/>
      <c r="Z219" s="224"/>
      <c r="AA219" s="229"/>
      <c r="AB219" s="231"/>
      <c r="AC219" s="222"/>
      <c r="AD219" s="223"/>
      <c r="AE219" s="215"/>
      <c r="AF219" s="40"/>
      <c r="AG219" s="225"/>
      <c r="AH219" s="224"/>
      <c r="AI219" s="229"/>
      <c r="AJ219" s="231"/>
      <c r="AK219" s="222"/>
      <c r="AL219" s="223"/>
      <c r="AM219" s="209"/>
      <c r="AN219" s="40"/>
      <c r="AO219" s="225"/>
      <c r="AP219" s="224"/>
      <c r="AQ219" s="229"/>
      <c r="AR219" s="231"/>
      <c r="AS219" s="222"/>
      <c r="AT219" s="223"/>
      <c r="AU219" s="209"/>
      <c r="AV219" s="40"/>
      <c r="AW219" s="225"/>
      <c r="AX219" s="224"/>
      <c r="AY219" s="229"/>
      <c r="AZ219" s="231"/>
      <c r="BA219" s="222"/>
      <c r="BB219" s="223"/>
      <c r="BC219" s="209"/>
      <c r="BD219" s="40"/>
      <c r="BE219" s="225"/>
      <c r="BF219" s="224"/>
      <c r="BG219" s="229"/>
      <c r="BH219" s="231"/>
      <c r="BI219" s="222"/>
      <c r="BJ219" s="223"/>
      <c r="BK219" s="209"/>
      <c r="BL219" s="40"/>
      <c r="BM219" s="225"/>
      <c r="BN219" s="224"/>
      <c r="BO219" s="229"/>
      <c r="BP219" s="231"/>
      <c r="BQ219" s="222"/>
      <c r="BR219" s="223"/>
      <c r="BS219" s="209"/>
      <c r="BT219" s="40"/>
      <c r="BU219" s="225"/>
      <c r="BV219" s="224"/>
      <c r="BW219" s="229"/>
      <c r="BX219" s="231"/>
      <c r="BY219" s="222"/>
      <c r="BZ219" s="223"/>
      <c r="CA219" s="209"/>
      <c r="CB219" s="40"/>
      <c r="CC219" s="225"/>
      <c r="CD219" s="224"/>
      <c r="CE219" s="229"/>
      <c r="CF219" s="231"/>
      <c r="CG219" s="222"/>
      <c r="CH219" s="223"/>
      <c r="CI219" s="209"/>
      <c r="CJ219" s="40"/>
      <c r="CK219" s="225"/>
      <c r="CL219" s="224"/>
      <c r="CM219" s="229"/>
      <c r="CN219" s="231"/>
      <c r="CO219" s="222"/>
      <c r="CP219" s="223"/>
      <c r="CQ219" s="209"/>
      <c r="CR219" s="40"/>
      <c r="CS219" s="225"/>
      <c r="CT219" s="224"/>
      <c r="CU219" s="229"/>
      <c r="CV219" s="231"/>
      <c r="CW219" s="222"/>
      <c r="CX219" s="223"/>
      <c r="CY219" s="209"/>
      <c r="CZ219" s="40"/>
      <c r="DA219" s="225"/>
      <c r="DB219" s="224"/>
      <c r="DC219" s="229"/>
      <c r="DD219" s="231"/>
      <c r="DE219" s="222"/>
      <c r="DF219" s="223"/>
      <c r="DG219" s="209"/>
      <c r="DH219" s="40"/>
      <c r="DI219" s="225"/>
      <c r="DJ219" s="224"/>
      <c r="DK219" s="229"/>
      <c r="DL219" s="231"/>
      <c r="DM219" s="222"/>
      <c r="DN219" s="223"/>
      <c r="DO219" s="209"/>
      <c r="DP219" s="40"/>
      <c r="DQ219" s="225"/>
      <c r="DR219" s="224"/>
      <c r="DS219" s="229"/>
      <c r="DT219" s="231"/>
      <c r="DU219" s="222"/>
      <c r="DV219" s="223"/>
      <c r="DW219" s="209"/>
      <c r="DX219" s="40"/>
      <c r="DY219" s="225"/>
      <c r="DZ219" s="224"/>
      <c r="EA219" s="229"/>
      <c r="EB219" s="231"/>
      <c r="EC219" s="222"/>
      <c r="ED219" s="223"/>
      <c r="EE219" s="209"/>
      <c r="EF219" s="40"/>
      <c r="EG219" s="225"/>
      <c r="EH219" s="224"/>
      <c r="EI219" s="229"/>
      <c r="EJ219" s="231"/>
      <c r="EK219" s="222"/>
      <c r="EL219" s="223"/>
      <c r="EM219" s="209"/>
      <c r="EN219" s="40"/>
      <c r="EO219" s="225"/>
      <c r="EP219" s="224"/>
      <c r="EQ219" s="229"/>
      <c r="ER219" s="231"/>
      <c r="ES219" s="222"/>
      <c r="ET219" s="223"/>
      <c r="EU219" s="209"/>
      <c r="EV219" s="40"/>
      <c r="EW219" s="225"/>
      <c r="EX219" s="224"/>
      <c r="EY219" s="229"/>
      <c r="EZ219" s="231"/>
      <c r="FA219" s="222"/>
      <c r="FB219" s="223"/>
      <c r="FC219" s="209"/>
      <c r="FD219" s="40"/>
      <c r="FE219" s="225"/>
      <c r="FF219" s="224"/>
      <c r="FG219" s="229"/>
      <c r="FH219" s="231"/>
      <c r="FI219" s="222"/>
      <c r="FJ219" s="223"/>
      <c r="FK219" s="209"/>
      <c r="FL219" s="40"/>
      <c r="FM219" s="225"/>
      <c r="FN219" s="224"/>
      <c r="FO219" s="229"/>
      <c r="FP219" s="231"/>
      <c r="FQ219" s="222"/>
      <c r="FR219" s="223"/>
      <c r="FS219" s="209"/>
      <c r="FT219" s="40"/>
      <c r="FU219" s="225"/>
      <c r="FV219" s="224"/>
      <c r="FW219" s="229"/>
      <c r="FX219" s="231"/>
      <c r="FY219" s="222"/>
      <c r="FZ219" s="223"/>
      <c r="GA219" s="209"/>
      <c r="GB219" s="40"/>
      <c r="GC219" s="225"/>
      <c r="GD219" s="224"/>
      <c r="GE219" s="229"/>
      <c r="GF219" s="231"/>
      <c r="GG219" s="222"/>
      <c r="GH219" s="223"/>
      <c r="GI219" s="209"/>
      <c r="GJ219" s="40"/>
      <c r="GK219" s="225"/>
      <c r="GL219" s="224"/>
      <c r="GM219" s="229"/>
      <c r="GN219" s="231"/>
      <c r="GO219" s="222"/>
      <c r="GP219" s="223"/>
      <c r="GQ219" s="209"/>
      <c r="GR219" s="40"/>
      <c r="GS219" s="225"/>
      <c r="GT219" s="224"/>
      <c r="GU219" s="229"/>
      <c r="GV219" s="231"/>
      <c r="GW219" s="222"/>
      <c r="GX219" s="223"/>
      <c r="GY219" s="209"/>
      <c r="GZ219" s="40"/>
      <c r="HA219" s="225"/>
      <c r="HB219" s="224"/>
      <c r="HC219" s="229"/>
      <c r="HD219" s="231"/>
      <c r="HE219" s="222"/>
      <c r="HF219" s="223"/>
      <c r="HG219" s="209"/>
      <c r="HH219" s="40"/>
      <c r="HI219" s="225"/>
      <c r="HJ219" s="224"/>
      <c r="HK219" s="229"/>
      <c r="HL219" s="231"/>
      <c r="HM219" s="222"/>
      <c r="HN219" s="223"/>
      <c r="HO219" s="209"/>
      <c r="HP219" s="40"/>
      <c r="HQ219" s="225"/>
      <c r="HR219" s="224"/>
      <c r="HS219" s="229"/>
      <c r="HT219" s="231"/>
      <c r="HU219" s="222"/>
      <c r="HV219" s="223"/>
      <c r="HW219" s="209"/>
      <c r="HX219" s="40"/>
      <c r="HY219" s="225"/>
      <c r="HZ219" s="224"/>
      <c r="IA219" s="229"/>
      <c r="IB219" s="231"/>
      <c r="IC219" s="222"/>
      <c r="ID219" s="223"/>
      <c r="IE219" s="209"/>
      <c r="IF219" s="40"/>
      <c r="IG219" s="225"/>
      <c r="IH219" s="224"/>
      <c r="II219" s="229"/>
      <c r="IJ219" s="231"/>
      <c r="IK219" s="222"/>
      <c r="IL219" s="223"/>
      <c r="IM219" s="209"/>
      <c r="IN219" s="40"/>
      <c r="IO219" s="225"/>
      <c r="IP219" s="224"/>
      <c r="IQ219" s="229"/>
      <c r="IR219" s="231"/>
      <c r="IS219" s="222"/>
      <c r="IT219" s="223"/>
    </row>
    <row r="220" spans="1:254">
      <c r="D220" s="315"/>
      <c r="E220" s="301"/>
      <c r="F220" s="340"/>
    </row>
    <row r="222" spans="1:254">
      <c r="A222" s="225" t="s">
        <v>232</v>
      </c>
    </row>
    <row r="223" spans="1:254" ht="12.75" customHeight="1">
      <c r="A223" s="86" t="s">
        <v>937</v>
      </c>
      <c r="B223" s="1410" t="s">
        <v>1486</v>
      </c>
      <c r="C223" s="1411"/>
      <c r="D223" s="1411"/>
    </row>
    <row r="224" spans="1:254" ht="77.25" customHeight="1">
      <c r="A224" s="86" t="s">
        <v>938</v>
      </c>
      <c r="B224" s="1396" t="s">
        <v>1845</v>
      </c>
      <c r="C224" s="1397"/>
      <c r="D224" s="1397"/>
      <c r="E224" s="1405"/>
      <c r="F224" s="1405"/>
    </row>
    <row r="225" spans="1:8" ht="12.75" customHeight="1">
      <c r="A225" s="86" t="s">
        <v>939</v>
      </c>
      <c r="B225" s="1402" t="s">
        <v>940</v>
      </c>
      <c r="C225" s="1403"/>
      <c r="D225" s="1403"/>
      <c r="E225" s="1404"/>
      <c r="F225" s="1404"/>
    </row>
    <row r="226" spans="1:8" ht="12.75" customHeight="1">
      <c r="A226" s="72" t="s">
        <v>941</v>
      </c>
      <c r="B226" s="1396" t="s">
        <v>1528</v>
      </c>
      <c r="C226" s="1403"/>
      <c r="D226" s="1403"/>
      <c r="E226" s="1404"/>
      <c r="F226" s="1404"/>
    </row>
    <row r="227" spans="1:8" ht="12.75" customHeight="1">
      <c r="A227" s="86" t="s">
        <v>942</v>
      </c>
      <c r="B227" s="1402" t="s">
        <v>943</v>
      </c>
      <c r="C227" s="1403"/>
      <c r="D227" s="1403"/>
      <c r="E227" s="1404"/>
      <c r="F227" s="1404"/>
    </row>
    <row r="228" spans="1:8" ht="12.75" customHeight="1">
      <c r="A228" s="72" t="s">
        <v>944</v>
      </c>
      <c r="B228" s="1402" t="s">
        <v>945</v>
      </c>
      <c r="C228" s="1403"/>
      <c r="D228" s="1403"/>
      <c r="E228" s="1404"/>
      <c r="F228" s="1404"/>
    </row>
    <row r="229" spans="1:8" ht="12.75" customHeight="1">
      <c r="A229" s="72" t="s">
        <v>946</v>
      </c>
      <c r="B229" s="1396" t="s">
        <v>1737</v>
      </c>
      <c r="C229" s="1397"/>
      <c r="D229" s="1397"/>
      <c r="E229" s="1398"/>
      <c r="F229" s="1398"/>
    </row>
    <row r="230" spans="1:8" ht="12.75" customHeight="1">
      <c r="A230" s="72"/>
      <c r="B230" s="1398"/>
      <c r="C230" s="1398"/>
      <c r="D230" s="1398"/>
      <c r="E230" s="1398"/>
      <c r="F230" s="1398"/>
    </row>
    <row r="231" spans="1:8" ht="12.75" customHeight="1">
      <c r="A231" s="72"/>
      <c r="B231" s="1402" t="s">
        <v>947</v>
      </c>
      <c r="C231" s="1403"/>
      <c r="D231" s="1098">
        <v>5.919E-2</v>
      </c>
      <c r="E231" s="1002" t="s">
        <v>1763</v>
      </c>
      <c r="F231" s="1095" t="s">
        <v>2882</v>
      </c>
      <c r="G231" s="598"/>
    </row>
    <row r="232" spans="1:8" ht="26.25" customHeight="1">
      <c r="A232" s="72" t="s">
        <v>948</v>
      </c>
      <c r="B232" s="1402" t="s">
        <v>949</v>
      </c>
      <c r="C232" s="1403"/>
      <c r="D232" s="1403"/>
      <c r="E232" s="1404"/>
      <c r="F232" s="1404"/>
    </row>
    <row r="233" spans="1:8" ht="27.75" customHeight="1">
      <c r="A233" s="72" t="s">
        <v>950</v>
      </c>
      <c r="B233" s="1402" t="s">
        <v>951</v>
      </c>
      <c r="C233" s="1403"/>
      <c r="D233" s="1403"/>
      <c r="E233" s="1404"/>
      <c r="F233" s="1404"/>
    </row>
    <row r="234" spans="1:8" ht="25.5" customHeight="1">
      <c r="A234" s="86" t="s">
        <v>952</v>
      </c>
      <c r="B234" s="1402" t="s">
        <v>953</v>
      </c>
      <c r="C234" s="1403"/>
      <c r="D234" s="1403"/>
      <c r="E234" s="1404"/>
      <c r="F234" s="1404"/>
    </row>
    <row r="235" spans="1:8" ht="39.950000000000003" customHeight="1">
      <c r="A235" s="72" t="s">
        <v>954</v>
      </c>
      <c r="B235" s="1396" t="s">
        <v>1764</v>
      </c>
      <c r="C235" s="1397"/>
      <c r="D235" s="1397"/>
      <c r="E235" s="1405"/>
      <c r="F235" s="1405"/>
      <c r="G235" s="315"/>
    </row>
    <row r="236" spans="1:8" ht="38.25" customHeight="1">
      <c r="A236" s="72" t="s">
        <v>955</v>
      </c>
      <c r="B236" s="1396" t="s">
        <v>1738</v>
      </c>
      <c r="C236" s="1397"/>
      <c r="D236" s="1397"/>
      <c r="E236" s="1398"/>
      <c r="F236" s="1398"/>
      <c r="G236" s="1398"/>
    </row>
    <row r="237" spans="1:8" ht="12.75" customHeight="1">
      <c r="A237" s="72"/>
      <c r="B237" s="1402" t="s">
        <v>947</v>
      </c>
      <c r="C237" s="1403"/>
      <c r="D237" s="1098">
        <v>5.919E-2</v>
      </c>
      <c r="E237" s="1002" t="s">
        <v>1763</v>
      </c>
      <c r="F237" s="1095" t="s">
        <v>2882</v>
      </c>
      <c r="G237" s="598"/>
    </row>
    <row r="238" spans="1:8" ht="12.75" customHeight="1">
      <c r="A238" s="72" t="s">
        <v>956</v>
      </c>
      <c r="B238" s="1396" t="s">
        <v>2067</v>
      </c>
      <c r="C238" s="1397"/>
      <c r="D238" s="1397"/>
      <c r="E238" s="1398"/>
      <c r="F238" s="1398"/>
      <c r="G238" s="1398"/>
      <c r="H238" s="1398"/>
    </row>
    <row r="239" spans="1:8" ht="12.75" customHeight="1">
      <c r="A239" s="72" t="s">
        <v>957</v>
      </c>
      <c r="B239" s="1396" t="s">
        <v>2068</v>
      </c>
      <c r="C239" s="1397"/>
      <c r="D239" s="1397"/>
      <c r="E239" s="1398"/>
      <c r="F239" s="1398"/>
      <c r="G239" s="1398"/>
    </row>
    <row r="240" spans="1:8" ht="27" customHeight="1">
      <c r="A240" s="576" t="s">
        <v>1693</v>
      </c>
      <c r="B240" s="1396" t="s">
        <v>1779</v>
      </c>
      <c r="C240" s="1397"/>
      <c r="D240" s="1397"/>
      <c r="E240" s="1405"/>
      <c r="F240" s="1405"/>
      <c r="G240" s="315"/>
    </row>
    <row r="241" spans="1:7">
      <c r="A241" s="576" t="s">
        <v>1765</v>
      </c>
      <c r="B241" s="556" t="s">
        <v>1806</v>
      </c>
      <c r="C241" s="41"/>
      <c r="E241" s="41"/>
      <c r="F241" s="41"/>
      <c r="G241" s="315"/>
    </row>
    <row r="242" spans="1:7">
      <c r="A242" s="576" t="s">
        <v>1785</v>
      </c>
      <c r="B242" s="556" t="s">
        <v>1829</v>
      </c>
      <c r="C242" s="41"/>
      <c r="E242" s="315"/>
      <c r="F242" s="315"/>
      <c r="G242" s="315"/>
    </row>
    <row r="243" spans="1:7">
      <c r="A243" s="41"/>
      <c r="B243" s="556" t="s">
        <v>1830</v>
      </c>
      <c r="C243" s="41"/>
      <c r="E243" s="315"/>
      <c r="F243" s="315"/>
      <c r="G243" s="315"/>
    </row>
    <row r="244" spans="1:7">
      <c r="A244" s="41"/>
      <c r="B244" s="556" t="s">
        <v>1831</v>
      </c>
      <c r="C244" s="41"/>
      <c r="E244" s="315"/>
      <c r="F244" s="315"/>
      <c r="G244" s="315"/>
    </row>
    <row r="245" spans="1:7">
      <c r="A245" s="41"/>
      <c r="B245" s="556" t="s">
        <v>1832</v>
      </c>
      <c r="C245" s="41"/>
      <c r="E245" s="315"/>
      <c r="F245" s="315"/>
      <c r="G245" s="315"/>
    </row>
  </sheetData>
  <autoFilter ref="A1:O245"/>
  <mergeCells count="45">
    <mergeCell ref="B240:F240"/>
    <mergeCell ref="J2:M2"/>
    <mergeCell ref="G2:I2"/>
    <mergeCell ref="B189:D189"/>
    <mergeCell ref="B155:D155"/>
    <mergeCell ref="B68:D68"/>
    <mergeCell ref="B36:D36"/>
    <mergeCell ref="B31:D31"/>
    <mergeCell ref="B188:D188"/>
    <mergeCell ref="B164:D164"/>
    <mergeCell ref="B8:D8"/>
    <mergeCell ref="B9:D9"/>
    <mergeCell ref="B35:D35"/>
    <mergeCell ref="B30:D30"/>
    <mergeCell ref="B67:D67"/>
    <mergeCell ref="B130:D130"/>
    <mergeCell ref="B225:F225"/>
    <mergeCell ref="B226:F226"/>
    <mergeCell ref="B228:F228"/>
    <mergeCell ref="B227:F227"/>
    <mergeCell ref="B232:F232"/>
    <mergeCell ref="B224:F224"/>
    <mergeCell ref="B192:C192"/>
    <mergeCell ref="B193:C193"/>
    <mergeCell ref="B195:C195"/>
    <mergeCell ref="B199:D199"/>
    <mergeCell ref="B201:D201"/>
    <mergeCell ref="B200:D200"/>
    <mergeCell ref="B194:C194"/>
    <mergeCell ref="B238:H238"/>
    <mergeCell ref="B239:G239"/>
    <mergeCell ref="B129:D129"/>
    <mergeCell ref="B234:F234"/>
    <mergeCell ref="B235:F235"/>
    <mergeCell ref="B237:C237"/>
    <mergeCell ref="B236:G236"/>
    <mergeCell ref="B160:D160"/>
    <mergeCell ref="B187:D187"/>
    <mergeCell ref="B165:D165"/>
    <mergeCell ref="B223:D223"/>
    <mergeCell ref="B159:D159"/>
    <mergeCell ref="B154:D154"/>
    <mergeCell ref="B231:C231"/>
    <mergeCell ref="B229:F230"/>
    <mergeCell ref="B233:F233"/>
  </mergeCells>
  <conditionalFormatting sqref="A227:A228 C161:C163 D73 C156:C158 C242:C65551 A232:A233 A235:A238 C220:C222 C203:C217 A240:A241 C65:C66 C127:C128 C153 C2:C7 C32:C34 C37:C61 C69:C119 C131:C148 C165:C172 C10:C29">
    <cfRule type="cellIs" dxfId="9" priority="11" stopIfTrue="1" operator="between">
      <formula>4990000</formula>
      <formula>4999999</formula>
    </cfRule>
  </conditionalFormatting>
  <conditionalFormatting sqref="A239">
    <cfRule type="cellIs" dxfId="8" priority="10" stopIfTrue="1" operator="between">
      <formula>4990000</formula>
      <formula>4999999</formula>
    </cfRule>
  </conditionalFormatting>
  <conditionalFormatting sqref="A229:A231">
    <cfRule type="cellIs" dxfId="7" priority="9" stopIfTrue="1" operator="between">
      <formula>4990000</formula>
      <formula>4999999</formula>
    </cfRule>
  </conditionalFormatting>
  <conditionalFormatting sqref="K218:K219 Q218:Q219 Y218:Y219 AG218:AG219 AO218:AO219 AW218:AW219 BE218:BE219 BM218:BM219 BU218:BU219 CC218:CC219 CK218:CK219 CS218:CS219 DA218:DA219 DI218:DI219 DQ218:DQ219 DY218:DY219 EG218:EG219 EO218:EO219 EW218:EW219 FE218:FE219 FM218:FM219 FU218:FU219 GC218:GC219 GK218:GK219 GS218:GS219 HA218:HA219 HI218:HI219 HQ218:HQ219 HY218:HY219 IG218:IG219 IO218:IO219">
    <cfRule type="cellIs" dxfId="6" priority="8" stopIfTrue="1" operator="between">
      <formula>4990000</formula>
      <formula>4999999</formula>
    </cfRule>
  </conditionalFormatting>
  <conditionalFormatting sqref="C218:C219">
    <cfRule type="cellIs" dxfId="5" priority="7" stopIfTrue="1" operator="between">
      <formula>4990000</formula>
      <formula>4999999</formula>
    </cfRule>
  </conditionalFormatting>
  <conditionalFormatting sqref="A242">
    <cfRule type="cellIs" dxfId="4" priority="6" stopIfTrue="1" operator="between">
      <formula>4990000</formula>
      <formula>4999999</formula>
    </cfRule>
  </conditionalFormatting>
  <conditionalFormatting sqref="C62:C64">
    <cfRule type="cellIs" dxfId="3" priority="5" stopIfTrue="1" operator="between">
      <formula>4990000</formula>
      <formula>4999999</formula>
    </cfRule>
  </conditionalFormatting>
  <conditionalFormatting sqref="C120:C126">
    <cfRule type="cellIs" dxfId="2" priority="4" stopIfTrue="1" operator="between">
      <formula>4990000</formula>
      <formula>4999999</formula>
    </cfRule>
  </conditionalFormatting>
  <conditionalFormatting sqref="C149:C150">
    <cfRule type="cellIs" dxfId="1" priority="3" stopIfTrue="1" operator="between">
      <formula>4990000</formula>
      <formula>4999999</formula>
    </cfRule>
  </conditionalFormatting>
  <conditionalFormatting sqref="C151:C152">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&amp;RTO2019 Draft Annual Update 
Attachment1</oddHeader>
    <oddFooter>&amp;R21-RevenueCredits</oddFooter>
  </headerFooter>
  <rowBreaks count="3" manualBreakCount="3">
    <brk id="68" max="16383" man="1"/>
    <brk id="130" max="16383" man="1"/>
    <brk id="18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Normal="100" zoomScalePageLayoutView="80" workbookViewId="0"/>
  </sheetViews>
  <sheetFormatPr defaultColWidth="9.140625" defaultRowHeight="12.75"/>
  <cols>
    <col min="1" max="1" width="4.7109375" style="484" customWidth="1"/>
    <col min="2" max="2" width="14" style="483" customWidth="1"/>
    <col min="3" max="3" width="26.85546875" style="483" customWidth="1"/>
    <col min="4" max="4" width="28.5703125" style="483" customWidth="1"/>
    <col min="5" max="5" width="16.28515625" style="483" bestFit="1" customWidth="1"/>
    <col min="6" max="6" width="20.7109375" style="1335" customWidth="1"/>
    <col min="7" max="7" width="9.7109375" style="483" customWidth="1"/>
    <col min="8" max="16384" width="9.140625" style="483"/>
  </cols>
  <sheetData>
    <row r="1" spans="1:8">
      <c r="A1" s="83" t="s">
        <v>1079</v>
      </c>
      <c r="C1" s="83"/>
      <c r="D1" s="83"/>
      <c r="E1" s="83"/>
    </row>
    <row r="2" spans="1:8">
      <c r="A2" s="83"/>
      <c r="C2" s="83"/>
      <c r="D2" s="83"/>
      <c r="E2" s="958" t="s">
        <v>1744</v>
      </c>
      <c r="F2" s="1078">
        <v>2017</v>
      </c>
    </row>
    <row r="3" spans="1:8">
      <c r="B3" s="83" t="s">
        <v>1111</v>
      </c>
      <c r="C3" s="83"/>
      <c r="D3" s="83"/>
      <c r="E3" s="83"/>
    </row>
    <row r="4" spans="1:8">
      <c r="A4" s="51" t="s">
        <v>332</v>
      </c>
      <c r="C4" s="83"/>
      <c r="E4" s="3" t="s">
        <v>969</v>
      </c>
      <c r="F4" s="1345" t="s">
        <v>168</v>
      </c>
    </row>
    <row r="5" spans="1:8">
      <c r="A5" s="235">
        <v>1</v>
      </c>
      <c r="B5" s="557" t="s">
        <v>1080</v>
      </c>
      <c r="C5" s="557"/>
      <c r="E5" s="753">
        <v>119779556.01000001</v>
      </c>
      <c r="F5" s="1182" t="s">
        <v>212</v>
      </c>
    </row>
    <row r="6" spans="1:8">
      <c r="A6" s="235">
        <v>2</v>
      </c>
      <c r="B6" s="483" t="s">
        <v>1081</v>
      </c>
      <c r="E6" s="532">
        <f>E7-E5</f>
        <v>91604741.989999995</v>
      </c>
      <c r="F6" s="1182" t="s">
        <v>2350</v>
      </c>
      <c r="H6" s="1182"/>
    </row>
    <row r="7" spans="1:8">
      <c r="A7" s="235">
        <v>3</v>
      </c>
      <c r="B7" s="483" t="s">
        <v>2423</v>
      </c>
      <c r="C7" s="557"/>
      <c r="D7" s="557"/>
      <c r="E7" s="411">
        <v>211384298</v>
      </c>
      <c r="F7" s="487" t="s">
        <v>1239</v>
      </c>
      <c r="H7" s="1182"/>
    </row>
    <row r="8" spans="1:8" ht="14.25">
      <c r="A8" s="1346"/>
      <c r="B8" s="1336"/>
      <c r="C8" s="1337"/>
      <c r="D8" s="1337"/>
      <c r="E8" s="1333"/>
      <c r="F8" s="1338"/>
      <c r="G8" s="1339"/>
    </row>
    <row r="9" spans="1:8" ht="14.25">
      <c r="A9" s="1346"/>
      <c r="B9" s="83" t="s">
        <v>1112</v>
      </c>
      <c r="C9" s="1337"/>
      <c r="D9" s="1337"/>
      <c r="E9" s="1333"/>
      <c r="F9" s="1340"/>
      <c r="G9" s="1339"/>
    </row>
    <row r="10" spans="1:8" ht="14.25">
      <c r="A10" s="580"/>
      <c r="B10" s="557"/>
      <c r="C10" s="557"/>
      <c r="D10" s="557"/>
      <c r="E10" s="1334"/>
      <c r="F10" s="1340"/>
      <c r="G10" s="1339"/>
    </row>
    <row r="11" spans="1:8" ht="14.25">
      <c r="A11" s="580">
        <v>4</v>
      </c>
      <c r="B11" s="557" t="s">
        <v>1080</v>
      </c>
      <c r="C11" s="557"/>
      <c r="D11" s="557"/>
      <c r="E11" s="1069">
        <v>93345104.709999993</v>
      </c>
      <c r="F11" s="1182" t="s">
        <v>284</v>
      </c>
      <c r="G11" s="1339"/>
    </row>
    <row r="12" spans="1:8" ht="14.25">
      <c r="A12" s="580">
        <v>5</v>
      </c>
      <c r="B12" s="557" t="s">
        <v>1081</v>
      </c>
      <c r="C12" s="557"/>
      <c r="D12" s="557"/>
      <c r="E12" s="532">
        <f>E13-E11</f>
        <v>79619300.290000007</v>
      </c>
      <c r="F12" s="1182" t="s">
        <v>2351</v>
      </c>
      <c r="G12" s="1339"/>
    </row>
    <row r="13" spans="1:8" ht="14.25">
      <c r="A13" s="580">
        <v>6</v>
      </c>
      <c r="B13" s="483" t="s">
        <v>2423</v>
      </c>
      <c r="C13" s="557"/>
      <c r="D13" s="557"/>
      <c r="E13" s="411">
        <v>172964405</v>
      </c>
      <c r="F13" s="487" t="s">
        <v>1082</v>
      </c>
      <c r="G13" s="1339"/>
    </row>
    <row r="14" spans="1:8">
      <c r="A14" s="235"/>
      <c r="B14" s="557"/>
      <c r="C14" s="557"/>
      <c r="D14" s="557"/>
      <c r="E14" s="1334"/>
      <c r="F14" s="1182"/>
    </row>
    <row r="15" spans="1:8">
      <c r="A15" s="235">
        <v>7</v>
      </c>
      <c r="B15" s="557" t="s">
        <v>1083</v>
      </c>
      <c r="C15" s="557"/>
      <c r="D15" s="557"/>
      <c r="E15" s="1334">
        <f>(E5+E11)/2</f>
        <v>106562330.36</v>
      </c>
      <c r="F15" s="487" t="str">
        <f>"(Line "&amp;A5&amp;" + Line "&amp;A11&amp;") / 2"</f>
        <v>(Line 1 + Line 4) / 2</v>
      </c>
      <c r="G15" s="700"/>
    </row>
    <row r="16" spans="1:8">
      <c r="A16" s="235"/>
      <c r="C16" s="1341"/>
      <c r="D16" s="384"/>
      <c r="E16" s="1334"/>
      <c r="F16" s="1182"/>
    </row>
    <row r="17" spans="1:6">
      <c r="A17" s="235">
        <v>8</v>
      </c>
      <c r="B17" s="483" t="s">
        <v>1084</v>
      </c>
      <c r="C17" s="1341"/>
      <c r="D17" s="1341"/>
      <c r="E17" s="1344">
        <v>6116850.9299999997</v>
      </c>
      <c r="F17" s="1182" t="s">
        <v>963</v>
      </c>
    </row>
    <row r="18" spans="1:6">
      <c r="A18" s="235">
        <v>9</v>
      </c>
      <c r="B18" s="483" t="s">
        <v>1085</v>
      </c>
      <c r="C18" s="1341"/>
      <c r="D18" s="1341"/>
      <c r="E18" s="532">
        <f>E19-E17</f>
        <v>664223662.07000005</v>
      </c>
      <c r="F18" s="1182" t="s">
        <v>2352</v>
      </c>
    </row>
    <row r="19" spans="1:6">
      <c r="A19" s="235">
        <v>10</v>
      </c>
      <c r="B19" s="483" t="s">
        <v>2422</v>
      </c>
      <c r="C19" s="1341"/>
      <c r="D19" s="1341"/>
      <c r="E19" s="411">
        <v>670340513</v>
      </c>
      <c r="F19" s="487" t="s">
        <v>1086</v>
      </c>
    </row>
    <row r="20" spans="1:6">
      <c r="C20" s="1341"/>
      <c r="D20" s="1341"/>
    </row>
    <row r="21" spans="1:6">
      <c r="C21" s="1341"/>
      <c r="D21" s="1341"/>
    </row>
    <row r="22" spans="1:6">
      <c r="A22" s="51" t="s">
        <v>232</v>
      </c>
    </row>
    <row r="23" spans="1:6">
      <c r="A23" s="484">
        <v>1</v>
      </c>
      <c r="B23" s="483" t="s">
        <v>1110</v>
      </c>
    </row>
    <row r="24" spans="1:6">
      <c r="A24" s="484">
        <v>2</v>
      </c>
      <c r="B24" s="483" t="s">
        <v>1113</v>
      </c>
    </row>
    <row r="25" spans="1:6">
      <c r="A25" s="484">
        <v>3</v>
      </c>
      <c r="B25" s="483" t="s">
        <v>1690</v>
      </c>
    </row>
    <row r="26" spans="1:6">
      <c r="A26" s="484">
        <v>4</v>
      </c>
      <c r="B26" s="483" t="s">
        <v>2018</v>
      </c>
      <c r="E26" s="1342"/>
    </row>
    <row r="27" spans="1:6">
      <c r="B27" s="483" t="s">
        <v>2017</v>
      </c>
      <c r="E27" s="1342"/>
    </row>
    <row r="28" spans="1:6">
      <c r="E28" s="1342"/>
    </row>
    <row r="29" spans="1:6">
      <c r="A29" s="483"/>
      <c r="E29" s="1342"/>
    </row>
    <row r="30" spans="1:6">
      <c r="A30" s="483"/>
      <c r="E30" s="1342"/>
    </row>
    <row r="31" spans="1:6">
      <c r="A31" s="483"/>
      <c r="E31" s="1342"/>
    </row>
    <row r="32" spans="1:6">
      <c r="A32" s="483"/>
      <c r="E32" s="1342"/>
    </row>
    <row r="36" spans="1:5">
      <c r="A36" s="483"/>
      <c r="C36" s="1343"/>
      <c r="D36" s="1343"/>
      <c r="E36" s="1343"/>
    </row>
    <row r="37" spans="1:5">
      <c r="A37" s="483"/>
      <c r="C37" s="1343"/>
      <c r="D37" s="1343"/>
      <c r="E37" s="1343"/>
    </row>
    <row r="38" spans="1:5">
      <c r="A38" s="483"/>
      <c r="C38" s="1343"/>
      <c r="D38" s="1343"/>
      <c r="E38" s="1343"/>
    </row>
    <row r="39" spans="1:5">
      <c r="A39" s="483"/>
      <c r="C39" s="1343"/>
      <c r="D39" s="1343"/>
      <c r="E39" s="1343"/>
    </row>
    <row r="40" spans="1:5">
      <c r="A40" s="483"/>
      <c r="C40" s="1343"/>
      <c r="D40" s="1343"/>
      <c r="E40" s="1343"/>
    </row>
    <row r="41" spans="1:5">
      <c r="A41" s="483"/>
      <c r="C41" s="1343"/>
      <c r="D41" s="1343"/>
      <c r="E41" s="1343"/>
    </row>
    <row r="42" spans="1:5">
      <c r="A42" s="483"/>
      <c r="C42" s="1343"/>
      <c r="D42" s="1343"/>
      <c r="E42" s="1343"/>
    </row>
    <row r="43" spans="1:5">
      <c r="A43" s="483"/>
      <c r="C43" s="1343"/>
      <c r="D43" s="1343"/>
      <c r="E43" s="1343"/>
    </row>
    <row r="44" spans="1:5">
      <c r="A44" s="483"/>
      <c r="C44" s="1343"/>
      <c r="D44" s="1343"/>
      <c r="E44" s="1343"/>
    </row>
    <row r="45" spans="1:5">
      <c r="A45" s="483"/>
      <c r="C45" s="1343"/>
      <c r="D45" s="1343"/>
      <c r="E45" s="1343"/>
    </row>
    <row r="46" spans="1:5">
      <c r="A46" s="483"/>
      <c r="C46" s="1343"/>
      <c r="D46" s="1343"/>
      <c r="E46" s="1343"/>
    </row>
    <row r="47" spans="1:5">
      <c r="A47" s="483"/>
      <c r="C47" s="1343"/>
      <c r="D47" s="1343"/>
      <c r="E47" s="1343"/>
    </row>
    <row r="48" spans="1:5">
      <c r="A48" s="483"/>
      <c r="C48" s="1343"/>
      <c r="D48" s="1343"/>
      <c r="E48" s="1343"/>
    </row>
    <row r="51" spans="1:5">
      <c r="A51" s="483"/>
      <c r="E51" s="1343"/>
    </row>
  </sheetData>
  <pageMargins left="0.7" right="0.7" top="0.75" bottom="0.75" header="0.3" footer="0.3"/>
  <pageSetup scale="75" orientation="portrait" cellComments="asDisplayed" r:id="rId1"/>
  <headerFooter>
    <oddHeader>&amp;CSchedule 22
Network Upgrade Credits and Interest Expense
&amp;RTO2019 Draft Annual Update 
Attachment1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708" t="s">
        <v>1729</v>
      </c>
      <c r="B1" s="709"/>
      <c r="C1" s="709"/>
      <c r="D1" s="709"/>
      <c r="E1" s="709"/>
      <c r="F1" s="709"/>
      <c r="G1" s="709"/>
      <c r="H1" s="14"/>
      <c r="I1" s="14"/>
      <c r="J1" s="14"/>
      <c r="K1" s="14"/>
    </row>
    <row r="2" spans="1:11">
      <c r="A2" s="14"/>
      <c r="B2" s="14"/>
      <c r="C2" s="14"/>
      <c r="D2" s="14"/>
      <c r="E2" s="14"/>
      <c r="F2" s="14"/>
      <c r="G2" s="14"/>
      <c r="H2" s="14"/>
      <c r="I2" s="14"/>
      <c r="J2" s="14"/>
      <c r="K2" s="14"/>
    </row>
    <row r="3" spans="1:11">
      <c r="A3" s="710" t="s">
        <v>332</v>
      </c>
      <c r="B3" s="709"/>
      <c r="C3" s="709"/>
      <c r="D3" s="709"/>
      <c r="E3" s="709"/>
      <c r="F3" s="709"/>
      <c r="G3" s="709"/>
      <c r="H3" s="14"/>
      <c r="I3" s="14"/>
      <c r="J3" s="14"/>
      <c r="K3" s="14"/>
    </row>
    <row r="4" spans="1:11">
      <c r="A4" s="711">
        <v>1</v>
      </c>
      <c r="B4" s="596" t="s">
        <v>1718</v>
      </c>
      <c r="C4" s="709"/>
      <c r="D4" s="709"/>
      <c r="E4" s="709"/>
      <c r="F4" s="709"/>
      <c r="G4" s="709"/>
      <c r="H4" s="14"/>
      <c r="I4" s="14"/>
      <c r="J4" s="14"/>
      <c r="K4" s="14"/>
    </row>
    <row r="5" spans="1:11">
      <c r="A5" s="711">
        <v>2</v>
      </c>
      <c r="B5" s="596" t="s">
        <v>1719</v>
      </c>
      <c r="C5" s="709"/>
      <c r="D5" s="709"/>
      <c r="E5" s="709"/>
      <c r="F5" s="709"/>
      <c r="G5" s="709"/>
      <c r="H5" s="14"/>
      <c r="I5" s="14"/>
      <c r="J5" s="14"/>
      <c r="K5" s="14"/>
    </row>
    <row r="6" spans="1:11">
      <c r="A6" s="711">
        <v>3</v>
      </c>
      <c r="B6" s="596" t="s">
        <v>1720</v>
      </c>
      <c r="C6" s="709"/>
      <c r="D6" s="709"/>
      <c r="E6" s="709"/>
      <c r="F6" s="709"/>
      <c r="G6" s="709"/>
      <c r="H6" s="14"/>
      <c r="I6" s="14"/>
      <c r="J6" s="14"/>
      <c r="K6" s="14"/>
    </row>
    <row r="7" spans="1:11">
      <c r="A7" s="711">
        <v>4</v>
      </c>
      <c r="B7" s="709"/>
      <c r="C7" s="709"/>
      <c r="D7" s="709"/>
      <c r="E7" s="709"/>
      <c r="F7" s="709"/>
      <c r="G7" s="709"/>
      <c r="H7" s="14"/>
      <c r="I7" s="14"/>
      <c r="J7" s="14"/>
      <c r="K7" s="14"/>
    </row>
    <row r="8" spans="1:11">
      <c r="A8" s="711">
        <v>5</v>
      </c>
      <c r="B8" s="596" t="s">
        <v>413</v>
      </c>
      <c r="C8" s="709"/>
      <c r="D8" s="709"/>
      <c r="E8" s="709"/>
      <c r="F8" s="709"/>
      <c r="G8" s="709"/>
      <c r="H8" s="14"/>
      <c r="I8" s="14"/>
      <c r="J8" s="14"/>
      <c r="K8" s="14"/>
    </row>
    <row r="9" spans="1:11">
      <c r="A9" s="711">
        <v>6</v>
      </c>
      <c r="B9" s="596" t="s">
        <v>412</v>
      </c>
      <c r="C9" s="709"/>
      <c r="D9" s="709"/>
      <c r="E9" s="709"/>
      <c r="F9" s="709"/>
      <c r="G9" s="709"/>
      <c r="H9" s="14"/>
      <c r="I9" s="14"/>
      <c r="J9" s="14"/>
      <c r="K9" s="14"/>
    </row>
    <row r="10" spans="1:11">
      <c r="A10" s="711">
        <v>7</v>
      </c>
      <c r="B10" s="709"/>
      <c r="C10" s="709"/>
      <c r="D10" s="709"/>
      <c r="E10" s="709"/>
      <c r="F10" s="709"/>
      <c r="G10" s="709"/>
      <c r="H10" s="14"/>
      <c r="I10" s="14"/>
      <c r="J10" s="14"/>
      <c r="K10" s="14"/>
    </row>
    <row r="11" spans="1:11">
      <c r="A11" s="711">
        <v>8</v>
      </c>
      <c r="B11" s="596" t="s">
        <v>1721</v>
      </c>
      <c r="C11" s="709"/>
      <c r="D11" s="709"/>
      <c r="E11" s="709"/>
      <c r="F11" s="709"/>
      <c r="G11" s="709"/>
      <c r="H11" s="14"/>
      <c r="I11" s="14"/>
      <c r="J11" s="14"/>
      <c r="K11" s="14"/>
    </row>
    <row r="12" spans="1:11">
      <c r="A12" s="711">
        <v>9</v>
      </c>
      <c r="B12" s="596" t="s">
        <v>1722</v>
      </c>
      <c r="C12" s="709"/>
      <c r="D12" s="709"/>
      <c r="E12" s="709"/>
      <c r="F12" s="709"/>
      <c r="G12" s="709"/>
      <c r="H12" s="14"/>
      <c r="I12" s="14"/>
      <c r="J12" s="14"/>
      <c r="K12" s="14"/>
    </row>
    <row r="13" spans="1:11">
      <c r="A13" s="711">
        <v>10</v>
      </c>
      <c r="B13" s="596" t="s">
        <v>1723</v>
      </c>
      <c r="C13" s="709"/>
      <c r="D13" s="709"/>
      <c r="E13" s="709"/>
      <c r="F13" s="709"/>
      <c r="G13" s="709"/>
      <c r="H13" s="14"/>
      <c r="I13" s="14"/>
      <c r="J13" s="14"/>
      <c r="K13" s="14"/>
    </row>
    <row r="14" spans="1:11">
      <c r="A14" s="711">
        <v>11</v>
      </c>
      <c r="B14" s="709"/>
      <c r="C14" s="709"/>
      <c r="D14" s="709"/>
      <c r="E14" s="709"/>
      <c r="F14" s="709"/>
      <c r="G14" s="709"/>
      <c r="H14" s="14"/>
      <c r="I14" s="14"/>
      <c r="J14" s="14"/>
      <c r="K14" s="14"/>
    </row>
    <row r="15" spans="1:11">
      <c r="A15" s="711">
        <v>12</v>
      </c>
      <c r="B15" s="596"/>
      <c r="C15" s="709"/>
      <c r="D15" s="709"/>
      <c r="E15" s="711" t="s">
        <v>63</v>
      </c>
      <c r="F15" s="709"/>
      <c r="G15" s="709"/>
      <c r="H15" s="14"/>
      <c r="I15" s="14"/>
      <c r="J15" s="14"/>
      <c r="K15" s="14"/>
    </row>
    <row r="16" spans="1:11">
      <c r="A16" s="711">
        <v>13</v>
      </c>
      <c r="B16" s="709"/>
      <c r="C16" s="709"/>
      <c r="D16" s="709"/>
      <c r="E16" s="1003" t="s">
        <v>175</v>
      </c>
      <c r="F16" s="709"/>
      <c r="G16" s="1004" t="s">
        <v>1891</v>
      </c>
      <c r="H16" s="14"/>
      <c r="I16" s="14"/>
      <c r="J16" s="14"/>
      <c r="K16" s="14"/>
    </row>
    <row r="17" spans="1:11">
      <c r="A17" s="711">
        <v>14</v>
      </c>
      <c r="B17" s="596" t="s">
        <v>414</v>
      </c>
      <c r="C17" s="709"/>
      <c r="D17" s="709"/>
      <c r="E17" s="591">
        <f>D29</f>
        <v>0</v>
      </c>
      <c r="F17" s="709"/>
      <c r="G17" s="596" t="s">
        <v>507</v>
      </c>
      <c r="H17" s="14"/>
      <c r="I17" s="14"/>
      <c r="J17" s="14"/>
      <c r="K17" s="14"/>
    </row>
    <row r="18" spans="1:11">
      <c r="A18" s="711">
        <v>15</v>
      </c>
      <c r="B18" s="596" t="s">
        <v>1642</v>
      </c>
      <c r="C18" s="709"/>
      <c r="D18" s="709"/>
      <c r="E18" s="591">
        <f>(C29+D29)/2</f>
        <v>0</v>
      </c>
      <c r="F18" s="709"/>
      <c r="G18" s="596" t="s">
        <v>1892</v>
      </c>
      <c r="H18" s="14"/>
      <c r="I18" s="14"/>
      <c r="J18" s="14"/>
      <c r="K18" s="14"/>
    </row>
    <row r="19" spans="1:11">
      <c r="A19" s="711">
        <v>16</v>
      </c>
      <c r="B19" s="596" t="s">
        <v>1724</v>
      </c>
      <c r="C19" s="709"/>
      <c r="D19" s="709"/>
      <c r="E19" s="591">
        <f>E29</f>
        <v>0</v>
      </c>
      <c r="F19" s="709"/>
      <c r="G19" s="596" t="s">
        <v>1893</v>
      </c>
      <c r="H19" s="14"/>
      <c r="I19" s="14"/>
      <c r="J19" s="14"/>
      <c r="K19" s="14"/>
    </row>
    <row r="20" spans="1:11">
      <c r="A20" s="711"/>
      <c r="B20" s="596"/>
      <c r="C20" s="709"/>
      <c r="D20" s="709"/>
      <c r="E20" s="591"/>
      <c r="F20" s="709"/>
      <c r="G20" s="709"/>
      <c r="H20" s="14"/>
      <c r="I20" s="14"/>
      <c r="J20" s="14"/>
      <c r="K20" s="14"/>
    </row>
    <row r="21" spans="1:11">
      <c r="A21" s="711"/>
      <c r="B21" s="709"/>
      <c r="C21" s="717" t="s">
        <v>363</v>
      </c>
      <c r="D21" s="717" t="s">
        <v>347</v>
      </c>
      <c r="E21" s="717" t="s">
        <v>348</v>
      </c>
      <c r="F21" s="709"/>
      <c r="G21" s="709"/>
      <c r="H21" s="14"/>
      <c r="I21" s="14"/>
      <c r="J21" s="14"/>
      <c r="K21" s="14"/>
    </row>
    <row r="22" spans="1:11">
      <c r="A22" s="711"/>
      <c r="B22" s="709"/>
      <c r="C22" s="711" t="s">
        <v>63</v>
      </c>
      <c r="D22" s="711" t="s">
        <v>63</v>
      </c>
      <c r="E22" s="711" t="s">
        <v>63</v>
      </c>
      <c r="F22" s="709"/>
      <c r="G22" s="709"/>
      <c r="H22" s="14"/>
      <c r="I22" s="14"/>
      <c r="J22" s="14"/>
      <c r="K22" s="14"/>
    </row>
    <row r="23" spans="1:11" ht="15">
      <c r="A23" s="711"/>
      <c r="B23" s="711" t="s">
        <v>415</v>
      </c>
      <c r="C23" s="711" t="s">
        <v>385</v>
      </c>
      <c r="D23" s="711" t="s">
        <v>302</v>
      </c>
      <c r="E23" s="1005" t="s">
        <v>1725</v>
      </c>
      <c r="F23" s="709"/>
      <c r="G23" s="1006" t="s">
        <v>1894</v>
      </c>
      <c r="H23" s="952"/>
      <c r="I23" s="14"/>
      <c r="J23" s="14"/>
      <c r="K23" s="14"/>
    </row>
    <row r="24" spans="1:11">
      <c r="A24" s="711"/>
      <c r="B24" s="711" t="s">
        <v>416</v>
      </c>
      <c r="C24" s="711" t="s">
        <v>421</v>
      </c>
      <c r="D24" s="711" t="s">
        <v>421</v>
      </c>
      <c r="E24" s="711" t="s">
        <v>422</v>
      </c>
      <c r="F24" s="709"/>
      <c r="G24" s="1006" t="s">
        <v>1895</v>
      </c>
      <c r="H24" s="952"/>
      <c r="I24" s="14"/>
      <c r="J24" s="14"/>
      <c r="K24" s="14"/>
    </row>
    <row r="25" spans="1:11">
      <c r="A25" s="711"/>
      <c r="B25" s="1003" t="s">
        <v>417</v>
      </c>
      <c r="C25" s="1003" t="s">
        <v>417</v>
      </c>
      <c r="D25" s="1003" t="s">
        <v>417</v>
      </c>
      <c r="E25" s="1003" t="s">
        <v>1726</v>
      </c>
      <c r="F25" s="709"/>
      <c r="G25" s="1007" t="s">
        <v>1896</v>
      </c>
      <c r="H25" s="952"/>
      <c r="I25" s="14"/>
      <c r="J25" s="14"/>
      <c r="K25" s="14"/>
    </row>
    <row r="26" spans="1:11">
      <c r="A26" s="587">
        <v>17</v>
      </c>
      <c r="B26" s="592" t="s">
        <v>418</v>
      </c>
      <c r="C26" s="593"/>
      <c r="D26" s="593"/>
      <c r="E26" s="593"/>
      <c r="F26" s="585"/>
      <c r="G26" s="608"/>
      <c r="H26" s="97"/>
    </row>
    <row r="27" spans="1:11">
      <c r="A27" s="587">
        <v>18</v>
      </c>
      <c r="B27" s="592" t="s">
        <v>419</v>
      </c>
      <c r="C27" s="593"/>
      <c r="D27" s="593"/>
      <c r="E27" s="593"/>
      <c r="F27" s="585"/>
      <c r="G27" s="608"/>
      <c r="H27" s="97"/>
    </row>
    <row r="28" spans="1:11">
      <c r="A28" s="587">
        <v>19</v>
      </c>
      <c r="B28" s="592" t="s">
        <v>420</v>
      </c>
      <c r="C28" s="594"/>
      <c r="D28" s="594"/>
      <c r="E28" s="594"/>
      <c r="F28" s="585"/>
      <c r="G28" s="608"/>
      <c r="H28" s="97"/>
    </row>
    <row r="29" spans="1:11">
      <c r="A29" s="587">
        <v>20</v>
      </c>
      <c r="B29" s="588" t="s">
        <v>197</v>
      </c>
      <c r="C29" s="595">
        <f>SUM(C26:C28)</f>
        <v>0</v>
      </c>
      <c r="D29" s="595">
        <f>SUM(D26:D28)</f>
        <v>0</v>
      </c>
      <c r="E29" s="595">
        <f>SUM(E26:E28)</f>
        <v>0</v>
      </c>
      <c r="F29" s="585"/>
      <c r="G29" s="588" t="s">
        <v>328</v>
      </c>
    </row>
    <row r="30" spans="1:11">
      <c r="A30" s="587"/>
      <c r="B30" s="585"/>
      <c r="C30" s="585"/>
      <c r="D30" s="585"/>
      <c r="E30" s="585"/>
      <c r="F30" s="585"/>
      <c r="G30" s="585"/>
    </row>
    <row r="31" spans="1:11">
      <c r="A31" s="587"/>
      <c r="B31" s="584" t="s">
        <v>382</v>
      </c>
      <c r="C31" s="585"/>
      <c r="D31" s="585"/>
      <c r="E31" s="585"/>
      <c r="F31" s="585"/>
      <c r="G31" s="585"/>
    </row>
    <row r="32" spans="1:11">
      <c r="A32" s="587"/>
      <c r="B32" s="596" t="s">
        <v>1727</v>
      </c>
      <c r="C32" s="709"/>
      <c r="D32" s="709"/>
      <c r="E32" s="709"/>
      <c r="F32" s="709"/>
      <c r="G32" s="709"/>
      <c r="H32" s="14"/>
    </row>
    <row r="33" spans="1:8">
      <c r="A33" s="587"/>
      <c r="B33" s="596" t="s">
        <v>423</v>
      </c>
      <c r="C33" s="14"/>
      <c r="D33" s="14"/>
      <c r="E33" s="14"/>
      <c r="F33" s="14"/>
      <c r="G33" s="14"/>
      <c r="H33" s="14"/>
    </row>
    <row r="34" spans="1:8">
      <c r="A34" s="587"/>
      <c r="B34" s="1008" t="s">
        <v>508</v>
      </c>
      <c r="C34" s="14"/>
      <c r="D34" s="14"/>
      <c r="E34" s="14"/>
      <c r="F34" s="14"/>
      <c r="G34" s="14"/>
      <c r="H34" s="14"/>
    </row>
    <row r="35" spans="1:8">
      <c r="A35" s="587"/>
      <c r="B35" s="1008" t="s">
        <v>509</v>
      </c>
      <c r="C35" s="14"/>
      <c r="D35" s="14"/>
      <c r="E35" s="952"/>
      <c r="F35" s="14"/>
      <c r="G35" s="14"/>
      <c r="H35" s="14"/>
    </row>
    <row r="36" spans="1:8">
      <c r="A36" s="587"/>
      <c r="B36" s="596" t="s">
        <v>424</v>
      </c>
      <c r="C36" s="14"/>
      <c r="D36" s="14"/>
      <c r="E36" s="14"/>
      <c r="F36" s="14"/>
      <c r="G36" s="14"/>
      <c r="H36" s="14"/>
    </row>
    <row r="37" spans="1:8">
      <c r="A37" s="587"/>
    </row>
    <row r="38" spans="1:8">
      <c r="A38" s="587"/>
      <c r="B38" s="585"/>
    </row>
    <row r="39" spans="1:8">
      <c r="A39" s="587"/>
      <c r="B39" s="585"/>
    </row>
  </sheetData>
  <pageMargins left="0.7" right="0.7" top="0.75" bottom="0.75" header="0.3" footer="0.3"/>
  <pageSetup orientation="landscape" cellComments="asDisplayed" r:id="rId1"/>
  <headerFooter>
    <oddHeader>&amp;CSchedule 23
Regulatory Assets and Liabilities
&amp;RTO2019 Draft Annual Update 
Attachment1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1440</v>
      </c>
    </row>
    <row r="3" spans="1:6">
      <c r="A3" s="483" t="s">
        <v>1664</v>
      </c>
    </row>
    <row r="5" spans="1:6">
      <c r="B5" s="3" t="s">
        <v>174</v>
      </c>
      <c r="C5" s="3" t="s">
        <v>175</v>
      </c>
    </row>
    <row r="6" spans="1:6">
      <c r="B6" t="s">
        <v>95</v>
      </c>
      <c r="C6" s="7">
        <f>'1-BaseTRR'!K141</f>
        <v>1001243759.065901</v>
      </c>
    </row>
    <row r="7" spans="1:6">
      <c r="B7" t="s">
        <v>321</v>
      </c>
      <c r="C7" s="7">
        <f>'1-BaseTRR'!K147</f>
        <v>99737698.737122223</v>
      </c>
    </row>
    <row r="8" spans="1:6">
      <c r="B8" t="s">
        <v>96</v>
      </c>
      <c r="C8" s="101">
        <f>'1-BaseTRR'!K148</f>
        <v>-62856063.033127867</v>
      </c>
      <c r="E8" s="1"/>
    </row>
    <row r="9" spans="1:6">
      <c r="B9" s="485" t="s">
        <v>1903</v>
      </c>
      <c r="C9" s="91">
        <f>'1-BaseTRR'!K149</f>
        <v>0</v>
      </c>
      <c r="E9" s="1"/>
    </row>
    <row r="10" spans="1:6">
      <c r="B10" t="s">
        <v>1665</v>
      </c>
      <c r="C10" s="7">
        <f>SUM(C6:C9)</f>
        <v>1038125394.7698954</v>
      </c>
    </row>
    <row r="12" spans="1:6">
      <c r="A12" t="s">
        <v>554</v>
      </c>
    </row>
    <row r="14" spans="1:6">
      <c r="B14" t="s">
        <v>203</v>
      </c>
    </row>
    <row r="15" spans="1:6">
      <c r="B15" s="487" t="s">
        <v>1801</v>
      </c>
      <c r="E15" s="14"/>
      <c r="F15" s="14"/>
    </row>
    <row r="16" spans="1:6">
      <c r="B16" s="16"/>
    </row>
    <row r="17" spans="2:2">
      <c r="B17" t="s">
        <v>553</v>
      </c>
    </row>
    <row r="18" spans="2:2">
      <c r="B18" s="485" t="s">
        <v>1802</v>
      </c>
    </row>
    <row r="19" spans="2:2">
      <c r="B19" s="16"/>
    </row>
    <row r="20" spans="2:2">
      <c r="B20" s="65" t="s">
        <v>1217</v>
      </c>
    </row>
    <row r="21" spans="2:2">
      <c r="B21" s="482" t="s">
        <v>1803</v>
      </c>
    </row>
    <row r="23" spans="2:2">
      <c r="B23" s="485" t="s">
        <v>1904</v>
      </c>
    </row>
  </sheetData>
  <phoneticPr fontId="22" type="noConversion"/>
  <pageMargins left="0.75" right="0.75" top="1.25" bottom="1" header="0.5" footer="0.5"/>
  <pageSetup orientation="landscape" r:id="rId1"/>
  <headerFooter alignWithMargins="0">
    <oddHeader>&amp;COverview
&amp;RTO2019 Draft Annual Update 
Attachment1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1254</v>
      </c>
      <c r="I1" s="372"/>
    </row>
    <row r="3" spans="1:9">
      <c r="B3" s="1" t="s">
        <v>1516</v>
      </c>
    </row>
    <row r="4" spans="1:9">
      <c r="B4" s="1"/>
    </row>
    <row r="5" spans="1:9">
      <c r="B5" s="1"/>
      <c r="C5" s="1" t="s">
        <v>1405</v>
      </c>
      <c r="D5" s="84" t="s">
        <v>363</v>
      </c>
      <c r="E5" s="84" t="s">
        <v>347</v>
      </c>
      <c r="F5" s="84" t="s">
        <v>348</v>
      </c>
    </row>
    <row r="6" spans="1:9" ht="15">
      <c r="D6" s="243" t="s">
        <v>63</v>
      </c>
      <c r="E6" s="243" t="s">
        <v>63</v>
      </c>
      <c r="F6" s="243" t="s">
        <v>198</v>
      </c>
    </row>
    <row r="7" spans="1:9" ht="15">
      <c r="C7" s="1"/>
      <c r="D7" s="243" t="s">
        <v>302</v>
      </c>
      <c r="E7" s="243" t="s">
        <v>231</v>
      </c>
      <c r="F7" s="243" t="s">
        <v>199</v>
      </c>
    </row>
    <row r="8" spans="1:9">
      <c r="A8" s="3" t="s">
        <v>332</v>
      </c>
      <c r="C8" s="3" t="s">
        <v>226</v>
      </c>
      <c r="D8" s="3" t="s">
        <v>175</v>
      </c>
      <c r="E8" s="3" t="s">
        <v>175</v>
      </c>
      <c r="F8" s="3" t="s">
        <v>175</v>
      </c>
      <c r="G8" s="3" t="s">
        <v>179</v>
      </c>
    </row>
    <row r="9" spans="1:9">
      <c r="A9" s="2">
        <v>1</v>
      </c>
      <c r="C9" s="94" t="s">
        <v>1267</v>
      </c>
      <c r="D9" s="7">
        <f>'10-CWIP'!E25</f>
        <v>150976.49</v>
      </c>
      <c r="E9" s="7">
        <f>'10-CWIP'!E26</f>
        <v>5894761.7546153832</v>
      </c>
      <c r="F9" s="7">
        <f>'10-CWIP'!K113</f>
        <v>-150976.49</v>
      </c>
      <c r="G9" s="46" t="str">
        <f>"10-CWIP, Lines "&amp;'10-CWIP'!A25&amp;", "&amp;'10-CWIP'!A26&amp;", "&amp;'10-CWIP'!A113&amp;""</f>
        <v>10-CWIP, Lines 13, 14, 80</v>
      </c>
    </row>
    <row r="10" spans="1:9">
      <c r="A10" s="2">
        <f>A9+1</f>
        <v>2</v>
      </c>
      <c r="C10" s="94" t="s">
        <v>1268</v>
      </c>
      <c r="D10" s="7">
        <f>'10-CWIP'!F25</f>
        <v>0</v>
      </c>
      <c r="E10" s="7">
        <f>'10-CWIP'!F26</f>
        <v>0</v>
      </c>
      <c r="F10" s="7">
        <f>'10-CWIP'!K146</f>
        <v>0</v>
      </c>
      <c r="G10" s="46" t="str">
        <f>"10-CWIP, Lines "&amp;'10-CWIP'!A25&amp;", "&amp;'10-CWIP'!A26&amp;", "&amp;'10-CWIP'!A146&amp;""</f>
        <v>10-CWIP, Lines 13, 14, 106</v>
      </c>
    </row>
    <row r="11" spans="1:9">
      <c r="A11" s="2">
        <f t="shared" ref="A11:A20" si="0">A10+1</f>
        <v>3</v>
      </c>
      <c r="C11" s="481" t="s">
        <v>1272</v>
      </c>
      <c r="D11" s="7">
        <f>'10-CWIP'!G25</f>
        <v>4884727.96</v>
      </c>
      <c r="E11" s="7">
        <f>'10-CWIP'!G26</f>
        <v>4594011.3792307694</v>
      </c>
      <c r="F11" s="7">
        <f>'10-CWIP'!K177</f>
        <v>628048.07692307688</v>
      </c>
      <c r="G11" s="46" t="str">
        <f>"10-CWIP, Lines "&amp;'10-CWIP'!A25&amp;", "&amp;'10-CWIP'!A26&amp;", "&amp;'10-CWIP'!A177&amp;""</f>
        <v>10-CWIP, Lines 13, 14, 132</v>
      </c>
    </row>
    <row r="12" spans="1:9">
      <c r="A12" s="2">
        <f t="shared" si="0"/>
        <v>4</v>
      </c>
      <c r="C12" s="481" t="s">
        <v>1273</v>
      </c>
      <c r="D12" s="7">
        <f>'10-CWIP'!H25</f>
        <v>98805811.510000005</v>
      </c>
      <c r="E12" s="7">
        <f>'10-CWIP'!H26</f>
        <v>80157512.240769237</v>
      </c>
      <c r="F12" s="7">
        <f>'10-CWIP'!K210</f>
        <v>158421232.23461542</v>
      </c>
      <c r="G12" s="46" t="str">
        <f>"10-CWIP, Lines "&amp;'10-CWIP'!A25&amp;", "&amp;'10-CWIP'!A26&amp;", "&amp;'10-CWIP'!A210&amp;""</f>
        <v>10-CWIP, Lines 13, 14, 158</v>
      </c>
    </row>
    <row r="13" spans="1:9">
      <c r="A13" s="2">
        <f t="shared" si="0"/>
        <v>5</v>
      </c>
      <c r="C13" s="94" t="s">
        <v>1269</v>
      </c>
      <c r="D13" s="7">
        <f>'10-CWIP'!I25</f>
        <v>0</v>
      </c>
      <c r="E13" s="7">
        <f>'10-CWIP'!I26</f>
        <v>0</v>
      </c>
      <c r="F13" s="7">
        <f>'10-CWIP'!K241</f>
        <v>0</v>
      </c>
      <c r="G13" s="46" t="str">
        <f>"10-CWIP, Lines "&amp;'10-CWIP'!A25&amp;", "&amp;'10-CWIP'!A26&amp;", "&amp;'10-CWIP'!A241&amp;""</f>
        <v>10-CWIP, Lines 13, 14, 184</v>
      </c>
    </row>
    <row r="14" spans="1:9">
      <c r="A14" s="2">
        <f t="shared" si="0"/>
        <v>6</v>
      </c>
      <c r="C14" s="94" t="s">
        <v>1270</v>
      </c>
      <c r="D14" s="7">
        <f>'10-CWIP'!D45</f>
        <v>0</v>
      </c>
      <c r="E14" s="7">
        <f>'10-CWIP'!D46</f>
        <v>9253542.2723076921</v>
      </c>
      <c r="F14" s="7">
        <f>'10-CWIP'!K274</f>
        <v>0</v>
      </c>
      <c r="G14" s="46" t="str">
        <f>"10-CWIP, Lines "&amp;'10-CWIP'!A45&amp;", "&amp;'10-CWIP'!A46&amp;", "&amp;'10-CWIP'!A274&amp;""</f>
        <v>10-CWIP, Lines 27, 28, 210</v>
      </c>
    </row>
    <row r="15" spans="1:9">
      <c r="A15" s="2">
        <f t="shared" si="0"/>
        <v>7</v>
      </c>
      <c r="C15" s="94" t="s">
        <v>1271</v>
      </c>
      <c r="D15" s="7">
        <f>'10-CWIP'!E45</f>
        <v>0</v>
      </c>
      <c r="E15" s="7">
        <f>'10-CWIP'!E46</f>
        <v>0</v>
      </c>
      <c r="F15" s="7">
        <f>'10-CWIP'!K305</f>
        <v>0</v>
      </c>
      <c r="G15" s="46" t="str">
        <f>"10-CWIP, Lines "&amp;'10-CWIP'!A45&amp;", "&amp;'10-CWIP'!A46&amp;", "&amp;'10-CWIP'!A305&amp;""</f>
        <v>10-CWIP, Lines 27, 28, 236</v>
      </c>
    </row>
    <row r="16" spans="1:9">
      <c r="A16" s="2">
        <f t="shared" si="0"/>
        <v>8</v>
      </c>
      <c r="C16" s="1327" t="s">
        <v>2730</v>
      </c>
      <c r="D16" s="7">
        <f>'10-CWIP'!F45</f>
        <v>46788115.939999998</v>
      </c>
      <c r="E16" s="7">
        <f>'10-CWIP'!F46</f>
        <v>6541655.1407692302</v>
      </c>
      <c r="F16" s="7">
        <f>'10-CWIP'!K338</f>
        <v>110990870.81971005</v>
      </c>
      <c r="G16" s="46" t="str">
        <f>"10-CWIP, Lines "&amp;'10-CWIP'!A45&amp;", "&amp;'10-CWIP'!A46&amp;", "&amp;'10-CWIP'!A338&amp;""</f>
        <v>10-CWIP, Lines 27, 28, 262</v>
      </c>
    </row>
    <row r="17" spans="1:7">
      <c r="A17" s="2">
        <f t="shared" si="0"/>
        <v>9</v>
      </c>
      <c r="C17" s="1327" t="s">
        <v>2731</v>
      </c>
      <c r="D17" s="7">
        <f>'10-CWIP'!G45</f>
        <v>36155802.810000002</v>
      </c>
      <c r="E17" s="7">
        <f>'10-CWIP'!G46</f>
        <v>2781215.6007692311</v>
      </c>
      <c r="F17" s="7">
        <f>'10-CWIP'!K369</f>
        <v>3359285.5114230635</v>
      </c>
      <c r="G17" s="46" t="str">
        <f>"10-CWIP, Lines "&amp;'10-CWIP'!A45&amp;", "&amp;'10-CWIP'!A46&amp;", "&amp;'10-CWIP'!A369&amp;""</f>
        <v>10-CWIP, Lines 27, 28, 288</v>
      </c>
    </row>
    <row r="18" spans="1:7">
      <c r="A18" s="2">
        <f t="shared" si="0"/>
        <v>10</v>
      </c>
      <c r="C18" s="1327" t="s">
        <v>2732</v>
      </c>
      <c r="D18" s="397">
        <f>'10-CWIP'!H45</f>
        <v>34993045.010000005</v>
      </c>
      <c r="E18" s="397">
        <f>'10-CWIP'!H46</f>
        <v>2691772.6930769235</v>
      </c>
      <c r="F18" s="397">
        <f>'10-CWIP'!K402</f>
        <v>28209776.497692302</v>
      </c>
      <c r="G18" s="46" t="str">
        <f>"10-CWIP, Lines "&amp;'10-CWIP'!A45&amp;", "&amp;'10-CWIP'!A46&amp;", "&amp;'10-CWIP'!A402&amp;""</f>
        <v>10-CWIP, Lines 27, 28, 314</v>
      </c>
    </row>
    <row r="19" spans="1:7">
      <c r="A19" s="2">
        <f t="shared" si="0"/>
        <v>11</v>
      </c>
      <c r="C19" s="412"/>
      <c r="D19" s="58">
        <f>'10-CWIP'!I45</f>
        <v>0</v>
      </c>
      <c r="E19" s="58" t="str">
        <f>'10-CWIP'!I46</f>
        <v>---</v>
      </c>
      <c r="F19" s="58">
        <f>'10-CWIP'!K427</f>
        <v>0</v>
      </c>
      <c r="G19" s="46" t="str">
        <f>"10-CWIP, Lines "&amp;'10-CWIP'!A45&amp;", "&amp;'10-CWIP'!A46&amp;", 340"</f>
        <v>10-CWIP, Lines 27, 28, 340</v>
      </c>
    </row>
    <row r="20" spans="1:7">
      <c r="A20" s="2">
        <f t="shared" si="0"/>
        <v>12</v>
      </c>
      <c r="C20" s="94" t="s">
        <v>197</v>
      </c>
      <c r="D20" s="7">
        <f>SUM(D9:D19)</f>
        <v>221778479.72000003</v>
      </c>
      <c r="E20" s="7">
        <f>SUM(E9:E19)</f>
        <v>111914471.08153847</v>
      </c>
      <c r="F20" s="7">
        <f>SUM(F9:F19)</f>
        <v>301458236.65036386</v>
      </c>
      <c r="G20" s="13" t="str">
        <f>"Sum of Lines "&amp;A9&amp;" to "&amp;A19&amp;""</f>
        <v>Sum of Lines 1 to 11</v>
      </c>
    </row>
    <row r="21" spans="1:7">
      <c r="A21" s="2"/>
      <c r="C21" s="1"/>
    </row>
    <row r="22" spans="1:7" ht="15">
      <c r="A22" s="2"/>
      <c r="C22" s="1" t="s">
        <v>1266</v>
      </c>
      <c r="D22" s="243" t="s">
        <v>302</v>
      </c>
      <c r="E22" s="243" t="s">
        <v>231</v>
      </c>
      <c r="F22" s="13"/>
    </row>
    <row r="23" spans="1:7">
      <c r="D23" s="3" t="s">
        <v>175</v>
      </c>
      <c r="E23" s="3" t="s">
        <v>175</v>
      </c>
      <c r="F23" s="3" t="s">
        <v>179</v>
      </c>
    </row>
    <row r="24" spans="1:7">
      <c r="A24" s="2">
        <f>A20+1</f>
        <v>13</v>
      </c>
      <c r="C24" s="94" t="s">
        <v>1406</v>
      </c>
      <c r="D24" s="7">
        <f>D20</f>
        <v>221778479.72000003</v>
      </c>
      <c r="E24" s="7">
        <f>E20</f>
        <v>111914471.08153847</v>
      </c>
      <c r="F24" s="16" t="str">
        <f>"Line "&amp;A20&amp;""</f>
        <v>Line 12</v>
      </c>
    </row>
    <row r="25" spans="1:7">
      <c r="A25" s="2">
        <f>A24+1</f>
        <v>14</v>
      </c>
      <c r="C25" s="94" t="s">
        <v>1255</v>
      </c>
      <c r="D25" s="8">
        <f>'1-BaseTRR'!K91</f>
        <v>7.9404133370570132E-2</v>
      </c>
      <c r="E25" s="8">
        <f>'1-BaseTRR'!K91</f>
        <v>7.9404133370570132E-2</v>
      </c>
      <c r="F25" s="114" t="str">
        <f>"1-BaseTRR, Line "&amp;'1-BaseTRR'!A91&amp;""</f>
        <v>1-BaseTRR, Line 54</v>
      </c>
    </row>
    <row r="26" spans="1:7">
      <c r="A26" s="2">
        <f>A25+1</f>
        <v>15</v>
      </c>
      <c r="C26" s="37" t="s">
        <v>1407</v>
      </c>
      <c r="D26" s="7">
        <f>D24*D25</f>
        <v>17610127.982409164</v>
      </c>
      <c r="E26" s="7">
        <f>E24*E25</f>
        <v>8886471.5878552943</v>
      </c>
      <c r="F26" s="114" t="str">
        <f>"Line "&amp;A24&amp;" * Line "&amp;A25&amp;""</f>
        <v>Line 13 * Line 14</v>
      </c>
    </row>
    <row r="27" spans="1:7">
      <c r="F27" s="14"/>
    </row>
    <row r="28" spans="1:7">
      <c r="C28" s="1" t="s">
        <v>86</v>
      </c>
      <c r="F28" s="14"/>
    </row>
    <row r="29" spans="1:7" ht="15">
      <c r="D29" s="243" t="s">
        <v>302</v>
      </c>
      <c r="E29" s="243" t="s">
        <v>231</v>
      </c>
      <c r="F29" s="14"/>
    </row>
    <row r="30" spans="1:7">
      <c r="D30" s="3" t="s">
        <v>175</v>
      </c>
      <c r="E30" s="3" t="s">
        <v>175</v>
      </c>
      <c r="F30" s="125" t="s">
        <v>179</v>
      </c>
    </row>
    <row r="31" spans="1:7" ht="15">
      <c r="A31" s="243">
        <f>A26+1</f>
        <v>16</v>
      </c>
      <c r="C31" s="94" t="s">
        <v>1406</v>
      </c>
      <c r="D31" s="7">
        <f>D20</f>
        <v>221778479.72000003</v>
      </c>
      <c r="E31" s="7">
        <f>E20</f>
        <v>111914471.08153847</v>
      </c>
      <c r="F31" s="114" t="str">
        <f>"Line "&amp;A20&amp;""</f>
        <v>Line 12</v>
      </c>
    </row>
    <row r="32" spans="1:7">
      <c r="A32" s="2">
        <f t="shared" ref="A32:A38" si="1">A31+1</f>
        <v>17</v>
      </c>
      <c r="C32" s="365" t="s">
        <v>1408</v>
      </c>
      <c r="D32" s="8">
        <f>'1-BaseTRR'!K93</f>
        <v>5.9272529233476007E-2</v>
      </c>
      <c r="E32" s="8">
        <f>'1-BaseTRR'!K93</f>
        <v>5.9272529233476007E-2</v>
      </c>
      <c r="F32" s="114" t="str">
        <f>"1-BaseTRR, Line "&amp;'1-BaseTRR'!A93&amp;""</f>
        <v>1-BaseTRR, Line 55</v>
      </c>
    </row>
    <row r="33" spans="1:7">
      <c r="A33" s="2">
        <f t="shared" si="1"/>
        <v>18</v>
      </c>
      <c r="C33" s="365" t="s">
        <v>1053</v>
      </c>
      <c r="D33" s="8">
        <f>'1-BaseTRR'!K102</f>
        <v>0.27983599999999997</v>
      </c>
      <c r="E33" s="8">
        <f>'1-BaseTRR'!K102</f>
        <v>0.27983599999999997</v>
      </c>
      <c r="F33" s="114" t="str">
        <f>"1-BaseTRR, Line "&amp;'1-BaseTRR'!A102&amp;""</f>
        <v>1-BaseTRR, Line 59</v>
      </c>
    </row>
    <row r="34" spans="1:7">
      <c r="A34" s="2">
        <f t="shared" si="1"/>
        <v>19</v>
      </c>
      <c r="C34" s="365" t="s">
        <v>264</v>
      </c>
      <c r="D34" s="63">
        <f>((D24*D32)*(D33/(1-D33)))</f>
        <v>5107931.1898447834</v>
      </c>
      <c r="E34" s="63">
        <f>((E24*E32)*(E33/(1-E33)))</f>
        <v>2577578.3933323659</v>
      </c>
      <c r="F34" s="482" t="str">
        <f>"Formula on Line "&amp;A36&amp;""</f>
        <v>Formula on Line 21</v>
      </c>
      <c r="G34" s="14"/>
    </row>
    <row r="35" spans="1:7">
      <c r="A35" s="2">
        <f t="shared" si="1"/>
        <v>20</v>
      </c>
      <c r="C35" s="14"/>
      <c r="D35" s="14"/>
      <c r="E35" s="14"/>
      <c r="F35" s="14"/>
      <c r="G35" s="14"/>
    </row>
    <row r="36" spans="1:7">
      <c r="A36" s="2">
        <f t="shared" si="1"/>
        <v>21</v>
      </c>
      <c r="C36" s="46" t="str">
        <f>"Income Taxes = [(RB * ER) * (CTR/(1 – CTR)], or [(L"&amp;A24&amp;" * L"&amp;A32&amp;") * (L"&amp;A33&amp;" / (1 - L"&amp;A33&amp;")]"</f>
        <v>Income Taxes = [(RB * ER) * (CTR/(1 – CTR)], or [(L13 * L17) * (L18 / (1 - L18)]</v>
      </c>
      <c r="D36" s="14"/>
      <c r="E36" s="63"/>
      <c r="F36" s="15"/>
      <c r="G36" s="14"/>
    </row>
    <row r="37" spans="1:7">
      <c r="A37" s="2">
        <f t="shared" si="1"/>
        <v>22</v>
      </c>
      <c r="C37" s="482" t="s">
        <v>1792</v>
      </c>
      <c r="D37" s="14"/>
      <c r="E37" s="63"/>
      <c r="F37" s="15"/>
      <c r="G37" s="14"/>
    </row>
    <row r="38" spans="1:7">
      <c r="A38" s="2">
        <f t="shared" si="1"/>
        <v>23</v>
      </c>
      <c r="D38" s="13"/>
      <c r="E38" s="7"/>
      <c r="F38" s="12"/>
      <c r="G38" s="13"/>
    </row>
    <row r="39" spans="1:7">
      <c r="C39" s="1" t="s">
        <v>1263</v>
      </c>
    </row>
    <row r="40" spans="1:7">
      <c r="D40" s="3" t="s">
        <v>171</v>
      </c>
      <c r="E40" s="3" t="s">
        <v>179</v>
      </c>
    </row>
    <row r="41" spans="1:7">
      <c r="A41" s="2">
        <f>A38+1</f>
        <v>24</v>
      </c>
      <c r="C41" s="365" t="s">
        <v>498</v>
      </c>
      <c r="D41" s="63">
        <f>'15-IncentiveAdder'!G17</f>
        <v>6969.1392255455057</v>
      </c>
      <c r="E41" s="114" t="str">
        <f>"15-IncentiveAdder, Line "&amp;'15-IncentiveAdder'!A17&amp;""</f>
        <v>15-IncentiveAdder, Line 3</v>
      </c>
      <c r="F41" s="14"/>
      <c r="G41" s="14"/>
    </row>
    <row r="42" spans="1:7">
      <c r="C42" s="14"/>
      <c r="D42" s="14"/>
      <c r="E42" s="14"/>
      <c r="F42" s="14"/>
      <c r="G42" s="14"/>
    </row>
    <row r="43" spans="1:7">
      <c r="C43" s="1009" t="s">
        <v>341</v>
      </c>
      <c r="D43" s="14"/>
      <c r="E43" s="14"/>
      <c r="F43" s="14"/>
      <c r="G43" s="14"/>
    </row>
    <row r="44" spans="1:7" ht="15">
      <c r="C44" s="14"/>
      <c r="D44" s="1010" t="s">
        <v>302</v>
      </c>
      <c r="E44" s="1010" t="s">
        <v>231</v>
      </c>
      <c r="F44" s="14"/>
      <c r="G44" s="14"/>
    </row>
    <row r="45" spans="1:7">
      <c r="C45" s="14"/>
      <c r="D45" s="125" t="s">
        <v>175</v>
      </c>
      <c r="E45" s="125" t="s">
        <v>175</v>
      </c>
      <c r="F45" s="14"/>
      <c r="G45" s="14"/>
    </row>
    <row r="46" spans="1:7">
      <c r="A46" s="2">
        <f>A41+1</f>
        <v>25</v>
      </c>
      <c r="C46" s="365" t="s">
        <v>1409</v>
      </c>
      <c r="D46" s="63">
        <f>D9</f>
        <v>150976.49</v>
      </c>
      <c r="E46" s="63">
        <f>E9</f>
        <v>5894761.7546153832</v>
      </c>
      <c r="F46" s="114" t="str">
        <f>"Line "&amp;A9&amp;""</f>
        <v>Line 1</v>
      </c>
      <c r="G46" s="14"/>
    </row>
    <row r="47" spans="1:7">
      <c r="A47" s="2">
        <f>A46+1</f>
        <v>26</v>
      </c>
      <c r="C47" s="365" t="s">
        <v>1257</v>
      </c>
      <c r="D47" s="78">
        <f>'15-IncentiveAdder'!E26</f>
        <v>1.2500000000000001E-2</v>
      </c>
      <c r="E47" s="78">
        <f>'15-IncentiveAdder'!E26</f>
        <v>1.2500000000000001E-2</v>
      </c>
      <c r="F47" s="114" t="str">
        <f>"15-IncentiveAdder, Line "&amp;'15-IncentiveAdder'!A26&amp;""</f>
        <v>15-IncentiveAdder, Line 5</v>
      </c>
      <c r="G47" s="14"/>
    </row>
    <row r="48" spans="1:7">
      <c r="A48" s="2">
        <f>A47+1</f>
        <v>27</v>
      </c>
      <c r="C48" s="365" t="s">
        <v>1410</v>
      </c>
      <c r="D48" s="63">
        <f>(D46/1000000)*($D$41*(D47/0.01))</f>
        <v>1315.2202232427233</v>
      </c>
      <c r="E48" s="63">
        <f>(E46/1000000)*($D$41*(E47/0.01))</f>
        <v>51351.769211669394</v>
      </c>
      <c r="F48" s="482" t="str">
        <f>"Formula on Line "&amp;A57&amp;""</f>
        <v>Formula on Line 32</v>
      </c>
      <c r="G48" s="14"/>
    </row>
    <row r="49" spans="1:7">
      <c r="C49" s="378"/>
      <c r="D49" s="14"/>
      <c r="E49" s="14"/>
      <c r="F49" s="14"/>
      <c r="G49" s="14"/>
    </row>
    <row r="50" spans="1:7">
      <c r="C50" s="1009" t="s">
        <v>1264</v>
      </c>
      <c r="D50" s="14"/>
      <c r="E50" s="125"/>
      <c r="F50" s="125"/>
      <c r="G50" s="14"/>
    </row>
    <row r="51" spans="1:7" ht="15">
      <c r="C51" s="14"/>
      <c r="D51" s="1010" t="s">
        <v>302</v>
      </c>
      <c r="E51" s="1010" t="s">
        <v>231</v>
      </c>
      <c r="F51" s="14"/>
      <c r="G51" s="14"/>
    </row>
    <row r="52" spans="1:7">
      <c r="C52" s="14"/>
      <c r="D52" s="125" t="s">
        <v>175</v>
      </c>
      <c r="E52" s="125" t="s">
        <v>175</v>
      </c>
      <c r="F52" s="14"/>
      <c r="G52" s="14"/>
    </row>
    <row r="53" spans="1:7">
      <c r="A53" s="2">
        <f>A48+1</f>
        <v>28</v>
      </c>
      <c r="C53" s="941" t="s">
        <v>1431</v>
      </c>
      <c r="D53" s="63">
        <f>D10</f>
        <v>0</v>
      </c>
      <c r="E53" s="63">
        <f>E10</f>
        <v>0</v>
      </c>
      <c r="F53" s="114" t="str">
        <f>"Line "&amp;A10&amp;""</f>
        <v>Line 2</v>
      </c>
      <c r="G53" s="14"/>
    </row>
    <row r="54" spans="1:7">
      <c r="A54" s="2">
        <f>A53+1</f>
        <v>29</v>
      </c>
      <c r="C54" s="365" t="s">
        <v>1257</v>
      </c>
      <c r="D54" s="78">
        <f>'15-IncentiveAdder'!E27</f>
        <v>0.01</v>
      </c>
      <c r="E54" s="78">
        <f>'15-IncentiveAdder'!E27</f>
        <v>0.01</v>
      </c>
      <c r="F54" s="114" t="str">
        <f>"15-IncentiveAdder, Line "&amp;'15-IncentiveAdder'!A27&amp;""</f>
        <v>15-IncentiveAdder, Line 6</v>
      </c>
      <c r="G54" s="14"/>
    </row>
    <row r="55" spans="1:7">
      <c r="A55" s="2">
        <f>A54+1</f>
        <v>30</v>
      </c>
      <c r="C55" s="365" t="s">
        <v>1410</v>
      </c>
      <c r="D55" s="63">
        <f>(D53/1000000)*($D$41*(D54/0.01))</f>
        <v>0</v>
      </c>
      <c r="E55" s="63">
        <f>(E53/1000000)*($D$41*(E54/0.01))</f>
        <v>0</v>
      </c>
      <c r="F55" s="482" t="str">
        <f>"Formula on Line "&amp;A57&amp;""</f>
        <v>Formula on Line 32</v>
      </c>
      <c r="G55" s="14"/>
    </row>
    <row r="56" spans="1:7">
      <c r="A56" s="2">
        <f>A55+1</f>
        <v>31</v>
      </c>
      <c r="C56" s="14"/>
      <c r="D56" s="110"/>
      <c r="E56" s="63"/>
      <c r="F56" s="46"/>
      <c r="G56" s="14"/>
    </row>
    <row r="57" spans="1:7">
      <c r="A57" s="2">
        <f>A56+1</f>
        <v>32</v>
      </c>
      <c r="C57" s="940" t="s">
        <v>1869</v>
      </c>
      <c r="D57" s="63"/>
      <c r="E57" s="46"/>
      <c r="F57" s="14"/>
      <c r="G57" s="14"/>
    </row>
    <row r="59" spans="1:7">
      <c r="C59" s="1" t="s">
        <v>1517</v>
      </c>
    </row>
    <row r="60" spans="1:7">
      <c r="C60" s="1"/>
    </row>
    <row r="61" spans="1:7" ht="15">
      <c r="C61" s="1"/>
      <c r="E61" s="243" t="s">
        <v>281</v>
      </c>
    </row>
    <row r="62" spans="1:7" ht="15">
      <c r="C62" s="1"/>
      <c r="D62" s="243" t="s">
        <v>1412</v>
      </c>
      <c r="E62" s="243" t="s">
        <v>967</v>
      </c>
    </row>
    <row r="63" spans="1:7">
      <c r="D63" s="3" t="s">
        <v>175</v>
      </c>
      <c r="E63" s="3" t="s">
        <v>175</v>
      </c>
      <c r="F63" s="3" t="s">
        <v>179</v>
      </c>
    </row>
    <row r="64" spans="1:7">
      <c r="A64" s="2">
        <f>A57+1</f>
        <v>33</v>
      </c>
      <c r="C64" s="94" t="s">
        <v>1256</v>
      </c>
      <c r="D64" s="7">
        <f>D26</f>
        <v>17610127.982409164</v>
      </c>
      <c r="E64" s="7">
        <f>E26</f>
        <v>8886471.5878552943</v>
      </c>
      <c r="F64" s="16" t="str">
        <f>"Line "&amp;A26&amp;""</f>
        <v>Line 15</v>
      </c>
    </row>
    <row r="65" spans="1:9">
      <c r="A65" s="2">
        <f>A64+1</f>
        <v>34</v>
      </c>
      <c r="C65" s="94" t="s">
        <v>264</v>
      </c>
      <c r="D65" s="7">
        <f>D34</f>
        <v>5107931.1898447834</v>
      </c>
      <c r="E65" s="7">
        <f>E34</f>
        <v>2577578.3933323659</v>
      </c>
      <c r="F65" s="16" t="str">
        <f>"Line "&amp;A34&amp;""</f>
        <v>Line 19</v>
      </c>
    </row>
    <row r="66" spans="1:9">
      <c r="A66" s="2">
        <f>A65+1</f>
        <v>35</v>
      </c>
      <c r="C66" s="94" t="s">
        <v>1258</v>
      </c>
      <c r="D66" s="7">
        <f>D48</f>
        <v>1315.2202232427233</v>
      </c>
      <c r="E66" s="7">
        <f>E48</f>
        <v>51351.769211669394</v>
      </c>
      <c r="F66" s="16" t="str">
        <f>"Line "&amp;A48&amp;""</f>
        <v>Line 27</v>
      </c>
    </row>
    <row r="67" spans="1:9">
      <c r="A67" s="2">
        <f>A66+1</f>
        <v>36</v>
      </c>
      <c r="C67" s="94" t="s">
        <v>1259</v>
      </c>
      <c r="D67" s="101">
        <f>D55</f>
        <v>0</v>
      </c>
      <c r="E67" s="234">
        <f>E55</f>
        <v>0</v>
      </c>
      <c r="F67" s="16" t="str">
        <f>"Line "&amp;A55&amp;""</f>
        <v>Line 30</v>
      </c>
    </row>
    <row r="68" spans="1:9">
      <c r="A68" s="476">
        <f t="shared" ref="A68:A69" si="2">A67+1</f>
        <v>37</v>
      </c>
      <c r="C68" s="94" t="s">
        <v>1458</v>
      </c>
      <c r="D68" s="91">
        <f>SUM(D64:D67)*('28-FFU'!D22+'28-FFU'!E22)</f>
        <v>263846.91063215537</v>
      </c>
      <c r="E68" s="91">
        <f>SUM(E64:E67)*('28-FFU'!D22)</f>
        <v>106007.33389365111</v>
      </c>
      <c r="F68" s="13" t="s">
        <v>364</v>
      </c>
    </row>
    <row r="69" spans="1:9">
      <c r="A69" s="476">
        <f t="shared" si="2"/>
        <v>38</v>
      </c>
      <c r="C69" s="94" t="s">
        <v>4</v>
      </c>
      <c r="D69" s="7">
        <f>SUM(D64:D68)</f>
        <v>22983221.303109348</v>
      </c>
      <c r="E69" s="7">
        <f>SUM(E64:E68)</f>
        <v>11621409.08429298</v>
      </c>
      <c r="F69" s="13" t="str">
        <f>"Sum Lines "&amp;A64&amp;" to "&amp;A68&amp;""</f>
        <v>Sum Lines 33 to 37</v>
      </c>
    </row>
    <row r="70" spans="1:9">
      <c r="A70" s="2"/>
      <c r="D70" s="94"/>
      <c r="E70" s="7"/>
      <c r="F70" s="13"/>
    </row>
    <row r="71" spans="1:9" ht="12.75" customHeight="1">
      <c r="A71" s="2"/>
      <c r="C71" s="372" t="s">
        <v>1518</v>
      </c>
      <c r="D71" s="94"/>
      <c r="E71" s="7"/>
      <c r="F71" s="13"/>
    </row>
    <row r="72" spans="1:9">
      <c r="A72" s="2"/>
      <c r="D72" s="94"/>
      <c r="E72" s="7"/>
      <c r="F72" s="13"/>
    </row>
    <row r="73" spans="1:9" ht="12.75" customHeight="1">
      <c r="A73" s="2"/>
      <c r="C73" s="372" t="s">
        <v>1413</v>
      </c>
      <c r="D73" s="94"/>
      <c r="E73" s="7"/>
      <c r="F73" s="13"/>
    </row>
    <row r="74" spans="1:9" ht="15">
      <c r="A74" s="2"/>
      <c r="C74" s="372"/>
      <c r="D74" s="84" t="s">
        <v>363</v>
      </c>
      <c r="E74" s="84" t="s">
        <v>347</v>
      </c>
      <c r="F74" s="84" t="s">
        <v>348</v>
      </c>
      <c r="G74" s="84" t="s">
        <v>349</v>
      </c>
      <c r="H74" s="84" t="s">
        <v>350</v>
      </c>
    </row>
    <row r="75" spans="1:9" ht="15">
      <c r="A75" s="2"/>
      <c r="C75" s="372"/>
      <c r="D75" s="2" t="s">
        <v>1414</v>
      </c>
      <c r="E75" s="470" t="s">
        <v>1415</v>
      </c>
      <c r="F75" s="2"/>
      <c r="H75" s="96" t="s">
        <v>1464</v>
      </c>
    </row>
    <row r="76" spans="1:9" ht="15">
      <c r="A76" s="2"/>
      <c r="C76" s="3" t="s">
        <v>226</v>
      </c>
      <c r="D76" s="3" t="s">
        <v>1416</v>
      </c>
      <c r="E76" s="404" t="s">
        <v>1417</v>
      </c>
      <c r="F76" s="3" t="s">
        <v>9</v>
      </c>
      <c r="G76" s="3" t="s">
        <v>1421</v>
      </c>
      <c r="H76" s="3" t="s">
        <v>196</v>
      </c>
      <c r="I76" s="3" t="s">
        <v>179</v>
      </c>
    </row>
    <row r="77" spans="1:9">
      <c r="A77" s="2">
        <f>A69+1</f>
        <v>39</v>
      </c>
      <c r="C77" s="94" t="s">
        <v>1267</v>
      </c>
      <c r="D77" s="471">
        <f t="shared" ref="D77:D86" si="3">$D$26*(D9/$D$20)</f>
        <v>11988.157347780547</v>
      </c>
      <c r="E77" s="471">
        <f t="shared" ref="E77:E86" si="4">$D$34*(D9/$D$20)</f>
        <v>3477.2423509166297</v>
      </c>
      <c r="F77" s="471">
        <f>D48</f>
        <v>1315.2202232427233</v>
      </c>
      <c r="G77" s="7">
        <f>(D77+E77+F77)*('28-FFU'!$D$22+'28-FFU'!$E$22)</f>
        <v>194.87837333946462</v>
      </c>
      <c r="H77" s="143">
        <f>SUM(D77:G77)</f>
        <v>16975.498295279362</v>
      </c>
      <c r="I77" s="13" t="s">
        <v>365</v>
      </c>
    </row>
    <row r="78" spans="1:9">
      <c r="A78" s="2">
        <f t="shared" ref="A78:A88" si="5">A77+1</f>
        <v>40</v>
      </c>
      <c r="C78" s="94" t="s">
        <v>1268</v>
      </c>
      <c r="D78" s="471">
        <f t="shared" si="3"/>
        <v>0</v>
      </c>
      <c r="E78" s="471">
        <f t="shared" si="4"/>
        <v>0</v>
      </c>
      <c r="F78" s="471">
        <f>D55</f>
        <v>0</v>
      </c>
      <c r="G78" s="7">
        <f>(D78+E78+F78)*('28-FFU'!$D$22+'28-FFU'!$E$22)</f>
        <v>0</v>
      </c>
      <c r="H78" s="143">
        <f t="shared" ref="H78:H86" si="6">SUM(D78:G78)</f>
        <v>0</v>
      </c>
      <c r="I78" s="13" t="s">
        <v>365</v>
      </c>
    </row>
    <row r="79" spans="1:9">
      <c r="A79" s="2">
        <f t="shared" si="5"/>
        <v>41</v>
      </c>
      <c r="C79" s="481" t="s">
        <v>1272</v>
      </c>
      <c r="D79" s="471">
        <f t="shared" si="3"/>
        <v>387867.59041479294</v>
      </c>
      <c r="E79" s="471">
        <f t="shared" si="4"/>
        <v>112503.49597621852</v>
      </c>
      <c r="F79" s="471">
        <v>0</v>
      </c>
      <c r="G79" s="7">
        <f>(D79+E79+F79)*('28-FFU'!$D$22+'28-FFU'!$E$22)</f>
        <v>5810.9595375847339</v>
      </c>
      <c r="H79" s="143">
        <f t="shared" si="6"/>
        <v>506182.04592859623</v>
      </c>
      <c r="I79" s="13" t="s">
        <v>365</v>
      </c>
    </row>
    <row r="80" spans="1:9">
      <c r="A80" s="2">
        <f t="shared" si="5"/>
        <v>42</v>
      </c>
      <c r="C80" s="481" t="s">
        <v>1273</v>
      </c>
      <c r="D80" s="471">
        <f t="shared" si="3"/>
        <v>7845589.8349274527</v>
      </c>
      <c r="E80" s="471">
        <f t="shared" si="4"/>
        <v>2275663.9282000647</v>
      </c>
      <c r="F80" s="471">
        <v>0</v>
      </c>
      <c r="G80" s="7">
        <f>(D80+E80+F80)*('28-FFU'!$D$22+'28-FFU'!$E$22)</f>
        <v>117541.15632732879</v>
      </c>
      <c r="H80" s="143">
        <f t="shared" si="6"/>
        <v>10238794.919454847</v>
      </c>
      <c r="I80" s="13" t="s">
        <v>365</v>
      </c>
    </row>
    <row r="81" spans="1:9">
      <c r="A81" s="2">
        <f t="shared" si="5"/>
        <v>43</v>
      </c>
      <c r="C81" s="94" t="s">
        <v>1269</v>
      </c>
      <c r="D81" s="471">
        <f t="shared" si="3"/>
        <v>0</v>
      </c>
      <c r="E81" s="471">
        <f t="shared" si="4"/>
        <v>0</v>
      </c>
      <c r="F81" s="471">
        <v>0</v>
      </c>
      <c r="G81" s="7">
        <f>(D81+E81+F81)*('28-FFU'!$D$22+'28-FFU'!$E$22)</f>
        <v>0</v>
      </c>
      <c r="H81" s="143">
        <f t="shared" si="6"/>
        <v>0</v>
      </c>
      <c r="I81" s="13" t="s">
        <v>365</v>
      </c>
    </row>
    <row r="82" spans="1:9">
      <c r="A82" s="2">
        <f t="shared" si="5"/>
        <v>44</v>
      </c>
      <c r="C82" s="94" t="s">
        <v>1270</v>
      </c>
      <c r="D82" s="471">
        <f t="shared" si="3"/>
        <v>0</v>
      </c>
      <c r="E82" s="471">
        <f t="shared" si="4"/>
        <v>0</v>
      </c>
      <c r="F82" s="471">
        <v>0</v>
      </c>
      <c r="G82" s="7">
        <f>(D82+E82+F82)*('28-FFU'!$D$22+'28-FFU'!$E$22)</f>
        <v>0</v>
      </c>
      <c r="H82" s="143">
        <f t="shared" si="6"/>
        <v>0</v>
      </c>
      <c r="I82" s="13" t="s">
        <v>365</v>
      </c>
    </row>
    <row r="83" spans="1:9">
      <c r="A83" s="2">
        <f t="shared" si="5"/>
        <v>45</v>
      </c>
      <c r="C83" s="94" t="s">
        <v>1271</v>
      </c>
      <c r="D83" s="471">
        <f t="shared" si="3"/>
        <v>0</v>
      </c>
      <c r="E83" s="471">
        <f t="shared" si="4"/>
        <v>0</v>
      </c>
      <c r="F83" s="471">
        <v>0</v>
      </c>
      <c r="G83" s="7">
        <f>(D83+E83+F83)*('28-FFU'!$D$22+'28-FFU'!$E$22)</f>
        <v>0</v>
      </c>
      <c r="H83" s="143">
        <f t="shared" si="6"/>
        <v>0</v>
      </c>
      <c r="I83" s="13" t="s">
        <v>365</v>
      </c>
    </row>
    <row r="84" spans="1:9">
      <c r="A84" s="2">
        <f t="shared" si="5"/>
        <v>46</v>
      </c>
      <c r="C84" s="1327" t="s">
        <v>2657</v>
      </c>
      <c r="D84" s="471">
        <f t="shared" si="3"/>
        <v>3715169.798257458</v>
      </c>
      <c r="E84" s="471">
        <f t="shared" si="4"/>
        <v>1077608.9592900553</v>
      </c>
      <c r="F84" s="471">
        <v>0</v>
      </c>
      <c r="G84" s="7">
        <f>(D84+E84+F84)*('28-FFU'!$D$22+'28-FFU'!$E$22)</f>
        <v>55659.977545026537</v>
      </c>
      <c r="H84" s="143">
        <f t="shared" si="6"/>
        <v>4848438.7350925403</v>
      </c>
      <c r="I84" s="13" t="s">
        <v>365</v>
      </c>
    </row>
    <row r="85" spans="1:9">
      <c r="A85" s="2">
        <f t="shared" si="5"/>
        <v>47</v>
      </c>
      <c r="C85" s="1327" t="s">
        <v>2658</v>
      </c>
      <c r="D85" s="471">
        <f t="shared" si="3"/>
        <v>2870920.1884452743</v>
      </c>
      <c r="E85" s="471">
        <f t="shared" si="4"/>
        <v>832728.91535842768</v>
      </c>
      <c r="F85" s="471">
        <v>0</v>
      </c>
      <c r="G85" s="7">
        <f>(D85+E85+F85)*('28-FFU'!$D$22+'28-FFU'!$E$22)</f>
        <v>43011.588137203529</v>
      </c>
      <c r="H85" s="143">
        <f t="shared" si="6"/>
        <v>3746660.6919409051</v>
      </c>
      <c r="I85" s="13" t="s">
        <v>365</v>
      </c>
    </row>
    <row r="86" spans="1:9">
      <c r="A86" s="2">
        <f t="shared" si="5"/>
        <v>48</v>
      </c>
      <c r="C86" s="1327" t="s">
        <v>2669</v>
      </c>
      <c r="D86" s="1329">
        <f t="shared" si="3"/>
        <v>2778592.4130164036</v>
      </c>
      <c r="E86" s="1329">
        <f t="shared" si="4"/>
        <v>805948.64866909978</v>
      </c>
      <c r="F86" s="1329">
        <v>0</v>
      </c>
      <c r="G86" s="63">
        <f>(D86+E86+F86)*('28-FFU'!$D$22+'28-FFU'!$E$22)</f>
        <v>41628.350711672254</v>
      </c>
      <c r="H86" s="478">
        <f t="shared" si="6"/>
        <v>3626169.4123971756</v>
      </c>
      <c r="I86" s="13" t="s">
        <v>365</v>
      </c>
    </row>
    <row r="87" spans="1:9">
      <c r="A87" s="2">
        <f t="shared" si="5"/>
        <v>49</v>
      </c>
      <c r="C87" s="412"/>
      <c r="D87" s="193" t="s">
        <v>76</v>
      </c>
      <c r="E87" s="193" t="s">
        <v>76</v>
      </c>
      <c r="F87" s="193" t="s">
        <v>76</v>
      </c>
      <c r="G87" s="193" t="s">
        <v>76</v>
      </c>
      <c r="H87" s="193" t="s">
        <v>76</v>
      </c>
      <c r="I87" s="13" t="s">
        <v>365</v>
      </c>
    </row>
    <row r="88" spans="1:9">
      <c r="A88" s="2">
        <f t="shared" si="5"/>
        <v>50</v>
      </c>
      <c r="C88" s="94" t="s">
        <v>197</v>
      </c>
      <c r="D88" s="59">
        <f>SUM(D77:D87)</f>
        <v>17610127.982409164</v>
      </c>
      <c r="E88" s="59">
        <f>SUM(E77:E87)</f>
        <v>5107931.1898447825</v>
      </c>
      <c r="F88" s="59">
        <f>SUM(F77:F87)</f>
        <v>1315.2202232427233</v>
      </c>
      <c r="G88" s="59">
        <f>SUM(G77:G87)</f>
        <v>263846.91063215531</v>
      </c>
      <c r="H88" s="59">
        <f>SUM(H77:H87)</f>
        <v>22983221.30310934</v>
      </c>
      <c r="I88" s="13" t="str">
        <f>"Sum L "&amp;A77&amp;" to L "&amp;A87&amp;""</f>
        <v>Sum L 39 to L 49</v>
      </c>
    </row>
    <row r="89" spans="1:9">
      <c r="A89" s="2"/>
      <c r="C89" s="94"/>
      <c r="D89" s="94"/>
      <c r="E89" s="7"/>
      <c r="F89" s="13"/>
    </row>
    <row r="90" spans="1:9" ht="15">
      <c r="A90" s="2"/>
      <c r="C90" s="372" t="s">
        <v>1519</v>
      </c>
      <c r="D90" s="94"/>
      <c r="E90" s="7"/>
      <c r="F90" s="13"/>
    </row>
    <row r="91" spans="1:9" ht="15">
      <c r="A91" s="2"/>
      <c r="C91" s="372"/>
      <c r="D91" s="84" t="s">
        <v>363</v>
      </c>
      <c r="E91" s="84" t="s">
        <v>347</v>
      </c>
      <c r="F91" s="84" t="s">
        <v>348</v>
      </c>
      <c r="G91" s="84" t="s">
        <v>349</v>
      </c>
      <c r="H91" s="84" t="s">
        <v>350</v>
      </c>
    </row>
    <row r="92" spans="1:9" ht="15">
      <c r="A92" s="2"/>
      <c r="C92" s="372"/>
      <c r="D92" s="2" t="s">
        <v>1414</v>
      </c>
      <c r="E92" s="470" t="s">
        <v>1415</v>
      </c>
      <c r="F92" s="2"/>
      <c r="H92" s="96" t="s">
        <v>1464</v>
      </c>
    </row>
    <row r="93" spans="1:9" ht="15">
      <c r="A93" s="2"/>
      <c r="C93" s="3" t="s">
        <v>226</v>
      </c>
      <c r="D93" s="3" t="s">
        <v>1416</v>
      </c>
      <c r="E93" s="404" t="s">
        <v>1417</v>
      </c>
      <c r="F93" s="3" t="s">
        <v>9</v>
      </c>
      <c r="G93" s="3" t="s">
        <v>1421</v>
      </c>
      <c r="H93" s="3" t="s">
        <v>196</v>
      </c>
      <c r="I93" s="3" t="s">
        <v>179</v>
      </c>
    </row>
    <row r="94" spans="1:9">
      <c r="A94" s="2">
        <f>A88+1</f>
        <v>51</v>
      </c>
      <c r="C94" s="94" t="s">
        <v>1267</v>
      </c>
      <c r="D94" s="59">
        <f t="shared" ref="D94:D102" si="7">$E$26*(E9/$E$20)</f>
        <v>468068.44855121587</v>
      </c>
      <c r="E94" s="59">
        <f t="shared" ref="E94:E103" si="8">$E$34*(E9/$E$20)</f>
        <v>135766.27209780962</v>
      </c>
      <c r="F94" s="472">
        <f>E48</f>
        <v>51351.769211669394</v>
      </c>
      <c r="G94" s="7">
        <f>(D94+E94+F94)*('28-FFU'!$D$22+'28-FFU'!$E$22)</f>
        <v>7608.8772626992077</v>
      </c>
      <c r="H94" s="397">
        <f>SUM(D94:G94)</f>
        <v>662795.36712339404</v>
      </c>
      <c r="I94" s="13" t="s">
        <v>1173</v>
      </c>
    </row>
    <row r="95" spans="1:9">
      <c r="A95" s="2">
        <f t="shared" ref="A95:A105" si="9">A94+1</f>
        <v>52</v>
      </c>
      <c r="C95" s="94" t="s">
        <v>1268</v>
      </c>
      <c r="D95" s="59">
        <f t="shared" si="7"/>
        <v>0</v>
      </c>
      <c r="E95" s="59">
        <f t="shared" si="8"/>
        <v>0</v>
      </c>
      <c r="F95" s="472">
        <f>E55</f>
        <v>0</v>
      </c>
      <c r="G95" s="7">
        <f>(D95+E95+F95)*('28-FFU'!$D$22+'28-FFU'!$E$22)</f>
        <v>0</v>
      </c>
      <c r="H95" s="397">
        <f t="shared" ref="H95:H102" si="10">SUM(D95:G95)</f>
        <v>0</v>
      </c>
      <c r="I95" s="13" t="s">
        <v>1173</v>
      </c>
    </row>
    <row r="96" spans="1:9">
      <c r="A96" s="2">
        <f t="shared" si="9"/>
        <v>53</v>
      </c>
      <c r="C96" s="481" t="s">
        <v>1272</v>
      </c>
      <c r="D96" s="59">
        <f t="shared" si="7"/>
        <v>364783.49226235686</v>
      </c>
      <c r="E96" s="59">
        <f t="shared" si="8"/>
        <v>105807.80443666528</v>
      </c>
      <c r="F96" s="472">
        <v>0</v>
      </c>
      <c r="G96" s="7">
        <f>(D96+E96+F96)*('28-FFU'!$D$22+'28-FFU'!$E$22)</f>
        <v>5465.117905954754</v>
      </c>
      <c r="H96" s="397">
        <f t="shared" si="10"/>
        <v>476056.41460497689</v>
      </c>
      <c r="I96" s="13" t="s">
        <v>1173</v>
      </c>
    </row>
    <row r="97" spans="1:9">
      <c r="A97" s="2">
        <f t="shared" si="9"/>
        <v>54</v>
      </c>
      <c r="C97" s="481" t="s">
        <v>1273</v>
      </c>
      <c r="D97" s="59">
        <f t="shared" si="7"/>
        <v>6364837.7926191483</v>
      </c>
      <c r="E97" s="59">
        <f t="shared" si="8"/>
        <v>1846162.248888691</v>
      </c>
      <c r="F97" s="472">
        <v>0</v>
      </c>
      <c r="G97" s="7">
        <f>(D97+E97+F97)*('28-FFU'!$D$22+'28-FFU'!$E$22)</f>
        <v>95356.806782042986</v>
      </c>
      <c r="H97" s="397">
        <f t="shared" si="10"/>
        <v>8306356.8482898818</v>
      </c>
      <c r="I97" s="13" t="s">
        <v>1173</v>
      </c>
    </row>
    <row r="98" spans="1:9">
      <c r="A98" s="2">
        <f t="shared" si="9"/>
        <v>55</v>
      </c>
      <c r="C98" s="94" t="s">
        <v>1269</v>
      </c>
      <c r="D98" s="59">
        <f t="shared" si="7"/>
        <v>0</v>
      </c>
      <c r="E98" s="59">
        <f t="shared" si="8"/>
        <v>0</v>
      </c>
      <c r="F98" s="472">
        <v>0</v>
      </c>
      <c r="G98" s="7">
        <f>(D98+E98+F98)*('28-FFU'!$D$22+'28-FFU'!$E$22)</f>
        <v>0</v>
      </c>
      <c r="H98" s="397">
        <f t="shared" si="10"/>
        <v>0</v>
      </c>
      <c r="I98" s="13" t="s">
        <v>1173</v>
      </c>
    </row>
    <row r="99" spans="1:9">
      <c r="A99" s="2">
        <f t="shared" si="9"/>
        <v>56</v>
      </c>
      <c r="C99" s="94" t="s">
        <v>1270</v>
      </c>
      <c r="D99" s="59">
        <f t="shared" si="7"/>
        <v>734769.50474052865</v>
      </c>
      <c r="E99" s="59">
        <f t="shared" si="8"/>
        <v>213124.63341322623</v>
      </c>
      <c r="F99" s="472">
        <v>0</v>
      </c>
      <c r="G99" s="7">
        <f>(D99+E99+F99)*('28-FFU'!$D$22+'28-FFU'!$E$22)</f>
        <v>11008.178994621001</v>
      </c>
      <c r="H99" s="397">
        <f t="shared" si="10"/>
        <v>958902.31714837591</v>
      </c>
      <c r="I99" s="13" t="s">
        <v>1173</v>
      </c>
    </row>
    <row r="100" spans="1:9">
      <c r="A100" s="2">
        <f t="shared" si="9"/>
        <v>57</v>
      </c>
      <c r="C100" s="94" t="s">
        <v>1271</v>
      </c>
      <c r="D100" s="59">
        <f t="shared" si="7"/>
        <v>0</v>
      </c>
      <c r="E100" s="59">
        <f t="shared" si="8"/>
        <v>0</v>
      </c>
      <c r="F100" s="472">
        <v>0</v>
      </c>
      <c r="G100" s="7">
        <f>(D100+E100+F100)*('28-FFU'!$D$22+'28-FFU'!$E$22)</f>
        <v>0</v>
      </c>
      <c r="H100" s="397">
        <f t="shared" si="10"/>
        <v>0</v>
      </c>
      <c r="I100" s="13" t="s">
        <v>1173</v>
      </c>
    </row>
    <row r="101" spans="1:9">
      <c r="A101" s="2">
        <f t="shared" si="9"/>
        <v>58</v>
      </c>
      <c r="C101" s="1327" t="s">
        <v>2657</v>
      </c>
      <c r="D101" s="59">
        <f t="shared" si="7"/>
        <v>519434.45726191567</v>
      </c>
      <c r="E101" s="59">
        <f t="shared" si="8"/>
        <v>150665.31418616406</v>
      </c>
      <c r="F101" s="472">
        <v>0</v>
      </c>
      <c r="G101" s="7">
        <f>(D101+E101+F101)*('28-FFU'!$D$22+'28-FFU'!$E$22)</f>
        <v>7782.0696757579844</v>
      </c>
      <c r="H101" s="397">
        <f t="shared" si="10"/>
        <v>677881.84112383774</v>
      </c>
      <c r="I101" s="13" t="s">
        <v>1173</v>
      </c>
    </row>
    <row r="102" spans="1:9">
      <c r="A102" s="2">
        <f t="shared" si="9"/>
        <v>59</v>
      </c>
      <c r="C102" s="1327" t="s">
        <v>2658</v>
      </c>
      <c r="D102" s="59">
        <f t="shared" si="7"/>
        <v>220840.01449579035</v>
      </c>
      <c r="E102" s="59">
        <f t="shared" si="8"/>
        <v>64056.070412186746</v>
      </c>
      <c r="F102" s="472">
        <v>0</v>
      </c>
      <c r="G102" s="7">
        <f>(D102+E102+F102)*('28-FFU'!$D$22+'28-FFU'!$E$22)</f>
        <v>3308.5837028618103</v>
      </c>
      <c r="H102" s="397">
        <f t="shared" si="10"/>
        <v>288204.66861083888</v>
      </c>
      <c r="I102" s="13" t="s">
        <v>1173</v>
      </c>
    </row>
    <row r="103" spans="1:9">
      <c r="A103" s="2">
        <f t="shared" si="9"/>
        <v>60</v>
      </c>
      <c r="C103" s="1327" t="s">
        <v>2669</v>
      </c>
      <c r="D103" s="105">
        <f t="shared" ref="D103" si="11">$E$26*(E18/$E$20)</f>
        <v>213737.87792433877</v>
      </c>
      <c r="E103" s="105">
        <f t="shared" si="8"/>
        <v>61996.049897623066</v>
      </c>
      <c r="F103" s="1330">
        <v>0</v>
      </c>
      <c r="G103" s="63">
        <f>(D103+E103+F103)*('28-FFU'!$D$22+'28-FFU'!$E$22)</f>
        <v>3202.1808239747893</v>
      </c>
      <c r="H103" s="972">
        <f t="shared" ref="H103" si="12">SUM(D103:G103)</f>
        <v>278936.10864593659</v>
      </c>
      <c r="I103" s="13" t="s">
        <v>1173</v>
      </c>
    </row>
    <row r="104" spans="1:9">
      <c r="A104" s="2">
        <f t="shared" si="9"/>
        <v>61</v>
      </c>
      <c r="C104" s="412"/>
      <c r="D104" s="193" t="s">
        <v>76</v>
      </c>
      <c r="E104" s="193" t="s">
        <v>76</v>
      </c>
      <c r="F104" s="193" t="s">
        <v>76</v>
      </c>
      <c r="G104" s="193" t="s">
        <v>76</v>
      </c>
      <c r="H104" s="193" t="s">
        <v>76</v>
      </c>
      <c r="I104" s="13" t="s">
        <v>1173</v>
      </c>
    </row>
    <row r="105" spans="1:9">
      <c r="A105" s="2">
        <f t="shared" si="9"/>
        <v>62</v>
      </c>
      <c r="C105" s="94" t="s">
        <v>197</v>
      </c>
      <c r="D105" s="7">
        <f>SUM(D94:D104)</f>
        <v>8886471.5878552943</v>
      </c>
      <c r="E105" s="7">
        <f>SUM(E94:E104)</f>
        <v>2577578.3933323664</v>
      </c>
      <c r="F105" s="7">
        <f>SUM(F94:F104)</f>
        <v>51351.769211669394</v>
      </c>
      <c r="G105" s="59">
        <f>SUM(G94:G104)</f>
        <v>133731.81514791254</v>
      </c>
      <c r="H105" s="7">
        <f>SUM(H94:H104)</f>
        <v>11649133.565547243</v>
      </c>
      <c r="I105" s="13" t="str">
        <f>"Sum of L "&amp;A94&amp;" to "&amp;A104&amp;""</f>
        <v>Sum of L 51 to 61</v>
      </c>
    </row>
    <row r="106" spans="1:9">
      <c r="C106" s="94"/>
    </row>
    <row r="107" spans="1:9">
      <c r="B107" s="1" t="s">
        <v>1265</v>
      </c>
    </row>
    <row r="108" spans="1:9">
      <c r="B108" s="1"/>
    </row>
    <row r="109" spans="1:9" ht="15">
      <c r="B109" s="1"/>
      <c r="C109" s="372" t="s">
        <v>1418</v>
      </c>
    </row>
    <row r="110" spans="1:9">
      <c r="E110" s="3" t="s">
        <v>171</v>
      </c>
      <c r="F110" s="3" t="s">
        <v>179</v>
      </c>
    </row>
    <row r="111" spans="1:9">
      <c r="A111" s="2">
        <f>A105+1</f>
        <v>63</v>
      </c>
      <c r="D111" s="94" t="s">
        <v>358</v>
      </c>
      <c r="E111" s="7">
        <f>F20</f>
        <v>301458236.65036386</v>
      </c>
      <c r="F111" s="16" t="str">
        <f>"Line "&amp;A20&amp;", Col 3"</f>
        <v>Line 12, Col 3</v>
      </c>
    </row>
    <row r="112" spans="1:9">
      <c r="A112" s="2">
        <f>A111+1</f>
        <v>64</v>
      </c>
      <c r="D112" s="94" t="s">
        <v>356</v>
      </c>
      <c r="E112" s="381">
        <f>'2-IFPTRR'!D25</f>
        <v>0.10243581433571</v>
      </c>
      <c r="F112" s="46" t="str">
        <f>"2-IFPTRR, Line "&amp;'2-IFPTRR'!A25&amp;""</f>
        <v>2-IFPTRR, Line 16</v>
      </c>
      <c r="G112" s="14"/>
      <c r="H112" s="14"/>
    </row>
    <row r="113" spans="1:8">
      <c r="A113" s="2">
        <f>A112+1</f>
        <v>65</v>
      </c>
      <c r="D113" s="94" t="s">
        <v>1459</v>
      </c>
      <c r="E113" s="7">
        <f>E111*E112</f>
        <v>30880119.9594872</v>
      </c>
      <c r="F113" s="114" t="str">
        <f>"Line "&amp;A111&amp;" * Line "&amp;A112&amp;""</f>
        <v>Line 63 * Line 64</v>
      </c>
      <c r="G113" s="14"/>
      <c r="H113" s="14"/>
    </row>
    <row r="114" spans="1:8">
      <c r="A114" s="476">
        <f>A113+1</f>
        <v>66</v>
      </c>
      <c r="D114" s="94" t="s">
        <v>1458</v>
      </c>
      <c r="E114" s="91">
        <f>E113*('28-FFU'!D22+'28-FFU'!E22)</f>
        <v>358620.09712551272</v>
      </c>
      <c r="F114" s="482" t="str">
        <f>"Line "&amp;A113&amp;" * (28-FFU, L"&amp;'28-FFU'!A22&amp;" FF Factor + U Factor)"</f>
        <v>Line 65 * (28-FFU, L5 FF Factor + U Factor)</v>
      </c>
      <c r="G114" s="14"/>
      <c r="H114" s="14"/>
    </row>
    <row r="115" spans="1:8">
      <c r="A115" s="479">
        <f>A114+1</f>
        <v>67</v>
      </c>
      <c r="D115" s="94" t="s">
        <v>1460</v>
      </c>
      <c r="E115" s="7">
        <f>SUM(E113:E114)</f>
        <v>31238740.056612711</v>
      </c>
      <c r="F115" s="16" t="str">
        <f>"Line "&amp;A113&amp;" + Line "&amp;A114&amp;""</f>
        <v>Line 65 + Line 66</v>
      </c>
    </row>
    <row r="116" spans="1:8">
      <c r="A116" s="476"/>
      <c r="D116" s="94"/>
      <c r="E116" s="7"/>
    </row>
    <row r="117" spans="1:8" ht="15">
      <c r="A117" s="2"/>
      <c r="C117" s="372" t="s">
        <v>1419</v>
      </c>
      <c r="D117" s="94"/>
      <c r="E117" s="7"/>
      <c r="F117" s="16"/>
    </row>
    <row r="118" spans="1:8">
      <c r="A118" s="2"/>
      <c r="D118" s="505" t="s">
        <v>175</v>
      </c>
      <c r="E118" s="505" t="s">
        <v>175</v>
      </c>
    </row>
    <row r="119" spans="1:8">
      <c r="A119" s="2"/>
      <c r="C119" s="3" t="s">
        <v>226</v>
      </c>
      <c r="D119" s="3" t="s">
        <v>1489</v>
      </c>
      <c r="E119" s="3" t="s">
        <v>1490</v>
      </c>
      <c r="F119" s="3" t="s">
        <v>179</v>
      </c>
    </row>
    <row r="120" spans="1:8">
      <c r="A120" s="2">
        <f>A115+1</f>
        <v>68</v>
      </c>
      <c r="C120" s="94" t="s">
        <v>1267</v>
      </c>
      <c r="D120" s="59">
        <f>$E$113*(F9/$F$20)</f>
        <v>-15465.399698697174</v>
      </c>
      <c r="E120" s="59">
        <f>$E$115*(F9/$F$20)</f>
        <v>-15645.004025018054</v>
      </c>
      <c r="F120" s="13" t="s">
        <v>1188</v>
      </c>
    </row>
    <row r="121" spans="1:8">
      <c r="A121" s="2">
        <f t="shared" ref="A121:A131" si="13">A120+1</f>
        <v>69</v>
      </c>
      <c r="C121" s="94" t="s">
        <v>1268</v>
      </c>
      <c r="D121" s="59">
        <f t="shared" ref="D121:D128" si="14">$E$113*(F10/$F$20)</f>
        <v>0</v>
      </c>
      <c r="E121" s="59">
        <f t="shared" ref="E121:E128" si="15">$E$115*(F10/$F$20)</f>
        <v>0</v>
      </c>
      <c r="F121" s="13" t="s">
        <v>1188</v>
      </c>
    </row>
    <row r="122" spans="1:8">
      <c r="A122" s="2">
        <f t="shared" si="13"/>
        <v>70</v>
      </c>
      <c r="C122" s="481" t="s">
        <v>1272</v>
      </c>
      <c r="D122" s="59">
        <f t="shared" si="14"/>
        <v>64334.616201592013</v>
      </c>
      <c r="E122" s="59">
        <f t="shared" si="15"/>
        <v>65081.753399925954</v>
      </c>
      <c r="F122" s="13" t="s">
        <v>1188</v>
      </c>
    </row>
    <row r="123" spans="1:8">
      <c r="A123" s="2">
        <f t="shared" si="13"/>
        <v>71</v>
      </c>
      <c r="C123" s="481" t="s">
        <v>1273</v>
      </c>
      <c r="D123" s="59">
        <f t="shared" si="14"/>
        <v>16228007.932019459</v>
      </c>
      <c r="E123" s="59">
        <f t="shared" si="15"/>
        <v>16416468.65653638</v>
      </c>
      <c r="F123" s="13" t="s">
        <v>1188</v>
      </c>
    </row>
    <row r="124" spans="1:8">
      <c r="A124" s="2">
        <f t="shared" si="13"/>
        <v>72</v>
      </c>
      <c r="C124" s="94" t="s">
        <v>1269</v>
      </c>
      <c r="D124" s="59">
        <f t="shared" si="14"/>
        <v>0</v>
      </c>
      <c r="E124" s="59">
        <f t="shared" si="15"/>
        <v>0</v>
      </c>
      <c r="F124" s="13" t="s">
        <v>1188</v>
      </c>
    </row>
    <row r="125" spans="1:8">
      <c r="A125" s="2">
        <f t="shared" si="13"/>
        <v>73</v>
      </c>
      <c r="C125" s="94" t="s">
        <v>1270</v>
      </c>
      <c r="D125" s="59">
        <f t="shared" si="14"/>
        <v>0</v>
      </c>
      <c r="E125" s="59">
        <f t="shared" si="15"/>
        <v>0</v>
      </c>
      <c r="F125" s="13" t="s">
        <v>1188</v>
      </c>
    </row>
    <row r="126" spans="1:8">
      <c r="A126" s="2">
        <f t="shared" si="13"/>
        <v>74</v>
      </c>
      <c r="C126" s="94" t="s">
        <v>1271</v>
      </c>
      <c r="D126" s="59">
        <f t="shared" si="14"/>
        <v>0</v>
      </c>
      <c r="E126" s="59">
        <f t="shared" si="15"/>
        <v>0</v>
      </c>
      <c r="F126" s="13" t="s">
        <v>1188</v>
      </c>
    </row>
    <row r="127" spans="1:8">
      <c r="A127" s="2">
        <f t="shared" si="13"/>
        <v>75</v>
      </c>
      <c r="C127" s="1327" t="s">
        <v>2657</v>
      </c>
      <c r="D127" s="59">
        <f t="shared" si="14"/>
        <v>11369440.236246591</v>
      </c>
      <c r="E127" s="59">
        <f t="shared" si="15"/>
        <v>11501476.956542194</v>
      </c>
      <c r="F127" s="13" t="s">
        <v>1188</v>
      </c>
    </row>
    <row r="128" spans="1:8">
      <c r="A128" s="2">
        <f t="shared" si="13"/>
        <v>76</v>
      </c>
      <c r="C128" s="1327" t="s">
        <v>2658</v>
      </c>
      <c r="D128" s="59">
        <f t="shared" si="14"/>
        <v>344111.14694877353</v>
      </c>
      <c r="E128" s="59">
        <f t="shared" si="15"/>
        <v>348107.41293163371</v>
      </c>
      <c r="F128" s="13" t="s">
        <v>1188</v>
      </c>
    </row>
    <row r="129" spans="1:8">
      <c r="A129" s="2">
        <f t="shared" si="13"/>
        <v>77</v>
      </c>
      <c r="C129" s="1327" t="s">
        <v>2669</v>
      </c>
      <c r="D129" s="105">
        <f t="shared" ref="D129" si="16">$E$113*(F18/$F$20)</f>
        <v>2889691.427769484</v>
      </c>
      <c r="E129" s="105">
        <f t="shared" ref="E129" si="17">$E$115*(F18/$F$20)</f>
        <v>2923250.2812275994</v>
      </c>
      <c r="F129" s="13" t="s">
        <v>1188</v>
      </c>
    </row>
    <row r="130" spans="1:8">
      <c r="A130" s="2">
        <f t="shared" si="13"/>
        <v>78</v>
      </c>
      <c r="C130" s="412"/>
      <c r="D130" s="469" t="s">
        <v>76</v>
      </c>
      <c r="E130" s="469" t="s">
        <v>76</v>
      </c>
      <c r="F130" s="13" t="s">
        <v>1188</v>
      </c>
    </row>
    <row r="131" spans="1:8">
      <c r="A131" s="2">
        <f t="shared" si="13"/>
        <v>79</v>
      </c>
      <c r="C131" s="94" t="s">
        <v>197</v>
      </c>
      <c r="D131" s="7">
        <f>SUM(D120:D130)</f>
        <v>30880119.959487207</v>
      </c>
      <c r="E131" s="7">
        <f>SUM(E120:E130)</f>
        <v>31238740.056612715</v>
      </c>
      <c r="F131" s="13" t="str">
        <f>"Sum of Lines "&amp;A120&amp;" to "&amp;A130&amp;""</f>
        <v>Sum of Lines 68 to 78</v>
      </c>
    </row>
    <row r="133" spans="1:8">
      <c r="B133" s="1" t="s">
        <v>1495</v>
      </c>
    </row>
    <row r="134" spans="1:8">
      <c r="B134" s="1"/>
    </row>
    <row r="135" spans="1:8" ht="15">
      <c r="C135" s="372" t="s">
        <v>1418</v>
      </c>
    </row>
    <row r="136" spans="1:8">
      <c r="E136" s="3" t="s">
        <v>171</v>
      </c>
      <c r="F136" s="3" t="s">
        <v>179</v>
      </c>
      <c r="H136" s="1"/>
    </row>
    <row r="137" spans="1:8">
      <c r="A137" s="2">
        <f>A131+1</f>
        <v>80</v>
      </c>
      <c r="D137" s="94" t="s">
        <v>1274</v>
      </c>
      <c r="E137" s="7">
        <f>SUM(D64:D67)</f>
        <v>22719374.392477192</v>
      </c>
      <c r="F137" s="16" t="str">
        <f>"Sum Line "&amp;A64&amp;" to "&amp;A67&amp;""</f>
        <v>Sum Line 33 to 36</v>
      </c>
    </row>
    <row r="138" spans="1:8">
      <c r="A138" s="2">
        <f t="shared" ref="A138:A145" si="18">A137+1</f>
        <v>81</v>
      </c>
      <c r="D138" s="481" t="s">
        <v>1487</v>
      </c>
      <c r="E138" s="7">
        <f>E113</f>
        <v>30880119.9594872</v>
      </c>
      <c r="F138" s="16" t="str">
        <f>"Line "&amp;A113&amp;""</f>
        <v>Line 65</v>
      </c>
    </row>
    <row r="139" spans="1:8">
      <c r="A139" s="2">
        <f t="shared" si="18"/>
        <v>82</v>
      </c>
      <c r="D139" s="94" t="s">
        <v>1275</v>
      </c>
      <c r="E139" s="7">
        <f>SUM(E137:E138)</f>
        <v>53599494.351964392</v>
      </c>
      <c r="F139" s="16" t="str">
        <f>"Line "&amp;A137&amp;" + Line "&amp;A138&amp;""</f>
        <v>Line 80 + Line 81</v>
      </c>
    </row>
    <row r="140" spans="1:8">
      <c r="A140" s="2">
        <f t="shared" si="18"/>
        <v>83</v>
      </c>
      <c r="D140" s="94" t="s">
        <v>1260</v>
      </c>
      <c r="E140" s="8">
        <f>'28-FFU'!D22</f>
        <v>9.2057000000000007E-3</v>
      </c>
      <c r="F140" s="46" t="str">
        <f>"28-FFU, Line "&amp;'28-FFU'!A22&amp;""</f>
        <v>28-FFU, Line 5</v>
      </c>
    </row>
    <row r="141" spans="1:8">
      <c r="A141" s="2">
        <f t="shared" si="18"/>
        <v>84</v>
      </c>
      <c r="D141" s="94" t="s">
        <v>1261</v>
      </c>
      <c r="E141" s="8">
        <f>'28-FFU'!E22</f>
        <v>2.4076000000000002E-3</v>
      </c>
      <c r="F141" s="46" t="str">
        <f>"28-FFU, Line "&amp;'28-FFU'!A22&amp;""</f>
        <v>28-FFU, Line 5</v>
      </c>
    </row>
    <row r="142" spans="1:8">
      <c r="A142" s="2">
        <f t="shared" si="18"/>
        <v>85</v>
      </c>
      <c r="D142" s="481" t="s">
        <v>1493</v>
      </c>
      <c r="E142" s="7">
        <f>E139*E140</f>
        <v>493420.86515587865</v>
      </c>
      <c r="F142" s="16" t="str">
        <f>"Line "&amp;A139&amp;" * Line "&amp;A140&amp;""</f>
        <v>Line 82 * Line 83</v>
      </c>
    </row>
    <row r="143" spans="1:8">
      <c r="A143" s="506">
        <f t="shared" si="18"/>
        <v>86</v>
      </c>
      <c r="D143" s="481" t="s">
        <v>1494</v>
      </c>
      <c r="E143" s="7">
        <f>E139*E141</f>
        <v>129046.14260178948</v>
      </c>
      <c r="F143" s="16" t="str">
        <f>"Line "&amp;A139&amp;" * Line "&amp;A141&amp;""</f>
        <v>Line 82 * Line 84</v>
      </c>
    </row>
    <row r="144" spans="1:8">
      <c r="A144" s="506">
        <f t="shared" si="18"/>
        <v>87</v>
      </c>
      <c r="D144" s="94" t="s">
        <v>1276</v>
      </c>
      <c r="E144" s="7">
        <f>E139+E142+E143</f>
        <v>54221961.359722055</v>
      </c>
      <c r="F144" s="13" t="str">
        <f>"Line "&amp;A139&amp;" + Line "&amp;A142&amp;" + Line "&amp;A143&amp;""</f>
        <v>Line 82 + Line 85 + Line 86</v>
      </c>
    </row>
    <row r="145" spans="1:8">
      <c r="A145" s="506">
        <f t="shared" si="18"/>
        <v>88</v>
      </c>
      <c r="D145" s="481" t="s">
        <v>1492</v>
      </c>
      <c r="E145" s="7">
        <f>E139+E142</f>
        <v>54092915.217120267</v>
      </c>
      <c r="F145" s="13" t="str">
        <f>"Line "&amp;A139&amp;" + Line "&amp;A142&amp;""</f>
        <v>Line 82 + Line 85</v>
      </c>
    </row>
    <row r="147" spans="1:8" ht="15">
      <c r="C147" s="372" t="s">
        <v>1420</v>
      </c>
    </row>
    <row r="148" spans="1:8" ht="15">
      <c r="C148" s="372"/>
      <c r="D148" s="84" t="s">
        <v>363</v>
      </c>
      <c r="E148" s="84" t="s">
        <v>347</v>
      </c>
      <c r="F148" s="84" t="s">
        <v>348</v>
      </c>
      <c r="G148" s="84" t="s">
        <v>349</v>
      </c>
    </row>
    <row r="149" spans="1:8" ht="12.75" customHeight="1">
      <c r="D149" s="243" t="s">
        <v>1412</v>
      </c>
      <c r="E149" s="243" t="s">
        <v>1102</v>
      </c>
    </row>
    <row r="150" spans="1:8" ht="12.75" customHeight="1">
      <c r="D150" s="3" t="s">
        <v>1489</v>
      </c>
      <c r="E150" s="3" t="s">
        <v>1489</v>
      </c>
      <c r="F150" s="3" t="s">
        <v>1421</v>
      </c>
      <c r="G150" s="244" t="s">
        <v>196</v>
      </c>
      <c r="H150" s="3" t="s">
        <v>179</v>
      </c>
    </row>
    <row r="151" spans="1:8">
      <c r="A151" s="506">
        <f>A145+1</f>
        <v>89</v>
      </c>
      <c r="C151" s="94" t="s">
        <v>1267</v>
      </c>
      <c r="D151" s="7">
        <f t="shared" ref="D151:D159" si="19">D77+E77+F77</f>
        <v>16780.619921939899</v>
      </c>
      <c r="E151" s="7">
        <f t="shared" ref="E151:E159" si="20">D120</f>
        <v>-15465.399698697174</v>
      </c>
      <c r="F151" s="7">
        <f>(D151+E151)*('28-FFU'!$D$22+'28-FFU'!$E$22)</f>
        <v>15.274047018584731</v>
      </c>
      <c r="G151" s="7">
        <f>SUM(D151:F151)</f>
        <v>1330.4942702613091</v>
      </c>
      <c r="H151" s="13" t="s">
        <v>1190</v>
      </c>
    </row>
    <row r="152" spans="1:8">
      <c r="A152" s="506">
        <f t="shared" ref="A152:A162" si="21">A151+1</f>
        <v>90</v>
      </c>
      <c r="C152" s="94" t="s">
        <v>1268</v>
      </c>
      <c r="D152" s="7">
        <f t="shared" si="19"/>
        <v>0</v>
      </c>
      <c r="E152" s="7">
        <f t="shared" si="20"/>
        <v>0</v>
      </c>
      <c r="F152" s="7">
        <f>(D152+E152)*('28-FFU'!$D$22+'28-FFU'!$E$22)</f>
        <v>0</v>
      </c>
      <c r="G152" s="7">
        <f t="shared" ref="G152:G159" si="22">SUM(D152:F152)</f>
        <v>0</v>
      </c>
      <c r="H152" s="13" t="s">
        <v>1190</v>
      </c>
    </row>
    <row r="153" spans="1:8">
      <c r="A153" s="506">
        <f t="shared" si="21"/>
        <v>91</v>
      </c>
      <c r="C153" s="481" t="s">
        <v>1272</v>
      </c>
      <c r="D153" s="7">
        <f t="shared" si="19"/>
        <v>500371.08639101149</v>
      </c>
      <c r="E153" s="7">
        <f t="shared" si="20"/>
        <v>64334.616201592013</v>
      </c>
      <c r="F153" s="7">
        <f>(D153+E153)*('28-FFU'!$D$22+'28-FFU'!$E$22)</f>
        <v>6558.0967359186825</v>
      </c>
      <c r="G153" s="7">
        <f t="shared" si="22"/>
        <v>571263.79932852217</v>
      </c>
      <c r="H153" s="13" t="s">
        <v>1190</v>
      </c>
    </row>
    <row r="154" spans="1:8">
      <c r="A154" s="506">
        <f t="shared" si="21"/>
        <v>92</v>
      </c>
      <c r="C154" s="481" t="s">
        <v>1273</v>
      </c>
      <c r="D154" s="7">
        <f t="shared" si="19"/>
        <v>10121253.763127517</v>
      </c>
      <c r="E154" s="7">
        <f t="shared" si="20"/>
        <v>16228007.932019459</v>
      </c>
      <c r="F154" s="7">
        <f>(D154+E154)*('28-FFU'!$D$22+'28-FFU'!$E$22)</f>
        <v>306001.88084425038</v>
      </c>
      <c r="G154" s="7">
        <f t="shared" si="22"/>
        <v>26655263.575991228</v>
      </c>
      <c r="H154" s="13" t="s">
        <v>1190</v>
      </c>
    </row>
    <row r="155" spans="1:8">
      <c r="A155" s="506">
        <f t="shared" si="21"/>
        <v>93</v>
      </c>
      <c r="C155" s="94" t="s">
        <v>1269</v>
      </c>
      <c r="D155" s="7">
        <f t="shared" si="19"/>
        <v>0</v>
      </c>
      <c r="E155" s="7">
        <f t="shared" si="20"/>
        <v>0</v>
      </c>
      <c r="F155" s="7">
        <f>(D155+E155)*('28-FFU'!$D$22+'28-FFU'!$E$22)</f>
        <v>0</v>
      </c>
      <c r="G155" s="7">
        <f t="shared" si="22"/>
        <v>0</v>
      </c>
      <c r="H155" s="13" t="s">
        <v>1190</v>
      </c>
    </row>
    <row r="156" spans="1:8">
      <c r="A156" s="506">
        <f t="shared" si="21"/>
        <v>94</v>
      </c>
      <c r="C156" s="94" t="s">
        <v>1270</v>
      </c>
      <c r="D156" s="7">
        <f t="shared" si="19"/>
        <v>0</v>
      </c>
      <c r="E156" s="7">
        <f t="shared" si="20"/>
        <v>0</v>
      </c>
      <c r="F156" s="7">
        <f>(D156+E156)*('28-FFU'!$D$22+'28-FFU'!$E$22)</f>
        <v>0</v>
      </c>
      <c r="G156" s="7">
        <f t="shared" si="22"/>
        <v>0</v>
      </c>
      <c r="H156" s="13" t="s">
        <v>1190</v>
      </c>
    </row>
    <row r="157" spans="1:8">
      <c r="A157" s="506">
        <f t="shared" si="21"/>
        <v>95</v>
      </c>
      <c r="C157" s="94" t="s">
        <v>1271</v>
      </c>
      <c r="D157" s="7">
        <f t="shared" si="19"/>
        <v>0</v>
      </c>
      <c r="E157" s="7">
        <f t="shared" si="20"/>
        <v>0</v>
      </c>
      <c r="F157" s="7">
        <f>(D157+E157)*('28-FFU'!$D$22+'28-FFU'!$E$22)</f>
        <v>0</v>
      </c>
      <c r="G157" s="7">
        <f t="shared" si="22"/>
        <v>0</v>
      </c>
      <c r="H157" s="13" t="s">
        <v>1190</v>
      </c>
    </row>
    <row r="158" spans="1:8">
      <c r="A158" s="506">
        <f t="shared" si="21"/>
        <v>96</v>
      </c>
      <c r="C158" s="1327" t="s">
        <v>2657</v>
      </c>
      <c r="D158" s="7">
        <f t="shared" si="19"/>
        <v>4792778.7575475136</v>
      </c>
      <c r="E158" s="7">
        <f t="shared" si="20"/>
        <v>11369440.236246591</v>
      </c>
      <c r="F158" s="7">
        <f>(D158+E158)*('28-FFU'!$D$22+'28-FFU'!$E$22)</f>
        <v>187696.69784062909</v>
      </c>
      <c r="G158" s="7">
        <f t="shared" si="22"/>
        <v>16349915.691634735</v>
      </c>
      <c r="H158" s="13" t="s">
        <v>1190</v>
      </c>
    </row>
    <row r="159" spans="1:8">
      <c r="A159" s="506">
        <f t="shared" si="21"/>
        <v>97</v>
      </c>
      <c r="C159" s="1327" t="s">
        <v>2658</v>
      </c>
      <c r="D159" s="7">
        <f t="shared" si="19"/>
        <v>3703649.1038037017</v>
      </c>
      <c r="E159" s="7">
        <f t="shared" si="20"/>
        <v>344111.14694877353</v>
      </c>
      <c r="F159" s="7">
        <f>(D159+E159)*('28-FFU'!$D$22+'28-FFU'!$E$22)</f>
        <v>47007.854120063719</v>
      </c>
      <c r="G159" s="7">
        <f t="shared" si="22"/>
        <v>4094768.1048725387</v>
      </c>
      <c r="H159" s="13" t="s">
        <v>1190</v>
      </c>
    </row>
    <row r="160" spans="1:8">
      <c r="A160" s="506">
        <f t="shared" si="21"/>
        <v>98</v>
      </c>
      <c r="C160" s="1327" t="s">
        <v>2669</v>
      </c>
      <c r="D160" s="63">
        <f t="shared" ref="D160" si="23">D86+E86+F86</f>
        <v>3584541.0616855035</v>
      </c>
      <c r="E160" s="63">
        <f t="shared" ref="E160" si="24">D129</f>
        <v>2889691.427769484</v>
      </c>
      <c r="F160" s="63">
        <f>(D160+E160)*('28-FFU'!$D$22+'28-FFU'!$E$22)</f>
        <v>75187.204169787612</v>
      </c>
      <c r="G160" s="63">
        <f t="shared" ref="G160" si="25">SUM(D160:F160)</f>
        <v>6549419.6936247749</v>
      </c>
      <c r="H160" s="13" t="s">
        <v>1190</v>
      </c>
    </row>
    <row r="161" spans="1:8">
      <c r="A161" s="506">
        <f t="shared" si="21"/>
        <v>99</v>
      </c>
      <c r="C161" s="412"/>
      <c r="D161" s="469" t="s">
        <v>76</v>
      </c>
      <c r="E161" s="469" t="s">
        <v>76</v>
      </c>
      <c r="F161" s="469" t="s">
        <v>76</v>
      </c>
      <c r="G161" s="469" t="s">
        <v>76</v>
      </c>
      <c r="H161" s="13" t="s">
        <v>1190</v>
      </c>
    </row>
    <row r="162" spans="1:8">
      <c r="A162" s="506">
        <f t="shared" si="21"/>
        <v>100</v>
      </c>
      <c r="C162" s="94" t="s">
        <v>197</v>
      </c>
      <c r="D162" s="7">
        <f>SUM(D151:D161)</f>
        <v>22719374.392477185</v>
      </c>
      <c r="E162" s="7">
        <f>SUM(E151:E161)</f>
        <v>30880119.959487207</v>
      </c>
      <c r="F162" s="7">
        <f>SUM(F151:F161)</f>
        <v>622467.00775766803</v>
      </c>
      <c r="G162" s="7">
        <f>SUM(G151:G161)</f>
        <v>54221961.359722055</v>
      </c>
    </row>
    <row r="164" spans="1:8" ht="15">
      <c r="C164" s="372" t="s">
        <v>1488</v>
      </c>
    </row>
    <row r="165" spans="1:8" ht="15">
      <c r="C165" s="372"/>
    </row>
    <row r="166" spans="1:8">
      <c r="D166" s="84" t="s">
        <v>363</v>
      </c>
      <c r="E166" s="84" t="s">
        <v>347</v>
      </c>
      <c r="F166" s="84" t="s">
        <v>348</v>
      </c>
      <c r="G166" s="84" t="s">
        <v>349</v>
      </c>
    </row>
    <row r="167" spans="1:8" ht="12.75" customHeight="1">
      <c r="D167" s="243" t="s">
        <v>1412</v>
      </c>
      <c r="E167" s="243" t="s">
        <v>1102</v>
      </c>
      <c r="F167" s="84"/>
      <c r="G167" s="84"/>
    </row>
    <row r="168" spans="1:8" ht="12.75" customHeight="1">
      <c r="D168" s="3" t="s">
        <v>1489</v>
      </c>
      <c r="E168" s="3" t="s">
        <v>1489</v>
      </c>
      <c r="F168" s="3" t="s">
        <v>1463</v>
      </c>
      <c r="G168" s="244" t="s">
        <v>196</v>
      </c>
      <c r="H168" s="3" t="s">
        <v>179</v>
      </c>
    </row>
    <row r="169" spans="1:8">
      <c r="A169" s="506">
        <f>A162+1</f>
        <v>101</v>
      </c>
      <c r="C169" s="94" t="s">
        <v>1267</v>
      </c>
      <c r="D169" s="7">
        <f t="shared" ref="D169:D177" si="26">D77+E77+F77</f>
        <v>16780.619921939899</v>
      </c>
      <c r="E169" s="7">
        <f t="shared" ref="E169:E177" si="27">D120</f>
        <v>-15465.399698697174</v>
      </c>
      <c r="F169" s="7">
        <f>(D169+E169)*('28-FFU'!$D$22)</f>
        <v>12.107522809105548</v>
      </c>
      <c r="G169" s="7">
        <f>SUM(D169:F169)</f>
        <v>1327.32774605183</v>
      </c>
      <c r="H169" s="487" t="s">
        <v>1191</v>
      </c>
    </row>
    <row r="170" spans="1:8">
      <c r="A170" s="506">
        <f t="shared" ref="A170:A180" si="28">A169+1</f>
        <v>102</v>
      </c>
      <c r="C170" s="94" t="s">
        <v>1268</v>
      </c>
      <c r="D170" s="7">
        <f t="shared" si="26"/>
        <v>0</v>
      </c>
      <c r="E170" s="7">
        <f t="shared" si="27"/>
        <v>0</v>
      </c>
      <c r="F170" s="7">
        <f>(D170+E170)*('28-FFU'!$D$22)</f>
        <v>0</v>
      </c>
      <c r="G170" s="7">
        <f t="shared" ref="G170:G177" si="29">SUM(D170:F170)</f>
        <v>0</v>
      </c>
      <c r="H170" s="487" t="s">
        <v>1191</v>
      </c>
    </row>
    <row r="171" spans="1:8">
      <c r="A171" s="506">
        <f t="shared" si="28"/>
        <v>103</v>
      </c>
      <c r="C171" s="481" t="s">
        <v>1272</v>
      </c>
      <c r="D171" s="7">
        <f t="shared" si="26"/>
        <v>500371.08639101149</v>
      </c>
      <c r="E171" s="7">
        <f t="shared" si="27"/>
        <v>64334.616201592013</v>
      </c>
      <c r="F171" s="7">
        <f>(D171+E171)*('28-FFU'!$D$22)</f>
        <v>5198.5112863567301</v>
      </c>
      <c r="G171" s="7">
        <f t="shared" si="29"/>
        <v>569904.21387896023</v>
      </c>
      <c r="H171" s="487" t="s">
        <v>1191</v>
      </c>
    </row>
    <row r="172" spans="1:8">
      <c r="A172" s="506">
        <f t="shared" si="28"/>
        <v>104</v>
      </c>
      <c r="C172" s="481" t="s">
        <v>1273</v>
      </c>
      <c r="D172" s="7">
        <f t="shared" si="26"/>
        <v>10121253.763127517</v>
      </c>
      <c r="E172" s="7">
        <f t="shared" si="27"/>
        <v>16228007.932019459</v>
      </c>
      <c r="F172" s="7">
        <f>(D172+E172)*('28-FFU'!$D$22)</f>
        <v>242563.39838701455</v>
      </c>
      <c r="G172" s="7">
        <f t="shared" si="29"/>
        <v>26591825.093533993</v>
      </c>
      <c r="H172" s="487" t="s">
        <v>1191</v>
      </c>
    </row>
    <row r="173" spans="1:8">
      <c r="A173" s="506">
        <f t="shared" si="28"/>
        <v>105</v>
      </c>
      <c r="C173" s="94" t="s">
        <v>1269</v>
      </c>
      <c r="D173" s="7">
        <f t="shared" si="26"/>
        <v>0</v>
      </c>
      <c r="E173" s="7">
        <f t="shared" si="27"/>
        <v>0</v>
      </c>
      <c r="F173" s="7">
        <f>(D173+E173)*('28-FFU'!$D$22)</f>
        <v>0</v>
      </c>
      <c r="G173" s="7">
        <f t="shared" si="29"/>
        <v>0</v>
      </c>
      <c r="H173" s="487" t="s">
        <v>1191</v>
      </c>
    </row>
    <row r="174" spans="1:8">
      <c r="A174" s="506">
        <f t="shared" si="28"/>
        <v>106</v>
      </c>
      <c r="C174" s="94" t="s">
        <v>1270</v>
      </c>
      <c r="D174" s="7">
        <f t="shared" si="26"/>
        <v>0</v>
      </c>
      <c r="E174" s="7">
        <f t="shared" si="27"/>
        <v>0</v>
      </c>
      <c r="F174" s="7">
        <f>(D174+E174)*('28-FFU'!$D$22)</f>
        <v>0</v>
      </c>
      <c r="G174" s="7">
        <f t="shared" si="29"/>
        <v>0</v>
      </c>
      <c r="H174" s="487" t="s">
        <v>1191</v>
      </c>
    </row>
    <row r="175" spans="1:8">
      <c r="A175" s="506">
        <f t="shared" si="28"/>
        <v>107</v>
      </c>
      <c r="C175" s="94" t="s">
        <v>1271</v>
      </c>
      <c r="D175" s="7">
        <f t="shared" si="26"/>
        <v>0</v>
      </c>
      <c r="E175" s="7">
        <f t="shared" si="27"/>
        <v>0</v>
      </c>
      <c r="F175" s="7">
        <f>(D175+E175)*('28-FFU'!$D$22)</f>
        <v>0</v>
      </c>
      <c r="G175" s="7">
        <f t="shared" si="29"/>
        <v>0</v>
      </c>
      <c r="H175" s="487" t="s">
        <v>1191</v>
      </c>
    </row>
    <row r="176" spans="1:8">
      <c r="A176" s="506">
        <f t="shared" si="28"/>
        <v>108</v>
      </c>
      <c r="C176" s="1327" t="s">
        <v>2657</v>
      </c>
      <c r="D176" s="7">
        <f t="shared" si="26"/>
        <v>4792778.7575475136</v>
      </c>
      <c r="E176" s="7">
        <f t="shared" si="27"/>
        <v>11369440.236246591</v>
      </c>
      <c r="F176" s="7">
        <f>(D176+E176)*('28-FFU'!$D$22)</f>
        <v>148784.5393911704</v>
      </c>
      <c r="G176" s="7">
        <f t="shared" si="29"/>
        <v>16311003.533185277</v>
      </c>
      <c r="H176" s="487" t="s">
        <v>1191</v>
      </c>
    </row>
    <row r="177" spans="1:11">
      <c r="A177" s="506">
        <f t="shared" si="28"/>
        <v>109</v>
      </c>
      <c r="C177" s="1327" t="s">
        <v>2658</v>
      </c>
      <c r="D177" s="7">
        <f t="shared" si="26"/>
        <v>3703649.1038037017</v>
      </c>
      <c r="E177" s="7">
        <f t="shared" si="27"/>
        <v>344111.14694877353</v>
      </c>
      <c r="F177" s="7">
        <f>(D177+E177)*('28-FFU'!$D$22)</f>
        <v>37262.466540352063</v>
      </c>
      <c r="G177" s="7">
        <f t="shared" si="29"/>
        <v>4085022.7172928271</v>
      </c>
      <c r="H177" s="487" t="s">
        <v>1191</v>
      </c>
    </row>
    <row r="178" spans="1:11">
      <c r="A178" s="506">
        <f t="shared" si="28"/>
        <v>110</v>
      </c>
      <c r="C178" s="1327" t="s">
        <v>2669</v>
      </c>
      <c r="D178" s="63">
        <f t="shared" ref="D178" si="30">D86+E86+F86</f>
        <v>3584541.0616855035</v>
      </c>
      <c r="E178" s="63">
        <f t="shared" ref="E178" si="31">D129</f>
        <v>2889691.427769484</v>
      </c>
      <c r="F178" s="63">
        <f>(D178+E178)*('28-FFU'!$D$22)</f>
        <v>59599.842028175779</v>
      </c>
      <c r="G178" s="63">
        <f t="shared" ref="G178" si="32">SUM(D178:F178)</f>
        <v>6533832.3314831629</v>
      </c>
      <c r="H178" s="487" t="s">
        <v>1191</v>
      </c>
    </row>
    <row r="179" spans="1:11">
      <c r="A179" s="506">
        <f t="shared" si="28"/>
        <v>111</v>
      </c>
      <c r="C179" s="412"/>
      <c r="D179" s="469" t="s">
        <v>76</v>
      </c>
      <c r="E179" s="469" t="s">
        <v>76</v>
      </c>
      <c r="F179" s="469" t="s">
        <v>76</v>
      </c>
      <c r="G179" s="469" t="s">
        <v>76</v>
      </c>
      <c r="H179" s="487" t="s">
        <v>1191</v>
      </c>
    </row>
    <row r="180" spans="1:11">
      <c r="A180" s="506">
        <f t="shared" si="28"/>
        <v>112</v>
      </c>
      <c r="C180" s="94" t="s">
        <v>197</v>
      </c>
      <c r="D180" s="7">
        <f>SUM(D169:D179)</f>
        <v>22719374.392477185</v>
      </c>
      <c r="E180" s="7">
        <f>SUM(E169:E179)</f>
        <v>30880119.959487207</v>
      </c>
      <c r="F180" s="7">
        <f>SUM(F169:F179)</f>
        <v>493420.86515587865</v>
      </c>
      <c r="G180" s="7">
        <f>SUM(G169:G179)</f>
        <v>54092915.217120275</v>
      </c>
    </row>
    <row r="182" spans="1:11">
      <c r="B182" s="1" t="s">
        <v>232</v>
      </c>
    </row>
    <row r="183" spans="1:11">
      <c r="B183" s="11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4"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8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83" t="s">
        <v>1491</v>
      </c>
    </row>
  </sheetData>
  <pageMargins left="0.7" right="0.7" top="0.75" bottom="0.75" header="0.3" footer="0.3"/>
  <pageSetup scale="70" orientation="portrait" cellComments="asDisplayed" r:id="rId1"/>
  <headerFooter>
    <oddHeader>&amp;CSchedule 24
CWIP TRR
&amp;RTO2019 Draft Annual Update 
Attachment1</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3"/>
  <sheetViews>
    <sheetView zoomScaleNormal="100" workbookViewId="0"/>
  </sheetViews>
  <sheetFormatPr defaultRowHeight="12.75"/>
  <cols>
    <col min="1" max="1" width="4.7109375" customWidth="1"/>
    <col min="6" max="6" width="11.7109375" customWidth="1"/>
    <col min="7" max="7" width="21.7109375" customWidth="1"/>
    <col min="8" max="8" width="15.5703125" customWidth="1"/>
    <col min="9" max="9" width="14.7109375" customWidth="1"/>
  </cols>
  <sheetData>
    <row r="1" spans="1:12">
      <c r="A1" s="1" t="s">
        <v>1341</v>
      </c>
      <c r="B1" s="232"/>
      <c r="C1" s="232"/>
      <c r="D1" s="232"/>
      <c r="E1" s="232"/>
      <c r="F1" s="232"/>
      <c r="G1" s="232"/>
      <c r="H1" s="232"/>
      <c r="I1" s="232"/>
      <c r="J1" s="232"/>
      <c r="K1" s="232"/>
      <c r="L1" s="232"/>
    </row>
    <row r="2" spans="1:12">
      <c r="A2" s="1"/>
      <c r="B2" s="232"/>
      <c r="C2" s="232"/>
      <c r="D2" s="232"/>
      <c r="E2" s="232"/>
      <c r="F2" s="232"/>
      <c r="G2" s="232"/>
      <c r="H2" s="455" t="s">
        <v>17</v>
      </c>
      <c r="I2" s="399"/>
      <c r="J2" s="232"/>
      <c r="K2" s="232"/>
      <c r="L2" s="232"/>
    </row>
    <row r="3" spans="1:12">
      <c r="A3" s="1"/>
      <c r="B3" s="232" t="s">
        <v>1342</v>
      </c>
      <c r="C3" s="232"/>
      <c r="D3" s="232"/>
      <c r="E3" s="232"/>
      <c r="F3" s="232"/>
      <c r="G3" s="232"/>
      <c r="H3" s="241"/>
      <c r="I3" s="241"/>
      <c r="J3" s="232"/>
      <c r="K3" s="232"/>
      <c r="L3" s="232"/>
    </row>
    <row r="4" spans="1:12">
      <c r="A4" s="1"/>
      <c r="B4" s="241" t="s">
        <v>1841</v>
      </c>
      <c r="C4" s="241"/>
      <c r="D4" s="241"/>
      <c r="E4" s="241"/>
      <c r="F4" s="241"/>
      <c r="G4" s="241"/>
      <c r="H4" s="241"/>
      <c r="I4" s="241"/>
      <c r="J4" s="232"/>
      <c r="K4" s="232"/>
      <c r="L4" s="232"/>
    </row>
    <row r="5" spans="1:12">
      <c r="A5" s="1"/>
      <c r="B5" s="241" t="s">
        <v>1753</v>
      </c>
      <c r="C5" s="241"/>
      <c r="D5" s="241"/>
      <c r="E5" s="241"/>
      <c r="F5" s="241"/>
      <c r="G5" s="241"/>
      <c r="H5" s="241"/>
      <c r="I5" s="241"/>
      <c r="J5" s="232"/>
      <c r="K5" s="232"/>
      <c r="L5" s="232"/>
    </row>
    <row r="6" spans="1:12">
      <c r="A6" s="1"/>
      <c r="B6" s="241"/>
      <c r="C6" s="241"/>
      <c r="D6" s="241"/>
      <c r="E6" s="241"/>
      <c r="F6" s="241"/>
      <c r="G6" s="241"/>
      <c r="H6" s="241"/>
      <c r="I6" s="241"/>
      <c r="J6" s="232"/>
      <c r="K6" s="232"/>
      <c r="L6" s="232"/>
    </row>
    <row r="7" spans="1:12">
      <c r="A7" s="1"/>
      <c r="B7" s="241" t="s">
        <v>1842</v>
      </c>
      <c r="C7" s="241"/>
      <c r="D7" s="241"/>
      <c r="E7" s="241"/>
      <c r="F7" s="241"/>
      <c r="G7" s="241"/>
      <c r="H7" s="241"/>
      <c r="I7" s="241"/>
      <c r="J7" s="232"/>
      <c r="K7" s="232"/>
      <c r="L7" s="232"/>
    </row>
    <row r="8" spans="1:12">
      <c r="A8" s="1"/>
      <c r="B8" s="241" t="s">
        <v>1343</v>
      </c>
      <c r="C8" s="241"/>
      <c r="D8" s="241"/>
      <c r="E8" s="241"/>
      <c r="F8" s="241"/>
      <c r="G8" s="241"/>
      <c r="H8" s="241"/>
      <c r="I8" s="241"/>
      <c r="J8" s="232"/>
      <c r="K8" s="232"/>
      <c r="L8" s="232"/>
    </row>
    <row r="9" spans="1:12">
      <c r="A9" s="1"/>
      <c r="B9" s="241" t="s">
        <v>1344</v>
      </c>
      <c r="C9" s="241"/>
      <c r="D9" s="241"/>
      <c r="E9" s="241"/>
      <c r="F9" s="241"/>
      <c r="G9" s="241"/>
      <c r="H9" s="241"/>
      <c r="I9" s="241"/>
      <c r="J9" s="232"/>
      <c r="K9" s="232"/>
      <c r="L9" s="232"/>
    </row>
    <row r="10" spans="1:12">
      <c r="A10" s="1"/>
      <c r="B10" s="241"/>
      <c r="C10" s="241"/>
      <c r="D10" s="241"/>
      <c r="E10" s="241"/>
      <c r="F10" s="241"/>
      <c r="G10" s="241"/>
      <c r="H10" s="456" t="s">
        <v>1345</v>
      </c>
      <c r="I10" s="241"/>
      <c r="J10" s="232"/>
      <c r="K10" s="232"/>
      <c r="L10" s="232"/>
    </row>
    <row r="11" spans="1:12" ht="15">
      <c r="A11" s="1"/>
      <c r="B11" s="241"/>
      <c r="C11" s="241"/>
      <c r="D11" s="241"/>
      <c r="E11" s="241"/>
      <c r="F11" s="241"/>
      <c r="G11" s="456" t="s">
        <v>173</v>
      </c>
      <c r="H11" s="1010" t="s">
        <v>1346</v>
      </c>
      <c r="I11" s="456" t="s">
        <v>326</v>
      </c>
      <c r="J11" s="232"/>
      <c r="K11" s="232"/>
      <c r="L11" s="232"/>
    </row>
    <row r="12" spans="1:12">
      <c r="A12" s="51" t="s">
        <v>332</v>
      </c>
      <c r="B12" s="241"/>
      <c r="C12" s="241"/>
      <c r="D12" s="241"/>
      <c r="E12" s="241"/>
      <c r="F12" s="241"/>
      <c r="G12" s="457" t="s">
        <v>290</v>
      </c>
      <c r="H12" s="457" t="s">
        <v>290</v>
      </c>
      <c r="I12" s="457" t="s">
        <v>1347</v>
      </c>
      <c r="J12" s="232"/>
      <c r="K12" s="232"/>
      <c r="L12" s="232"/>
    </row>
    <row r="13" spans="1:12">
      <c r="A13" s="2">
        <v>1</v>
      </c>
      <c r="B13" s="241" t="s">
        <v>1348</v>
      </c>
      <c r="C13" s="241"/>
      <c r="D13" s="241"/>
      <c r="E13" s="241"/>
      <c r="F13" s="241"/>
      <c r="G13" s="458" t="s">
        <v>222</v>
      </c>
      <c r="H13" s="458" t="s">
        <v>222</v>
      </c>
      <c r="I13" s="937" t="s">
        <v>224</v>
      </c>
      <c r="J13" s="232"/>
      <c r="K13" s="232"/>
      <c r="L13" s="232"/>
    </row>
    <row r="14" spans="1:12">
      <c r="A14" s="2">
        <f>A13+1</f>
        <v>2</v>
      </c>
      <c r="B14" s="241" t="s">
        <v>1349</v>
      </c>
      <c r="C14" s="241"/>
      <c r="D14" s="241"/>
      <c r="E14" s="241"/>
      <c r="F14" s="241"/>
      <c r="G14" s="458" t="s">
        <v>222</v>
      </c>
      <c r="H14" s="458" t="s">
        <v>222</v>
      </c>
      <c r="I14" s="458" t="s">
        <v>222</v>
      </c>
      <c r="J14" s="232"/>
      <c r="K14" s="232"/>
      <c r="L14" s="232"/>
    </row>
    <row r="15" spans="1:12">
      <c r="A15" s="111">
        <f>A14+1</f>
        <v>3</v>
      </c>
      <c r="B15" s="241" t="s">
        <v>1523</v>
      </c>
      <c r="C15" s="241"/>
      <c r="D15" s="241"/>
      <c r="E15" s="241"/>
      <c r="F15" s="241"/>
      <c r="G15" s="458" t="s">
        <v>222</v>
      </c>
      <c r="H15" s="458" t="s">
        <v>222</v>
      </c>
      <c r="I15" s="458" t="s">
        <v>222</v>
      </c>
      <c r="J15" s="232"/>
      <c r="K15" s="232"/>
      <c r="L15" s="232"/>
    </row>
    <row r="16" spans="1:12">
      <c r="A16" s="2">
        <f>A15+1</f>
        <v>4</v>
      </c>
      <c r="B16" s="241" t="s">
        <v>1350</v>
      </c>
      <c r="C16" s="241"/>
      <c r="D16" s="241"/>
      <c r="E16" s="241"/>
      <c r="F16" s="241"/>
      <c r="G16" s="458" t="s">
        <v>222</v>
      </c>
      <c r="H16" s="458" t="s">
        <v>222</v>
      </c>
      <c r="I16" s="458" t="s">
        <v>224</v>
      </c>
      <c r="J16" s="232"/>
      <c r="K16" s="232"/>
      <c r="L16" s="232"/>
    </row>
    <row r="17" spans="1:12">
      <c r="A17" s="2">
        <f>A16+1</f>
        <v>5</v>
      </c>
      <c r="B17" s="241" t="s">
        <v>1351</v>
      </c>
      <c r="C17" s="241"/>
      <c r="D17" s="241"/>
      <c r="E17" s="241"/>
      <c r="F17" s="241"/>
      <c r="G17" s="458" t="s">
        <v>224</v>
      </c>
      <c r="H17" s="458" t="s">
        <v>222</v>
      </c>
      <c r="I17" s="458" t="s">
        <v>224</v>
      </c>
      <c r="J17" s="232"/>
      <c r="K17" s="232"/>
      <c r="L17" s="232"/>
    </row>
    <row r="18" spans="1:12">
      <c r="A18" s="111">
        <f>A17+1</f>
        <v>6</v>
      </c>
      <c r="B18" s="241" t="s">
        <v>2356</v>
      </c>
      <c r="C18" s="241"/>
      <c r="D18" s="241"/>
      <c r="E18" s="241"/>
      <c r="F18" s="241"/>
      <c r="G18" s="458" t="s">
        <v>224</v>
      </c>
      <c r="H18" s="458" t="s">
        <v>222</v>
      </c>
      <c r="I18" s="458" t="s">
        <v>224</v>
      </c>
      <c r="J18" s="232"/>
      <c r="K18" s="232"/>
      <c r="L18" s="232"/>
    </row>
    <row r="19" spans="1:12">
      <c r="A19" s="232"/>
      <c r="B19" s="232"/>
      <c r="C19" s="459"/>
      <c r="D19" s="241"/>
      <c r="E19" s="241"/>
      <c r="F19" s="241"/>
      <c r="G19" s="232"/>
      <c r="H19" s="232"/>
      <c r="I19" s="232"/>
      <c r="J19" s="232"/>
      <c r="K19" s="232"/>
      <c r="L19" s="232"/>
    </row>
    <row r="20" spans="1:12">
      <c r="A20" s="232"/>
      <c r="B20" s="398" t="s">
        <v>1352</v>
      </c>
      <c r="C20" s="377"/>
      <c r="D20" s="241"/>
      <c r="E20" s="241"/>
      <c r="F20" s="241"/>
      <c r="G20" s="232"/>
      <c r="H20" s="232"/>
      <c r="I20" s="232"/>
      <c r="J20" s="232"/>
      <c r="K20" s="232"/>
      <c r="L20" s="232"/>
    </row>
    <row r="21" spans="1:12">
      <c r="A21" s="232"/>
      <c r="B21" s="398"/>
      <c r="C21" s="377"/>
      <c r="D21" s="241"/>
      <c r="E21" s="241"/>
      <c r="F21" s="241"/>
      <c r="G21" s="232"/>
      <c r="H21" s="232"/>
      <c r="I21" s="232"/>
      <c r="J21" s="232"/>
      <c r="K21" s="232"/>
      <c r="L21" s="232"/>
    </row>
    <row r="22" spans="1:12">
      <c r="A22" s="232"/>
      <c r="B22" s="460" t="s">
        <v>1353</v>
      </c>
      <c r="C22" s="379"/>
      <c r="D22" s="241"/>
      <c r="E22" s="241"/>
      <c r="F22" s="241"/>
      <c r="G22" s="232"/>
      <c r="H22" s="232"/>
      <c r="I22" s="232"/>
      <c r="J22" s="232"/>
      <c r="K22" s="232"/>
      <c r="L22" s="232"/>
    </row>
    <row r="23" spans="1:12">
      <c r="A23" s="232"/>
      <c r="B23" s="247" t="s">
        <v>2366</v>
      </c>
      <c r="C23" s="379"/>
      <c r="D23" s="241"/>
      <c r="E23" s="241"/>
      <c r="F23" s="241"/>
      <c r="G23" s="232"/>
      <c r="H23" s="232"/>
      <c r="I23" s="232"/>
      <c r="J23" s="232"/>
      <c r="K23" s="232"/>
      <c r="L23" s="232"/>
    </row>
    <row r="24" spans="1:12">
      <c r="A24" s="232"/>
      <c r="B24" s="247" t="s">
        <v>1354</v>
      </c>
      <c r="C24" s="232"/>
      <c r="D24" s="232"/>
      <c r="E24" s="232"/>
      <c r="F24" s="232"/>
      <c r="G24" s="232"/>
      <c r="H24" s="232"/>
      <c r="I24" s="232"/>
      <c r="J24" s="232"/>
      <c r="K24" s="232"/>
      <c r="L24" s="232"/>
    </row>
    <row r="25" spans="1:12">
      <c r="A25" s="232"/>
      <c r="B25" s="232"/>
      <c r="C25" s="232"/>
      <c r="D25" s="232"/>
      <c r="E25" s="232"/>
      <c r="F25" s="232"/>
      <c r="G25" s="232"/>
      <c r="H25" s="84" t="s">
        <v>363</v>
      </c>
      <c r="I25" s="84" t="s">
        <v>347</v>
      </c>
      <c r="J25" s="232"/>
      <c r="K25" s="232"/>
      <c r="L25" s="232"/>
    </row>
    <row r="26" spans="1:12">
      <c r="A26" s="232"/>
      <c r="B26" s="232"/>
      <c r="C26" s="232"/>
      <c r="D26" s="232"/>
      <c r="E26" s="232"/>
      <c r="F26" s="232"/>
      <c r="G26" s="232"/>
      <c r="H26" s="461" t="s">
        <v>1355</v>
      </c>
      <c r="I26" s="232"/>
      <c r="J26" s="232"/>
      <c r="K26" s="232"/>
      <c r="L26" s="232"/>
    </row>
    <row r="27" spans="1:12">
      <c r="A27" s="232"/>
      <c r="B27" s="232"/>
      <c r="C27" s="232"/>
      <c r="D27" s="232"/>
      <c r="E27" s="232"/>
      <c r="F27" s="232"/>
      <c r="G27" s="232"/>
      <c r="H27" s="461" t="s">
        <v>290</v>
      </c>
      <c r="I27" s="235" t="s">
        <v>1356</v>
      </c>
      <c r="J27" s="232"/>
      <c r="K27" s="232"/>
      <c r="L27" s="232"/>
    </row>
    <row r="28" spans="1:12">
      <c r="A28" s="232"/>
      <c r="B28" s="232"/>
      <c r="C28" s="232"/>
      <c r="D28" s="232"/>
      <c r="E28" s="232"/>
      <c r="F28" s="232"/>
      <c r="G28" s="26" t="s">
        <v>194</v>
      </c>
      <c r="H28" s="235" t="s">
        <v>1357</v>
      </c>
      <c r="I28" s="235" t="s">
        <v>1358</v>
      </c>
      <c r="J28" s="232"/>
      <c r="K28" s="232"/>
      <c r="L28" s="232"/>
    </row>
    <row r="29" spans="1:12" ht="15">
      <c r="A29" s="51"/>
      <c r="B29" s="232"/>
      <c r="C29" s="232"/>
      <c r="D29" s="232"/>
      <c r="E29" s="232"/>
      <c r="F29" s="232"/>
      <c r="G29" s="25" t="s">
        <v>179</v>
      </c>
      <c r="H29" s="462" t="s">
        <v>1359</v>
      </c>
      <c r="I29" s="244" t="s">
        <v>1346</v>
      </c>
      <c r="J29" s="370"/>
      <c r="K29" s="232"/>
      <c r="L29" s="232"/>
    </row>
    <row r="30" spans="1:12">
      <c r="A30" s="111">
        <f>A18+1</f>
        <v>7</v>
      </c>
      <c r="B30" s="241"/>
      <c r="C30" s="241" t="s">
        <v>1360</v>
      </c>
      <c r="D30" s="241"/>
      <c r="E30" s="241"/>
      <c r="F30" s="241"/>
      <c r="G30" s="46" t="s">
        <v>1361</v>
      </c>
      <c r="H30" s="236">
        <v>31556000</v>
      </c>
      <c r="I30" s="234">
        <v>-2176300</v>
      </c>
      <c r="J30" s="232"/>
      <c r="K30" s="232"/>
      <c r="L30" s="232"/>
    </row>
    <row r="31" spans="1:12">
      <c r="A31" s="111">
        <f>A30+1</f>
        <v>8</v>
      </c>
      <c r="B31" s="241"/>
      <c r="C31" s="241" t="s">
        <v>1362</v>
      </c>
      <c r="D31" s="241"/>
      <c r="E31" s="241"/>
      <c r="F31" s="241"/>
      <c r="G31" s="46" t="s">
        <v>1361</v>
      </c>
      <c r="H31" s="234">
        <v>-35044000</v>
      </c>
      <c r="I31" s="234">
        <v>2503000</v>
      </c>
      <c r="J31" s="232"/>
      <c r="K31" s="232"/>
      <c r="L31" s="232"/>
    </row>
    <row r="32" spans="1:12">
      <c r="A32" s="111">
        <f>A31+1</f>
        <v>9</v>
      </c>
      <c r="B32" s="241"/>
      <c r="C32" s="241" t="s">
        <v>1524</v>
      </c>
      <c r="D32" s="241"/>
      <c r="E32" s="241"/>
      <c r="F32" s="241"/>
      <c r="G32" s="46" t="s">
        <v>1361</v>
      </c>
      <c r="H32" s="236">
        <v>-624650</v>
      </c>
      <c r="I32" s="236">
        <v>43100</v>
      </c>
      <c r="J32" s="232"/>
      <c r="K32" s="232"/>
      <c r="L32" s="232"/>
    </row>
    <row r="33" spans="1:12">
      <c r="A33" s="111">
        <f>A32+1</f>
        <v>10</v>
      </c>
      <c r="B33" s="241"/>
      <c r="C33" s="241" t="s">
        <v>1363</v>
      </c>
      <c r="D33" s="241"/>
      <c r="E33" s="241"/>
      <c r="F33" s="241"/>
      <c r="G33" s="46" t="s">
        <v>1361</v>
      </c>
      <c r="H33" s="369">
        <v>-7410000</v>
      </c>
      <c r="I33" s="463">
        <v>511200</v>
      </c>
      <c r="J33" s="232"/>
      <c r="K33" s="232"/>
      <c r="L33" s="232"/>
    </row>
    <row r="34" spans="1:12">
      <c r="A34" s="111">
        <f>A33+1</f>
        <v>11</v>
      </c>
      <c r="B34" s="241"/>
      <c r="C34" s="241"/>
      <c r="D34" s="241"/>
      <c r="E34" s="241"/>
      <c r="F34" s="14"/>
      <c r="G34" s="958" t="s">
        <v>197</v>
      </c>
      <c r="H34" s="234">
        <f>SUM(H30:H33)</f>
        <v>-11522650</v>
      </c>
      <c r="I34" s="234">
        <f>SUM(I30:I33)</f>
        <v>881000</v>
      </c>
      <c r="J34" s="232"/>
      <c r="K34" s="232"/>
      <c r="L34" s="232"/>
    </row>
    <row r="35" spans="1:12">
      <c r="A35" s="111"/>
      <c r="B35" s="241"/>
      <c r="C35" s="241"/>
      <c r="D35" s="241"/>
      <c r="E35" s="241"/>
      <c r="F35" s="14"/>
      <c r="G35" s="958"/>
      <c r="H35" s="234"/>
      <c r="I35" s="234"/>
      <c r="J35" s="232"/>
      <c r="K35" s="232"/>
      <c r="L35" s="232"/>
    </row>
    <row r="36" spans="1:12">
      <c r="A36" s="111"/>
      <c r="B36" s="1011" t="s">
        <v>1364</v>
      </c>
      <c r="C36" s="241"/>
      <c r="D36" s="241"/>
      <c r="E36" s="241"/>
      <c r="F36" s="14"/>
      <c r="G36" s="958"/>
      <c r="H36" s="234"/>
      <c r="I36" s="234"/>
      <c r="J36" s="232"/>
      <c r="K36" s="232"/>
      <c r="L36" s="232"/>
    </row>
    <row r="37" spans="1:12">
      <c r="A37" s="111"/>
      <c r="B37" s="468" t="s">
        <v>1643</v>
      </c>
      <c r="C37" s="241"/>
      <c r="D37" s="241"/>
      <c r="E37" s="241"/>
      <c r="F37" s="14"/>
      <c r="G37" s="958"/>
      <c r="H37" s="234"/>
      <c r="I37" s="234"/>
      <c r="J37" s="232"/>
      <c r="K37" s="232"/>
      <c r="L37" s="232"/>
    </row>
    <row r="38" spans="1:12">
      <c r="A38" s="111"/>
      <c r="B38" s="468" t="s">
        <v>1365</v>
      </c>
      <c r="C38" s="241"/>
      <c r="D38" s="241"/>
      <c r="E38" s="241"/>
      <c r="F38" s="14"/>
      <c r="G38" s="958"/>
      <c r="H38" s="234"/>
      <c r="I38" s="234"/>
      <c r="J38" s="232"/>
      <c r="K38" s="232"/>
      <c r="L38" s="232"/>
    </row>
    <row r="39" spans="1:12">
      <c r="A39" s="456"/>
      <c r="B39" s="241"/>
      <c r="C39" s="241"/>
      <c r="D39" s="241"/>
      <c r="E39" s="241"/>
      <c r="F39" s="241"/>
      <c r="G39" s="427" t="s">
        <v>194</v>
      </c>
      <c r="H39" s="232"/>
      <c r="I39" s="232"/>
      <c r="J39" s="232"/>
      <c r="K39" s="232"/>
      <c r="L39" s="232"/>
    </row>
    <row r="40" spans="1:12">
      <c r="A40" s="456"/>
      <c r="B40" s="1012"/>
      <c r="C40" s="377"/>
      <c r="D40" s="241"/>
      <c r="E40" s="241"/>
      <c r="F40" s="241"/>
      <c r="G40" s="29" t="s">
        <v>179</v>
      </c>
      <c r="H40" s="3" t="s">
        <v>171</v>
      </c>
      <c r="I40" s="465" t="s">
        <v>1366</v>
      </c>
      <c r="J40" s="232"/>
      <c r="K40" s="232"/>
      <c r="L40" s="232"/>
    </row>
    <row r="41" spans="1:12">
      <c r="A41" s="111">
        <f>A34+1</f>
        <v>12</v>
      </c>
      <c r="B41" s="468" t="s">
        <v>1367</v>
      </c>
      <c r="C41" s="241"/>
      <c r="D41" s="241"/>
      <c r="E41" s="241"/>
      <c r="F41" s="241"/>
      <c r="G41" s="468" t="str">
        <f>"2-IFPTRR Line "&amp;'2-IFPTRR'!A25&amp;""</f>
        <v>2-IFPTRR Line 16</v>
      </c>
      <c r="H41" s="368">
        <f>'2-IFPTRR'!D25</f>
        <v>0.10243581433571</v>
      </c>
      <c r="I41" s="249">
        <v>1</v>
      </c>
      <c r="J41" s="232"/>
      <c r="K41" s="232"/>
      <c r="L41" s="232"/>
    </row>
    <row r="42" spans="1:12">
      <c r="A42" s="111">
        <f>A41+1</f>
        <v>13</v>
      </c>
      <c r="B42" s="468" t="s">
        <v>63</v>
      </c>
      <c r="C42" s="241"/>
      <c r="D42" s="241"/>
      <c r="E42" s="241"/>
      <c r="F42" s="241"/>
      <c r="G42" s="468"/>
      <c r="H42" s="466">
        <v>2017</v>
      </c>
      <c r="I42" s="249">
        <v>2</v>
      </c>
      <c r="J42" s="232"/>
      <c r="K42" s="232"/>
      <c r="L42" s="232"/>
    </row>
    <row r="43" spans="1:12">
      <c r="A43" s="111">
        <f>A42+1</f>
        <v>14</v>
      </c>
      <c r="B43" s="468" t="s">
        <v>1368</v>
      </c>
      <c r="C43" s="241"/>
      <c r="D43" s="241"/>
      <c r="E43" s="241"/>
      <c r="F43" s="241"/>
      <c r="G43" s="236"/>
      <c r="H43" s="234">
        <f>H34+ (I34*(H42-2010))</f>
        <v>-5355650</v>
      </c>
      <c r="I43" s="249">
        <v>3</v>
      </c>
      <c r="J43" s="232"/>
      <c r="K43" s="232"/>
      <c r="L43" s="232"/>
    </row>
    <row r="44" spans="1:12">
      <c r="A44" s="111">
        <f>A43+1</f>
        <v>15</v>
      </c>
      <c r="B44" s="468" t="s">
        <v>1369</v>
      </c>
      <c r="C44" s="377"/>
      <c r="D44" s="241"/>
      <c r="E44" s="241"/>
      <c r="F44" s="241"/>
      <c r="G44" s="46" t="str">
        <f>"Line "&amp;A43&amp;" * Line "&amp;A41&amp;""</f>
        <v>Line 14 * Line 12</v>
      </c>
      <c r="H44" s="234">
        <f xml:space="preserve"> H43*H41</f>
        <v>-548610.36904704524</v>
      </c>
      <c r="I44" s="232"/>
      <c r="J44" s="232"/>
      <c r="K44" s="232"/>
      <c r="L44" s="232"/>
    </row>
    <row r="45" spans="1:12">
      <c r="A45" s="14"/>
      <c r="B45" s="14"/>
      <c r="C45" s="14"/>
      <c r="D45" s="14"/>
      <c r="E45" s="14"/>
      <c r="F45" s="14"/>
      <c r="G45" s="14"/>
      <c r="L45" s="232"/>
    </row>
    <row r="46" spans="1:12">
      <c r="B46" s="398" t="s">
        <v>1529</v>
      </c>
      <c r="L46" s="232"/>
    </row>
    <row r="47" spans="1:12">
      <c r="L47" s="232"/>
    </row>
    <row r="48" spans="1:12">
      <c r="B48" s="232" t="str">
        <f>"The annual Wholesale Expense Difference impact is the negative of amounts stated in Lines "&amp;A30&amp;" to "&amp;A33&amp;" above, Column 2."</f>
        <v>The annual Wholesale Expense Difference impact is the negative of amounts stated in Lines 7 to 10 above, Column 2.</v>
      </c>
      <c r="L48" s="232"/>
    </row>
    <row r="49" spans="1:12">
      <c r="B49" s="232" t="s">
        <v>1396</v>
      </c>
      <c r="L49" s="232"/>
    </row>
    <row r="50" spans="1:12">
      <c r="A50" s="232"/>
      <c r="B50" s="232" t="s">
        <v>1644</v>
      </c>
      <c r="C50" s="232"/>
      <c r="D50" s="232"/>
      <c r="E50" s="232"/>
      <c r="F50" s="232"/>
      <c r="G50" s="232"/>
      <c r="H50" s="232"/>
      <c r="I50" s="232"/>
      <c r="J50" s="232"/>
      <c r="K50" s="232"/>
      <c r="L50" s="232"/>
    </row>
    <row r="52" spans="1:12">
      <c r="A52" s="232"/>
      <c r="B52" s="70" t="s">
        <v>1370</v>
      </c>
      <c r="C52" s="232"/>
      <c r="D52" s="232"/>
      <c r="E52" s="232"/>
      <c r="F52" s="232"/>
      <c r="G52" s="232"/>
      <c r="H52" s="232"/>
      <c r="I52" s="232"/>
      <c r="J52" s="232"/>
      <c r="K52" s="232"/>
      <c r="L52" s="232"/>
    </row>
    <row r="53" spans="1:12">
      <c r="A53" s="232"/>
      <c r="B53" s="232"/>
      <c r="C53" s="232"/>
      <c r="D53" s="232"/>
      <c r="E53" s="232"/>
      <c r="F53" s="232"/>
      <c r="G53" s="26"/>
      <c r="H53" s="232"/>
      <c r="I53" s="232"/>
      <c r="J53" s="232"/>
      <c r="K53" s="232"/>
      <c r="L53" s="232"/>
    </row>
    <row r="54" spans="1:12">
      <c r="B54" s="232"/>
      <c r="C54" s="232"/>
      <c r="D54" s="232"/>
      <c r="E54" s="232"/>
      <c r="F54" s="232"/>
      <c r="G54" s="25" t="s">
        <v>179</v>
      </c>
      <c r="H54" s="3" t="s">
        <v>171</v>
      </c>
      <c r="I54" s="232"/>
      <c r="J54" s="370"/>
      <c r="K54" s="232"/>
      <c r="L54" s="232"/>
    </row>
    <row r="55" spans="1:12">
      <c r="A55" s="111">
        <f>A44+1</f>
        <v>16</v>
      </c>
      <c r="B55" s="468" t="s">
        <v>1371</v>
      </c>
      <c r="C55" s="241"/>
      <c r="D55" s="241"/>
      <c r="E55" s="241"/>
      <c r="F55" s="241"/>
      <c r="G55" s="46" t="str">
        <f>"Line "&amp;A31&amp;""</f>
        <v>Line 8</v>
      </c>
      <c r="H55" s="234">
        <f>I31</f>
        <v>2503000</v>
      </c>
      <c r="I55" s="232"/>
      <c r="J55" s="232"/>
      <c r="K55" s="232"/>
      <c r="L55" s="232"/>
    </row>
    <row r="56" spans="1:12">
      <c r="A56" s="111">
        <f>A55+1</f>
        <v>17</v>
      </c>
      <c r="B56" s="46" t="s">
        <v>292</v>
      </c>
      <c r="C56" s="241"/>
      <c r="D56" s="241"/>
      <c r="E56" s="241"/>
      <c r="F56" s="241"/>
      <c r="G56" s="468" t="str">
        <f>"1-BaseTRR L "&amp;'1-BaseTRR'!A102&amp;""</f>
        <v>1-BaseTRR L 59</v>
      </c>
      <c r="H56" s="395">
        <f>'1-BaseTRR'!K102</f>
        <v>0.27983599999999997</v>
      </c>
      <c r="I56" s="232"/>
      <c r="J56" s="232"/>
      <c r="K56" s="232"/>
      <c r="L56" s="232"/>
    </row>
    <row r="57" spans="1:12">
      <c r="A57" s="111">
        <f>A56+1</f>
        <v>18</v>
      </c>
      <c r="B57" s="46" t="s">
        <v>1395</v>
      </c>
      <c r="C57" s="241"/>
      <c r="D57" s="241"/>
      <c r="E57" s="241"/>
      <c r="F57" s="241"/>
      <c r="G57" s="69" t="s">
        <v>291</v>
      </c>
      <c r="H57" s="467">
        <f>1/(1-H56)</f>
        <v>1.3885726029071155</v>
      </c>
      <c r="I57" s="232"/>
      <c r="J57" s="232"/>
      <c r="K57" s="232"/>
      <c r="L57" s="232"/>
    </row>
    <row r="58" spans="1:12">
      <c r="A58" s="111">
        <f>A57+1</f>
        <v>19</v>
      </c>
      <c r="B58" s="46" t="s">
        <v>334</v>
      </c>
      <c r="C58" s="241"/>
      <c r="D58" s="241"/>
      <c r="E58" s="241"/>
      <c r="F58" s="241"/>
      <c r="G58" s="241"/>
      <c r="H58" s="232"/>
      <c r="I58" s="232"/>
      <c r="J58" s="232"/>
      <c r="K58" s="232"/>
      <c r="L58" s="232"/>
    </row>
    <row r="59" spans="1:12">
      <c r="A59" s="111">
        <f>A58+1</f>
        <v>20</v>
      </c>
      <c r="B59" s="46" t="s">
        <v>333</v>
      </c>
      <c r="C59" s="241"/>
      <c r="D59" s="241"/>
      <c r="E59" s="241"/>
      <c r="F59" s="241"/>
      <c r="G59" s="46" t="str">
        <f>"- Line "&amp;A55&amp;" * Line "&amp;A57&amp;""</f>
        <v>- Line 16 * Line 18</v>
      </c>
      <c r="H59" s="234">
        <f>-H57*H55</f>
        <v>-3475597.2250765101</v>
      </c>
      <c r="I59" s="232"/>
      <c r="J59" s="232"/>
      <c r="K59" s="232"/>
      <c r="L59" s="232"/>
    </row>
    <row r="60" spans="1:12">
      <c r="A60" s="14"/>
      <c r="B60" s="14"/>
      <c r="C60" s="14"/>
      <c r="D60" s="14"/>
      <c r="E60" s="14"/>
      <c r="F60" s="14"/>
      <c r="G60" s="14"/>
    </row>
    <row r="61" spans="1:12">
      <c r="A61" s="14"/>
      <c r="B61" s="1013" t="s">
        <v>1526</v>
      </c>
      <c r="C61" s="14"/>
      <c r="D61" s="14"/>
      <c r="E61" s="14"/>
      <c r="F61" s="14"/>
      <c r="G61" s="14"/>
    </row>
    <row r="62" spans="1:12">
      <c r="A62" s="14"/>
      <c r="B62" s="14"/>
      <c r="C62" s="14"/>
      <c r="D62" s="14"/>
      <c r="E62" s="14"/>
      <c r="F62" s="14"/>
      <c r="G62" s="14"/>
    </row>
    <row r="63" spans="1:12">
      <c r="A63" s="14"/>
      <c r="B63" s="14"/>
      <c r="C63" s="14"/>
      <c r="D63" s="14"/>
      <c r="E63" s="14"/>
      <c r="F63" s="14"/>
      <c r="G63" s="29" t="s">
        <v>179</v>
      </c>
      <c r="H63" s="3" t="s">
        <v>171</v>
      </c>
    </row>
    <row r="64" spans="1:12">
      <c r="A64" s="111">
        <f>A59+1</f>
        <v>21</v>
      </c>
      <c r="B64" s="468" t="s">
        <v>1525</v>
      </c>
      <c r="C64" s="14"/>
      <c r="D64" s="14"/>
      <c r="E64" s="14"/>
      <c r="F64" s="14"/>
      <c r="G64" s="46" t="str">
        <f>"Line "&amp;A32&amp;""</f>
        <v>Line 9</v>
      </c>
      <c r="H64" s="7">
        <f>I32</f>
        <v>43100</v>
      </c>
    </row>
    <row r="65" spans="1:12">
      <c r="A65" s="111">
        <f>A64+1</f>
        <v>22</v>
      </c>
      <c r="B65" s="46" t="s">
        <v>1395</v>
      </c>
      <c r="C65" s="241"/>
      <c r="D65" s="241"/>
      <c r="E65" s="241"/>
      <c r="F65" s="241"/>
      <c r="G65" s="46" t="str">
        <f>"Line "&amp;A57&amp;""</f>
        <v>Line 18</v>
      </c>
      <c r="H65" s="467">
        <f>H57</f>
        <v>1.3885726029071155</v>
      </c>
    </row>
    <row r="66" spans="1:12">
      <c r="A66" s="111">
        <f>A65+1</f>
        <v>23</v>
      </c>
      <c r="B66" s="468" t="s">
        <v>1527</v>
      </c>
      <c r="C66" s="14"/>
      <c r="D66" s="14"/>
      <c r="E66" s="14"/>
      <c r="F66" s="14"/>
      <c r="G66" s="46" t="str">
        <f>"- Line "&amp;A64&amp;" * Line "&amp;A65&amp;""</f>
        <v>- Line 21 * Line 22</v>
      </c>
      <c r="H66" s="7">
        <f>-H64*H65</f>
        <v>-59847.479185296681</v>
      </c>
    </row>
    <row r="67" spans="1:12">
      <c r="A67" s="111">
        <f t="shared" ref="A67:A74" si="0">A66+1</f>
        <v>24</v>
      </c>
      <c r="B67" s="468"/>
      <c r="C67" s="14"/>
      <c r="D67" s="14"/>
      <c r="E67" s="14"/>
      <c r="F67" s="14"/>
      <c r="G67" s="46"/>
      <c r="H67" s="7"/>
    </row>
    <row r="68" spans="1:12">
      <c r="A68" s="111">
        <f t="shared" si="0"/>
        <v>25</v>
      </c>
      <c r="B68" s="1013" t="s">
        <v>2357</v>
      </c>
      <c r="C68" s="14"/>
      <c r="D68" s="14"/>
      <c r="E68" s="14"/>
      <c r="F68" s="14"/>
      <c r="G68" s="46"/>
      <c r="H68" s="7"/>
    </row>
    <row r="69" spans="1:12">
      <c r="A69" s="111">
        <f t="shared" si="0"/>
        <v>26</v>
      </c>
      <c r="B69" s="468"/>
      <c r="C69" s="14"/>
      <c r="D69" s="14"/>
      <c r="E69" s="14"/>
      <c r="F69" s="14"/>
      <c r="G69" s="29" t="s">
        <v>179</v>
      </c>
      <c r="H69" s="7"/>
      <c r="I69" s="566" t="s">
        <v>1366</v>
      </c>
    </row>
    <row r="70" spans="1:12">
      <c r="A70" s="111">
        <f t="shared" si="0"/>
        <v>27</v>
      </c>
      <c r="B70" s="468" t="s">
        <v>2358</v>
      </c>
      <c r="C70" s="14"/>
      <c r="D70" s="14"/>
      <c r="E70" s="14"/>
      <c r="F70" s="14"/>
      <c r="G70" s="482" t="s">
        <v>33</v>
      </c>
      <c r="H70" s="1099">
        <v>200769</v>
      </c>
      <c r="I70" s="482" t="s">
        <v>1190</v>
      </c>
    </row>
    <row r="71" spans="1:12">
      <c r="A71" s="111">
        <f t="shared" si="0"/>
        <v>28</v>
      </c>
      <c r="B71" s="468" t="s">
        <v>2359</v>
      </c>
      <c r="C71" s="14"/>
      <c r="D71" s="14"/>
      <c r="E71" s="14"/>
      <c r="F71" s="14"/>
      <c r="G71" s="482" t="s">
        <v>33</v>
      </c>
      <c r="H71" s="1099">
        <v>1529649</v>
      </c>
      <c r="I71" s="16" t="s">
        <v>1190</v>
      </c>
    </row>
    <row r="72" spans="1:12">
      <c r="A72" s="111">
        <f t="shared" si="0"/>
        <v>29</v>
      </c>
      <c r="B72" s="468" t="s">
        <v>2360</v>
      </c>
      <c r="C72" s="14"/>
      <c r="D72" s="14"/>
      <c r="E72" s="14"/>
      <c r="F72" s="14"/>
      <c r="G72" s="948" t="str">
        <f>"Line "&amp;A70&amp;" + "&amp;A71&amp;""</f>
        <v>Line 27 + 28</v>
      </c>
      <c r="H72" s="1014">
        <f>SUM(H70:H71)</f>
        <v>1730418</v>
      </c>
    </row>
    <row r="73" spans="1:12">
      <c r="A73" s="111">
        <f t="shared" si="0"/>
        <v>30</v>
      </c>
      <c r="B73" s="468" t="s">
        <v>93</v>
      </c>
      <c r="C73" s="14"/>
      <c r="D73" s="14"/>
      <c r="E73" s="14"/>
      <c r="F73" s="14"/>
      <c r="G73" s="468" t="str">
        <f>"27-Allocators, Line "&amp;'27-Allocators'!A14&amp;""</f>
        <v>27-Allocators, Line 9</v>
      </c>
      <c r="H73" s="49">
        <f>'27-Allocators'!G14</f>
        <v>6.0143362776597958E-2</v>
      </c>
    </row>
    <row r="74" spans="1:12">
      <c r="A74" s="111">
        <f t="shared" si="0"/>
        <v>31</v>
      </c>
      <c r="B74" s="468" t="s">
        <v>2361</v>
      </c>
      <c r="C74" s="14"/>
      <c r="D74" s="14"/>
      <c r="E74" s="14"/>
      <c r="F74" s="14"/>
      <c r="G74" s="948" t="str">
        <f>"Line "&amp;A72&amp;" * "&amp;A73&amp;""</f>
        <v>Line 29 * 30</v>
      </c>
      <c r="H74" s="63">
        <f>H72*H73</f>
        <v>104073.15752915508</v>
      </c>
    </row>
    <row r="76" spans="1:12">
      <c r="A76" s="241"/>
      <c r="B76" s="1011" t="s">
        <v>1843</v>
      </c>
      <c r="C76" s="241"/>
      <c r="D76" s="241"/>
      <c r="E76" s="241"/>
      <c r="F76" s="241"/>
      <c r="G76" s="241"/>
      <c r="H76" s="241"/>
      <c r="I76" s="465" t="s">
        <v>1366</v>
      </c>
      <c r="J76" s="232"/>
      <c r="K76" s="232"/>
      <c r="L76" s="232"/>
    </row>
    <row r="77" spans="1:12">
      <c r="A77" s="111">
        <f>A74+1</f>
        <v>32</v>
      </c>
      <c r="B77" s="459" t="s">
        <v>1546</v>
      </c>
      <c r="C77" s="241"/>
      <c r="D77" s="241"/>
      <c r="E77" s="241"/>
      <c r="F77" s="241"/>
      <c r="G77" s="468" t="str">
        <f>" - Line "&amp;A30&amp;", Col. 2"</f>
        <v xml:space="preserve"> - Line 7, Col. 2</v>
      </c>
      <c r="H77" s="236">
        <f>-I30</f>
        <v>2176300</v>
      </c>
      <c r="I77" s="232"/>
      <c r="J77" s="232"/>
      <c r="K77" s="232"/>
      <c r="L77" s="232"/>
    </row>
    <row r="78" spans="1:12">
      <c r="A78" s="111">
        <f>A77+1</f>
        <v>33</v>
      </c>
      <c r="B78" s="459" t="s">
        <v>1362</v>
      </c>
      <c r="C78" s="241"/>
      <c r="D78" s="241"/>
      <c r="E78" s="241"/>
      <c r="F78" s="241"/>
      <c r="G78" s="468" t="str">
        <f>"Line "&amp;A59&amp;""</f>
        <v>Line 20</v>
      </c>
      <c r="H78" s="236">
        <f>H59</f>
        <v>-3475597.2250765101</v>
      </c>
      <c r="I78" s="232"/>
      <c r="J78" s="232"/>
      <c r="K78" s="232"/>
      <c r="L78" s="232"/>
    </row>
    <row r="79" spans="1:12">
      <c r="A79" s="111">
        <f>A78+1</f>
        <v>34</v>
      </c>
      <c r="B79" s="459" t="s">
        <v>1524</v>
      </c>
      <c r="C79" s="241"/>
      <c r="D79" s="241"/>
      <c r="E79" s="241"/>
      <c r="F79" s="241"/>
      <c r="G79" s="468" t="str">
        <f>"Line "&amp;A66&amp;""</f>
        <v>Line 23</v>
      </c>
      <c r="H79" s="236">
        <f>H66</f>
        <v>-59847.479185296681</v>
      </c>
      <c r="I79" s="232"/>
      <c r="J79" s="232"/>
      <c r="K79" s="232"/>
      <c r="L79" s="232"/>
    </row>
    <row r="80" spans="1:12">
      <c r="A80" s="111">
        <f>A79+1</f>
        <v>35</v>
      </c>
      <c r="B80" s="459" t="s">
        <v>1363</v>
      </c>
      <c r="C80" s="241"/>
      <c r="D80" s="241"/>
      <c r="E80" s="241"/>
      <c r="F80" s="241"/>
      <c r="G80" s="468" t="str">
        <f>"- Line "&amp;A33&amp;", Col. 2"</f>
        <v>- Line 10, Col. 2</v>
      </c>
      <c r="H80" s="236">
        <f>-I33</f>
        <v>-511200</v>
      </c>
      <c r="I80" s="232"/>
      <c r="J80" s="232"/>
      <c r="K80" s="232"/>
      <c r="L80" s="232"/>
    </row>
    <row r="81" spans="1:12">
      <c r="A81" s="111">
        <f t="shared" ref="A81:A83" si="1">A80+1</f>
        <v>36</v>
      </c>
      <c r="B81" s="459" t="s">
        <v>2362</v>
      </c>
      <c r="C81" s="241"/>
      <c r="D81" s="241"/>
      <c r="E81" s="241"/>
      <c r="F81" s="241"/>
      <c r="G81" s="948" t="str">
        <f>" - Line "&amp;A74&amp;""</f>
        <v xml:space="preserve"> - Line 31</v>
      </c>
      <c r="H81" s="236">
        <f>-H74</f>
        <v>-104073.15752915508</v>
      </c>
      <c r="I81" s="232"/>
      <c r="J81" s="232"/>
      <c r="K81" s="232"/>
      <c r="L81" s="232"/>
    </row>
    <row r="82" spans="1:12" s="1075" customFormat="1">
      <c r="A82" s="111">
        <f t="shared" si="1"/>
        <v>37</v>
      </c>
      <c r="B82" s="944" t="s">
        <v>2363</v>
      </c>
      <c r="C82" s="241"/>
      <c r="D82" s="241"/>
      <c r="E82" s="241"/>
      <c r="F82" s="241"/>
      <c r="G82" s="948"/>
      <c r="H82" s="1117">
        <v>0</v>
      </c>
      <c r="I82" s="247" t="s">
        <v>1191</v>
      </c>
      <c r="J82" s="232"/>
      <c r="K82" s="232"/>
      <c r="L82" s="232"/>
    </row>
    <row r="83" spans="1:12">
      <c r="A83" s="111">
        <f t="shared" si="1"/>
        <v>38</v>
      </c>
      <c r="B83" s="241"/>
      <c r="C83" s="241"/>
      <c r="D83" s="241"/>
      <c r="E83" s="241"/>
      <c r="F83" s="241"/>
      <c r="G83" s="958" t="s">
        <v>1372</v>
      </c>
      <c r="H83" s="236">
        <f>SUM(H77:H82)</f>
        <v>-1974417.8617909618</v>
      </c>
      <c r="I83" s="232"/>
      <c r="J83" s="232"/>
      <c r="K83" s="232"/>
      <c r="L83" s="232"/>
    </row>
    <row r="84" spans="1:12">
      <c r="A84" s="241"/>
      <c r="B84" s="241"/>
      <c r="C84" s="241"/>
      <c r="D84" s="241"/>
      <c r="E84" s="241"/>
      <c r="F84" s="241"/>
      <c r="G84" s="241"/>
      <c r="H84" s="241"/>
      <c r="I84" s="232"/>
      <c r="J84" s="232"/>
      <c r="K84" s="232"/>
      <c r="L84" s="232"/>
    </row>
    <row r="85" spans="1:12">
      <c r="A85" s="241"/>
      <c r="B85" s="1015" t="s">
        <v>1373</v>
      </c>
      <c r="C85" s="241"/>
      <c r="D85" s="241"/>
      <c r="E85" s="241"/>
      <c r="F85" s="241"/>
      <c r="G85" s="241"/>
      <c r="H85" s="241"/>
      <c r="I85" s="232"/>
      <c r="J85" s="232"/>
      <c r="K85" s="232"/>
      <c r="L85" s="232"/>
    </row>
    <row r="86" spans="1:12">
      <c r="A86" s="241"/>
      <c r="B86" s="14"/>
      <c r="C86" s="241"/>
      <c r="D86" s="241"/>
      <c r="E86" s="241"/>
      <c r="F86" s="241"/>
      <c r="G86" s="29" t="s">
        <v>179</v>
      </c>
      <c r="H86" s="125" t="s">
        <v>171</v>
      </c>
      <c r="I86" s="232"/>
      <c r="J86" s="232"/>
      <c r="K86" s="232"/>
      <c r="L86" s="232"/>
    </row>
    <row r="87" spans="1:12">
      <c r="A87" s="111">
        <f>A83+1</f>
        <v>39</v>
      </c>
      <c r="B87" s="947" t="s">
        <v>1369</v>
      </c>
      <c r="C87" s="241"/>
      <c r="D87" s="241"/>
      <c r="E87" s="241"/>
      <c r="F87" s="241"/>
      <c r="G87" s="468" t="str">
        <f>"Line "&amp;A44&amp;""</f>
        <v>Line 15</v>
      </c>
      <c r="H87" s="236">
        <f>H44</f>
        <v>-548610.36904704524</v>
      </c>
      <c r="I87" s="232"/>
      <c r="J87" s="232"/>
      <c r="K87" s="232"/>
      <c r="L87" s="232"/>
    </row>
    <row r="88" spans="1:12">
      <c r="A88" s="111">
        <f>A87+1</f>
        <v>40</v>
      </c>
      <c r="B88" s="241" t="s">
        <v>1374</v>
      </c>
      <c r="C88" s="241"/>
      <c r="D88" s="241"/>
      <c r="E88" s="241"/>
      <c r="F88" s="241"/>
      <c r="G88" s="468" t="str">
        <f>"Line "&amp;A83&amp;""</f>
        <v>Line 38</v>
      </c>
      <c r="H88" s="236">
        <f>H83</f>
        <v>-1974417.8617909618</v>
      </c>
      <c r="I88" s="232"/>
      <c r="J88" s="232"/>
      <c r="K88" s="232"/>
      <c r="L88" s="232"/>
    </row>
    <row r="89" spans="1:12">
      <c r="A89" s="111">
        <f>A88+1</f>
        <v>41</v>
      </c>
      <c r="B89" s="15" t="s">
        <v>1456</v>
      </c>
      <c r="C89" s="241"/>
      <c r="D89" s="241"/>
      <c r="E89" s="241"/>
      <c r="F89" s="241"/>
      <c r="G89" s="468" t="str">
        <f>"- 1-Base TRR, L "&amp;'1-BaseTRR'!A139&amp;""</f>
        <v>- 1-Base TRR, L 80</v>
      </c>
      <c r="H89" s="236">
        <f>-'1-BaseTRR'!K139</f>
        <v>-2382920.8990501249</v>
      </c>
      <c r="I89" s="232"/>
      <c r="J89" s="232"/>
      <c r="K89" s="232"/>
      <c r="L89" s="232"/>
    </row>
    <row r="90" spans="1:12">
      <c r="A90" s="111">
        <f t="shared" ref="A90:A93" si="2">A89+1</f>
        <v>42</v>
      </c>
      <c r="B90" s="15" t="s">
        <v>1457</v>
      </c>
      <c r="C90" s="241"/>
      <c r="D90" s="241"/>
      <c r="E90" s="241"/>
      <c r="F90" s="241"/>
      <c r="G90" s="468" t="str">
        <f>"- 2-IFPTRR, L "&amp;'2-IFPTRR'!A89&amp;""</f>
        <v>- 2-IFPTRR, L 80</v>
      </c>
      <c r="H90" s="463">
        <f>-'2-IFPTRR'!D89</f>
        <v>-237371.81339894945</v>
      </c>
      <c r="I90" s="232"/>
      <c r="J90" s="232"/>
      <c r="K90" s="232"/>
      <c r="L90" s="232"/>
    </row>
    <row r="91" spans="1:12">
      <c r="A91" s="111">
        <f t="shared" si="2"/>
        <v>43</v>
      </c>
      <c r="B91" s="15" t="s">
        <v>97</v>
      </c>
      <c r="C91" s="241"/>
      <c r="D91" s="241"/>
      <c r="E91" s="241"/>
      <c r="F91" s="241"/>
      <c r="G91" s="46" t="str">
        <f>"Sum Line "&amp;A87&amp;" to Line "&amp;A90&amp;""</f>
        <v>Sum Line 39 to Line 42</v>
      </c>
      <c r="H91" s="236">
        <f>SUM(H87:H90)</f>
        <v>-5143320.943287082</v>
      </c>
      <c r="I91" s="232"/>
      <c r="J91" s="232"/>
      <c r="K91" s="232"/>
      <c r="L91" s="232"/>
    </row>
    <row r="92" spans="1:12">
      <c r="A92" s="111">
        <f t="shared" si="2"/>
        <v>44</v>
      </c>
      <c r="B92" s="15" t="s">
        <v>1381</v>
      </c>
      <c r="C92" s="241"/>
      <c r="D92" s="241"/>
      <c r="E92" s="241"/>
      <c r="F92" s="241"/>
      <c r="G92" s="14"/>
      <c r="H92" s="463">
        <f>'28-FFU'!D22*SUM(H87+H88)</f>
        <v>-23226.240984625445</v>
      </c>
      <c r="I92" s="247" t="s">
        <v>1188</v>
      </c>
      <c r="J92" s="232"/>
      <c r="K92" s="232"/>
      <c r="L92" s="232"/>
    </row>
    <row r="93" spans="1:12">
      <c r="A93" s="111">
        <f t="shared" si="2"/>
        <v>45</v>
      </c>
      <c r="B93" s="14" t="s">
        <v>1375</v>
      </c>
      <c r="C93" s="241"/>
      <c r="D93" s="241"/>
      <c r="E93" s="241"/>
      <c r="F93" s="241"/>
      <c r="G93" s="46" t="str">
        <f>"Line "&amp;A91&amp;" + Line "&amp;A92&amp;""</f>
        <v>Line 43 + Line 44</v>
      </c>
      <c r="H93" s="236">
        <f>H91+H92</f>
        <v>-5166547.1842717072</v>
      </c>
      <c r="I93" s="232"/>
      <c r="J93" s="232"/>
      <c r="K93" s="232"/>
      <c r="L93" s="232"/>
    </row>
    <row r="94" spans="1:12">
      <c r="A94" s="241"/>
      <c r="B94" s="14"/>
      <c r="C94" s="241"/>
      <c r="D94" s="241"/>
      <c r="E94" s="241"/>
      <c r="F94" s="241"/>
      <c r="G94" s="241"/>
      <c r="H94" s="241"/>
      <c r="I94" s="232"/>
      <c r="J94" s="232"/>
      <c r="K94" s="232"/>
      <c r="L94" s="232"/>
    </row>
    <row r="95" spans="1:12">
      <c r="A95" s="241"/>
      <c r="B95" s="965" t="s">
        <v>1376</v>
      </c>
      <c r="C95" s="241"/>
      <c r="D95" s="241"/>
      <c r="E95" s="241"/>
      <c r="F95" s="241"/>
      <c r="G95" s="241"/>
      <c r="H95" s="241"/>
      <c r="I95" s="232"/>
      <c r="J95" s="232"/>
      <c r="K95" s="232"/>
      <c r="L95" s="232"/>
    </row>
    <row r="96" spans="1:12">
      <c r="A96" s="241"/>
      <c r="B96" s="241" t="s">
        <v>1377</v>
      </c>
      <c r="C96" s="241"/>
      <c r="D96" s="241"/>
      <c r="E96" s="241"/>
      <c r="F96" s="241"/>
      <c r="G96" s="241"/>
      <c r="H96" s="241"/>
      <c r="I96" s="232"/>
      <c r="J96" s="232"/>
      <c r="K96" s="232"/>
      <c r="L96" s="232"/>
    </row>
    <row r="97" spans="1:12">
      <c r="A97" s="241"/>
      <c r="B97" s="241" t="s">
        <v>1378</v>
      </c>
      <c r="C97" s="241"/>
      <c r="D97" s="241"/>
      <c r="E97" s="241"/>
      <c r="F97" s="241"/>
      <c r="G97" s="241"/>
      <c r="H97" s="241"/>
      <c r="I97" s="232"/>
      <c r="J97" s="232"/>
      <c r="K97" s="232"/>
      <c r="L97" s="232"/>
    </row>
    <row r="98" spans="1:12">
      <c r="A98" s="241"/>
      <c r="B98" s="241" t="str">
        <f>"2) Input Prior Year for this Informational Filing in Line "&amp;A42&amp;"."</f>
        <v>2) Input Prior Year for this Informational Filing in Line 13.</v>
      </c>
      <c r="C98" s="14"/>
      <c r="D98" s="14"/>
      <c r="E98" s="14"/>
      <c r="F98" s="14"/>
      <c r="G98" s="14"/>
      <c r="H98" s="14"/>
      <c r="I98" s="232"/>
      <c r="J98" s="232"/>
      <c r="K98" s="232"/>
      <c r="L98" s="232"/>
    </row>
    <row r="99" spans="1:12">
      <c r="A99" s="241"/>
      <c r="B99" s="241" t="str">
        <f>"3) Calculation: (Line "&amp;A34&amp;", "&amp;H25&amp;") + ((Line "&amp;A34&amp;", "&amp;I25&amp;") * (Line "&amp;A42&amp;" - 2010))."</f>
        <v>3) Calculation: (Line 11, Col 1) + ((Line 11, Col 2) * (Line 13 - 2010)).</v>
      </c>
      <c r="C99" s="14"/>
      <c r="D99" s="14"/>
      <c r="E99" s="14"/>
      <c r="F99" s="14"/>
      <c r="G99" s="14"/>
      <c r="H99" s="14"/>
      <c r="I99" s="232"/>
      <c r="J99" s="232"/>
      <c r="K99" s="232"/>
      <c r="L99" s="232"/>
    </row>
    <row r="100" spans="1:12">
      <c r="A100" s="241"/>
      <c r="B100" s="241" t="str">
        <f>"4) Franchise Fee Exclusion is equal to the Franchise Fee Factor on the 28-FFU Line "&amp;'28-FFU'!A22&amp;""</f>
        <v>4) Franchise Fee Exclusion is equal to the Franchise Fee Factor on the 28-FFU Line 5</v>
      </c>
      <c r="C100" s="241"/>
      <c r="D100" s="241"/>
      <c r="E100" s="241"/>
      <c r="F100" s="241"/>
      <c r="G100" s="241"/>
      <c r="H100" s="241"/>
      <c r="I100" s="232"/>
      <c r="J100" s="232"/>
      <c r="K100" s="232"/>
      <c r="L100" s="232"/>
    </row>
    <row r="101" spans="1:12">
      <c r="A101" s="232"/>
      <c r="B101" s="232" t="str">
        <f>"times Line "&amp;A87&amp;" + "&amp;A88&amp;"."</f>
        <v>times Line 39 + 40.</v>
      </c>
      <c r="C101" s="232"/>
      <c r="D101" s="232"/>
      <c r="E101" s="232"/>
      <c r="F101" s="232"/>
      <c r="G101" s="232"/>
      <c r="H101" s="232"/>
      <c r="I101" s="232"/>
      <c r="J101" s="232"/>
      <c r="K101" s="232"/>
      <c r="L101" s="232"/>
    </row>
    <row r="102" spans="1:12">
      <c r="A102" s="232"/>
      <c r="B102" s="241" t="s">
        <v>2245</v>
      </c>
      <c r="C102" s="241"/>
      <c r="D102" s="241"/>
      <c r="E102" s="241"/>
      <c r="F102" s="241"/>
      <c r="G102" s="232"/>
      <c r="H102" s="232"/>
      <c r="I102" s="232"/>
      <c r="J102" s="232"/>
      <c r="K102" s="232"/>
      <c r="L102" s="232"/>
    </row>
    <row r="103" spans="1:12">
      <c r="A103" s="232"/>
      <c r="B103" s="483" t="s">
        <v>2364</v>
      </c>
      <c r="C103" s="232"/>
      <c r="D103" s="232"/>
      <c r="E103" s="232"/>
      <c r="F103" s="232"/>
      <c r="G103" s="232"/>
      <c r="H103" s="232"/>
      <c r="I103" s="232"/>
      <c r="J103" s="232"/>
      <c r="K103" s="232"/>
      <c r="L103" s="232"/>
    </row>
    <row r="104" spans="1:12">
      <c r="A104" s="232"/>
      <c r="B104" s="232"/>
      <c r="C104" s="232"/>
      <c r="D104" s="232"/>
      <c r="E104" s="232"/>
      <c r="F104" s="232"/>
      <c r="G104" s="232"/>
      <c r="H104" s="232"/>
      <c r="I104" s="232"/>
      <c r="J104" s="232"/>
      <c r="K104" s="232"/>
      <c r="L104" s="232"/>
    </row>
    <row r="105" spans="1:12">
      <c r="A105" s="232"/>
      <c r="B105" s="232"/>
      <c r="C105" s="232"/>
      <c r="D105" s="232"/>
      <c r="E105" s="232"/>
      <c r="F105" s="232"/>
      <c r="G105" s="232"/>
      <c r="H105" s="232"/>
      <c r="I105" s="232"/>
      <c r="J105" s="232"/>
      <c r="K105" s="232"/>
      <c r="L105" s="232"/>
    </row>
    <row r="106" spans="1:12">
      <c r="A106" s="232"/>
      <c r="B106" s="232"/>
      <c r="C106" s="232"/>
      <c r="D106" s="232"/>
      <c r="E106" s="232"/>
      <c r="F106" s="232"/>
      <c r="G106" s="232"/>
      <c r="H106" s="232"/>
      <c r="I106" s="232"/>
      <c r="J106" s="232"/>
      <c r="K106" s="232"/>
      <c r="L106" s="232"/>
    </row>
    <row r="107" spans="1:12">
      <c r="A107" s="232"/>
      <c r="B107" s="232"/>
      <c r="C107" s="232"/>
      <c r="D107" s="232"/>
      <c r="E107" s="232"/>
      <c r="F107" s="232"/>
      <c r="G107" s="232"/>
      <c r="H107" s="232"/>
      <c r="I107" s="232"/>
      <c r="J107" s="232"/>
      <c r="K107" s="232"/>
      <c r="L107" s="232"/>
    </row>
    <row r="108" spans="1:12">
      <c r="A108" s="232"/>
      <c r="B108" s="232"/>
      <c r="C108" s="232"/>
      <c r="D108" s="232"/>
      <c r="E108" s="232"/>
      <c r="F108" s="232"/>
      <c r="G108" s="232"/>
      <c r="H108" s="232"/>
      <c r="I108" s="232"/>
      <c r="J108" s="232"/>
      <c r="K108" s="232"/>
      <c r="L108" s="232"/>
    </row>
    <row r="109" spans="1:12">
      <c r="A109" s="232"/>
      <c r="B109" s="232"/>
      <c r="C109" s="232"/>
      <c r="D109" s="232"/>
      <c r="E109" s="232"/>
      <c r="F109" s="232"/>
      <c r="G109" s="232"/>
      <c r="H109" s="232"/>
      <c r="I109" s="232"/>
      <c r="J109" s="232"/>
      <c r="K109" s="232"/>
      <c r="L109" s="232"/>
    </row>
    <row r="110" spans="1:12">
      <c r="A110" s="232"/>
      <c r="B110" s="232"/>
      <c r="C110" s="232"/>
      <c r="D110" s="232"/>
      <c r="E110" s="232"/>
      <c r="F110" s="232"/>
      <c r="G110" s="232"/>
      <c r="H110" s="232"/>
      <c r="I110" s="232"/>
      <c r="J110" s="232"/>
      <c r="K110" s="232"/>
      <c r="L110" s="232"/>
    </row>
    <row r="111" spans="1:12">
      <c r="A111" s="232"/>
      <c r="B111" s="232"/>
      <c r="C111" s="232"/>
      <c r="D111" s="232"/>
      <c r="E111" s="232"/>
      <c r="F111" s="232"/>
      <c r="G111" s="232"/>
      <c r="H111" s="232"/>
      <c r="I111" s="232"/>
      <c r="J111" s="232"/>
      <c r="K111" s="232"/>
      <c r="L111" s="232"/>
    </row>
    <row r="112" spans="1:12">
      <c r="A112" s="232"/>
      <c r="B112" s="232"/>
      <c r="C112" s="232"/>
      <c r="D112" s="232"/>
      <c r="E112" s="232"/>
      <c r="F112" s="232"/>
      <c r="G112" s="232"/>
      <c r="H112" s="232"/>
      <c r="I112" s="232"/>
      <c r="J112" s="232"/>
      <c r="K112" s="232"/>
      <c r="L112" s="232"/>
    </row>
    <row r="113" spans="1:12">
      <c r="A113" s="232"/>
      <c r="B113" s="232"/>
      <c r="C113" s="232"/>
      <c r="D113" s="232"/>
      <c r="E113" s="232"/>
      <c r="F113" s="232"/>
      <c r="G113" s="232"/>
      <c r="H113" s="232"/>
      <c r="I113" s="232"/>
      <c r="J113" s="232"/>
      <c r="K113" s="232"/>
      <c r="L113" s="232"/>
    </row>
    <row r="114" spans="1:12">
      <c r="A114" s="232"/>
      <c r="B114" s="232"/>
      <c r="C114" s="232"/>
      <c r="D114" s="232"/>
      <c r="E114" s="232"/>
      <c r="F114" s="232"/>
      <c r="G114" s="232"/>
      <c r="H114" s="232"/>
      <c r="I114" s="232"/>
      <c r="J114" s="232"/>
      <c r="K114" s="232"/>
      <c r="L114" s="232"/>
    </row>
    <row r="115" spans="1:12">
      <c r="A115" s="232"/>
      <c r="B115" s="232"/>
      <c r="C115" s="232"/>
      <c r="D115" s="232"/>
      <c r="E115" s="232"/>
      <c r="F115" s="232"/>
      <c r="G115" s="232"/>
      <c r="H115" s="232"/>
      <c r="I115" s="232"/>
      <c r="J115" s="232"/>
      <c r="K115" s="232"/>
      <c r="L115" s="232"/>
    </row>
    <row r="116" spans="1:12">
      <c r="A116" s="232"/>
      <c r="B116" s="232"/>
      <c r="C116" s="232"/>
      <c r="D116" s="232"/>
      <c r="E116" s="232"/>
      <c r="F116" s="232"/>
      <c r="G116" s="232"/>
      <c r="H116" s="232"/>
      <c r="I116" s="232"/>
      <c r="J116" s="232"/>
      <c r="K116" s="232"/>
      <c r="L116" s="232"/>
    </row>
    <row r="117" spans="1:12">
      <c r="A117" s="232"/>
      <c r="B117" s="232"/>
      <c r="C117" s="232"/>
      <c r="D117" s="232"/>
      <c r="E117" s="232"/>
      <c r="F117" s="232"/>
      <c r="G117" s="232"/>
      <c r="H117" s="232"/>
      <c r="I117" s="232"/>
      <c r="J117" s="232"/>
      <c r="K117" s="232"/>
      <c r="L117" s="232"/>
    </row>
    <row r="118" spans="1:12">
      <c r="A118" s="232"/>
      <c r="B118" s="232"/>
      <c r="C118" s="232"/>
      <c r="D118" s="232"/>
      <c r="E118" s="232"/>
      <c r="F118" s="232"/>
      <c r="G118" s="232"/>
      <c r="H118" s="232"/>
      <c r="I118" s="232"/>
      <c r="J118" s="232"/>
      <c r="K118" s="232"/>
      <c r="L118" s="232"/>
    </row>
    <row r="119" spans="1:12">
      <c r="A119" s="232"/>
      <c r="B119" s="232"/>
      <c r="C119" s="232"/>
      <c r="D119" s="232"/>
      <c r="E119" s="232"/>
      <c r="F119" s="232"/>
      <c r="G119" s="232"/>
      <c r="H119" s="232"/>
      <c r="I119" s="232"/>
      <c r="J119" s="232"/>
      <c r="K119" s="232"/>
      <c r="L119" s="232"/>
    </row>
    <row r="120" spans="1:12">
      <c r="A120" s="232"/>
      <c r="B120" s="232"/>
      <c r="C120" s="232"/>
      <c r="D120" s="232"/>
      <c r="E120" s="232"/>
      <c r="F120" s="232"/>
      <c r="G120" s="232"/>
      <c r="H120" s="232"/>
      <c r="I120" s="232"/>
      <c r="J120" s="232"/>
      <c r="K120" s="232"/>
      <c r="L120" s="232"/>
    </row>
    <row r="121" spans="1:12">
      <c r="A121" s="232"/>
      <c r="B121" s="232"/>
      <c r="C121" s="232"/>
      <c r="D121" s="232"/>
      <c r="E121" s="232"/>
      <c r="F121" s="232"/>
      <c r="G121" s="232"/>
      <c r="H121" s="232"/>
      <c r="I121" s="232"/>
      <c r="J121" s="232"/>
      <c r="K121" s="232"/>
      <c r="L121" s="232"/>
    </row>
    <row r="122" spans="1:12">
      <c r="A122" s="232"/>
      <c r="B122" s="232"/>
      <c r="C122" s="232"/>
      <c r="D122" s="232"/>
      <c r="E122" s="232"/>
      <c r="F122" s="232"/>
      <c r="G122" s="232"/>
      <c r="H122" s="232"/>
      <c r="I122" s="232"/>
      <c r="J122" s="232"/>
      <c r="K122" s="232"/>
      <c r="L122" s="232"/>
    </row>
    <row r="123" spans="1:12">
      <c r="A123" s="232"/>
      <c r="B123" s="232"/>
      <c r="C123" s="232"/>
      <c r="D123" s="232"/>
      <c r="E123" s="232"/>
      <c r="F123" s="232"/>
      <c r="G123" s="232"/>
      <c r="H123" s="232"/>
      <c r="I123" s="232"/>
      <c r="J123" s="232"/>
      <c r="K123" s="232"/>
      <c r="L123" s="232"/>
    </row>
    <row r="124" spans="1:12">
      <c r="A124" s="232"/>
      <c r="B124" s="232"/>
      <c r="C124" s="232"/>
      <c r="D124" s="232"/>
      <c r="E124" s="232"/>
      <c r="F124" s="232"/>
      <c r="G124" s="232"/>
      <c r="H124" s="232"/>
      <c r="I124" s="232"/>
      <c r="J124" s="232"/>
      <c r="K124" s="232"/>
      <c r="L124" s="232"/>
    </row>
    <row r="125" spans="1:12">
      <c r="A125" s="232"/>
      <c r="B125" s="232"/>
      <c r="C125" s="232"/>
      <c r="D125" s="232"/>
      <c r="E125" s="232"/>
      <c r="F125" s="232"/>
      <c r="G125" s="232"/>
      <c r="H125" s="232"/>
      <c r="I125" s="232"/>
      <c r="J125" s="232"/>
      <c r="K125" s="232"/>
      <c r="L125" s="232"/>
    </row>
    <row r="126" spans="1:12">
      <c r="A126" s="232"/>
      <c r="B126" s="232"/>
      <c r="C126" s="232"/>
      <c r="D126" s="232"/>
      <c r="E126" s="232"/>
      <c r="F126" s="232"/>
      <c r="G126" s="232"/>
      <c r="H126" s="232"/>
      <c r="I126" s="232"/>
      <c r="J126" s="232"/>
      <c r="K126" s="232"/>
      <c r="L126" s="232"/>
    </row>
    <row r="127" spans="1:12">
      <c r="A127" s="232"/>
      <c r="B127" s="232"/>
      <c r="C127" s="232"/>
      <c r="D127" s="232"/>
      <c r="E127" s="232"/>
      <c r="F127" s="232"/>
      <c r="G127" s="232"/>
      <c r="H127" s="232"/>
      <c r="I127" s="232"/>
      <c r="J127" s="232"/>
      <c r="K127" s="232"/>
      <c r="L127" s="232"/>
    </row>
    <row r="128" spans="1:12">
      <c r="A128" s="232"/>
      <c r="B128" s="232"/>
      <c r="C128" s="232"/>
      <c r="D128" s="232"/>
      <c r="E128" s="232"/>
      <c r="F128" s="232"/>
      <c r="G128" s="232"/>
      <c r="H128" s="232"/>
      <c r="I128" s="232"/>
      <c r="J128" s="232"/>
      <c r="K128" s="232"/>
      <c r="L128" s="232"/>
    </row>
    <row r="129" spans="1:12">
      <c r="A129" s="232"/>
      <c r="B129" s="232"/>
      <c r="C129" s="232"/>
      <c r="D129" s="232"/>
      <c r="E129" s="232"/>
      <c r="F129" s="232"/>
      <c r="G129" s="232"/>
      <c r="H129" s="232"/>
      <c r="I129" s="232"/>
      <c r="J129" s="232"/>
      <c r="K129" s="232"/>
      <c r="L129" s="232"/>
    </row>
    <row r="130" spans="1:12">
      <c r="A130" s="232"/>
      <c r="B130" s="232"/>
      <c r="C130" s="232"/>
      <c r="D130" s="232"/>
      <c r="E130" s="232"/>
      <c r="F130" s="232"/>
      <c r="G130" s="232"/>
      <c r="H130" s="232"/>
      <c r="I130" s="232"/>
      <c r="J130" s="232"/>
      <c r="K130" s="232"/>
      <c r="L130" s="232"/>
    </row>
    <row r="131" spans="1:12">
      <c r="A131" s="232"/>
      <c r="B131" s="232"/>
      <c r="C131" s="232"/>
      <c r="D131" s="232"/>
      <c r="E131" s="232"/>
      <c r="F131" s="232"/>
      <c r="G131" s="232"/>
      <c r="H131" s="232"/>
      <c r="I131" s="232"/>
      <c r="J131" s="232"/>
      <c r="K131" s="232"/>
      <c r="L131" s="232"/>
    </row>
    <row r="132" spans="1:12">
      <c r="A132" s="232"/>
      <c r="B132" s="232"/>
      <c r="C132" s="232"/>
      <c r="D132" s="232"/>
      <c r="E132" s="232"/>
      <c r="F132" s="232"/>
      <c r="G132" s="232"/>
      <c r="H132" s="232"/>
      <c r="I132" s="232"/>
      <c r="J132" s="232"/>
      <c r="K132" s="232"/>
      <c r="L132" s="232"/>
    </row>
    <row r="133" spans="1:12">
      <c r="A133" s="232"/>
      <c r="B133" s="232"/>
      <c r="C133" s="232"/>
      <c r="D133" s="232"/>
      <c r="E133" s="232"/>
      <c r="F133" s="232"/>
      <c r="G133" s="232"/>
      <c r="H133" s="232"/>
      <c r="I133" s="232"/>
      <c r="J133" s="232"/>
      <c r="K133" s="232"/>
      <c r="L133" s="232"/>
    </row>
    <row r="134" spans="1:12">
      <c r="A134" s="232"/>
      <c r="B134" s="232"/>
      <c r="C134" s="232"/>
      <c r="D134" s="232"/>
      <c r="E134" s="232"/>
      <c r="F134" s="232"/>
      <c r="G134" s="232"/>
      <c r="H134" s="232"/>
      <c r="I134" s="232"/>
      <c r="J134" s="232"/>
      <c r="K134" s="232"/>
      <c r="L134" s="232"/>
    </row>
    <row r="135" spans="1:12">
      <c r="A135" s="232"/>
      <c r="B135" s="232"/>
      <c r="C135" s="232"/>
      <c r="D135" s="232"/>
      <c r="E135" s="232"/>
      <c r="F135" s="232"/>
      <c r="G135" s="232"/>
      <c r="H135" s="232"/>
      <c r="I135" s="232"/>
      <c r="J135" s="232"/>
      <c r="K135" s="232"/>
      <c r="L135" s="232"/>
    </row>
    <row r="136" spans="1:12">
      <c r="A136" s="232"/>
      <c r="B136" s="232"/>
      <c r="C136" s="232"/>
      <c r="D136" s="232"/>
      <c r="E136" s="232"/>
      <c r="F136" s="232"/>
      <c r="G136" s="232"/>
      <c r="H136" s="232"/>
      <c r="I136" s="232"/>
      <c r="J136" s="232"/>
      <c r="K136" s="232"/>
      <c r="L136" s="232"/>
    </row>
    <row r="137" spans="1:12">
      <c r="A137" s="232"/>
      <c r="B137" s="232"/>
      <c r="C137" s="232"/>
      <c r="D137" s="232"/>
      <c r="E137" s="232"/>
      <c r="F137" s="232"/>
      <c r="G137" s="232"/>
      <c r="H137" s="232"/>
      <c r="I137" s="232"/>
      <c r="J137" s="232"/>
      <c r="K137" s="232"/>
      <c r="L137" s="232"/>
    </row>
    <row r="138" spans="1:12">
      <c r="A138" s="232"/>
      <c r="B138" s="232"/>
      <c r="C138" s="232"/>
      <c r="D138" s="232"/>
      <c r="E138" s="232"/>
      <c r="F138" s="232"/>
      <c r="G138" s="232"/>
      <c r="H138" s="232"/>
      <c r="I138" s="232"/>
      <c r="J138" s="232"/>
      <c r="K138" s="232"/>
      <c r="L138" s="232"/>
    </row>
    <row r="139" spans="1:12">
      <c r="A139" s="232"/>
      <c r="B139" s="232"/>
      <c r="C139" s="232"/>
      <c r="D139" s="232"/>
      <c r="E139" s="232"/>
      <c r="F139" s="232"/>
      <c r="G139" s="232"/>
      <c r="H139" s="232"/>
      <c r="I139" s="232"/>
      <c r="J139" s="232"/>
      <c r="K139" s="232"/>
      <c r="L139" s="232"/>
    </row>
    <row r="140" spans="1:12">
      <c r="A140" s="232"/>
      <c r="B140" s="232"/>
      <c r="C140" s="232"/>
      <c r="D140" s="232"/>
      <c r="E140" s="232"/>
      <c r="F140" s="232"/>
      <c r="G140" s="232"/>
      <c r="H140" s="232"/>
      <c r="I140" s="232"/>
      <c r="J140" s="232"/>
      <c r="K140" s="232"/>
      <c r="L140" s="232"/>
    </row>
    <row r="141" spans="1:12">
      <c r="A141" s="232"/>
      <c r="B141" s="232"/>
      <c r="C141" s="232"/>
      <c r="D141" s="232"/>
      <c r="E141" s="232"/>
      <c r="F141" s="232"/>
      <c r="G141" s="232"/>
      <c r="H141" s="232"/>
      <c r="I141" s="232"/>
      <c r="J141" s="232"/>
      <c r="K141" s="232"/>
      <c r="L141" s="232"/>
    </row>
    <row r="142" spans="1:12">
      <c r="A142" s="232"/>
      <c r="B142" s="232"/>
      <c r="C142" s="232"/>
      <c r="D142" s="232"/>
      <c r="E142" s="232"/>
      <c r="F142" s="232"/>
      <c r="G142" s="232"/>
      <c r="H142" s="232"/>
      <c r="I142" s="232"/>
      <c r="J142" s="232"/>
      <c r="K142" s="232"/>
      <c r="L142" s="232"/>
    </row>
    <row r="143" spans="1:12">
      <c r="A143" s="232"/>
      <c r="B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sheetData>
  <pageMargins left="0.7" right="0.7" top="0.75" bottom="0.75" header="0.3" footer="0.3"/>
  <pageSetup scale="80" orientation="portrait" cellComments="asDisplayed" r:id="rId1"/>
  <headerFooter>
    <oddHeader>&amp;CSchedule 25
Wholesale Differences to Base TRR
&amp;RTO2019 Draft Annual Update 
Attachment1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2.140625" bestFit="1" customWidth="1"/>
  </cols>
  <sheetData>
    <row r="1" spans="1:5">
      <c r="A1" s="1" t="s">
        <v>2420</v>
      </c>
    </row>
    <row r="3" spans="1:5">
      <c r="B3" s="1" t="s">
        <v>36</v>
      </c>
      <c r="E3" s="97" t="s">
        <v>17</v>
      </c>
    </row>
    <row r="4" spans="1:5">
      <c r="D4" s="2" t="s">
        <v>37</v>
      </c>
    </row>
    <row r="5" spans="1:5">
      <c r="C5" s="1350" t="s">
        <v>2757</v>
      </c>
      <c r="D5" s="2" t="s">
        <v>408</v>
      </c>
    </row>
    <row r="6" spans="1:5">
      <c r="A6" s="3" t="s">
        <v>332</v>
      </c>
      <c r="C6" s="3" t="s">
        <v>193</v>
      </c>
      <c r="D6" s="3" t="s">
        <v>410</v>
      </c>
      <c r="E6" s="3" t="s">
        <v>179</v>
      </c>
    </row>
    <row r="7" spans="1:5">
      <c r="A7" s="2">
        <v>1</v>
      </c>
      <c r="C7" s="548">
        <v>2019</v>
      </c>
      <c r="D7" s="1361">
        <v>0.21</v>
      </c>
      <c r="E7" s="964" t="s">
        <v>364</v>
      </c>
    </row>
    <row r="8" spans="1:5">
      <c r="A8" s="2">
        <f>A7+1</f>
        <v>2</v>
      </c>
      <c r="E8" s="482"/>
    </row>
    <row r="9" spans="1:5">
      <c r="A9" s="2">
        <f t="shared" ref="A9:A23" si="0">A8+1</f>
        <v>3</v>
      </c>
      <c r="B9" s="1" t="s">
        <v>38</v>
      </c>
      <c r="E9" s="1075"/>
    </row>
    <row r="10" spans="1:5">
      <c r="A10" s="2">
        <f t="shared" si="0"/>
        <v>4</v>
      </c>
      <c r="B10" s="1"/>
      <c r="D10" s="2"/>
      <c r="E10" s="1075"/>
    </row>
    <row r="11" spans="1:5">
      <c r="A11" s="2">
        <f t="shared" si="0"/>
        <v>5</v>
      </c>
      <c r="D11" s="2" t="s">
        <v>283</v>
      </c>
      <c r="E11" s="1075"/>
    </row>
    <row r="12" spans="1:5">
      <c r="A12" s="2">
        <f t="shared" si="0"/>
        <v>6</v>
      </c>
      <c r="C12" s="1350" t="s">
        <v>2757</v>
      </c>
      <c r="D12" s="2" t="s">
        <v>408</v>
      </c>
      <c r="E12" s="1075"/>
    </row>
    <row r="13" spans="1:5">
      <c r="A13" s="2">
        <f t="shared" si="0"/>
        <v>7</v>
      </c>
      <c r="C13" s="3" t="s">
        <v>193</v>
      </c>
      <c r="D13" s="3" t="s">
        <v>409</v>
      </c>
      <c r="E13" s="3" t="s">
        <v>179</v>
      </c>
    </row>
    <row r="14" spans="1:5">
      <c r="A14" s="2">
        <f t="shared" si="0"/>
        <v>8</v>
      </c>
      <c r="C14" s="548">
        <v>2019</v>
      </c>
      <c r="D14" s="1193">
        <v>8.8400000000000006E-2</v>
      </c>
      <c r="E14" s="964" t="s">
        <v>365</v>
      </c>
    </row>
    <row r="15" spans="1:5">
      <c r="A15" s="2">
        <f t="shared" si="0"/>
        <v>9</v>
      </c>
      <c r="C15" s="54"/>
      <c r="D15" s="14"/>
      <c r="E15" s="13"/>
    </row>
    <row r="16" spans="1:5">
      <c r="A16" s="2">
        <f t="shared" si="0"/>
        <v>10</v>
      </c>
      <c r="C16" s="54"/>
      <c r="D16" s="14"/>
      <c r="E16" s="16"/>
    </row>
    <row r="17" spans="1:9">
      <c r="A17" s="2">
        <f t="shared" si="0"/>
        <v>11</v>
      </c>
      <c r="C17" s="61"/>
      <c r="E17" s="16"/>
    </row>
    <row r="18" spans="1:9" ht="12.75" customHeight="1">
      <c r="A18" s="580">
        <f t="shared" si="0"/>
        <v>12</v>
      </c>
      <c r="B18" s="1" t="s">
        <v>1659</v>
      </c>
      <c r="E18" s="16"/>
    </row>
    <row r="19" spans="1:9" ht="12.75" customHeight="1">
      <c r="A19" s="580">
        <f t="shared" si="0"/>
        <v>13</v>
      </c>
      <c r="E19" s="115"/>
      <c r="F19" s="3" t="s">
        <v>175</v>
      </c>
    </row>
    <row r="20" spans="1:9" ht="12.75" customHeight="1">
      <c r="A20" s="580">
        <f t="shared" si="0"/>
        <v>14</v>
      </c>
      <c r="B20" s="14"/>
      <c r="C20" s="14" t="str">
        <f>"Total Electric Payroll Tax Expense (From 1-BaseTRR, Line "&amp;'1-BaseTRR'!A52&amp;")"</f>
        <v>Total Electric Payroll Tax Expense (From 1-BaseTRR, Line 31)</v>
      </c>
      <c r="D20" s="14"/>
      <c r="E20" s="14"/>
      <c r="F20" s="7">
        <f>'1-BaseTRR'!K52</f>
        <v>117049541</v>
      </c>
      <c r="G20" s="12"/>
    </row>
    <row r="21" spans="1:9" ht="12.75" customHeight="1">
      <c r="A21" s="580">
        <f t="shared" si="0"/>
        <v>15</v>
      </c>
      <c r="B21" s="14"/>
      <c r="C21" s="485" t="s">
        <v>2416</v>
      </c>
      <c r="D21" s="14"/>
      <c r="E21" s="14"/>
      <c r="F21" s="602">
        <v>0.39800000000000002</v>
      </c>
      <c r="G21" s="12"/>
    </row>
    <row r="22" spans="1:9" ht="12.75" customHeight="1">
      <c r="A22" s="580">
        <f t="shared" si="0"/>
        <v>16</v>
      </c>
      <c r="B22" s="14"/>
      <c r="C22" s="485" t="str">
        <f>"Capitalized Overhead portion of Electric Payroll Tax Expense (Line "&amp;A20&amp;" * Line "&amp;A21&amp;")"</f>
        <v>Capitalized Overhead portion of Electric Payroll Tax Expense (Line 14 * Line 15)</v>
      </c>
      <c r="D22" s="14"/>
      <c r="E22" s="14"/>
      <c r="F22" s="463">
        <f>F20*F21</f>
        <v>46585717.318000004</v>
      </c>
      <c r="G22" s="485"/>
      <c r="H22" s="14"/>
      <c r="I22" s="485"/>
    </row>
    <row r="23" spans="1:9">
      <c r="A23" s="580">
        <f t="shared" si="0"/>
        <v>17</v>
      </c>
      <c r="B23" s="14"/>
      <c r="C23" s="485" t="str">
        <f>"Non-Capitalized Overhead portion of Electric Payroll Tax Expense (Line "&amp;A20&amp;" - Line "&amp;A22&amp;")"</f>
        <v>Non-Capitalized Overhead portion of Electric Payroll Tax Expense (Line 14 - Line 16)</v>
      </c>
      <c r="D23" s="14"/>
      <c r="E23" s="14"/>
      <c r="F23" s="7">
        <f>F20-F22</f>
        <v>70463823.681999996</v>
      </c>
      <c r="G23" s="12"/>
      <c r="H23" s="14"/>
    </row>
    <row r="25" spans="1:9">
      <c r="B25" s="51" t="s">
        <v>232</v>
      </c>
    </row>
    <row r="26" spans="1:9" ht="15">
      <c r="B26" s="1016" t="s">
        <v>2417</v>
      </c>
      <c r="C26" s="14"/>
      <c r="D26" s="1317" t="s">
        <v>2816</v>
      </c>
      <c r="E26" s="97"/>
      <c r="F26" s="97"/>
    </row>
    <row r="27" spans="1:9">
      <c r="B27" s="1016" t="s">
        <v>2419</v>
      </c>
      <c r="C27" s="14"/>
      <c r="D27" s="14"/>
      <c r="E27" s="14"/>
      <c r="F27" s="14"/>
    </row>
    <row r="28" spans="1:9">
      <c r="B28" s="687"/>
      <c r="C28" s="14"/>
      <c r="D28" s="97" t="s">
        <v>2817</v>
      </c>
      <c r="E28" s="97"/>
      <c r="F28" s="97"/>
    </row>
    <row r="29" spans="1:9">
      <c r="B29" s="485" t="s">
        <v>2418</v>
      </c>
      <c r="C29" s="14"/>
      <c r="D29" s="14"/>
      <c r="E29" s="1081" t="s">
        <v>2882</v>
      </c>
    </row>
    <row r="30" spans="1:9">
      <c r="B30" s="482" t="s">
        <v>1827</v>
      </c>
      <c r="C30" s="14"/>
      <c r="D30" s="14"/>
      <c r="E30" s="1047" t="s">
        <v>2887</v>
      </c>
    </row>
    <row r="31" spans="1:9">
      <c r="B31" s="1351" t="s">
        <v>2758</v>
      </c>
    </row>
    <row r="32" spans="1:9">
      <c r="B32" s="1351" t="s">
        <v>2759</v>
      </c>
    </row>
    <row r="33" spans="2:2">
      <c r="B33" s="1351" t="s">
        <v>2760</v>
      </c>
    </row>
    <row r="34" spans="2:2">
      <c r="B34" s="1351" t="s">
        <v>2761</v>
      </c>
    </row>
    <row r="35" spans="2:2">
      <c r="B35" s="1351" t="s">
        <v>2762</v>
      </c>
    </row>
    <row r="36" spans="2:2">
      <c r="B36" s="1351" t="s">
        <v>2763</v>
      </c>
    </row>
    <row r="37" spans="2:2">
      <c r="B37" s="1351" t="s">
        <v>2764</v>
      </c>
    </row>
    <row r="38" spans="2:2">
      <c r="B38" s="1351" t="s">
        <v>2765</v>
      </c>
    </row>
    <row r="39" spans="2:2">
      <c r="B39" s="1351" t="s">
        <v>2766</v>
      </c>
    </row>
    <row r="40" spans="2:2">
      <c r="B40" s="1351" t="s">
        <v>2767</v>
      </c>
    </row>
  </sheetData>
  <phoneticPr fontId="22" type="noConversion"/>
  <pageMargins left="0.75" right="0.75" top="1" bottom="1" header="0.5" footer="0.5"/>
  <pageSetup scale="75" orientation="portrait" cellComments="asDisplayed" r:id="rId1"/>
  <headerFooter alignWithMargins="0">
    <oddHeader>&amp;CSchedule 26
Tax Rates
&amp;RTO2019 Draft Annual Update 
Attachment1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activeCell="G14" sqref="G14"/>
    </sheetView>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202</v>
      </c>
      <c r="B1" s="1"/>
    </row>
    <row r="2" spans="1:9">
      <c r="A2" s="1"/>
      <c r="B2" s="1"/>
      <c r="E2" s="97" t="s">
        <v>17</v>
      </c>
    </row>
    <row r="3" spans="1:9">
      <c r="A3" s="2"/>
      <c r="B3" s="1" t="s">
        <v>1136</v>
      </c>
      <c r="G3" s="99"/>
    </row>
    <row r="4" spans="1:9">
      <c r="A4" s="2"/>
      <c r="C4" s="1"/>
      <c r="D4" s="2"/>
      <c r="E4" s="2" t="s">
        <v>169</v>
      </c>
      <c r="G4" s="4" t="s">
        <v>63</v>
      </c>
    </row>
    <row r="5" spans="1:9">
      <c r="A5" s="51" t="s">
        <v>332</v>
      </c>
      <c r="C5" s="1"/>
      <c r="D5" s="3" t="s">
        <v>168</v>
      </c>
      <c r="E5" s="3" t="s">
        <v>170</v>
      </c>
      <c r="G5" s="3" t="s">
        <v>171</v>
      </c>
    </row>
    <row r="6" spans="1:9">
      <c r="A6" s="2">
        <v>1</v>
      </c>
      <c r="C6" s="66" t="s">
        <v>335</v>
      </c>
      <c r="D6" s="14"/>
      <c r="E6" s="15" t="str">
        <f>"19-OandM Line "&amp;'19-OandM'!A124&amp;", Col. 7"</f>
        <v>19-OandM Line 91, Col. 7</v>
      </c>
      <c r="G6" s="7">
        <f>'19-OandM'!H124</f>
        <v>35938613.481827594</v>
      </c>
      <c r="I6" s="12"/>
    </row>
    <row r="7" spans="1:9">
      <c r="A7" s="2">
        <f>A6+1</f>
        <v>2</v>
      </c>
      <c r="C7" s="66" t="s">
        <v>239</v>
      </c>
      <c r="D7" s="14"/>
      <c r="E7" s="15" t="s">
        <v>286</v>
      </c>
      <c r="G7" s="6">
        <v>749285680</v>
      </c>
    </row>
    <row r="8" spans="1:9">
      <c r="A8" s="2">
        <f t="shared" ref="A8:A43" si="0">A7+1</f>
        <v>3</v>
      </c>
      <c r="C8" s="5" t="s">
        <v>240</v>
      </c>
      <c r="D8" s="14"/>
      <c r="E8" s="15" t="s">
        <v>287</v>
      </c>
      <c r="G8" s="6">
        <v>210410528</v>
      </c>
    </row>
    <row r="9" spans="1:9">
      <c r="A9" s="2">
        <f t="shared" si="0"/>
        <v>4</v>
      </c>
      <c r="C9" s="66" t="s">
        <v>1142</v>
      </c>
      <c r="D9" s="14"/>
      <c r="E9" s="15" t="str">
        <f>"Line "&amp;A7&amp;" - Line "&amp;A8&amp;""</f>
        <v>Line 2 - Line 3</v>
      </c>
      <c r="G9" s="7">
        <f>G7-G8</f>
        <v>538875152</v>
      </c>
    </row>
    <row r="10" spans="1:9">
      <c r="A10" s="2">
        <f t="shared" si="0"/>
        <v>5</v>
      </c>
      <c r="C10" s="1017" t="s">
        <v>2047</v>
      </c>
      <c r="D10" s="14"/>
      <c r="E10" s="15" t="str">
        <f>"20-AandG, Note 2"</f>
        <v>20-AandG, Note 2</v>
      </c>
      <c r="G10" s="63">
        <f>'20-AandG'!E63</f>
        <v>88782682.320590109</v>
      </c>
      <c r="I10" s="12"/>
    </row>
    <row r="11" spans="1:9">
      <c r="A11" s="2">
        <f t="shared" si="0"/>
        <v>6</v>
      </c>
      <c r="C11" s="967" t="s">
        <v>2043</v>
      </c>
      <c r="D11" s="14"/>
      <c r="E11" s="15" t="str">
        <f>"20-AandG, Note 2"</f>
        <v>20-AandG, Note 2</v>
      </c>
      <c r="G11" s="101">
        <f>'20-AandG'!E60</f>
        <v>30108714.639316365</v>
      </c>
    </row>
    <row r="12" spans="1:9">
      <c r="A12" s="2">
        <f t="shared" si="0"/>
        <v>7</v>
      </c>
      <c r="C12" s="1017" t="s">
        <v>2044</v>
      </c>
      <c r="D12" s="14"/>
      <c r="E12" s="15" t="str">
        <f>"Line "&amp;A10&amp;" - Line "&amp;A11&amp;""</f>
        <v>Line 5 - Line 6</v>
      </c>
      <c r="G12" s="7">
        <f>G10-G11</f>
        <v>58673967.681273744</v>
      </c>
    </row>
    <row r="13" spans="1:9">
      <c r="A13" s="2">
        <f t="shared" si="0"/>
        <v>8</v>
      </c>
      <c r="C13" s="1017" t="s">
        <v>2045</v>
      </c>
      <c r="D13" s="14"/>
      <c r="E13" s="15" t="str">
        <f>"Line "&amp;A9&amp;" + Line "&amp;A12&amp;""</f>
        <v>Line 4 + Line 7</v>
      </c>
      <c r="G13" s="7">
        <f>G9+G12</f>
        <v>597549119.6812737</v>
      </c>
    </row>
    <row r="14" spans="1:9">
      <c r="A14" s="2">
        <f t="shared" si="0"/>
        <v>9</v>
      </c>
      <c r="C14" s="14" t="s">
        <v>200</v>
      </c>
      <c r="D14" s="14"/>
      <c r="E14" s="15" t="str">
        <f>"Line "&amp;A6&amp;" / Line "&amp;A13&amp;""</f>
        <v>Line 1 / Line 8</v>
      </c>
      <c r="G14" s="8">
        <f>G6/G13</f>
        <v>6.0143362776597958E-2</v>
      </c>
    </row>
    <row r="15" spans="1:9">
      <c r="A15" s="2">
        <f t="shared" si="0"/>
        <v>10</v>
      </c>
      <c r="C15" s="14"/>
      <c r="D15" s="14"/>
      <c r="E15" s="14"/>
    </row>
    <row r="16" spans="1:9">
      <c r="A16" s="2">
        <f t="shared" si="0"/>
        <v>11</v>
      </c>
      <c r="B16" s="1" t="s">
        <v>1137</v>
      </c>
      <c r="C16" s="14"/>
      <c r="D16" s="14"/>
      <c r="E16" s="14"/>
      <c r="G16" s="99"/>
    </row>
    <row r="17" spans="1:11">
      <c r="A17" s="2">
        <f t="shared" si="0"/>
        <v>12</v>
      </c>
      <c r="C17" s="14"/>
      <c r="D17" s="111"/>
      <c r="E17" s="111" t="s">
        <v>169</v>
      </c>
      <c r="G17" s="4" t="s">
        <v>63</v>
      </c>
    </row>
    <row r="18" spans="1:11">
      <c r="A18" s="2">
        <f t="shared" si="0"/>
        <v>13</v>
      </c>
      <c r="C18" s="14"/>
      <c r="D18" s="125" t="s">
        <v>168</v>
      </c>
      <c r="E18" s="125" t="s">
        <v>170</v>
      </c>
      <c r="G18" s="3" t="s">
        <v>171</v>
      </c>
    </row>
    <row r="19" spans="1:11">
      <c r="A19" s="2">
        <f t="shared" si="0"/>
        <v>14</v>
      </c>
      <c r="C19" s="14" t="s">
        <v>336</v>
      </c>
      <c r="D19" s="14"/>
      <c r="E19" s="15" t="str">
        <f>"7-PlantStudy, Line "&amp;'7-PlantStudy'!A28&amp;""</f>
        <v>7-PlantStudy, Line 21</v>
      </c>
      <c r="G19" s="63">
        <f>'7-PlantStudy'!E28</f>
        <v>8573445553.0836601</v>
      </c>
    </row>
    <row r="20" spans="1:11">
      <c r="A20" s="2">
        <f t="shared" si="0"/>
        <v>15</v>
      </c>
      <c r="C20" s="14" t="s">
        <v>337</v>
      </c>
      <c r="D20" s="14"/>
      <c r="E20" s="15" t="str">
        <f>"7-PlantStudy, Line "&amp;'7-PlantStudy'!A42&amp;""</f>
        <v>7-PlantStudy, Line 30</v>
      </c>
      <c r="G20" s="63">
        <f>'7-PlantStudy'!E42</f>
        <v>0</v>
      </c>
    </row>
    <row r="21" spans="1:11">
      <c r="A21" s="2">
        <f t="shared" si="0"/>
        <v>16</v>
      </c>
      <c r="C21" s="14" t="s">
        <v>59</v>
      </c>
      <c r="D21" s="14"/>
      <c r="E21" s="15" t="str">
        <f>"6-PlantInService, Line "&amp;'6-PlantInService'!A53&amp;", C2"</f>
        <v>6-PlantInService, Line 21, C2</v>
      </c>
      <c r="G21" s="63">
        <f>'6-PlantInService'!G53</f>
        <v>1324870316</v>
      </c>
      <c r="H21" s="99"/>
    </row>
    <row r="22" spans="1:11">
      <c r="A22" s="2">
        <f t="shared" si="0"/>
        <v>17</v>
      </c>
      <c r="C22" s="14" t="s">
        <v>2461</v>
      </c>
      <c r="D22" s="14"/>
      <c r="E22" s="14" t="str">
        <f>"Line "&amp;A21&amp;" * Line "&amp;A14&amp;""</f>
        <v>Line 16 * Line 9</v>
      </c>
      <c r="G22" s="63">
        <f>G21*G14</f>
        <v>79682156.047133967</v>
      </c>
    </row>
    <row r="23" spans="1:11">
      <c r="A23" s="2">
        <f t="shared" si="0"/>
        <v>18</v>
      </c>
      <c r="C23" s="14" t="s">
        <v>58</v>
      </c>
      <c r="D23" s="14"/>
      <c r="E23" s="15" t="str">
        <f>"6-PlantInService, Line "&amp;'6-PlantInService'!A53&amp;", C1"</f>
        <v>6-PlantInService, Line 21, C1</v>
      </c>
      <c r="G23" s="63">
        <f>'6-PlantInService'!F53</f>
        <v>3102162333</v>
      </c>
    </row>
    <row r="24" spans="1:11">
      <c r="A24" s="2">
        <f t="shared" si="0"/>
        <v>19</v>
      </c>
      <c r="C24" s="14" t="s">
        <v>2462</v>
      </c>
      <c r="D24" s="14"/>
      <c r="E24" s="14" t="str">
        <f>"Line "&amp;A23&amp;" * Line "&amp;A14&amp;""</f>
        <v>Line 18 * Line 9</v>
      </c>
      <c r="G24" s="63">
        <f>G23*G14</f>
        <v>186574474.58551648</v>
      </c>
    </row>
    <row r="25" spans="1:11">
      <c r="A25" s="2">
        <f t="shared" si="0"/>
        <v>20</v>
      </c>
      <c r="C25" s="15" t="s">
        <v>1140</v>
      </c>
      <c r="D25" s="14"/>
      <c r="E25" s="14" t="s">
        <v>34</v>
      </c>
      <c r="G25" s="6">
        <v>46164121713</v>
      </c>
    </row>
    <row r="26" spans="1:11">
      <c r="A26" s="2">
        <f t="shared" si="0"/>
        <v>21</v>
      </c>
      <c r="C26" s="14"/>
      <c r="D26" s="14"/>
      <c r="E26" s="14"/>
      <c r="G26" s="99"/>
    </row>
    <row r="27" spans="1:11">
      <c r="A27" s="2">
        <f t="shared" si="0"/>
        <v>22</v>
      </c>
      <c r="C27" s="14" t="s">
        <v>57</v>
      </c>
      <c r="D27" s="14"/>
      <c r="E27" s="15" t="str">
        <f>"(L"&amp;A19&amp;" + L"&amp;A20&amp;" + L"&amp;A22&amp;" + L"&amp;A24&amp;") / L"&amp;A25&amp;""</f>
        <v>(L14 + L15 + L17 + L19) / L20</v>
      </c>
      <c r="G27" s="8">
        <f>(G19+G20+G22+G24)/G25</f>
        <v>0.19148424914638884</v>
      </c>
    </row>
    <row r="28" spans="1:11">
      <c r="A28" s="580">
        <f t="shared" si="0"/>
        <v>23</v>
      </c>
      <c r="C28" s="14"/>
      <c r="D28" s="14"/>
      <c r="E28" s="15"/>
      <c r="G28" s="8"/>
    </row>
    <row r="29" spans="1:11">
      <c r="A29" s="111">
        <f t="shared" si="0"/>
        <v>24</v>
      </c>
      <c r="B29" s="44" t="s">
        <v>1868</v>
      </c>
      <c r="C29" s="14"/>
      <c r="D29" s="14"/>
      <c r="E29" s="14"/>
      <c r="F29" s="14"/>
      <c r="G29" s="14"/>
      <c r="H29" s="14"/>
      <c r="I29" s="14"/>
      <c r="J29" s="14"/>
      <c r="K29" s="14"/>
    </row>
    <row r="30" spans="1:11">
      <c r="A30" s="111">
        <f t="shared" si="0"/>
        <v>25</v>
      </c>
      <c r="B30" s="485"/>
      <c r="C30" s="14"/>
      <c r="D30" s="14"/>
      <c r="E30" s="14"/>
      <c r="F30" s="14"/>
      <c r="G30" s="14"/>
      <c r="H30" s="14"/>
      <c r="I30" s="14"/>
      <c r="J30" s="14"/>
      <c r="K30" s="14"/>
    </row>
    <row r="31" spans="1:11">
      <c r="A31" s="111">
        <f t="shared" si="0"/>
        <v>26</v>
      </c>
      <c r="B31" s="485" t="s">
        <v>2481</v>
      </c>
      <c r="C31" s="14"/>
      <c r="D31" s="125" t="s">
        <v>1811</v>
      </c>
      <c r="E31" s="125" t="s">
        <v>168</v>
      </c>
      <c r="F31" s="14"/>
      <c r="G31" s="566" t="s">
        <v>1812</v>
      </c>
      <c r="H31" s="14"/>
      <c r="I31" s="14"/>
      <c r="J31" s="14"/>
      <c r="K31" s="14"/>
    </row>
    <row r="32" spans="1:11">
      <c r="A32" s="111">
        <f t="shared" si="0"/>
        <v>27</v>
      </c>
      <c r="B32" s="14"/>
      <c r="C32" s="485" t="s">
        <v>1813</v>
      </c>
      <c r="D32" s="1071">
        <v>5683.4189999999999</v>
      </c>
      <c r="E32" s="125"/>
      <c r="F32" s="14"/>
      <c r="G32" s="601" t="s">
        <v>2386</v>
      </c>
      <c r="H32" s="14"/>
      <c r="I32" s="14"/>
      <c r="J32" s="14"/>
      <c r="K32" s="14"/>
    </row>
    <row r="33" spans="1:11">
      <c r="A33" s="111">
        <f t="shared" si="0"/>
        <v>28</v>
      </c>
      <c r="B33" s="14"/>
      <c r="C33" s="485" t="s">
        <v>1814</v>
      </c>
      <c r="D33" s="1071">
        <v>6472.5049999999992</v>
      </c>
      <c r="E33" s="125"/>
      <c r="F33" s="14"/>
      <c r="G33" s="601" t="s">
        <v>2387</v>
      </c>
      <c r="H33" s="14"/>
      <c r="I33" s="14"/>
      <c r="J33" s="14"/>
      <c r="K33" s="14"/>
    </row>
    <row r="34" spans="1:11">
      <c r="A34" s="111">
        <f t="shared" si="0"/>
        <v>29</v>
      </c>
      <c r="B34" s="14"/>
      <c r="C34" s="485" t="s">
        <v>1815</v>
      </c>
      <c r="D34" s="113">
        <f>SUM(D32:D33)</f>
        <v>12155.923999999999</v>
      </c>
      <c r="E34" s="15" t="str">
        <f>" = L"&amp;A32&amp;" + L"&amp;A33&amp;""</f>
        <v xml:space="preserve"> = L27 + L28</v>
      </c>
      <c r="F34" s="14"/>
      <c r="G34" s="601" t="s">
        <v>2388</v>
      </c>
      <c r="H34" s="14"/>
      <c r="I34" s="14"/>
      <c r="J34" s="14"/>
      <c r="K34" s="14"/>
    </row>
    <row r="35" spans="1:11">
      <c r="A35" s="111">
        <f t="shared" si="0"/>
        <v>30</v>
      </c>
      <c r="B35" s="14"/>
      <c r="C35" s="485" t="s">
        <v>2424</v>
      </c>
      <c r="D35" s="1018">
        <f>D32/D34</f>
        <v>0.46754315015460779</v>
      </c>
      <c r="E35" s="15" t="str">
        <f>" = L"&amp;A32&amp;" / L"&amp;A34&amp;""</f>
        <v xml:space="preserve"> = L27 / L29</v>
      </c>
      <c r="F35" s="14"/>
      <c r="G35" s="968"/>
      <c r="H35" s="14"/>
      <c r="I35" s="14"/>
      <c r="J35" s="14"/>
      <c r="K35" s="14"/>
    </row>
    <row r="36" spans="1:11">
      <c r="A36" s="111">
        <f t="shared" si="0"/>
        <v>31</v>
      </c>
      <c r="B36" s="125"/>
      <c r="C36" s="125"/>
      <c r="D36" s="14"/>
      <c r="E36" s="125"/>
      <c r="F36" s="14"/>
      <c r="G36" s="125"/>
      <c r="H36" s="14"/>
      <c r="I36" s="14"/>
      <c r="J36" s="14"/>
      <c r="K36" s="14"/>
    </row>
    <row r="37" spans="1:11">
      <c r="A37" s="111">
        <f t="shared" si="0"/>
        <v>32</v>
      </c>
      <c r="B37" s="485" t="s">
        <v>2482</v>
      </c>
      <c r="C37" s="14"/>
      <c r="D37" s="125" t="s">
        <v>1811</v>
      </c>
      <c r="E37" s="125" t="s">
        <v>168</v>
      </c>
      <c r="F37" s="14"/>
      <c r="G37" s="566" t="s">
        <v>1812</v>
      </c>
      <c r="H37" s="14"/>
      <c r="I37" s="14"/>
      <c r="J37" s="14"/>
      <c r="K37" s="14"/>
    </row>
    <row r="38" spans="1:11">
      <c r="A38" s="111">
        <f t="shared" si="0"/>
        <v>33</v>
      </c>
      <c r="B38" s="937"/>
      <c r="C38" s="485" t="s">
        <v>1816</v>
      </c>
      <c r="D38" s="1071">
        <v>5.2130000000000001</v>
      </c>
      <c r="E38" s="125"/>
      <c r="F38" s="14"/>
      <c r="G38" s="968" t="s">
        <v>1295</v>
      </c>
      <c r="H38" s="14"/>
      <c r="I38" s="14"/>
      <c r="J38" s="14"/>
      <c r="K38" s="14"/>
    </row>
    <row r="39" spans="1:11">
      <c r="A39" s="111">
        <f t="shared" si="0"/>
        <v>34</v>
      </c>
      <c r="B39" s="937"/>
      <c r="C39" s="485" t="s">
        <v>1817</v>
      </c>
      <c r="D39" s="1071">
        <v>354.96499999999997</v>
      </c>
      <c r="E39" s="125"/>
      <c r="F39" s="14"/>
      <c r="G39" s="968" t="s">
        <v>1306</v>
      </c>
      <c r="H39" s="14"/>
      <c r="I39" s="14"/>
      <c r="J39" s="14"/>
      <c r="K39" s="14"/>
    </row>
    <row r="40" spans="1:11">
      <c r="A40" s="111">
        <f t="shared" si="0"/>
        <v>35</v>
      </c>
      <c r="B40" s="937"/>
      <c r="C40" s="485" t="s">
        <v>1818</v>
      </c>
      <c r="D40" s="113">
        <f>SUM(D38:D39)</f>
        <v>360.178</v>
      </c>
      <c r="E40" s="15" t="str">
        <f>" = L"&amp;A38&amp;" + L"&amp;A39&amp;""</f>
        <v xml:space="preserve"> = L33 + L34</v>
      </c>
      <c r="F40" s="14"/>
      <c r="G40" s="14"/>
      <c r="H40" s="14"/>
      <c r="I40" s="14"/>
      <c r="J40" s="14"/>
      <c r="K40" s="14"/>
    </row>
    <row r="41" spans="1:11">
      <c r="A41" s="111">
        <f t="shared" si="0"/>
        <v>36</v>
      </c>
      <c r="B41" s="937"/>
      <c r="C41" s="485" t="s">
        <v>2425</v>
      </c>
      <c r="D41" s="1018">
        <f>D38/D40</f>
        <v>1.4473399263697395E-2</v>
      </c>
      <c r="E41" s="15" t="str">
        <f>" = L"&amp;A38&amp;" / L"&amp;A40&amp;""</f>
        <v xml:space="preserve"> = L33 / L35</v>
      </c>
      <c r="F41" s="14"/>
      <c r="G41" s="14"/>
      <c r="H41" s="14"/>
      <c r="I41" s="14"/>
      <c r="J41" s="14"/>
      <c r="K41" s="14"/>
    </row>
    <row r="42" spans="1:11">
      <c r="A42" s="111">
        <f t="shared" si="0"/>
        <v>37</v>
      </c>
      <c r="B42" s="937"/>
      <c r="C42" s="114"/>
      <c r="D42" s="14"/>
      <c r="E42" s="125"/>
      <c r="F42" s="14"/>
      <c r="G42" s="63"/>
      <c r="H42" s="14"/>
      <c r="I42" s="14"/>
      <c r="J42" s="14"/>
      <c r="K42" s="14"/>
    </row>
    <row r="43" spans="1:11">
      <c r="A43" s="111">
        <f t="shared" si="0"/>
        <v>38</v>
      </c>
      <c r="B43" s="485" t="s">
        <v>2483</v>
      </c>
      <c r="C43" s="14"/>
      <c r="D43" s="125" t="s">
        <v>1811</v>
      </c>
      <c r="E43" s="125" t="s">
        <v>168</v>
      </c>
      <c r="F43" s="14"/>
      <c r="G43" s="566" t="s">
        <v>1812</v>
      </c>
      <c r="H43" s="14"/>
      <c r="I43" s="14"/>
      <c r="J43" s="14"/>
      <c r="K43" s="14"/>
    </row>
    <row r="44" spans="1:11">
      <c r="A44" s="111">
        <f t="shared" ref="A44:A53" si="1">A43+1</f>
        <v>39</v>
      </c>
      <c r="B44" s="937"/>
      <c r="C44" s="485" t="s">
        <v>1819</v>
      </c>
      <c r="D44" s="1071">
        <v>1205</v>
      </c>
      <c r="E44" s="125"/>
      <c r="F44" s="14"/>
      <c r="G44" s="968" t="s">
        <v>2389</v>
      </c>
      <c r="H44" s="14"/>
      <c r="I44" s="14"/>
      <c r="J44" s="14"/>
      <c r="K44" s="14"/>
    </row>
    <row r="45" spans="1:11">
      <c r="A45" s="111">
        <f t="shared" si="1"/>
        <v>40</v>
      </c>
      <c r="B45" s="937"/>
      <c r="C45" s="485" t="s">
        <v>1820</v>
      </c>
      <c r="D45" s="1071">
        <v>2083</v>
      </c>
      <c r="E45" s="125"/>
      <c r="F45" s="14"/>
      <c r="G45" s="968"/>
      <c r="H45" s="14"/>
      <c r="I45" s="14"/>
      <c r="J45" s="14"/>
      <c r="K45" s="14"/>
    </row>
    <row r="46" spans="1:11">
      <c r="A46" s="111">
        <f t="shared" si="1"/>
        <v>41</v>
      </c>
      <c r="B46" s="937"/>
      <c r="C46" s="485" t="s">
        <v>1821</v>
      </c>
      <c r="D46" s="113">
        <f>SUM(D44:D45)</f>
        <v>3288</v>
      </c>
      <c r="E46" s="15" t="str">
        <f>" = L"&amp;A44&amp;" + L"&amp;A45&amp;""</f>
        <v xml:space="preserve"> = L39 + L40</v>
      </c>
      <c r="F46" s="14"/>
      <c r="G46" s="14"/>
      <c r="H46" s="14"/>
      <c r="I46" s="14"/>
      <c r="J46" s="14"/>
      <c r="K46" s="14"/>
    </row>
    <row r="47" spans="1:11">
      <c r="A47" s="111">
        <f t="shared" si="1"/>
        <v>42</v>
      </c>
      <c r="B47" s="937"/>
      <c r="C47" s="485" t="s">
        <v>1822</v>
      </c>
      <c r="D47" s="1018">
        <f>D44/D46</f>
        <v>0.36648418491484186</v>
      </c>
      <c r="E47" s="15" t="str">
        <f>" = L"&amp;A44&amp;" / L"&amp;A46&amp;""</f>
        <v xml:space="preserve"> = L39 / L41</v>
      </c>
      <c r="F47" s="14"/>
      <c r="G47" s="14"/>
      <c r="H47" s="14"/>
      <c r="I47" s="14"/>
      <c r="J47" s="14"/>
      <c r="K47" s="14"/>
    </row>
    <row r="48" spans="1:11">
      <c r="A48" s="111">
        <f t="shared" si="1"/>
        <v>43</v>
      </c>
      <c r="B48" s="14"/>
      <c r="C48" s="79"/>
      <c r="D48" s="14"/>
      <c r="E48" s="14"/>
      <c r="F48" s="14"/>
      <c r="G48" s="14"/>
      <c r="H48" s="14"/>
      <c r="I48" s="14"/>
      <c r="J48" s="14"/>
      <c r="K48" s="14"/>
    </row>
    <row r="49" spans="1:11">
      <c r="A49" s="111">
        <f t="shared" si="1"/>
        <v>44</v>
      </c>
      <c r="B49" s="485" t="s">
        <v>2484</v>
      </c>
      <c r="C49" s="14"/>
      <c r="D49" s="125" t="s">
        <v>1811</v>
      </c>
      <c r="E49" s="125" t="s">
        <v>168</v>
      </c>
      <c r="F49" s="14"/>
      <c r="G49" s="566" t="s">
        <v>1812</v>
      </c>
      <c r="H49" s="14"/>
      <c r="I49" s="14"/>
      <c r="J49" s="14"/>
      <c r="K49" s="14"/>
    </row>
    <row r="50" spans="1:11">
      <c r="A50" s="111">
        <f t="shared" si="1"/>
        <v>45</v>
      </c>
      <c r="B50" s="937"/>
      <c r="C50" s="485" t="s">
        <v>1825</v>
      </c>
      <c r="D50" s="1071">
        <v>0</v>
      </c>
      <c r="E50" s="125"/>
      <c r="F50" s="14"/>
      <c r="G50" s="601" t="s">
        <v>2390</v>
      </c>
      <c r="H50" s="14"/>
      <c r="I50" s="14"/>
      <c r="J50" s="14"/>
      <c r="K50" s="14"/>
    </row>
    <row r="51" spans="1:11">
      <c r="A51" s="111">
        <f t="shared" si="1"/>
        <v>46</v>
      </c>
      <c r="B51" s="937"/>
      <c r="C51" s="485" t="s">
        <v>1823</v>
      </c>
      <c r="D51" s="1071">
        <v>8853</v>
      </c>
      <c r="E51" s="125"/>
      <c r="F51" s="14"/>
      <c r="G51" s="601" t="s">
        <v>1310</v>
      </c>
      <c r="H51" s="14"/>
      <c r="I51" s="14"/>
      <c r="J51" s="14"/>
      <c r="K51" s="14"/>
    </row>
    <row r="52" spans="1:11">
      <c r="A52" s="111">
        <f t="shared" si="1"/>
        <v>47</v>
      </c>
      <c r="B52" s="937"/>
      <c r="C52" s="485" t="s">
        <v>1824</v>
      </c>
      <c r="D52" s="113">
        <f>SUM(D50:D51)</f>
        <v>8853</v>
      </c>
      <c r="E52" s="15" t="str">
        <f>" = L"&amp;A50&amp;" + L"&amp;A51&amp;""</f>
        <v xml:space="preserve"> = L45 + L46</v>
      </c>
      <c r="F52" s="14"/>
      <c r="G52" s="601" t="s">
        <v>1311</v>
      </c>
      <c r="H52" s="14"/>
      <c r="I52" s="14"/>
      <c r="J52" s="14"/>
      <c r="K52" s="14"/>
    </row>
    <row r="53" spans="1:11">
      <c r="A53" s="111">
        <f t="shared" si="1"/>
        <v>48</v>
      </c>
      <c r="B53" s="937"/>
      <c r="C53" s="485" t="s">
        <v>1826</v>
      </c>
      <c r="D53" s="1018">
        <f>D50/D52</f>
        <v>0</v>
      </c>
      <c r="E53" s="15" t="str">
        <f>" = L"&amp;A50&amp;" / L"&amp;A52&amp;""</f>
        <v xml:space="preserve"> = L45 / L47</v>
      </c>
      <c r="F53" s="14"/>
      <c r="G53" s="601" t="s">
        <v>2391</v>
      </c>
      <c r="H53" s="14"/>
      <c r="I53" s="14"/>
      <c r="J53" s="14"/>
      <c r="K53" s="14"/>
    </row>
    <row r="54" spans="1:11">
      <c r="A54" s="580"/>
      <c r="E54" s="14"/>
      <c r="F54" s="14"/>
      <c r="G54" s="14"/>
      <c r="H54" s="14"/>
      <c r="I54" s="14"/>
      <c r="J54" s="14"/>
      <c r="K54" s="14"/>
    </row>
    <row r="55" spans="1:11">
      <c r="A55" s="580"/>
      <c r="E55" s="14"/>
      <c r="F55" s="14"/>
      <c r="G55" s="14"/>
      <c r="H55" s="14"/>
      <c r="I55" s="14"/>
      <c r="J55" s="14"/>
      <c r="K55" s="14"/>
    </row>
    <row r="56" spans="1:11">
      <c r="A56" s="580"/>
      <c r="E56" s="14"/>
      <c r="F56" s="14"/>
      <c r="G56" s="14"/>
      <c r="H56" s="14"/>
      <c r="I56" s="14"/>
      <c r="J56" s="14"/>
      <c r="K56" s="14"/>
    </row>
    <row r="57" spans="1:11">
      <c r="A57" s="580"/>
    </row>
    <row r="58" spans="1:11">
      <c r="A58" s="580"/>
    </row>
    <row r="59" spans="1:11">
      <c r="A59" s="580"/>
    </row>
    <row r="60" spans="1:11">
      <c r="A60" s="580"/>
    </row>
    <row r="61" spans="1:11">
      <c r="A61" s="580"/>
    </row>
    <row r="62" spans="1:11">
      <c r="A62" s="580"/>
    </row>
    <row r="63" spans="1:11">
      <c r="A63" s="580"/>
    </row>
    <row r="64" spans="1:11">
      <c r="A64" s="580"/>
    </row>
    <row r="65" spans="1:1">
      <c r="A65" s="580"/>
    </row>
  </sheetData>
  <phoneticPr fontId="22" type="noConversion"/>
  <pageMargins left="0.75" right="0.75" top="1" bottom="1" header="0.5" footer="0.5"/>
  <pageSetup scale="70" orientation="landscape" cellComments="asDisplayed" r:id="rId1"/>
  <headerFooter alignWithMargins="0">
    <oddHeader>&amp;CSchedule 27
Allocation Factors
&amp;RTO2019 Draft Annual Update 
Attachment1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election activeCell="I18" sqref="I18"/>
    </sheetView>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1661</v>
      </c>
    </row>
    <row r="3" spans="1:9">
      <c r="B3" s="1" t="s">
        <v>506</v>
      </c>
      <c r="I3" s="97" t="s">
        <v>17</v>
      </c>
    </row>
    <row r="4" spans="1:9">
      <c r="B4" s="1"/>
      <c r="I4" s="14"/>
    </row>
    <row r="5" spans="1:9">
      <c r="E5" s="111" t="s">
        <v>1885</v>
      </c>
    </row>
    <row r="6" spans="1:9">
      <c r="A6" s="51" t="s">
        <v>332</v>
      </c>
      <c r="C6" s="3" t="s">
        <v>234</v>
      </c>
      <c r="D6" s="3" t="s">
        <v>235</v>
      </c>
      <c r="E6" s="1019" t="s">
        <v>63</v>
      </c>
      <c r="G6" s="3" t="s">
        <v>236</v>
      </c>
      <c r="I6" s="51" t="s">
        <v>205</v>
      </c>
    </row>
    <row r="7" spans="1:9">
      <c r="A7" s="2">
        <v>1</v>
      </c>
      <c r="C7" s="150">
        <v>2017</v>
      </c>
      <c r="D7" s="1081" t="s">
        <v>2738</v>
      </c>
      <c r="E7" s="97">
        <v>365</v>
      </c>
      <c r="F7" s="1075"/>
      <c r="G7" s="1093">
        <v>9.2057000000000007E-3</v>
      </c>
      <c r="H7" s="1075"/>
      <c r="I7" s="754" t="s">
        <v>2739</v>
      </c>
    </row>
    <row r="8" spans="1:9">
      <c r="A8" s="2">
        <v>2</v>
      </c>
      <c r="C8" s="97"/>
      <c r="D8" s="97"/>
      <c r="E8" s="97"/>
      <c r="G8" s="97"/>
      <c r="I8" s="116"/>
    </row>
    <row r="10" spans="1:9">
      <c r="B10" s="1" t="s">
        <v>1662</v>
      </c>
    </row>
    <row r="11" spans="1:9">
      <c r="B11" s="1"/>
    </row>
    <row r="12" spans="1:9">
      <c r="E12" s="111" t="s">
        <v>1885</v>
      </c>
    </row>
    <row r="13" spans="1:9">
      <c r="C13" s="3" t="s">
        <v>234</v>
      </c>
      <c r="D13" s="3" t="s">
        <v>235</v>
      </c>
      <c r="E13" s="1019" t="s">
        <v>63</v>
      </c>
      <c r="G13" s="3" t="s">
        <v>237</v>
      </c>
      <c r="I13" s="51" t="s">
        <v>205</v>
      </c>
    </row>
    <row r="14" spans="1:9">
      <c r="A14" s="2">
        <v>3</v>
      </c>
      <c r="C14" s="150">
        <v>2017</v>
      </c>
      <c r="D14" s="97" t="s">
        <v>2738</v>
      </c>
      <c r="E14" s="97">
        <v>365</v>
      </c>
      <c r="F14" s="1075"/>
      <c r="G14" s="88">
        <v>2.4076000000000002E-3</v>
      </c>
      <c r="H14" s="1075"/>
      <c r="I14" s="1081" t="s">
        <v>2740</v>
      </c>
    </row>
    <row r="15" spans="1:9">
      <c r="A15" s="2">
        <v>4</v>
      </c>
      <c r="C15" s="150"/>
      <c r="D15" s="97"/>
      <c r="E15" s="97"/>
      <c r="G15" s="88"/>
      <c r="I15" s="116"/>
    </row>
    <row r="18" spans="1:9">
      <c r="B18" s="1" t="s">
        <v>505</v>
      </c>
    </row>
    <row r="19" spans="1:9">
      <c r="B19" s="1"/>
    </row>
    <row r="20" spans="1:9">
      <c r="C20" s="2" t="s">
        <v>407</v>
      </c>
      <c r="D20" s="2"/>
      <c r="E20" s="2"/>
    </row>
    <row r="21" spans="1:9">
      <c r="C21" s="3" t="s">
        <v>193</v>
      </c>
      <c r="D21" s="3" t="s">
        <v>236</v>
      </c>
      <c r="E21" s="3" t="s">
        <v>237</v>
      </c>
      <c r="I21" s="51" t="s">
        <v>168</v>
      </c>
    </row>
    <row r="22" spans="1:9">
      <c r="A22" s="2">
        <v>5</v>
      </c>
      <c r="C22" s="151">
        <v>2017</v>
      </c>
      <c r="D22" s="1020">
        <f>E41</f>
        <v>9.2057000000000007E-3</v>
      </c>
      <c r="E22" s="1020">
        <f>E42</f>
        <v>2.4076000000000002E-3</v>
      </c>
      <c r="F22" s="14"/>
      <c r="G22" s="14"/>
      <c r="H22" s="14"/>
      <c r="I22" s="485" t="s">
        <v>1757</v>
      </c>
    </row>
    <row r="24" spans="1:9">
      <c r="B24" s="1" t="s">
        <v>232</v>
      </c>
    </row>
    <row r="25" spans="1:9">
      <c r="B25" s="12" t="s">
        <v>556</v>
      </c>
    </row>
    <row r="26" spans="1:9">
      <c r="B26" s="12" t="s">
        <v>555</v>
      </c>
    </row>
    <row r="28" spans="1:9">
      <c r="B28" s="1" t="s">
        <v>382</v>
      </c>
    </row>
    <row r="29" spans="1:9">
      <c r="B29" s="485" t="s">
        <v>1759</v>
      </c>
      <c r="C29" s="14"/>
      <c r="D29" s="14"/>
      <c r="E29" s="14"/>
      <c r="F29" s="14"/>
      <c r="G29" s="14"/>
      <c r="H29" s="14"/>
      <c r="I29" s="14"/>
    </row>
    <row r="30" spans="1:9">
      <c r="B30" s="485" t="s">
        <v>1769</v>
      </c>
      <c r="C30" s="14"/>
      <c r="D30" s="14"/>
      <c r="E30" s="14"/>
      <c r="F30" s="14"/>
      <c r="G30" s="14"/>
      <c r="H30" s="14"/>
      <c r="I30" s="14"/>
    </row>
    <row r="31" spans="1:9">
      <c r="B31" s="485" t="s">
        <v>1890</v>
      </c>
      <c r="C31" s="14"/>
      <c r="D31" s="14"/>
      <c r="E31" s="14"/>
      <c r="F31" s="14"/>
      <c r="G31" s="14"/>
      <c r="H31" s="14"/>
      <c r="I31" s="14"/>
    </row>
    <row r="32" spans="1:9">
      <c r="B32" s="485" t="s">
        <v>1889</v>
      </c>
      <c r="C32" s="14"/>
      <c r="D32" s="14"/>
      <c r="E32" s="14"/>
      <c r="F32" s="14"/>
      <c r="G32" s="14"/>
      <c r="H32" s="14"/>
      <c r="I32" s="14"/>
    </row>
    <row r="33" spans="2:9">
      <c r="B33" s="485" t="s">
        <v>1754</v>
      </c>
      <c r="C33" s="14"/>
      <c r="D33" s="14"/>
      <c r="E33" s="14"/>
      <c r="F33" s="14"/>
      <c r="G33" s="14"/>
      <c r="H33" s="14"/>
      <c r="I33" s="14"/>
    </row>
    <row r="34" spans="2:9">
      <c r="B34" s="485" t="s">
        <v>1755</v>
      </c>
      <c r="C34" s="14"/>
      <c r="D34" s="14"/>
      <c r="E34" s="14"/>
      <c r="F34" s="14"/>
      <c r="G34" s="14"/>
      <c r="H34" s="14"/>
      <c r="I34" s="14"/>
    </row>
    <row r="35" spans="2:9">
      <c r="B35" s="485" t="s">
        <v>2048</v>
      </c>
      <c r="C35" s="14"/>
      <c r="D35" s="14"/>
      <c r="E35" s="14"/>
      <c r="F35" s="14"/>
      <c r="G35" s="14"/>
      <c r="H35" s="14"/>
      <c r="I35" s="14"/>
    </row>
    <row r="36" spans="2:9">
      <c r="B36" s="485" t="s">
        <v>1758</v>
      </c>
      <c r="C36" s="14"/>
      <c r="D36" s="14"/>
      <c r="E36" s="14"/>
      <c r="F36" s="14"/>
      <c r="G36" s="14"/>
      <c r="H36" s="14"/>
      <c r="I36" s="14"/>
    </row>
    <row r="37" spans="2:9">
      <c r="B37" s="485" t="s">
        <v>1756</v>
      </c>
      <c r="C37" s="14"/>
      <c r="D37" s="14"/>
      <c r="E37" s="14"/>
      <c r="F37" s="14"/>
      <c r="G37" s="14"/>
      <c r="H37" s="14"/>
      <c r="I37" s="14"/>
    </row>
    <row r="38" spans="2:9">
      <c r="B38" s="485" t="s">
        <v>1888</v>
      </c>
      <c r="C38" s="14"/>
      <c r="D38" s="14"/>
      <c r="E38" s="14"/>
      <c r="F38" s="14"/>
      <c r="G38" s="14"/>
      <c r="H38" s="14"/>
      <c r="I38" s="14"/>
    </row>
    <row r="39" spans="2:9">
      <c r="B39" s="14"/>
      <c r="C39" s="14"/>
      <c r="D39" s="14"/>
      <c r="E39" s="14"/>
      <c r="F39" s="14"/>
      <c r="G39" s="14"/>
      <c r="H39" s="14"/>
      <c r="I39" s="14"/>
    </row>
    <row r="40" spans="2:9">
      <c r="B40" s="14"/>
      <c r="C40" s="14"/>
      <c r="D40" s="14"/>
      <c r="E40" s="125" t="s">
        <v>1449</v>
      </c>
      <c r="F40" s="14"/>
      <c r="G40" s="932" t="s">
        <v>154</v>
      </c>
      <c r="H40" s="14"/>
      <c r="I40" s="14"/>
    </row>
    <row r="41" spans="2:9">
      <c r="B41" s="14"/>
      <c r="C41" s="14"/>
      <c r="D41" s="941" t="s">
        <v>1886</v>
      </c>
      <c r="E41" s="1020">
        <f>((G7*E7) + (G8*E8))/(E7+E8)</f>
        <v>9.2057000000000007E-3</v>
      </c>
      <c r="F41" s="14"/>
      <c r="G41" s="601" t="s">
        <v>2426</v>
      </c>
      <c r="H41" s="14"/>
      <c r="I41" s="14"/>
    </row>
    <row r="42" spans="2:9">
      <c r="B42" s="14"/>
      <c r="C42" s="14"/>
      <c r="D42" s="941" t="s">
        <v>1887</v>
      </c>
      <c r="E42" s="1020">
        <f>((G14*E14) + (G15*E15))/(E14+E15)</f>
        <v>2.4076000000000002E-3</v>
      </c>
      <c r="F42" s="14"/>
      <c r="G42" s="601" t="s">
        <v>2427</v>
      </c>
      <c r="H42" s="14"/>
      <c r="I42" s="14"/>
    </row>
  </sheetData>
  <phoneticPr fontId="22" type="noConversion"/>
  <pageMargins left="0.75" right="0.75" top="1" bottom="1" header="0.5" footer="0.5"/>
  <pageSetup scale="82" orientation="portrait" cellComments="asDisplayed" r:id="rId1"/>
  <headerFooter alignWithMargins="0">
    <oddHeader>&amp;CSchedule 28
FF and U
&amp;RTO2019 Draft Annual Update 
Attachment1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F21" sqref="F21"/>
    </sheetView>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1397</v>
      </c>
    </row>
    <row r="2" spans="1:10">
      <c r="G2" s="43" t="s">
        <v>17</v>
      </c>
      <c r="H2" s="43"/>
      <c r="I2" s="97"/>
    </row>
    <row r="3" spans="1:10">
      <c r="A3" s="3" t="s">
        <v>332</v>
      </c>
      <c r="B3" s="3" t="s">
        <v>83</v>
      </c>
      <c r="F3" s="51" t="s">
        <v>168</v>
      </c>
      <c r="G3" s="51" t="s">
        <v>179</v>
      </c>
      <c r="J3" s="51"/>
    </row>
    <row r="4" spans="1:10">
      <c r="A4" s="2">
        <v>1</v>
      </c>
      <c r="B4" s="47">
        <f>'1-BaseTRR'!K156</f>
        <v>1032958847.5856237</v>
      </c>
      <c r="C4" s="52" t="s">
        <v>133</v>
      </c>
      <c r="G4" s="15" t="str">
        <f>"1-BaseTRR, Line "&amp;'1-BaseTRR'!A156&amp;""</f>
        <v>1-BaseTRR, Line 89</v>
      </c>
      <c r="H4" s="14"/>
    </row>
    <row r="5" spans="1:10">
      <c r="A5" s="2">
        <f t="shared" ref="A5:A10" si="0">A4+1</f>
        <v>2</v>
      </c>
      <c r="B5" s="1123">
        <v>-121378713</v>
      </c>
      <c r="C5" s="52" t="s">
        <v>134</v>
      </c>
      <c r="F5" s="12" t="s">
        <v>364</v>
      </c>
      <c r="G5" s="1111" t="s">
        <v>2653</v>
      </c>
      <c r="H5" s="1113"/>
      <c r="I5" s="1111" t="s">
        <v>2654</v>
      </c>
    </row>
    <row r="6" spans="1:10">
      <c r="A6" s="2">
        <f t="shared" si="0"/>
        <v>3</v>
      </c>
      <c r="B6" s="1123">
        <v>-120967080</v>
      </c>
      <c r="C6" s="52" t="s">
        <v>135</v>
      </c>
      <c r="G6" s="1111" t="s">
        <v>2653</v>
      </c>
      <c r="H6" s="1113"/>
      <c r="I6" s="1111" t="s">
        <v>2654</v>
      </c>
    </row>
    <row r="7" spans="1:10">
      <c r="A7" s="2">
        <f t="shared" si="0"/>
        <v>4</v>
      </c>
      <c r="B7" s="1123">
        <v>-411633</v>
      </c>
      <c r="C7" s="52" t="s">
        <v>136</v>
      </c>
      <c r="G7" s="1111" t="s">
        <v>2653</v>
      </c>
      <c r="H7" s="1113"/>
      <c r="I7" s="1111" t="s">
        <v>2654</v>
      </c>
    </row>
    <row r="8" spans="1:10">
      <c r="A8" s="2">
        <f t="shared" si="0"/>
        <v>5</v>
      </c>
      <c r="B8" s="47">
        <f>-'33-RetailRates'!E61</f>
        <v>-7782313.1733120037</v>
      </c>
      <c r="C8" s="52" t="s">
        <v>137</v>
      </c>
      <c r="F8" t="s">
        <v>365</v>
      </c>
      <c r="G8" t="s">
        <v>82</v>
      </c>
    </row>
    <row r="9" spans="1:10">
      <c r="A9" s="2">
        <f t="shared" si="0"/>
        <v>6</v>
      </c>
      <c r="B9" s="8">
        <f>'31-HVLV'!C45</f>
        <v>0.96998092897342225</v>
      </c>
      <c r="C9" s="52" t="s">
        <v>81</v>
      </c>
      <c r="G9" s="15" t="str">
        <f>"31-HVLV, Line "&amp;'31-HVLV'!A45&amp;""</f>
        <v>31-HVLV, Line 37</v>
      </c>
      <c r="H9" s="14"/>
    </row>
    <row r="10" spans="1:10">
      <c r="A10" s="2">
        <f t="shared" si="0"/>
        <v>7</v>
      </c>
      <c r="B10" s="8">
        <f>'31-HVLV'!D45</f>
        <v>3.001907102657778E-2</v>
      </c>
      <c r="C10" s="52" t="s">
        <v>80</v>
      </c>
      <c r="G10" s="15" t="str">
        <f>"31-HVLV, Line "&amp;'31-HVLV'!A45&amp;""</f>
        <v>31-HVLV, Line 37</v>
      </c>
      <c r="H10" s="14"/>
    </row>
    <row r="11" spans="1:10">
      <c r="C11" s="37"/>
      <c r="D11" s="89"/>
      <c r="E11" s="89"/>
      <c r="F11" s="89"/>
      <c r="G11" s="89"/>
      <c r="H11" s="89"/>
      <c r="J11" s="89"/>
    </row>
    <row r="12" spans="1:10">
      <c r="B12" s="1" t="s">
        <v>1522</v>
      </c>
      <c r="C12" s="37"/>
      <c r="D12" s="89"/>
      <c r="E12" s="89"/>
      <c r="F12" s="89"/>
      <c r="G12" s="89"/>
      <c r="H12" s="89"/>
    </row>
    <row r="13" spans="1:10">
      <c r="B13" s="1"/>
      <c r="C13" s="37"/>
      <c r="D13" s="89"/>
      <c r="E13" s="89"/>
      <c r="F13" s="89"/>
      <c r="G13" s="89"/>
      <c r="H13" s="89"/>
    </row>
    <row r="14" spans="1:10">
      <c r="B14" s="1"/>
      <c r="C14" s="37"/>
      <c r="D14" s="84" t="s">
        <v>363</v>
      </c>
      <c r="E14" s="84" t="s">
        <v>347</v>
      </c>
      <c r="F14" s="84" t="s">
        <v>348</v>
      </c>
      <c r="G14" s="89"/>
      <c r="H14" s="89"/>
    </row>
    <row r="15" spans="1:10">
      <c r="B15" s="1"/>
      <c r="C15" s="37"/>
      <c r="F15" s="89"/>
      <c r="G15" s="89"/>
      <c r="H15" s="89"/>
    </row>
    <row r="16" spans="1:10">
      <c r="E16" s="2" t="s">
        <v>474</v>
      </c>
      <c r="F16" s="2" t="s">
        <v>475</v>
      </c>
    </row>
    <row r="17" spans="1:8">
      <c r="C17" s="37"/>
      <c r="D17" s="3" t="s">
        <v>138</v>
      </c>
      <c r="E17" s="3" t="s">
        <v>473</v>
      </c>
      <c r="F17" s="3" t="s">
        <v>473</v>
      </c>
      <c r="G17" s="3"/>
      <c r="H17" s="3" t="s">
        <v>179</v>
      </c>
    </row>
    <row r="18" spans="1:8">
      <c r="A18" s="2">
        <f>A10+1</f>
        <v>8</v>
      </c>
      <c r="B18" s="90"/>
      <c r="C18" s="68" t="s">
        <v>149</v>
      </c>
      <c r="D18" s="7">
        <f>B4</f>
        <v>1032958847.5856237</v>
      </c>
      <c r="E18" s="7">
        <f>D18*B9</f>
        <v>1001950382.572419</v>
      </c>
      <c r="F18" s="7">
        <f>D18*B10</f>
        <v>31008465.013204768</v>
      </c>
      <c r="G18" s="7"/>
      <c r="H18" s="483" t="s">
        <v>284</v>
      </c>
    </row>
    <row r="19" spans="1:8">
      <c r="A19" s="507">
        <f>A18+1</f>
        <v>9</v>
      </c>
      <c r="B19" s="90"/>
      <c r="C19" s="68" t="s">
        <v>1520</v>
      </c>
      <c r="D19" s="7">
        <f>'24-CWIPTRR'!E145</f>
        <v>54092915.217120267</v>
      </c>
      <c r="E19" s="7">
        <f>'24-CWIPTRR'!E145</f>
        <v>54092915.217120267</v>
      </c>
      <c r="F19" s="7">
        <v>0</v>
      </c>
      <c r="G19" s="7"/>
      <c r="H19" s="483" t="s">
        <v>963</v>
      </c>
    </row>
    <row r="20" spans="1:8">
      <c r="A20" s="507">
        <f>A19+1</f>
        <v>10</v>
      </c>
      <c r="B20" s="90"/>
      <c r="C20" s="68" t="s">
        <v>1521</v>
      </c>
      <c r="D20" s="7">
        <f>D18-D19</f>
        <v>978865932.36850345</v>
      </c>
      <c r="E20" s="7">
        <f t="shared" ref="E20:F20" si="1">E18-E19</f>
        <v>947857467.35529876</v>
      </c>
      <c r="F20" s="7">
        <f t="shared" si="1"/>
        <v>31008465.013204768</v>
      </c>
      <c r="G20" s="7"/>
      <c r="H20" s="483" t="s">
        <v>964</v>
      </c>
    </row>
    <row r="21" spans="1:8">
      <c r="B21" s="90"/>
      <c r="C21" s="90"/>
      <c r="D21" s="7"/>
      <c r="E21" s="7"/>
      <c r="F21" s="7"/>
      <c r="G21" s="7"/>
    </row>
    <row r="22" spans="1:8">
      <c r="A22" s="2">
        <f>A20+1</f>
        <v>11</v>
      </c>
      <c r="B22" s="1"/>
      <c r="C22" s="68" t="s">
        <v>139</v>
      </c>
      <c r="D22" s="7">
        <f>B5</f>
        <v>-121378713</v>
      </c>
      <c r="E22" s="7">
        <f>B6</f>
        <v>-120967080</v>
      </c>
      <c r="F22" s="7">
        <f>B7</f>
        <v>-411633</v>
      </c>
      <c r="G22" s="7"/>
      <c r="H22" t="str">
        <f>"Lines "&amp;A5&amp;" to "&amp;A7&amp;""</f>
        <v>Lines 2 to 4</v>
      </c>
    </row>
    <row r="23" spans="1:8">
      <c r="B23" s="1"/>
      <c r="C23" s="68"/>
      <c r="D23" s="7"/>
      <c r="E23" s="7"/>
      <c r="F23" s="7"/>
      <c r="G23" s="7"/>
    </row>
    <row r="24" spans="1:8">
      <c r="A24" s="2">
        <f>A22+1</f>
        <v>12</v>
      </c>
      <c r="B24" s="1"/>
      <c r="C24" s="68" t="s">
        <v>1651</v>
      </c>
      <c r="D24" s="91">
        <f>$B$8</f>
        <v>-7782313.1733120037</v>
      </c>
      <c r="E24" s="91">
        <f>$B$8*$B$9</f>
        <v>-7548695.3614112791</v>
      </c>
      <c r="F24" s="91">
        <f>$B$8*$B$10</f>
        <v>-233617.81190072495</v>
      </c>
      <c r="G24" s="91"/>
      <c r="H24" s="483" t="s">
        <v>531</v>
      </c>
    </row>
    <row r="25" spans="1:8">
      <c r="A25" s="563"/>
      <c r="B25" s="1"/>
      <c r="C25" s="68"/>
      <c r="D25" s="91"/>
      <c r="E25" s="91"/>
      <c r="F25" s="91"/>
      <c r="G25" s="91"/>
      <c r="H25" s="483"/>
    </row>
    <row r="26" spans="1:8">
      <c r="B26" s="1"/>
      <c r="C26" s="68" t="s">
        <v>1652</v>
      </c>
      <c r="D26" s="91"/>
      <c r="E26" s="91"/>
      <c r="F26" s="91"/>
      <c r="G26" s="91"/>
    </row>
    <row r="27" spans="1:8">
      <c r="A27" s="2">
        <f>A24+1</f>
        <v>13</v>
      </c>
      <c r="B27" s="1"/>
      <c r="C27" s="68" t="s">
        <v>1653</v>
      </c>
      <c r="D27" s="7">
        <f>D18+D22+D24</f>
        <v>903797821.41231179</v>
      </c>
      <c r="E27" s="7">
        <f>E18+E22+E24</f>
        <v>873434607.21100771</v>
      </c>
      <c r="F27" s="7">
        <f>F18+F22+F24</f>
        <v>30363214.201304045</v>
      </c>
      <c r="G27" s="7"/>
      <c r="H27" s="101" t="str">
        <f>"Sum of Lines "&amp;A18&amp;", "&amp;A22&amp;", and "&amp;A24&amp;""</f>
        <v>Sum of Lines 8, 11, and 12</v>
      </c>
    </row>
    <row r="28" spans="1:8">
      <c r="E28" s="7"/>
    </row>
    <row r="29" spans="1:8">
      <c r="B29" s="51" t="s">
        <v>232</v>
      </c>
    </row>
    <row r="30" spans="1:8">
      <c r="B30" s="12" t="s">
        <v>1425</v>
      </c>
    </row>
    <row r="31" spans="1:8">
      <c r="B31" s="483" t="s">
        <v>1663</v>
      </c>
    </row>
    <row r="32" spans="1:8">
      <c r="B32" s="12" t="s">
        <v>1426</v>
      </c>
    </row>
    <row r="33" spans="2:6">
      <c r="B33" s="485" t="s">
        <v>1804</v>
      </c>
      <c r="C33" s="14"/>
      <c r="D33" s="97" t="s">
        <v>2485</v>
      </c>
      <c r="E33" s="97"/>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2" type="noConversion"/>
  <pageMargins left="0.75" right="0.75" top="1" bottom="1" header="0.5" footer="0.5"/>
  <pageSetup scale="90" orientation="landscape" cellComments="asDisplayed" r:id="rId1"/>
  <headerFooter alignWithMargins="0">
    <oddHeader>&amp;CSchedule 29
Wholesale TRRs
&amp;RTO2019 Draft Annual Update 
Attachment1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1423</v>
      </c>
    </row>
    <row r="2" spans="1:9">
      <c r="B2" s="1"/>
    </row>
    <row r="3" spans="1:9">
      <c r="B3" s="12" t="s">
        <v>140</v>
      </c>
      <c r="E3" s="14"/>
      <c r="F3" s="114"/>
    </row>
    <row r="4" spans="1:9">
      <c r="B4" s="12"/>
    </row>
    <row r="5" spans="1:9">
      <c r="B5" s="13" t="s">
        <v>141</v>
      </c>
    </row>
    <row r="6" spans="1:9">
      <c r="B6" s="487" t="s">
        <v>2353</v>
      </c>
    </row>
    <row r="7" spans="1:9">
      <c r="B7" s="487" t="s">
        <v>2354</v>
      </c>
    </row>
    <row r="8" spans="1:9">
      <c r="B8" s="12"/>
    </row>
    <row r="9" spans="1:9">
      <c r="B9" s="12"/>
    </row>
    <row r="10" spans="1:9">
      <c r="B10" s="1" t="s">
        <v>142</v>
      </c>
    </row>
    <row r="11" spans="1:9">
      <c r="A11" s="3" t="s">
        <v>332</v>
      </c>
      <c r="G11" s="3" t="s">
        <v>179</v>
      </c>
    </row>
    <row r="12" spans="1:9">
      <c r="A12" s="2">
        <v>1</v>
      </c>
      <c r="D12" s="94" t="s">
        <v>1399</v>
      </c>
      <c r="E12" s="7">
        <f>'29-WholesaleTRRs'!F27</f>
        <v>30363214.201304045</v>
      </c>
      <c r="G12" s="46" t="str">
        <f>"29-WholesaleTRRs, Line "&amp;'29-WholesaleTRRs'!A27&amp;", C3"</f>
        <v>29-WholesaleTRRs, Line 13, C3</v>
      </c>
      <c r="H12" s="14"/>
      <c r="I12" s="14"/>
    </row>
    <row r="13" spans="1:9">
      <c r="A13" s="2">
        <f>A12+1</f>
        <v>2</v>
      </c>
      <c r="D13" s="94" t="s">
        <v>1398</v>
      </c>
      <c r="E13" s="113">
        <f>'32-GrossLoad'!F7</f>
        <v>86694873.390000001</v>
      </c>
      <c r="F13" s="13" t="s">
        <v>285</v>
      </c>
      <c r="G13" s="46" t="str">
        <f>"32-Gross Load, Line "&amp;'32-GrossLoad'!A7&amp;""</f>
        <v>32-Gross Load, Line 3</v>
      </c>
      <c r="H13" s="14"/>
      <c r="I13" s="14"/>
    </row>
    <row r="14" spans="1:9">
      <c r="A14" s="2">
        <f>A13+1</f>
        <v>3</v>
      </c>
      <c r="D14" s="94" t="s">
        <v>1400</v>
      </c>
      <c r="E14" s="92">
        <f>E12/(E13*1000)</f>
        <v>3.5023079236431933E-4</v>
      </c>
      <c r="F14" s="16" t="s">
        <v>143</v>
      </c>
      <c r="G14" s="114" t="str">
        <f>"Line "&amp;A12&amp;" / (Line "&amp;A13&amp;" * 1000)"</f>
        <v>Line 1 / (Line 2 * 1000)</v>
      </c>
      <c r="H14" s="14"/>
      <c r="I14" s="14"/>
    </row>
    <row r="15" spans="1:9">
      <c r="D15" s="37"/>
      <c r="E15" s="71"/>
      <c r="G15" s="14"/>
      <c r="H15" s="14"/>
      <c r="I15" s="14"/>
    </row>
    <row r="16" spans="1:9">
      <c r="G16" s="14"/>
      <c r="H16" s="14"/>
      <c r="I16" s="14"/>
    </row>
    <row r="17" spans="1:9">
      <c r="B17" s="1" t="s">
        <v>144</v>
      </c>
      <c r="G17" s="14"/>
      <c r="H17" s="14"/>
      <c r="I17" s="14"/>
    </row>
    <row r="18" spans="1:9">
      <c r="C18" s="52" t="s">
        <v>145</v>
      </c>
      <c r="G18" s="14"/>
      <c r="H18" s="14"/>
      <c r="I18" s="14"/>
    </row>
    <row r="19" spans="1:9">
      <c r="G19" s="125" t="s">
        <v>179</v>
      </c>
      <c r="H19" s="14"/>
      <c r="I19" s="14"/>
    </row>
    <row r="20" spans="1:9">
      <c r="A20" s="580">
        <f>A14+1</f>
        <v>4</v>
      </c>
      <c r="D20" s="37" t="s">
        <v>146</v>
      </c>
      <c r="E20" s="7">
        <f>'29-WholesaleTRRs'!E27</f>
        <v>873434607.21100771</v>
      </c>
      <c r="G20" s="46" t="str">
        <f>"29-WholesaleTRRs, Line "&amp;'29-WholesaleTRRs'!A27&amp;", C2"</f>
        <v>29-WholesaleTRRs, Line 13, C2</v>
      </c>
      <c r="H20" s="14"/>
      <c r="I20" s="14"/>
    </row>
    <row r="21" spans="1:9">
      <c r="A21" s="2">
        <f>A20+1</f>
        <v>5</v>
      </c>
      <c r="D21" s="94" t="s">
        <v>1398</v>
      </c>
      <c r="E21" s="113">
        <f>'32-GrossLoad'!F7</f>
        <v>86694873.390000001</v>
      </c>
      <c r="F21" s="13" t="s">
        <v>285</v>
      </c>
      <c r="G21" s="46" t="str">
        <f>"32-Gross Load, Line "&amp;'32-GrossLoad'!A7&amp;""</f>
        <v>32-Gross Load, Line 3</v>
      </c>
      <c r="H21" s="14"/>
      <c r="I21" s="14"/>
    </row>
    <row r="22" spans="1:9">
      <c r="A22" s="2">
        <f>A21+1</f>
        <v>6</v>
      </c>
      <c r="D22" s="94" t="s">
        <v>1401</v>
      </c>
      <c r="E22" s="93">
        <f>E20/(E21*1000)</f>
        <v>1.0074812651052973E-2</v>
      </c>
      <c r="F22" s="16" t="s">
        <v>143</v>
      </c>
      <c r="G22" s="114" t="str">
        <f>"Line "&amp;A20&amp;" / (Line "&amp;A21&amp;" * 1000)"</f>
        <v>Line 4 / (Line 5 * 1000)</v>
      </c>
      <c r="H22" s="14"/>
      <c r="I22" s="14"/>
    </row>
    <row r="23" spans="1:9">
      <c r="G23" s="14"/>
      <c r="H23" s="14"/>
      <c r="I23" s="14"/>
    </row>
    <row r="24" spans="1:9">
      <c r="B24" s="1" t="s">
        <v>147</v>
      </c>
      <c r="G24" s="14"/>
      <c r="H24" s="14"/>
      <c r="I24" s="14"/>
    </row>
    <row r="25" spans="1:9">
      <c r="G25" s="125" t="s">
        <v>179</v>
      </c>
      <c r="H25" s="14"/>
      <c r="I25" s="14"/>
    </row>
    <row r="26" spans="1:9">
      <c r="A26" s="2">
        <f>A22+1</f>
        <v>7</v>
      </c>
      <c r="D26" s="94" t="s">
        <v>1402</v>
      </c>
      <c r="E26" s="7">
        <f>'29-WholesaleTRRs'!E27</f>
        <v>873434607.21100771</v>
      </c>
      <c r="G26" s="46" t="str">
        <f>"29-WholesaleTRRs, Line "&amp;'29-WholesaleTRRs'!A27&amp;", C2"</f>
        <v>29-WholesaleTRRs, Line 13, C2</v>
      </c>
      <c r="H26" s="14"/>
      <c r="I26" s="14"/>
    </row>
    <row r="27" spans="1:9">
      <c r="A27" s="2">
        <f>A26+1</f>
        <v>8</v>
      </c>
      <c r="D27" s="94" t="s">
        <v>1403</v>
      </c>
      <c r="E27" s="113">
        <f>'32-GrossLoad'!F10</f>
        <v>162441.60000000001</v>
      </c>
      <c r="F27" s="16" t="s">
        <v>148</v>
      </c>
      <c r="G27" s="46" t="str">
        <f>"32-Gross Load, Line "&amp;'32-GrossLoad'!A10&amp;""</f>
        <v>32-Gross Load, Line 4</v>
      </c>
      <c r="H27" s="14"/>
      <c r="I27" s="14"/>
    </row>
    <row r="28" spans="1:9">
      <c r="A28" s="2">
        <f>A27+1</f>
        <v>9</v>
      </c>
      <c r="D28" s="94" t="s">
        <v>1404</v>
      </c>
      <c r="E28" s="71">
        <f>ROUND((E26/(E27*1000)),2)</f>
        <v>5.38</v>
      </c>
      <c r="F28" s="13" t="s">
        <v>329</v>
      </c>
      <c r="G28" s="114" t="str">
        <f>"Line "&amp;A26&amp;" / (Line "&amp;A27&amp;" * 1000)"</f>
        <v>Line 7 / (Line 8 * 1000)</v>
      </c>
      <c r="H28" s="14"/>
      <c r="I28" s="14"/>
    </row>
    <row r="29" spans="1:9">
      <c r="G29" s="14"/>
      <c r="H29" s="14"/>
      <c r="I29" s="14"/>
    </row>
    <row r="31" spans="1:9">
      <c r="B31" s="51" t="s">
        <v>232</v>
      </c>
    </row>
    <row r="32" spans="1:9">
      <c r="B32" s="12" t="s">
        <v>1424</v>
      </c>
    </row>
    <row r="33" spans="2:4">
      <c r="B33" s="483" t="s">
        <v>1805</v>
      </c>
      <c r="D33" s="14"/>
    </row>
  </sheetData>
  <phoneticPr fontId="22" type="noConversion"/>
  <pageMargins left="0.75" right="0.75" top="1" bottom="1" header="0.5" footer="0.5"/>
  <pageSetup scale="84" orientation="portrait" cellComments="asDisplayed" r:id="rId1"/>
  <headerFooter alignWithMargins="0">
    <oddHeader>&amp;CSchedule 30
Wholesale Rates
&amp;RTO2019 Draft Annual Update 
Attachment1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election activeCell="J31" sqref="J31"/>
    </sheetView>
  </sheetViews>
  <sheetFormatPr defaultRowHeight="12.75"/>
  <cols>
    <col min="1" max="1" width="4.7109375" customWidth="1"/>
    <col min="2" max="2" width="38" style="141" customWidth="1"/>
    <col min="3" max="3" width="16.28515625" style="141" customWidth="1"/>
    <col min="4" max="4" width="14.7109375" style="141" customWidth="1"/>
    <col min="5" max="5" width="16" style="141" customWidth="1"/>
    <col min="6" max="6" width="3.42578125" style="141" bestFit="1" customWidth="1"/>
    <col min="7" max="8" width="14.7109375" style="141" customWidth="1"/>
    <col min="9" max="9" width="17.28515625" style="141" customWidth="1"/>
    <col min="10" max="11" width="14.7109375" style="141" customWidth="1"/>
  </cols>
  <sheetData>
    <row r="1" spans="1:11">
      <c r="A1" s="251" t="s">
        <v>462</v>
      </c>
      <c r="B1" s="17"/>
      <c r="C1" s="17"/>
      <c r="D1" s="17"/>
      <c r="E1" s="17"/>
      <c r="F1" s="17"/>
      <c r="G1" s="17"/>
      <c r="H1" s="17"/>
      <c r="I1" s="17"/>
      <c r="J1" s="17"/>
      <c r="K1" s="17"/>
    </row>
    <row r="2" spans="1:11">
      <c r="A2" s="17" t="s">
        <v>472</v>
      </c>
      <c r="B2" s="17"/>
      <c r="C2" s="17"/>
      <c r="D2" s="17"/>
      <c r="E2" s="17"/>
      <c r="F2" s="17"/>
      <c r="G2" s="17"/>
      <c r="H2" s="17"/>
      <c r="I2" s="252" t="s">
        <v>454</v>
      </c>
      <c r="J2" s="252"/>
      <c r="K2" s="17"/>
    </row>
    <row r="3" spans="1:11">
      <c r="A3" s="12"/>
      <c r="B3" s="17"/>
      <c r="C3" s="17"/>
      <c r="D3" s="17"/>
      <c r="E3" s="17"/>
      <c r="F3" s="17"/>
      <c r="G3" s="17"/>
      <c r="H3" s="17"/>
      <c r="I3" s="17"/>
      <c r="J3" s="17"/>
      <c r="K3" s="17"/>
    </row>
    <row r="4" spans="1:11">
      <c r="A4" s="12"/>
      <c r="B4" s="17"/>
      <c r="C4" s="17"/>
      <c r="D4" s="17"/>
      <c r="E4" s="17"/>
      <c r="F4" s="17"/>
      <c r="G4" s="494" t="s">
        <v>1761</v>
      </c>
      <c r="H4" s="494"/>
      <c r="I4" s="494"/>
      <c r="J4" s="494"/>
      <c r="K4" s="17"/>
    </row>
    <row r="5" spans="1:11">
      <c r="A5" s="12"/>
      <c r="B5" s="251" t="s">
        <v>483</v>
      </c>
      <c r="C5" s="17"/>
      <c r="D5" s="17"/>
      <c r="E5" s="17"/>
      <c r="F5" s="17"/>
      <c r="G5" s="494" t="s">
        <v>1762</v>
      </c>
      <c r="H5" s="494"/>
      <c r="I5" s="494"/>
      <c r="J5" s="494"/>
      <c r="K5" s="17"/>
    </row>
    <row r="6" spans="1:11">
      <c r="A6" s="12"/>
      <c r="B6" s="17"/>
      <c r="C6" s="26" t="s">
        <v>464</v>
      </c>
      <c r="D6" s="26"/>
      <c r="E6" s="26"/>
      <c r="F6" s="26"/>
      <c r="G6" s="26"/>
      <c r="H6" s="26"/>
      <c r="I6" s="26" t="s">
        <v>14</v>
      </c>
      <c r="J6" s="26" t="s">
        <v>15</v>
      </c>
      <c r="K6" s="26" t="s">
        <v>75</v>
      </c>
    </row>
    <row r="7" spans="1:11">
      <c r="A7" s="12"/>
      <c r="B7" s="251" t="s">
        <v>469</v>
      </c>
      <c r="C7" s="31" t="s">
        <v>465</v>
      </c>
      <c r="D7" s="31" t="s">
        <v>426</v>
      </c>
      <c r="E7" s="31" t="s">
        <v>459</v>
      </c>
      <c r="F7" s="31"/>
      <c r="G7" s="31" t="s">
        <v>466</v>
      </c>
      <c r="H7" s="31" t="s">
        <v>467</v>
      </c>
      <c r="I7" s="31" t="s">
        <v>459</v>
      </c>
      <c r="J7" s="31" t="s">
        <v>459</v>
      </c>
      <c r="K7" s="31" t="s">
        <v>468</v>
      </c>
    </row>
    <row r="8" spans="1:11">
      <c r="A8" s="3" t="s">
        <v>332</v>
      </c>
      <c r="B8" s="251"/>
      <c r="C8" s="31"/>
      <c r="D8" s="31"/>
      <c r="E8" s="31"/>
      <c r="F8" s="31"/>
      <c r="G8" s="31"/>
      <c r="H8" s="31"/>
      <c r="I8" s="31"/>
      <c r="J8" s="31"/>
      <c r="K8" s="31"/>
    </row>
    <row r="9" spans="1:11">
      <c r="A9" s="2">
        <v>1</v>
      </c>
      <c r="B9" s="253" t="s">
        <v>471</v>
      </c>
      <c r="C9" s="254"/>
      <c r="D9" s="255"/>
      <c r="E9" s="255"/>
      <c r="F9" s="256"/>
      <c r="G9" s="254"/>
      <c r="H9" s="257"/>
      <c r="I9" s="257"/>
      <c r="J9" s="257"/>
      <c r="K9" s="257"/>
    </row>
    <row r="10" spans="1:11">
      <c r="A10" s="2">
        <f>A9+1</f>
        <v>2</v>
      </c>
      <c r="B10" s="258" t="s">
        <v>1213</v>
      </c>
      <c r="C10" s="259">
        <f>SUM(D10:E10)</f>
        <v>4456571806.8405781</v>
      </c>
      <c r="D10" s="260">
        <f>G10+H10</f>
        <v>207303576.66310143</v>
      </c>
      <c r="E10" s="260">
        <f>I10+J10</f>
        <v>4249268230.1774769</v>
      </c>
      <c r="F10" s="261"/>
      <c r="G10" s="1236">
        <v>207303576.66310143</v>
      </c>
      <c r="H10" s="1236">
        <v>0</v>
      </c>
      <c r="I10" s="1236">
        <v>4249268230.1774769</v>
      </c>
      <c r="J10" s="1236">
        <v>0</v>
      </c>
      <c r="K10" s="1236">
        <v>0</v>
      </c>
    </row>
    <row r="11" spans="1:11">
      <c r="A11" s="2">
        <f t="shared" ref="A11:A47" si="0">A10+1</f>
        <v>3</v>
      </c>
      <c r="B11" s="258" t="s">
        <v>463</v>
      </c>
      <c r="C11" s="262">
        <f>SUM(D11:E11)</f>
        <v>97777322.6793935</v>
      </c>
      <c r="D11" s="263">
        <f>G11+H11</f>
        <v>5523117.0762849972</v>
      </c>
      <c r="E11" s="263">
        <f>I11+J11</f>
        <v>92254205.603108495</v>
      </c>
      <c r="F11" s="264"/>
      <c r="G11" s="1237">
        <v>0</v>
      </c>
      <c r="H11" s="1237">
        <v>5523117.0762849972</v>
      </c>
      <c r="I11" s="1237">
        <v>0</v>
      </c>
      <c r="J11" s="1237">
        <v>92254205.603108495</v>
      </c>
      <c r="K11" s="1237">
        <v>0</v>
      </c>
    </row>
    <row r="12" spans="1:11">
      <c r="A12" s="2">
        <f t="shared" si="0"/>
        <v>4</v>
      </c>
      <c r="B12" s="1021" t="s">
        <v>1760</v>
      </c>
      <c r="C12" s="265">
        <f>SUM(C10:C11)</f>
        <v>4554349129.5199718</v>
      </c>
      <c r="D12" s="265">
        <f t="shared" ref="D12:K12" si="1">SUM(D10:D11)</f>
        <v>212826693.73938644</v>
      </c>
      <c r="E12" s="265">
        <f t="shared" si="1"/>
        <v>4341522435.7805853</v>
      </c>
      <c r="F12" s="265"/>
      <c r="G12" s="265">
        <f t="shared" si="1"/>
        <v>207303576.66310143</v>
      </c>
      <c r="H12" s="265">
        <f t="shared" si="1"/>
        <v>5523117.0762849972</v>
      </c>
      <c r="I12" s="265">
        <f t="shared" si="1"/>
        <v>4249268230.1774769</v>
      </c>
      <c r="J12" s="265">
        <f t="shared" si="1"/>
        <v>92254205.603108495</v>
      </c>
      <c r="K12" s="265">
        <f t="shared" si="1"/>
        <v>0</v>
      </c>
    </row>
    <row r="13" spans="1:11">
      <c r="A13" s="2">
        <f t="shared" si="0"/>
        <v>5</v>
      </c>
      <c r="B13" s="266"/>
      <c r="C13" s="267"/>
      <c r="D13" s="267"/>
      <c r="E13" s="267"/>
      <c r="F13" s="268"/>
      <c r="G13" s="267"/>
      <c r="H13" s="269"/>
      <c r="I13" s="270"/>
      <c r="J13" s="269"/>
      <c r="K13" s="269"/>
    </row>
    <row r="14" spans="1:11">
      <c r="A14" s="2">
        <f t="shared" si="0"/>
        <v>6</v>
      </c>
      <c r="B14" s="271" t="s">
        <v>460</v>
      </c>
      <c r="C14" s="267"/>
      <c r="D14" s="267"/>
      <c r="E14" s="267"/>
      <c r="F14" s="268"/>
      <c r="G14" s="267"/>
      <c r="H14" s="269"/>
      <c r="I14" s="270"/>
      <c r="J14" s="269"/>
      <c r="K14" s="269"/>
    </row>
    <row r="15" spans="1:11">
      <c r="A15" s="2">
        <f t="shared" si="0"/>
        <v>7</v>
      </c>
      <c r="B15" s="272" t="s">
        <v>470</v>
      </c>
      <c r="C15" s="260">
        <f>SUM(D15:E15)</f>
        <v>3527998671.120451</v>
      </c>
      <c r="D15" s="260">
        <f>G15+H15</f>
        <v>39632448.522313528</v>
      </c>
      <c r="E15" s="260">
        <f>I15+J15</f>
        <v>3488366222.5981374</v>
      </c>
      <c r="F15" s="273"/>
      <c r="G15" s="1074">
        <v>39632448.522313528</v>
      </c>
      <c r="H15" s="1238">
        <v>0</v>
      </c>
      <c r="I15" s="1074">
        <v>3488366222.5981374</v>
      </c>
      <c r="J15" s="1238">
        <v>0</v>
      </c>
      <c r="K15" s="1238">
        <v>0</v>
      </c>
    </row>
    <row r="16" spans="1:11">
      <c r="A16" s="2">
        <f t="shared" si="0"/>
        <v>8</v>
      </c>
      <c r="B16" s="930" t="s">
        <v>2213</v>
      </c>
      <c r="C16" s="267">
        <f>SUM(D16:E16)</f>
        <v>449562934.3716104</v>
      </c>
      <c r="D16" s="260">
        <f>G16+H16</f>
        <v>190904.55649879423</v>
      </c>
      <c r="E16" s="260">
        <f>I16+J16+K16</f>
        <v>449372029.81511164</v>
      </c>
      <c r="F16" s="268"/>
      <c r="G16" s="1238">
        <v>110504.92212449294</v>
      </c>
      <c r="H16" s="1238">
        <v>80399.634374301299</v>
      </c>
      <c r="I16" s="1238">
        <v>267329959.43419534</v>
      </c>
      <c r="J16" s="1238">
        <v>128270186.53408805</v>
      </c>
      <c r="K16" s="1238">
        <v>53771883.846828237</v>
      </c>
    </row>
    <row r="17" spans="1:11" ht="15">
      <c r="A17" s="2">
        <f t="shared" si="0"/>
        <v>9</v>
      </c>
      <c r="B17" s="930" t="s">
        <v>2246</v>
      </c>
      <c r="C17" s="274">
        <f>SUM(D17:E17)</f>
        <v>41534818.091050737</v>
      </c>
      <c r="D17" s="263">
        <f>G17+H17</f>
        <v>127274.00001383394</v>
      </c>
      <c r="E17" s="275">
        <f>I17+J17</f>
        <v>41407544.091036901</v>
      </c>
      <c r="F17" s="276"/>
      <c r="G17" s="1239">
        <v>0</v>
      </c>
      <c r="H17" s="1240">
        <v>127274.00001383394</v>
      </c>
      <c r="I17" s="1239">
        <v>0</v>
      </c>
      <c r="J17" s="1240">
        <v>41407544.091036901</v>
      </c>
      <c r="K17" s="1239">
        <v>0</v>
      </c>
    </row>
    <row r="18" spans="1:11">
      <c r="A18" s="2">
        <f t="shared" si="0"/>
        <v>10</v>
      </c>
      <c r="B18" s="1022" t="s">
        <v>1850</v>
      </c>
      <c r="C18" s="260">
        <f>SUM(C15:C17)</f>
        <v>4019096423.5831122</v>
      </c>
      <c r="D18" s="260">
        <f>SUM(D15:D17)</f>
        <v>39950627.078826159</v>
      </c>
      <c r="E18" s="260">
        <f>SUM(E15:E17)</f>
        <v>3979145796.5042858</v>
      </c>
      <c r="F18" s="277"/>
      <c r="G18" s="260">
        <f>SUM(G15:G17)</f>
        <v>39742953.444438018</v>
      </c>
      <c r="H18" s="260">
        <f>SUM(H15:H17)</f>
        <v>207673.63438813522</v>
      </c>
      <c r="I18" s="260">
        <f>SUM(I15:I17)</f>
        <v>3755696182.0323329</v>
      </c>
      <c r="J18" s="260">
        <f>SUM(J15:J17)</f>
        <v>169677730.62512493</v>
      </c>
      <c r="K18" s="260">
        <f>SUM(K15:K17)</f>
        <v>53771883.846828237</v>
      </c>
    </row>
    <row r="19" spans="1:11">
      <c r="A19" s="2">
        <f t="shared" si="0"/>
        <v>11</v>
      </c>
      <c r="B19" s="266"/>
      <c r="C19" s="1023"/>
      <c r="D19" s="1023"/>
      <c r="E19" s="1023"/>
      <c r="F19" s="279"/>
      <c r="G19" s="278"/>
      <c r="H19" s="278"/>
      <c r="I19" s="278"/>
      <c r="J19" s="278"/>
      <c r="K19" s="278"/>
    </row>
    <row r="20" spans="1:11">
      <c r="A20" s="2">
        <f t="shared" si="0"/>
        <v>12</v>
      </c>
      <c r="B20" s="1022" t="s">
        <v>461</v>
      </c>
      <c r="C20" s="1024">
        <f>C12+C18</f>
        <v>8573445553.1030846</v>
      </c>
      <c r="D20" s="1024">
        <f t="shared" ref="D20:K20" si="2">D12+D18</f>
        <v>252777320.8182126</v>
      </c>
      <c r="E20" s="1024">
        <f>E12+E18</f>
        <v>8320668232.2848711</v>
      </c>
      <c r="F20" s="280"/>
      <c r="G20" s="280">
        <f t="shared" si="2"/>
        <v>247046530.10753945</v>
      </c>
      <c r="H20" s="280">
        <f t="shared" si="2"/>
        <v>5730790.710673132</v>
      </c>
      <c r="I20" s="280">
        <f t="shared" si="2"/>
        <v>8004964412.2098103</v>
      </c>
      <c r="J20" s="280">
        <f t="shared" si="2"/>
        <v>261931936.22823343</v>
      </c>
      <c r="K20" s="280">
        <f t="shared" si="2"/>
        <v>53771883.846828237</v>
      </c>
    </row>
    <row r="21" spans="1:11">
      <c r="A21" s="2">
        <f t="shared" si="0"/>
        <v>13</v>
      </c>
      <c r="B21" s="17"/>
      <c r="C21" s="281"/>
      <c r="D21" s="282"/>
      <c r="E21" s="281"/>
      <c r="F21" s="17"/>
      <c r="G21" s="281"/>
      <c r="H21" s="281"/>
      <c r="I21" s="281"/>
      <c r="J21" s="281"/>
      <c r="K21" s="281"/>
    </row>
    <row r="22" spans="1:11">
      <c r="A22" s="2">
        <f t="shared" si="0"/>
        <v>14</v>
      </c>
      <c r="B22" s="17"/>
      <c r="C22" s="281"/>
      <c r="D22" s="282"/>
      <c r="E22" s="281"/>
      <c r="F22" s="17"/>
      <c r="G22" s="281"/>
      <c r="H22" s="281"/>
      <c r="I22" s="281"/>
      <c r="J22" s="281"/>
      <c r="K22" s="281"/>
    </row>
    <row r="23" spans="1:11">
      <c r="A23" s="2">
        <f t="shared" si="0"/>
        <v>15</v>
      </c>
      <c r="B23" s="496" t="s">
        <v>2214</v>
      </c>
      <c r="C23" s="281"/>
      <c r="D23" s="282"/>
      <c r="E23" s="281"/>
      <c r="F23" s="17"/>
      <c r="G23" s="281"/>
      <c r="H23" s="281"/>
      <c r="I23" s="281"/>
      <c r="J23" s="281"/>
      <c r="K23" s="281"/>
    </row>
    <row r="24" spans="1:11">
      <c r="A24" s="2">
        <f t="shared" si="0"/>
        <v>16</v>
      </c>
      <c r="B24" s="17"/>
      <c r="C24" s="283" t="s">
        <v>474</v>
      </c>
      <c r="D24" s="26" t="s">
        <v>475</v>
      </c>
      <c r="E24" s="26"/>
      <c r="F24" s="17"/>
      <c r="G24" s="17"/>
      <c r="H24" s="17"/>
      <c r="I24" s="17"/>
      <c r="J24" s="17"/>
      <c r="K24" s="17"/>
    </row>
    <row r="25" spans="1:11">
      <c r="A25" s="2">
        <f t="shared" si="0"/>
        <v>17</v>
      </c>
      <c r="B25" s="17" t="s">
        <v>331</v>
      </c>
      <c r="C25" s="31" t="s">
        <v>473</v>
      </c>
      <c r="D25" s="31" t="s">
        <v>473</v>
      </c>
      <c r="E25" s="31" t="s">
        <v>196</v>
      </c>
      <c r="F25" s="17"/>
      <c r="G25" s="284" t="s">
        <v>232</v>
      </c>
      <c r="H25" s="17"/>
      <c r="I25" s="17"/>
      <c r="J25" s="17"/>
      <c r="K25" s="17"/>
    </row>
    <row r="26" spans="1:11">
      <c r="A26" s="2">
        <f t="shared" si="0"/>
        <v>18</v>
      </c>
      <c r="B26" s="77" t="s">
        <v>426</v>
      </c>
      <c r="C26" s="280">
        <f>G20</f>
        <v>247046530.10753945</v>
      </c>
      <c r="D26" s="280">
        <f>H20</f>
        <v>5730790.710673132</v>
      </c>
      <c r="E26" s="285">
        <f>SUM(C26:D26)</f>
        <v>252777320.81821257</v>
      </c>
      <c r="F26" s="17"/>
      <c r="G26" s="17" t="s">
        <v>479</v>
      </c>
      <c r="H26" s="17"/>
      <c r="I26" s="17"/>
      <c r="J26" s="17"/>
      <c r="K26" s="17"/>
    </row>
    <row r="27" spans="1:11">
      <c r="A27" s="2">
        <f t="shared" si="0"/>
        <v>19</v>
      </c>
      <c r="B27" s="77" t="s">
        <v>459</v>
      </c>
      <c r="C27" s="280">
        <f>I20</f>
        <v>8004964412.2098103</v>
      </c>
      <c r="D27" s="280">
        <f>J20</f>
        <v>261931936.22823343</v>
      </c>
      <c r="E27" s="285">
        <f>SUM(C27:D27)</f>
        <v>8266896348.4380436</v>
      </c>
      <c r="F27" s="17"/>
      <c r="G27" s="17" t="s">
        <v>479</v>
      </c>
      <c r="H27" s="17"/>
      <c r="I27" s="17"/>
      <c r="J27" s="17"/>
      <c r="K27" s="17"/>
    </row>
    <row r="28" spans="1:11">
      <c r="A28" s="2">
        <f t="shared" si="0"/>
        <v>20</v>
      </c>
      <c r="B28" s="32" t="s">
        <v>477</v>
      </c>
      <c r="C28" s="280">
        <f>SUM(C26:C27)</f>
        <v>8252010942.3173494</v>
      </c>
      <c r="D28" s="280">
        <f>SUM(D26:D27)</f>
        <v>267662726.93890655</v>
      </c>
      <c r="E28" s="280">
        <f>SUM(C28:D28)</f>
        <v>8519673669.2562561</v>
      </c>
      <c r="F28" s="17"/>
      <c r="G28" s="17" t="s">
        <v>480</v>
      </c>
      <c r="H28" s="17"/>
      <c r="I28" s="17"/>
      <c r="J28" s="17"/>
      <c r="K28" s="17"/>
    </row>
    <row r="29" spans="1:11">
      <c r="A29" s="111">
        <f t="shared" si="0"/>
        <v>21</v>
      </c>
      <c r="B29" s="286" t="s">
        <v>476</v>
      </c>
      <c r="C29" s="287">
        <f>C28/E28</f>
        <v>0.96858298365290874</v>
      </c>
      <c r="D29" s="287">
        <f>D28/E28</f>
        <v>3.1417016347091237E-2</v>
      </c>
      <c r="E29" s="288"/>
      <c r="F29" s="1025"/>
      <c r="G29" s="1026" t="s">
        <v>481</v>
      </c>
      <c r="H29" s="266"/>
      <c r="I29" s="266"/>
      <c r="J29" s="266"/>
      <c r="K29" s="1025"/>
    </row>
    <row r="30" spans="1:11">
      <c r="A30" s="111">
        <f t="shared" si="0"/>
        <v>22</v>
      </c>
      <c r="B30" s="289"/>
      <c r="C30" s="290"/>
      <c r="D30" s="290"/>
      <c r="E30" s="290"/>
      <c r="F30" s="289"/>
      <c r="G30" s="289"/>
      <c r="H30" s="289"/>
      <c r="I30" s="289"/>
      <c r="J30" s="289"/>
      <c r="K30" s="289"/>
    </row>
    <row r="31" spans="1:11">
      <c r="A31" s="111">
        <f t="shared" si="0"/>
        <v>23</v>
      </c>
      <c r="B31" s="266" t="s">
        <v>478</v>
      </c>
      <c r="C31" s="1027">
        <f>K20*C29</f>
        <v>52082531.692998543</v>
      </c>
      <c r="D31" s="1027">
        <f>K20*D29</f>
        <v>1689352.153829694</v>
      </c>
      <c r="E31" s="1027">
        <f>K20</f>
        <v>53771883.846828237</v>
      </c>
      <c r="F31" s="266"/>
      <c r="G31" s="494" t="str">
        <f>"Straddling Transformers split by Gross Plant Percentages on Line "&amp;A29&amp;""</f>
        <v>Straddling Transformers split by Gross Plant Percentages on Line 21</v>
      </c>
      <c r="H31" s="266"/>
      <c r="I31" s="266"/>
      <c r="J31" s="266"/>
      <c r="K31" s="266"/>
    </row>
    <row r="32" spans="1:11">
      <c r="A32" s="111">
        <f t="shared" si="0"/>
        <v>24</v>
      </c>
      <c r="B32" s="623" t="s">
        <v>2369</v>
      </c>
      <c r="C32" s="1028">
        <f>'12-AbandonedPlant'!G22</f>
        <v>0</v>
      </c>
      <c r="D32" s="1028">
        <f>E32-C32</f>
        <v>0</v>
      </c>
      <c r="E32" s="1028">
        <f>'12-AbandonedPlant'!G20</f>
        <v>0</v>
      </c>
      <c r="F32" s="623"/>
      <c r="G32" s="623" t="s">
        <v>2370</v>
      </c>
      <c r="H32" s="1029"/>
      <c r="I32" s="266"/>
      <c r="J32" s="266"/>
      <c r="K32" s="266"/>
    </row>
    <row r="33" spans="1:11">
      <c r="A33" s="111">
        <f t="shared" si="0"/>
        <v>25</v>
      </c>
      <c r="B33" s="266" t="s">
        <v>482</v>
      </c>
      <c r="C33" s="260">
        <f>C28+C31+C32</f>
        <v>8304093474.0103483</v>
      </c>
      <c r="D33" s="260">
        <f>D28+D31+D32</f>
        <v>269352079.09273624</v>
      </c>
      <c r="E33" s="260">
        <f>E28+E31+E32</f>
        <v>8573445553.1030846</v>
      </c>
      <c r="F33" s="266"/>
      <c r="G33" s="623" t="str">
        <f>"Line "&amp;A28&amp;" + Line "&amp;A31&amp;" + Line "&amp;A32&amp;""</f>
        <v>Line 20 + Line 23 + Line 24</v>
      </c>
      <c r="H33" s="623"/>
      <c r="I33" s="266"/>
      <c r="J33" s="266"/>
      <c r="K33" s="266"/>
    </row>
    <row r="34" spans="1:11">
      <c r="A34" s="111">
        <f t="shared" si="0"/>
        <v>26</v>
      </c>
      <c r="B34" s="266"/>
      <c r="C34" s="291"/>
      <c r="D34" s="291"/>
      <c r="E34" s="1030"/>
      <c r="F34" s="266"/>
      <c r="G34" s="266"/>
      <c r="H34" s="266"/>
      <c r="I34" s="266"/>
      <c r="J34" s="266"/>
      <c r="K34" s="266"/>
    </row>
    <row r="35" spans="1:11">
      <c r="A35" s="111">
        <f t="shared" si="0"/>
        <v>27</v>
      </c>
      <c r="B35" s="266"/>
      <c r="C35" s="1031"/>
      <c r="D35" s="1031"/>
      <c r="E35" s="266"/>
      <c r="F35" s="266"/>
      <c r="G35" s="1031"/>
      <c r="H35" s="1031"/>
      <c r="I35" s="1031"/>
      <c r="J35" s="266"/>
      <c r="K35" s="266"/>
    </row>
    <row r="36" spans="1:11">
      <c r="A36" s="111">
        <f t="shared" si="0"/>
        <v>28</v>
      </c>
      <c r="B36" s="271" t="s">
        <v>2371</v>
      </c>
      <c r="C36" s="266"/>
      <c r="D36" s="266"/>
      <c r="E36" s="266"/>
      <c r="F36" s="266"/>
      <c r="G36" s="266"/>
      <c r="H36" s="266"/>
      <c r="I36" s="266"/>
      <c r="J36" s="266"/>
      <c r="K36" s="266"/>
    </row>
    <row r="37" spans="1:11">
      <c r="A37" s="111">
        <f t="shared" si="0"/>
        <v>29</v>
      </c>
      <c r="B37" s="271"/>
      <c r="C37" s="266"/>
      <c r="D37" s="266"/>
      <c r="E37" s="266"/>
      <c r="F37" s="266"/>
      <c r="G37" s="266"/>
      <c r="H37" s="266"/>
      <c r="I37" s="266"/>
      <c r="J37" s="266"/>
      <c r="K37" s="266"/>
    </row>
    <row r="38" spans="1:11">
      <c r="A38" s="111">
        <f t="shared" si="0"/>
        <v>30</v>
      </c>
      <c r="B38" s="271"/>
      <c r="C38" s="1032" t="s">
        <v>474</v>
      </c>
      <c r="D38" s="427" t="s">
        <v>475</v>
      </c>
      <c r="E38" s="427"/>
      <c r="F38" s="266"/>
      <c r="G38" s="266"/>
      <c r="H38" s="266"/>
      <c r="I38" s="266"/>
      <c r="J38" s="266"/>
      <c r="K38" s="266"/>
    </row>
    <row r="39" spans="1:11">
      <c r="A39" s="111">
        <f t="shared" si="0"/>
        <v>31</v>
      </c>
      <c r="B39" s="271"/>
      <c r="C39" s="475" t="s">
        <v>473</v>
      </c>
      <c r="D39" s="475" t="s">
        <v>473</v>
      </c>
      <c r="E39" s="475" t="s">
        <v>196</v>
      </c>
      <c r="F39" s="266"/>
      <c r="G39" s="1033" t="s">
        <v>232</v>
      </c>
      <c r="H39" s="266"/>
      <c r="I39" s="266"/>
      <c r="J39" s="266"/>
      <c r="K39" s="266"/>
    </row>
    <row r="40" spans="1:11">
      <c r="A40" s="111">
        <f t="shared" si="0"/>
        <v>32</v>
      </c>
      <c r="B40" s="266" t="s">
        <v>482</v>
      </c>
      <c r="C40" s="273">
        <f>C33</f>
        <v>8304093474.0103483</v>
      </c>
      <c r="D40" s="273">
        <f>D33</f>
        <v>269352079.09273624</v>
      </c>
      <c r="E40" s="273">
        <f>E33</f>
        <v>8573445553.1030846</v>
      </c>
      <c r="F40" s="266"/>
      <c r="G40" s="266" t="str">
        <f>"Line "&amp;A33&amp;""</f>
        <v>Line 25</v>
      </c>
      <c r="H40" s="266"/>
      <c r="I40" s="266"/>
      <c r="J40" s="266"/>
      <c r="K40" s="266"/>
    </row>
    <row r="41" spans="1:11">
      <c r="A41" s="111">
        <f t="shared" si="0"/>
        <v>33</v>
      </c>
      <c r="B41" s="494" t="s">
        <v>2372</v>
      </c>
      <c r="C41" s="273">
        <f>'16-PlantAdditions'!K37-'16-PlantAdditions'!P37</f>
        <v>508628193.74837041</v>
      </c>
      <c r="D41" s="273">
        <f>'16-PlantAdditions'!P37</f>
        <v>12714511.833981665</v>
      </c>
      <c r="E41" s="1034">
        <f>SUM(C41:D41)</f>
        <v>521342705.5823521</v>
      </c>
      <c r="F41" s="266"/>
      <c r="G41" s="266" t="str">
        <f>"13-Month Average: 16-PlantAdditions, Line "&amp;'16-PlantAdditions'!A37&amp;", Cols 7  (for Total) and 12 (for LV).  HV = C7 - C12."</f>
        <v>13-Month Average: 16-PlantAdditions, Line 25, Cols 7  (for Total) and 12 (for LV).  HV = C7 - C12.</v>
      </c>
      <c r="H41" s="266"/>
      <c r="I41" s="266"/>
      <c r="J41" s="266"/>
      <c r="K41" s="266"/>
    </row>
    <row r="42" spans="1:11">
      <c r="A42" s="111">
        <f t="shared" si="0"/>
        <v>34</v>
      </c>
      <c r="B42" s="494" t="s">
        <v>2373</v>
      </c>
      <c r="C42" s="558">
        <f>'10-CWIP'!K79</f>
        <v>301458236.65036386</v>
      </c>
      <c r="D42" s="558">
        <v>0</v>
      </c>
      <c r="E42" s="558">
        <f>SUM(C42:D42)</f>
        <v>301458236.65036386</v>
      </c>
      <c r="F42" s="266"/>
      <c r="G42" s="266" t="str">
        <f>"13 Month Average: 10-CWIP, Line "&amp;'10-CWIP'!A79&amp;", Col. 8"</f>
        <v>13 Month Average: 10-CWIP, Line 54, Col. 8</v>
      </c>
      <c r="H42" s="266"/>
      <c r="I42" s="266"/>
      <c r="J42" s="266"/>
      <c r="K42" s="266"/>
    </row>
    <row r="43" spans="1:11">
      <c r="A43" s="111">
        <f t="shared" si="0"/>
        <v>35</v>
      </c>
      <c r="B43" s="494" t="s">
        <v>2374</v>
      </c>
      <c r="C43" s="273">
        <f>SUM(C40:C42)</f>
        <v>9114179904.4090824</v>
      </c>
      <c r="D43" s="273">
        <f t="shared" ref="D43:E43" si="3">SUM(D40:D42)</f>
        <v>282066590.92671794</v>
      </c>
      <c r="E43" s="273">
        <f t="shared" si="3"/>
        <v>9396246495.3358002</v>
      </c>
      <c r="F43" s="266"/>
      <c r="G43" s="266" t="str">
        <f>"Line "&amp;A40&amp;" + Line "&amp;A41&amp;" + Line "&amp;A42&amp;""</f>
        <v>Line 32 + Line 33 + Line 34</v>
      </c>
      <c r="H43" s="266"/>
      <c r="I43" s="266"/>
      <c r="J43" s="266"/>
      <c r="K43" s="266"/>
    </row>
    <row r="44" spans="1:11">
      <c r="A44" s="111">
        <f t="shared" si="0"/>
        <v>36</v>
      </c>
      <c r="B44" s="266"/>
      <c r="C44" s="266"/>
      <c r="D44" s="266"/>
      <c r="E44" s="266"/>
      <c r="F44" s="266"/>
      <c r="G44" s="266"/>
      <c r="H44" s="266"/>
      <c r="I44" s="266"/>
      <c r="J44" s="266"/>
      <c r="K44" s="266"/>
    </row>
    <row r="45" spans="1:11">
      <c r="A45" s="111">
        <f t="shared" si="0"/>
        <v>37</v>
      </c>
      <c r="B45" s="266" t="s">
        <v>1141</v>
      </c>
      <c r="C45" s="1035">
        <f>C43/E43</f>
        <v>0.96998092897342225</v>
      </c>
      <c r="D45" s="1035">
        <f>D43/E43</f>
        <v>3.001907102657778E-2</v>
      </c>
      <c r="E45" s="266"/>
      <c r="F45" s="266"/>
      <c r="G45" s="1036" t="str">
        <f>"Percent of Total on Line "&amp;A43&amp;""</f>
        <v>Percent of Total on Line 35</v>
      </c>
      <c r="H45" s="266"/>
      <c r="I45" s="266"/>
      <c r="J45" s="266"/>
      <c r="K45" s="266"/>
    </row>
    <row r="46" spans="1:11">
      <c r="A46" s="111">
        <f t="shared" si="0"/>
        <v>38</v>
      </c>
      <c r="B46" s="983" t="s">
        <v>1475</v>
      </c>
      <c r="C46" s="266"/>
      <c r="D46" s="266"/>
      <c r="E46" s="266"/>
      <c r="F46" s="266"/>
      <c r="G46" s="266"/>
      <c r="H46" s="266"/>
      <c r="I46" s="266"/>
      <c r="J46" s="266"/>
      <c r="K46" s="266"/>
    </row>
    <row r="47" spans="1:11">
      <c r="A47" s="111">
        <f t="shared" si="0"/>
        <v>39</v>
      </c>
      <c r="B47" s="494" t="s">
        <v>1634</v>
      </c>
      <c r="C47" s="266"/>
      <c r="D47" s="266"/>
      <c r="E47" s="266"/>
      <c r="F47" s="266"/>
      <c r="G47" s="266"/>
      <c r="H47" s="266"/>
      <c r="I47" s="266"/>
      <c r="J47" s="266"/>
      <c r="K47" s="266"/>
    </row>
    <row r="48" spans="1:11">
      <c r="A48" s="15"/>
      <c r="B48" s="44"/>
      <c r="C48" s="266"/>
      <c r="D48" s="266"/>
      <c r="E48" s="266"/>
      <c r="F48" s="266"/>
      <c r="G48" s="266"/>
      <c r="H48" s="266"/>
      <c r="I48" s="266"/>
      <c r="J48" s="266"/>
      <c r="K48" s="266"/>
    </row>
    <row r="49" spans="1:11">
      <c r="A49" s="15"/>
      <c r="B49" s="44"/>
      <c r="C49" s="623"/>
      <c r="D49" s="623"/>
      <c r="E49" s="623"/>
      <c r="F49" s="623"/>
      <c r="G49" s="623"/>
      <c r="H49" s="623"/>
      <c r="I49" s="266"/>
      <c r="J49" s="266"/>
      <c r="K49" s="266"/>
    </row>
    <row r="50" spans="1:11">
      <c r="A50" s="15"/>
      <c r="B50" s="623"/>
      <c r="C50" s="623"/>
      <c r="D50" s="623"/>
      <c r="E50" s="623"/>
      <c r="F50" s="623"/>
      <c r="G50" s="623"/>
      <c r="H50" s="623"/>
      <c r="I50" s="266"/>
      <c r="J50" s="266"/>
      <c r="K50" s="266"/>
    </row>
    <row r="51" spans="1:11">
      <c r="A51" s="14"/>
      <c r="B51" s="623"/>
      <c r="C51" s="1029"/>
      <c r="D51" s="1029"/>
      <c r="E51" s="1029"/>
      <c r="F51" s="1029"/>
      <c r="G51" s="1029"/>
      <c r="H51" s="1029"/>
      <c r="I51" s="1037"/>
      <c r="J51" s="1037"/>
      <c r="K51" s="1037"/>
    </row>
  </sheetData>
  <pageMargins left="0.7" right="0.7" top="0.75" bottom="0.75" header="0.3" footer="0.3"/>
  <pageSetup scale="70" orientation="landscape" cellComments="asDisplayed" r:id="rId1"/>
  <headerFooter>
    <oddHeader>&amp;CSchedule 31
High and Low Voltage Gross Plant
&amp;RTO2019 Draft Annual Update 
Attachment1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zoomScaleNormal="100" workbookViewId="0">
      <selection activeCell="D19" sqref="D19"/>
    </sheetView>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1645</v>
      </c>
    </row>
    <row r="3" spans="1:8">
      <c r="G3" s="2"/>
    </row>
    <row r="4" spans="1:8">
      <c r="A4" s="3" t="s">
        <v>332</v>
      </c>
      <c r="F4" s="3" t="s">
        <v>285</v>
      </c>
      <c r="G4" s="3" t="s">
        <v>154</v>
      </c>
      <c r="H4" s="51" t="s">
        <v>179</v>
      </c>
    </row>
    <row r="5" spans="1:8">
      <c r="A5" s="2">
        <v>1</v>
      </c>
      <c r="B5" s="483" t="s">
        <v>338</v>
      </c>
      <c r="F5" s="1348">
        <v>86680005.390000001</v>
      </c>
      <c r="G5" s="16"/>
      <c r="H5" t="s">
        <v>364</v>
      </c>
    </row>
    <row r="6" spans="1:8">
      <c r="A6" s="2">
        <v>2</v>
      </c>
      <c r="B6" s="12" t="s">
        <v>339</v>
      </c>
      <c r="F6" s="100">
        <v>14868</v>
      </c>
      <c r="G6" s="16"/>
      <c r="H6" t="s">
        <v>365</v>
      </c>
    </row>
    <row r="7" spans="1:8">
      <c r="A7" s="2">
        <v>3</v>
      </c>
      <c r="B7" s="50" t="s">
        <v>327</v>
      </c>
      <c r="F7" s="99">
        <f>SUM(F5:F6)</f>
        <v>86694873.390000001</v>
      </c>
      <c r="G7" s="13" t="s">
        <v>340</v>
      </c>
      <c r="H7" s="12" t="s">
        <v>328</v>
      </c>
    </row>
    <row r="8" spans="1:8">
      <c r="A8" s="2"/>
      <c r="G8" s="16"/>
    </row>
    <row r="9" spans="1:8">
      <c r="A9" s="2"/>
      <c r="G9" s="16"/>
    </row>
    <row r="10" spans="1:8">
      <c r="A10" s="2">
        <v>4</v>
      </c>
      <c r="B10" s="485" t="s">
        <v>2205</v>
      </c>
      <c r="C10" s="14"/>
      <c r="D10" s="14"/>
      <c r="E10" s="37"/>
      <c r="F10" s="1349">
        <v>162441.60000000001</v>
      </c>
      <c r="G10" s="16"/>
      <c r="H10" s="12" t="s">
        <v>364</v>
      </c>
    </row>
    <row r="11" spans="1:8">
      <c r="B11" s="14"/>
      <c r="C11" s="14"/>
      <c r="D11" s="14"/>
    </row>
    <row r="12" spans="1:8">
      <c r="B12" s="14"/>
      <c r="C12" s="14"/>
      <c r="D12" s="14"/>
    </row>
    <row r="13" spans="1:8">
      <c r="B13" s="932" t="s">
        <v>232</v>
      </c>
      <c r="C13" s="14"/>
      <c r="D13" s="14"/>
    </row>
    <row r="14" spans="1:8">
      <c r="B14" s="15" t="s">
        <v>1240</v>
      </c>
      <c r="C14" s="14"/>
      <c r="D14" s="14"/>
    </row>
    <row r="15" spans="1:8">
      <c r="B15" s="15" t="s">
        <v>1241</v>
      </c>
      <c r="C15" s="14"/>
      <c r="D15" s="14"/>
    </row>
    <row r="16" spans="1:8">
      <c r="B16" s="485" t="s">
        <v>1870</v>
      </c>
      <c r="C16" s="14"/>
      <c r="D16" s="14"/>
      <c r="E16" s="14"/>
      <c r="F16" s="14"/>
      <c r="G16" s="14"/>
      <c r="H16" s="14"/>
    </row>
    <row r="18" spans="2:2" ht="15.75">
      <c r="B18" s="605"/>
    </row>
  </sheetData>
  <pageMargins left="0.7" right="0.7" top="0.75" bottom="0.75" header="0.3" footer="0.3"/>
  <pageSetup orientation="landscape" cellComments="asDisplayed" r:id="rId1"/>
  <headerFooter>
    <oddHeader>&amp;CSchedule 32 
Gross Load
&amp;RTO2019 Draft Annual Update 
Attachment1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heetViews>
  <sheetFormatPr defaultColWidth="9.140625" defaultRowHeight="12.75"/>
  <cols>
    <col min="1" max="1" width="5.42578125" style="759" customWidth="1"/>
    <col min="2" max="2" width="18.5703125" style="759" customWidth="1"/>
    <col min="3" max="12" width="15.7109375" style="759" customWidth="1"/>
    <col min="13" max="13" width="15.7109375" style="758" customWidth="1"/>
    <col min="14" max="14" width="15.7109375" style="759" customWidth="1"/>
    <col min="15" max="16384" width="9.140625" style="759"/>
  </cols>
  <sheetData>
    <row r="1" spans="1:16" ht="15.75">
      <c r="A1" s="755" t="s">
        <v>374</v>
      </c>
      <c r="B1" s="756"/>
      <c r="C1" s="756"/>
      <c r="D1" s="756"/>
      <c r="E1" s="756"/>
      <c r="F1" s="756"/>
      <c r="G1" s="756"/>
      <c r="H1" s="756"/>
      <c r="I1" s="756"/>
      <c r="J1" s="756"/>
      <c r="K1" s="757"/>
      <c r="L1" s="757"/>
    </row>
    <row r="2" spans="1:16" ht="14.25" customHeight="1">
      <c r="A2" s="755"/>
      <c r="B2" s="756"/>
      <c r="C2" s="756"/>
      <c r="D2" s="756"/>
      <c r="E2" s="756"/>
      <c r="F2" s="756"/>
      <c r="G2" s="756"/>
      <c r="H2" s="756"/>
      <c r="I2" s="756"/>
      <c r="J2" s="756"/>
      <c r="K2" s="757"/>
      <c r="L2" s="757"/>
    </row>
    <row r="3" spans="1:16">
      <c r="E3" s="760" t="s">
        <v>179</v>
      </c>
      <c r="K3" s="761"/>
      <c r="L3" s="761"/>
    </row>
    <row r="4" spans="1:16">
      <c r="C4" s="762" t="s">
        <v>1171</v>
      </c>
      <c r="D4" s="763">
        <f>'1-BaseTRR'!K151</f>
        <v>1038125394.7698954</v>
      </c>
      <c r="E4" s="764" t="s">
        <v>2201</v>
      </c>
      <c r="G4" s="765" t="s">
        <v>454</v>
      </c>
      <c r="H4" s="766"/>
      <c r="J4" s="767"/>
      <c r="K4" s="761"/>
      <c r="L4" s="761"/>
    </row>
    <row r="5" spans="1:16">
      <c r="C5" s="762"/>
      <c r="D5" s="768"/>
      <c r="E5" s="764"/>
      <c r="K5" s="761"/>
      <c r="L5" s="761"/>
    </row>
    <row r="6" spans="1:16" ht="15.75">
      <c r="B6" s="755" t="s">
        <v>1172</v>
      </c>
      <c r="D6" s="762"/>
      <c r="E6" s="768"/>
      <c r="F6" s="764"/>
      <c r="K6" s="761"/>
      <c r="L6" s="761"/>
    </row>
    <row r="7" spans="1:16">
      <c r="C7" s="769" t="s">
        <v>363</v>
      </c>
      <c r="D7" s="769" t="s">
        <v>347</v>
      </c>
      <c r="E7" s="769" t="s">
        <v>348</v>
      </c>
      <c r="F7" s="851" t="s">
        <v>349</v>
      </c>
      <c r="G7" s="851" t="s">
        <v>350</v>
      </c>
      <c r="H7" s="851" t="s">
        <v>351</v>
      </c>
      <c r="I7" s="851" t="s">
        <v>352</v>
      </c>
      <c r="J7" s="851" t="s">
        <v>544</v>
      </c>
      <c r="K7" s="851" t="s">
        <v>961</v>
      </c>
      <c r="L7" s="851" t="s">
        <v>974</v>
      </c>
      <c r="M7" s="851" t="s">
        <v>977</v>
      </c>
      <c r="N7" s="760" t="s">
        <v>995</v>
      </c>
      <c r="O7" s="760" t="s">
        <v>1482</v>
      </c>
      <c r="P7" s="760" t="s">
        <v>1483</v>
      </c>
    </row>
    <row r="8" spans="1:16">
      <c r="C8" s="827" t="s">
        <v>364</v>
      </c>
      <c r="D8" s="767"/>
      <c r="E8" s="827" t="s">
        <v>365</v>
      </c>
      <c r="F8" s="827" t="s">
        <v>1173</v>
      </c>
      <c r="G8" s="827" t="s">
        <v>1188</v>
      </c>
      <c r="H8" s="827" t="s">
        <v>1190</v>
      </c>
      <c r="I8" s="827" t="s">
        <v>1191</v>
      </c>
      <c r="J8" s="827" t="s">
        <v>1192</v>
      </c>
      <c r="K8" s="767"/>
      <c r="L8" s="767"/>
    </row>
    <row r="9" spans="1:16" s="773" customFormat="1">
      <c r="A9" s="771"/>
      <c r="B9" s="771"/>
      <c r="C9" s="769"/>
      <c r="D9" s="772"/>
      <c r="E9" s="1425" t="s">
        <v>2127</v>
      </c>
      <c r="F9" s="1426"/>
      <c r="G9" s="1426"/>
      <c r="H9" s="1427"/>
      <c r="I9" s="1428"/>
      <c r="J9" s="1125"/>
      <c r="K9" s="1125"/>
      <c r="L9" s="827" t="s">
        <v>2263</v>
      </c>
      <c r="M9" s="827" t="s">
        <v>2263</v>
      </c>
      <c r="N9" s="827" t="s">
        <v>2263</v>
      </c>
    </row>
    <row r="10" spans="1:16" s="778" customFormat="1" ht="53.25" customHeight="1">
      <c r="A10" s="774"/>
      <c r="B10" s="774"/>
      <c r="C10" s="775"/>
      <c r="D10" s="1126" t="s">
        <v>2128</v>
      </c>
      <c r="E10" s="1127" t="s">
        <v>2264</v>
      </c>
      <c r="F10" s="1127" t="s">
        <v>2265</v>
      </c>
      <c r="G10" s="1128" t="s">
        <v>2256</v>
      </c>
      <c r="H10" s="1127" t="s">
        <v>2129</v>
      </c>
      <c r="I10" s="1127" t="s">
        <v>2130</v>
      </c>
      <c r="J10" s="1129" t="s">
        <v>2266</v>
      </c>
      <c r="K10" s="776" t="s">
        <v>2267</v>
      </c>
      <c r="L10" s="776" t="s">
        <v>2268</v>
      </c>
      <c r="M10" s="1141" t="s">
        <v>2131</v>
      </c>
      <c r="N10" s="1142"/>
      <c r="O10" s="1143"/>
      <c r="P10" s="777"/>
    </row>
    <row r="11" spans="1:16" s="773" customFormat="1" ht="55.15" customHeight="1">
      <c r="A11" s="760" t="s">
        <v>322</v>
      </c>
      <c r="B11" s="779" t="s">
        <v>1174</v>
      </c>
      <c r="C11" s="780" t="s">
        <v>1175</v>
      </c>
      <c r="D11" s="781" t="s">
        <v>1176</v>
      </c>
      <c r="E11" s="779" t="s">
        <v>2269</v>
      </c>
      <c r="F11" s="862" t="s">
        <v>2270</v>
      </c>
      <c r="G11" s="1146" t="s">
        <v>2257</v>
      </c>
      <c r="H11" s="779" t="s">
        <v>2133</v>
      </c>
      <c r="I11" s="779" t="s">
        <v>2134</v>
      </c>
      <c r="J11" s="779" t="s">
        <v>2258</v>
      </c>
      <c r="K11" s="783" t="s">
        <v>2135</v>
      </c>
      <c r="L11" s="784" t="s">
        <v>2136</v>
      </c>
      <c r="M11" s="782" t="s">
        <v>2132</v>
      </c>
      <c r="N11" s="779" t="s">
        <v>2133</v>
      </c>
      <c r="O11" s="779" t="s">
        <v>2134</v>
      </c>
      <c r="P11" s="779" t="s">
        <v>168</v>
      </c>
    </row>
    <row r="12" spans="1:16" s="767" customFormat="1">
      <c r="A12" s="785" t="s">
        <v>586</v>
      </c>
      <c r="B12" s="488" t="s">
        <v>2112</v>
      </c>
      <c r="C12" s="786">
        <f>M113</f>
        <v>0.41715756295892231</v>
      </c>
      <c r="D12" s="768">
        <f>$D$4*C12</f>
        <v>433061859.72797871</v>
      </c>
      <c r="E12" s="1058">
        <v>28442.665725131195</v>
      </c>
      <c r="F12" s="848"/>
      <c r="G12" s="1241">
        <v>1431.1169319999999</v>
      </c>
      <c r="H12" s="1059">
        <v>0</v>
      </c>
      <c r="I12" s="1060">
        <v>1.2E-2</v>
      </c>
      <c r="J12" s="811">
        <f>(E12+F12)-G12</f>
        <v>27011.548793131195</v>
      </c>
      <c r="K12" s="787">
        <f>D12/(J12*10^6)</f>
        <v>1.6032470520094821E-2</v>
      </c>
      <c r="L12" s="788"/>
      <c r="N12" s="761"/>
      <c r="O12" s="759"/>
      <c r="P12" s="758"/>
    </row>
    <row r="13" spans="1:16" s="767" customFormat="1" ht="13.5" thickBot="1">
      <c r="A13" s="785" t="s">
        <v>588</v>
      </c>
      <c r="B13" s="488" t="s">
        <v>2113</v>
      </c>
      <c r="C13" s="786">
        <f>M114</f>
        <v>7.7722971549576289E-2</v>
      </c>
      <c r="D13" s="768">
        <f t="shared" ref="D13:D26" si="0">$D$4*C13</f>
        <v>80686190.52259323</v>
      </c>
      <c r="E13" s="1058">
        <v>5910.7051936480202</v>
      </c>
      <c r="F13" s="848"/>
      <c r="G13" s="1241">
        <v>10.965268999999999</v>
      </c>
      <c r="H13" s="1059">
        <v>0</v>
      </c>
      <c r="I13" s="1060">
        <v>0</v>
      </c>
      <c r="J13" s="811">
        <f t="shared" ref="J13:J27" si="1">(E13+F13)-G13</f>
        <v>5899.73992464802</v>
      </c>
      <c r="K13" s="787">
        <f>D13/(J13*10^6)</f>
        <v>1.3676228368220314E-2</v>
      </c>
      <c r="L13" s="788"/>
      <c r="M13" s="1066">
        <v>5942.3050000000003</v>
      </c>
      <c r="N13" s="1067">
        <v>29137</v>
      </c>
      <c r="O13" s="1068">
        <v>0</v>
      </c>
      <c r="P13" s="758"/>
    </row>
    <row r="14" spans="1:16" s="767" customFormat="1" ht="15" thickBot="1">
      <c r="A14" s="785" t="s">
        <v>2137</v>
      </c>
      <c r="B14" s="488" t="s">
        <v>2114</v>
      </c>
      <c r="C14" s="789"/>
      <c r="D14" s="789"/>
      <c r="E14" s="1061">
        <v>0</v>
      </c>
      <c r="F14" s="848"/>
      <c r="G14" s="849"/>
      <c r="H14" s="1062"/>
      <c r="I14" s="1062"/>
      <c r="J14" s="811">
        <f t="shared" si="1"/>
        <v>0</v>
      </c>
      <c r="K14" s="790"/>
      <c r="L14" s="791">
        <f>N14</f>
        <v>2.7891794012292759</v>
      </c>
      <c r="M14" s="792">
        <f>K13*M13*10^6</f>
        <v>81268320.213617414</v>
      </c>
      <c r="N14" s="1144">
        <f>M14/((N13+O13)*10^3)</f>
        <v>2.7891794012292759</v>
      </c>
      <c r="O14" s="1145"/>
      <c r="P14" s="1130" t="s">
        <v>2271</v>
      </c>
    </row>
    <row r="15" spans="1:16" s="767" customFormat="1">
      <c r="A15" s="785" t="s">
        <v>591</v>
      </c>
      <c r="B15" s="488" t="s">
        <v>2115</v>
      </c>
      <c r="C15" s="786">
        <f t="shared" ref="C15:C26" si="2">M115</f>
        <v>4.8821729011409675E-4</v>
      </c>
      <c r="D15" s="768">
        <f t="shared" si="0"/>
        <v>506830.76703318523</v>
      </c>
      <c r="E15" s="1058">
        <v>57.65441525896685</v>
      </c>
      <c r="F15" s="848"/>
      <c r="G15" s="849"/>
      <c r="H15" s="1059">
        <v>0</v>
      </c>
      <c r="I15" s="1060"/>
      <c r="J15" s="811">
        <f t="shared" si="1"/>
        <v>57.65441525896685</v>
      </c>
      <c r="K15" s="787">
        <f>D15/(J15*10^6)</f>
        <v>8.7908404717426929E-3</v>
      </c>
      <c r="L15" s="788"/>
      <c r="N15" s="761"/>
      <c r="O15" s="759"/>
      <c r="P15" s="758"/>
    </row>
    <row r="16" spans="1:16" s="767" customFormat="1">
      <c r="A16" s="785" t="s">
        <v>1177</v>
      </c>
      <c r="B16" s="488" t="s">
        <v>2116</v>
      </c>
      <c r="C16" s="786">
        <f t="shared" si="2"/>
        <v>0.16512300329148344</v>
      </c>
      <c r="D16" s="768">
        <f t="shared" si="0"/>
        <v>171418382.97756198</v>
      </c>
      <c r="E16" s="1058">
        <v>13099.623737986469</v>
      </c>
      <c r="F16" s="848"/>
      <c r="G16" s="849">
        <v>60.681649</v>
      </c>
      <c r="H16" s="1059">
        <v>44897.048691843833</v>
      </c>
      <c r="I16" s="1060">
        <v>36</v>
      </c>
      <c r="J16" s="811">
        <f t="shared" si="1"/>
        <v>13038.942088986469</v>
      </c>
      <c r="K16" s="788"/>
      <c r="L16" s="793">
        <f t="shared" ref="L16:L25" si="3">D16/((I16+H16)*10^3)</f>
        <v>3.8149733429656543</v>
      </c>
      <c r="N16" s="761"/>
      <c r="O16" s="794"/>
      <c r="P16" s="758"/>
    </row>
    <row r="17" spans="1:16" s="767" customFormat="1">
      <c r="A17" s="785" t="s">
        <v>1178</v>
      </c>
      <c r="B17" s="488" t="s">
        <v>2117</v>
      </c>
      <c r="C17" s="786">
        <f t="shared" si="2"/>
        <v>9.1109534503765688E-2</v>
      </c>
      <c r="D17" s="768">
        <f t="shared" si="0"/>
        <v>94583121.474023163</v>
      </c>
      <c r="E17" s="1058">
        <v>7839.7227893620366</v>
      </c>
      <c r="F17" s="848"/>
      <c r="G17" s="849">
        <v>67.631294999999994</v>
      </c>
      <c r="H17" s="1059">
        <v>22682.823241736238</v>
      </c>
      <c r="I17" s="1060">
        <v>70</v>
      </c>
      <c r="J17" s="811">
        <f t="shared" si="1"/>
        <v>7772.0914943620364</v>
      </c>
      <c r="K17" s="788"/>
      <c r="L17" s="793">
        <f t="shared" si="3"/>
        <v>4.1569839693795139</v>
      </c>
      <c r="N17" s="761"/>
      <c r="O17" s="794"/>
      <c r="P17" s="758"/>
    </row>
    <row r="18" spans="1:16" s="767" customFormat="1">
      <c r="A18" s="785" t="s">
        <v>1179</v>
      </c>
      <c r="B18" s="488" t="s">
        <v>2118</v>
      </c>
      <c r="C18" s="786">
        <f t="shared" si="2"/>
        <v>8.786516797636329E-2</v>
      </c>
      <c r="D18" s="768">
        <f t="shared" si="0"/>
        <v>91215062.191985309</v>
      </c>
      <c r="E18" s="1063">
        <v>8054.7949481649785</v>
      </c>
      <c r="F18" s="848"/>
      <c r="G18" s="849">
        <v>36.841942000000003</v>
      </c>
      <c r="H18" s="1064">
        <v>20531.249905383705</v>
      </c>
      <c r="I18" s="1065"/>
      <c r="J18" s="811">
        <f t="shared" si="1"/>
        <v>8017.9530061649784</v>
      </c>
      <c r="K18" s="788"/>
      <c r="L18" s="793">
        <f t="shared" si="3"/>
        <v>4.4427427756391431</v>
      </c>
      <c r="N18" s="761"/>
      <c r="O18" s="794"/>
      <c r="P18" s="758"/>
    </row>
    <row r="19" spans="1:16" s="767" customFormat="1">
      <c r="A19" s="785" t="s">
        <v>1180</v>
      </c>
      <c r="B19" s="488" t="s">
        <v>2119</v>
      </c>
      <c r="C19" s="786">
        <f t="shared" si="2"/>
        <v>5.8332062030947623E-2</v>
      </c>
      <c r="D19" s="768">
        <f t="shared" si="0"/>
        <v>60555994.923619531</v>
      </c>
      <c r="E19" s="1063">
        <v>5509.0234073804368</v>
      </c>
      <c r="F19" s="848"/>
      <c r="G19" s="849">
        <v>23.47401</v>
      </c>
      <c r="H19" s="1064">
        <v>12816.540281423206</v>
      </c>
      <c r="I19" s="1065"/>
      <c r="J19" s="811">
        <f t="shared" si="1"/>
        <v>5485.5493973804369</v>
      </c>
      <c r="K19" s="788"/>
      <c r="L19" s="793">
        <f t="shared" si="3"/>
        <v>4.7248316311533589</v>
      </c>
      <c r="N19" s="761"/>
      <c r="O19" s="794"/>
      <c r="P19" s="758"/>
    </row>
    <row r="20" spans="1:16" s="767" customFormat="1">
      <c r="A20" s="785" t="s">
        <v>1181</v>
      </c>
      <c r="B20" s="488" t="s">
        <v>2120</v>
      </c>
      <c r="C20" s="786">
        <f t="shared" si="2"/>
        <v>6.3225171793126492E-2</v>
      </c>
      <c r="D20" s="768">
        <f t="shared" si="0"/>
        <v>65635656.427133895</v>
      </c>
      <c r="E20" s="1063">
        <v>5868.347711666559</v>
      </c>
      <c r="F20" s="848"/>
      <c r="G20" s="849">
        <v>0.34428500000000001</v>
      </c>
      <c r="H20" s="1064">
        <v>11893.803925166892</v>
      </c>
      <c r="I20" s="1065"/>
      <c r="J20" s="811">
        <f t="shared" si="1"/>
        <v>5868.0034266665589</v>
      </c>
      <c r="K20" s="788"/>
      <c r="L20" s="793">
        <f t="shared" si="3"/>
        <v>5.5184747318938934</v>
      </c>
      <c r="N20" s="795"/>
      <c r="O20" s="796"/>
      <c r="P20" s="758"/>
    </row>
    <row r="21" spans="1:16" s="767" customFormat="1">
      <c r="A21" s="785" t="s">
        <v>1182</v>
      </c>
      <c r="B21" s="488" t="s">
        <v>2121</v>
      </c>
      <c r="C21" s="786">
        <f t="shared" si="2"/>
        <v>9.4129449672762362E-4</v>
      </c>
      <c r="D21" s="768">
        <f t="shared" si="0"/>
        <v>977181.72101009428</v>
      </c>
      <c r="E21" s="1064">
        <v>113.334082</v>
      </c>
      <c r="F21" s="1064">
        <v>96.768373999999994</v>
      </c>
      <c r="G21" s="849"/>
      <c r="H21" s="1064">
        <v>324.75900000000001</v>
      </c>
      <c r="I21" s="1065">
        <v>284.89100000000002</v>
      </c>
      <c r="J21" s="811">
        <f t="shared" si="1"/>
        <v>210.10245599999999</v>
      </c>
      <c r="K21" s="788"/>
      <c r="L21" s="793">
        <f t="shared" si="3"/>
        <v>1.6028569195605578</v>
      </c>
      <c r="N21" s="797"/>
      <c r="O21" s="798"/>
      <c r="P21" s="758"/>
    </row>
    <row r="22" spans="1:16" s="767" customFormat="1">
      <c r="A22" s="785" t="s">
        <v>1183</v>
      </c>
      <c r="B22" s="488" t="s">
        <v>2122</v>
      </c>
      <c r="C22" s="786">
        <f t="shared" si="2"/>
        <v>2.0312693233991161E-3</v>
      </c>
      <c r="D22" s="768">
        <f t="shared" si="0"/>
        <v>2108712.2682376858</v>
      </c>
      <c r="E22" s="1064">
        <v>534.32201499999996</v>
      </c>
      <c r="F22" s="1064">
        <v>243.32826499999999</v>
      </c>
      <c r="G22" s="849"/>
      <c r="H22" s="1064">
        <v>1309.7729999999999</v>
      </c>
      <c r="I22" s="1065">
        <v>1372.845</v>
      </c>
      <c r="J22" s="811">
        <f t="shared" si="1"/>
        <v>777.65027999999995</v>
      </c>
      <c r="K22" s="788"/>
      <c r="L22" s="793">
        <f t="shared" si="3"/>
        <v>0.78606505594075848</v>
      </c>
      <c r="N22" s="797"/>
      <c r="O22" s="798"/>
      <c r="P22" s="758"/>
    </row>
    <row r="23" spans="1:16" s="767" customFormat="1">
      <c r="A23" s="785" t="s">
        <v>1184</v>
      </c>
      <c r="B23" s="488" t="s">
        <v>2123</v>
      </c>
      <c r="C23" s="786">
        <f t="shared" si="2"/>
        <v>4.1530365638655139E-3</v>
      </c>
      <c r="D23" s="768">
        <f t="shared" si="0"/>
        <v>4311372.7223566966</v>
      </c>
      <c r="E23" s="1064">
        <v>1671.8327079999999</v>
      </c>
      <c r="F23" s="1064">
        <v>559.65611000000001</v>
      </c>
      <c r="G23" s="849"/>
      <c r="H23" s="1064">
        <v>3308.7579999999998</v>
      </c>
      <c r="I23" s="1065">
        <v>8393.759</v>
      </c>
      <c r="J23" s="811">
        <f t="shared" si="1"/>
        <v>2231.4888179999998</v>
      </c>
      <c r="K23" s="788"/>
      <c r="L23" s="793">
        <f t="shared" si="3"/>
        <v>0.36841413880079787</v>
      </c>
      <c r="N23" s="795"/>
      <c r="O23" s="796"/>
      <c r="P23" s="758"/>
    </row>
    <row r="24" spans="1:16" s="767" customFormat="1">
      <c r="A24" s="785" t="s">
        <v>1185</v>
      </c>
      <c r="B24" s="488" t="s">
        <v>2124</v>
      </c>
      <c r="C24" s="786">
        <f t="shared" si="2"/>
        <v>1.5693804876949012E-2</v>
      </c>
      <c r="D24" s="768">
        <f t="shared" si="0"/>
        <v>16292137.383324403</v>
      </c>
      <c r="E24" s="1058">
        <v>1816.152596448351</v>
      </c>
      <c r="F24" s="849"/>
      <c r="G24" s="849">
        <v>6.0771559999999996</v>
      </c>
      <c r="H24" s="1058">
        <v>8121.2567213684442</v>
      </c>
      <c r="I24" s="1058">
        <v>0.51600000000000001</v>
      </c>
      <c r="J24" s="811">
        <f t="shared" si="1"/>
        <v>1810.0754404483509</v>
      </c>
      <c r="K24" s="788"/>
      <c r="L24" s="793">
        <f t="shared" si="3"/>
        <v>2.0059829229719357</v>
      </c>
      <c r="N24" s="799"/>
      <c r="O24" s="799"/>
      <c r="P24" s="800"/>
    </row>
    <row r="25" spans="1:16" s="767" customFormat="1">
      <c r="A25" s="785" t="s">
        <v>1186</v>
      </c>
      <c r="B25" s="488" t="s">
        <v>2125</v>
      </c>
      <c r="C25" s="786">
        <f t="shared" si="2"/>
        <v>1.1853497445840093E-2</v>
      </c>
      <c r="D25" s="768">
        <f t="shared" si="0"/>
        <v>12305416.715366693</v>
      </c>
      <c r="E25" s="1058">
        <v>1453.6399206185063</v>
      </c>
      <c r="F25" s="849"/>
      <c r="G25" s="849">
        <v>16.064630000000001</v>
      </c>
      <c r="H25" s="1058">
        <v>4933.4076605278942</v>
      </c>
      <c r="I25" s="1058">
        <v>8.2040000000000006</v>
      </c>
      <c r="J25" s="811">
        <f t="shared" si="1"/>
        <v>1437.5752906185062</v>
      </c>
      <c r="K25" s="788"/>
      <c r="L25" s="793">
        <f t="shared" si="3"/>
        <v>2.4901626353318402</v>
      </c>
      <c r="M25" s="794"/>
      <c r="N25" s="759"/>
      <c r="O25" s="801"/>
      <c r="P25" s="758"/>
    </row>
    <row r="26" spans="1:16" s="767" customFormat="1">
      <c r="A26" s="785" t="s">
        <v>1187</v>
      </c>
      <c r="B26" s="488" t="s">
        <v>2126</v>
      </c>
      <c r="C26" s="786">
        <f t="shared" si="2"/>
        <v>4.3034058989195444E-3</v>
      </c>
      <c r="D26" s="802">
        <f t="shared" si="0"/>
        <v>4467474.9476709487</v>
      </c>
      <c r="E26" s="1058">
        <v>698.31266766750207</v>
      </c>
      <c r="F26" s="849"/>
      <c r="G26" s="849"/>
      <c r="H26" s="1059">
        <v>0</v>
      </c>
      <c r="I26" s="1060"/>
      <c r="J26" s="811">
        <f t="shared" si="1"/>
        <v>698.31266766750207</v>
      </c>
      <c r="K26" s="787">
        <f>D26/(J26*10^6)</f>
        <v>6.3975281482336133E-3</v>
      </c>
      <c r="L26" s="788"/>
      <c r="M26" s="759"/>
      <c r="N26" s="759"/>
      <c r="O26" s="801"/>
      <c r="P26" s="758"/>
    </row>
    <row r="27" spans="1:16" s="767" customFormat="1">
      <c r="A27" s="785" t="s">
        <v>1189</v>
      </c>
      <c r="B27" s="803" t="s">
        <v>76</v>
      </c>
      <c r="C27" s="786"/>
      <c r="D27" s="802"/>
      <c r="E27" s="804"/>
      <c r="F27" s="849"/>
      <c r="G27" s="849"/>
      <c r="H27" s="805"/>
      <c r="I27" s="806"/>
      <c r="J27" s="811">
        <f t="shared" si="1"/>
        <v>0</v>
      </c>
      <c r="K27" s="787"/>
      <c r="L27" s="788"/>
      <c r="M27" s="759"/>
      <c r="N27" s="759"/>
      <c r="O27" s="801"/>
      <c r="P27" s="758"/>
    </row>
    <row r="28" spans="1:16" s="767" customFormat="1">
      <c r="A28" s="785">
        <v>2</v>
      </c>
      <c r="B28" s="491" t="s">
        <v>197</v>
      </c>
      <c r="C28" s="807">
        <f t="shared" ref="C28:E28" si="4">SUM(C12:C27)</f>
        <v>1.0000000000000002</v>
      </c>
      <c r="D28" s="808">
        <f t="shared" si="4"/>
        <v>1038125394.7698957</v>
      </c>
      <c r="E28" s="809">
        <f t="shared" si="4"/>
        <v>81070.131918333005</v>
      </c>
      <c r="F28" s="1147">
        <f>SUM(F12:F27)</f>
        <v>899.75274899999999</v>
      </c>
      <c r="G28" s="1131">
        <f>SUM(G12:G27)</f>
        <v>1653.1971679999999</v>
      </c>
      <c r="H28" s="809">
        <f>SUM(H12:H27)</f>
        <v>130819.42042745023</v>
      </c>
      <c r="I28" s="809">
        <f>SUM(I12:I27)</f>
        <v>10166.226999999999</v>
      </c>
      <c r="J28" s="1131">
        <f>SUM(J12:J27)</f>
        <v>80316.687499333013</v>
      </c>
      <c r="K28" s="810"/>
      <c r="L28" s="759"/>
      <c r="M28" s="759"/>
      <c r="N28" s="759"/>
      <c r="O28" s="759"/>
      <c r="P28" s="758"/>
    </row>
    <row r="29" spans="1:16" s="767" customFormat="1">
      <c r="A29" s="785">
        <f>A28+1</f>
        <v>3</v>
      </c>
      <c r="B29" s="759"/>
      <c r="C29" s="759"/>
      <c r="D29" s="759"/>
      <c r="E29" s="759"/>
      <c r="F29" s="759"/>
      <c r="G29" s="759"/>
      <c r="H29" s="759"/>
      <c r="I29" s="759"/>
      <c r="J29" s="811"/>
      <c r="K29" s="811"/>
      <c r="M29" s="758"/>
    </row>
    <row r="30" spans="1:16" s="767" customFormat="1">
      <c r="A30" s="785">
        <f t="shared" ref="A30:A34" si="5">A29+1</f>
        <v>4</v>
      </c>
      <c r="B30" s="759"/>
      <c r="C30" s="759"/>
      <c r="D30" s="759"/>
      <c r="E30" s="759"/>
      <c r="G30" s="1132"/>
      <c r="I30" s="851"/>
      <c r="J30" s="812"/>
      <c r="K30" s="812"/>
      <c r="L30" s="812"/>
      <c r="M30" s="758"/>
    </row>
    <row r="31" spans="1:16" s="767" customFormat="1" ht="15.75">
      <c r="A31" s="785">
        <f t="shared" si="5"/>
        <v>5</v>
      </c>
      <c r="B31" s="1148" t="s">
        <v>2272</v>
      </c>
      <c r="C31" s="759"/>
      <c r="D31" s="759"/>
      <c r="E31" s="759"/>
      <c r="F31" s="759"/>
      <c r="G31" s="759"/>
      <c r="H31" s="759"/>
      <c r="I31" s="759"/>
      <c r="J31" s="759"/>
      <c r="K31" s="759"/>
      <c r="L31" s="759"/>
      <c r="M31" s="758"/>
    </row>
    <row r="32" spans="1:16" s="767" customFormat="1">
      <c r="A32" s="785">
        <f t="shared" si="5"/>
        <v>6</v>
      </c>
      <c r="B32" s="759"/>
      <c r="C32" s="769" t="s">
        <v>363</v>
      </c>
      <c r="D32" s="769" t="s">
        <v>347</v>
      </c>
      <c r="E32" s="769" t="s">
        <v>348</v>
      </c>
      <c r="F32" s="769" t="s">
        <v>349</v>
      </c>
      <c r="G32" s="769" t="s">
        <v>350</v>
      </c>
      <c r="H32" s="769" t="s">
        <v>351</v>
      </c>
      <c r="I32" s="769" t="s">
        <v>352</v>
      </c>
      <c r="J32" s="769" t="s">
        <v>544</v>
      </c>
      <c r="K32" s="759"/>
      <c r="M32" s="758"/>
    </row>
    <row r="33" spans="1:13" s="778" customFormat="1" ht="25.5">
      <c r="A33" s="785">
        <f t="shared" si="5"/>
        <v>7</v>
      </c>
      <c r="B33" s="774"/>
      <c r="C33" s="813" t="s">
        <v>2138</v>
      </c>
      <c r="D33" s="814" t="s">
        <v>2273</v>
      </c>
      <c r="E33" s="814" t="s">
        <v>2274</v>
      </c>
      <c r="F33" s="1149"/>
      <c r="H33" s="1150" t="s">
        <v>2138</v>
      </c>
      <c r="I33" s="1128" t="s">
        <v>1193</v>
      </c>
      <c r="J33" s="1151" t="s">
        <v>2275</v>
      </c>
      <c r="K33" s="1152"/>
      <c r="L33" s="1152"/>
      <c r="M33" s="1152"/>
    </row>
    <row r="34" spans="1:13" s="767" customFormat="1">
      <c r="A34" s="785">
        <f t="shared" si="5"/>
        <v>8</v>
      </c>
      <c r="B34" s="759"/>
      <c r="C34" s="769"/>
      <c r="D34" s="769"/>
      <c r="E34" s="769"/>
      <c r="F34" s="1153"/>
      <c r="K34" s="1153"/>
      <c r="L34" s="1153"/>
      <c r="M34" s="1154"/>
    </row>
    <row r="35" spans="1:13" s="818" customFormat="1" ht="51">
      <c r="A35" s="785">
        <v>9</v>
      </c>
      <c r="B35" s="816" t="s">
        <v>1174</v>
      </c>
      <c r="C35" s="784" t="s">
        <v>2276</v>
      </c>
      <c r="D35" s="816" t="s">
        <v>2277</v>
      </c>
      <c r="E35" s="816" t="s">
        <v>2278</v>
      </c>
      <c r="F35" s="1155"/>
      <c r="G35" s="816" t="s">
        <v>1174</v>
      </c>
      <c r="H35" s="816" t="s">
        <v>2279</v>
      </c>
      <c r="I35" s="816" t="s">
        <v>2280</v>
      </c>
      <c r="J35" s="816" t="s">
        <v>2281</v>
      </c>
      <c r="K35" s="1155"/>
      <c r="L35" s="1156"/>
      <c r="M35" s="1156"/>
    </row>
    <row r="36" spans="1:13" s="822" customFormat="1" ht="15">
      <c r="A36" s="819" t="s">
        <v>2139</v>
      </c>
      <c r="B36" s="820" t="s">
        <v>2121</v>
      </c>
      <c r="C36" s="1157">
        <f>D21</f>
        <v>977181.72101009428</v>
      </c>
      <c r="D36" s="1158">
        <f>I21</f>
        <v>284.89100000000002</v>
      </c>
      <c r="E36" s="1159">
        <f>C36/D36/10^3</f>
        <v>3.4300196250850123</v>
      </c>
      <c r="F36" s="1160"/>
      <c r="G36" s="820" t="s">
        <v>2118</v>
      </c>
      <c r="H36" s="802">
        <f>D18</f>
        <v>91215062.191985309</v>
      </c>
      <c r="I36" s="1140">
        <f>H18+H21</f>
        <v>20856.008905383707</v>
      </c>
      <c r="J36" s="822">
        <f>H36/(I36*10^3)</f>
        <v>4.3735626795038112</v>
      </c>
      <c r="K36" s="1161"/>
      <c r="L36" s="1162"/>
      <c r="M36" s="1160"/>
    </row>
    <row r="37" spans="1:13" s="822" customFormat="1" ht="15">
      <c r="A37" s="819" t="s">
        <v>2140</v>
      </c>
      <c r="B37" s="820" t="s">
        <v>2122</v>
      </c>
      <c r="C37" s="1157">
        <f>D22</f>
        <v>2108712.2682376858</v>
      </c>
      <c r="D37" s="1158">
        <f>I22</f>
        <v>1372.845</v>
      </c>
      <c r="E37" s="1159">
        <f t="shared" ref="E37:E38" si="6">C37/D37/10^3</f>
        <v>1.5360162787770548</v>
      </c>
      <c r="F37" s="1160"/>
      <c r="G37" s="820" t="s">
        <v>2119</v>
      </c>
      <c r="H37" s="802">
        <f t="shared" ref="H37:H38" si="7">D19</f>
        <v>60555994.923619531</v>
      </c>
      <c r="I37" s="1140">
        <f t="shared" ref="I37:I38" si="8">H19+H22</f>
        <v>14126.313281423205</v>
      </c>
      <c r="J37" s="822">
        <f t="shared" ref="J37:J38" si="9">H37/(I37*10^3)</f>
        <v>4.2867515194678312</v>
      </c>
      <c r="K37" s="1161"/>
      <c r="L37" s="1162"/>
      <c r="M37" s="1160"/>
    </row>
    <row r="38" spans="1:13" s="822" customFormat="1" ht="15">
      <c r="A38" s="819" t="s">
        <v>2141</v>
      </c>
      <c r="B38" s="820" t="s">
        <v>2123</v>
      </c>
      <c r="C38" s="1157">
        <f>D23</f>
        <v>4311372.7223566966</v>
      </c>
      <c r="D38" s="1158">
        <f>I23</f>
        <v>8393.759</v>
      </c>
      <c r="E38" s="1159">
        <f t="shared" si="6"/>
        <v>0.51364027992186778</v>
      </c>
      <c r="F38" s="1160"/>
      <c r="G38" s="820" t="s">
        <v>2120</v>
      </c>
      <c r="H38" s="802">
        <f t="shared" si="7"/>
        <v>65635656.427133895</v>
      </c>
      <c r="I38" s="1140">
        <f t="shared" si="8"/>
        <v>15202.561925166892</v>
      </c>
      <c r="J38" s="822">
        <f t="shared" si="9"/>
        <v>4.3174076021014702</v>
      </c>
      <c r="K38" s="1161"/>
      <c r="L38" s="1162"/>
      <c r="M38" s="1160"/>
    </row>
    <row r="39" spans="1:13" s="767" customFormat="1">
      <c r="A39" s="819" t="s">
        <v>2142</v>
      </c>
      <c r="B39" s="803" t="s">
        <v>76</v>
      </c>
      <c r="C39" s="769"/>
      <c r="D39" s="769"/>
      <c r="E39" s="769"/>
      <c r="F39" s="769"/>
      <c r="G39" s="803" t="s">
        <v>76</v>
      </c>
      <c r="H39" s="769"/>
      <c r="I39" s="815"/>
      <c r="K39" s="759"/>
      <c r="M39" s="758"/>
    </row>
    <row r="40" spans="1:13" s="767" customFormat="1">
      <c r="A40" s="785">
        <v>10</v>
      </c>
      <c r="B40" s="759"/>
      <c r="C40" s="769"/>
      <c r="D40" s="769"/>
      <c r="E40" s="769"/>
      <c r="F40" s="769"/>
      <c r="G40" s="769"/>
      <c r="H40" s="769"/>
      <c r="I40" s="815"/>
      <c r="K40" s="759"/>
      <c r="M40" s="758"/>
    </row>
    <row r="41" spans="1:13" s="767" customFormat="1" ht="15.75">
      <c r="A41" s="785">
        <v>11</v>
      </c>
      <c r="B41" s="824" t="s">
        <v>1654</v>
      </c>
      <c r="C41" s="759"/>
      <c r="D41" s="759"/>
      <c r="E41" s="759"/>
      <c r="G41" s="759"/>
      <c r="H41" s="759"/>
      <c r="I41" s="759"/>
      <c r="J41" s="759"/>
      <c r="K41" s="759"/>
      <c r="L41" s="759"/>
      <c r="M41" s="758"/>
    </row>
    <row r="42" spans="1:13" s="767" customFormat="1">
      <c r="A42" s="785">
        <v>12</v>
      </c>
      <c r="B42" s="759"/>
      <c r="C42" s="769" t="s">
        <v>363</v>
      </c>
      <c r="D42" s="769" t="s">
        <v>347</v>
      </c>
      <c r="E42" s="769" t="s">
        <v>348</v>
      </c>
      <c r="F42" s="769" t="s">
        <v>349</v>
      </c>
      <c r="G42" s="769" t="s">
        <v>350</v>
      </c>
      <c r="H42" s="769" t="s">
        <v>351</v>
      </c>
      <c r="I42" s="769" t="s">
        <v>352</v>
      </c>
      <c r="J42" s="769" t="s">
        <v>544</v>
      </c>
      <c r="K42" s="769" t="s">
        <v>961</v>
      </c>
      <c r="L42" s="769" t="s">
        <v>974</v>
      </c>
      <c r="M42" s="758"/>
    </row>
    <row r="43" spans="1:13" s="778" customFormat="1" ht="38.25">
      <c r="A43" s="825">
        <v>13</v>
      </c>
      <c r="B43" s="774"/>
      <c r="C43" s="814" t="s">
        <v>2282</v>
      </c>
      <c r="D43" s="814" t="s">
        <v>2283</v>
      </c>
      <c r="E43" s="1133" t="s">
        <v>2284</v>
      </c>
      <c r="G43" s="1133" t="s">
        <v>2285</v>
      </c>
      <c r="H43" s="1133" t="s">
        <v>2286</v>
      </c>
      <c r="I43" s="1133" t="s">
        <v>2287</v>
      </c>
      <c r="J43" s="1133" t="s">
        <v>2143</v>
      </c>
      <c r="K43" s="1133" t="s">
        <v>2144</v>
      </c>
      <c r="L43" s="775"/>
      <c r="M43" s="775"/>
    </row>
    <row r="44" spans="1:13" s="767" customFormat="1">
      <c r="A44" s="785">
        <v>14</v>
      </c>
      <c r="B44" s="759"/>
      <c r="C44" s="770"/>
      <c r="D44" s="826" t="s">
        <v>2259</v>
      </c>
      <c r="E44" s="1134"/>
      <c r="G44" s="810"/>
      <c r="H44" s="827" t="s">
        <v>2260</v>
      </c>
      <c r="I44" s="827" t="s">
        <v>2288</v>
      </c>
      <c r="J44" s="827"/>
      <c r="K44" s="827"/>
      <c r="L44" s="770"/>
      <c r="M44" s="810"/>
    </row>
    <row r="45" spans="1:13" s="773" customFormat="1" ht="63.75">
      <c r="A45" s="785">
        <v>15</v>
      </c>
      <c r="B45" s="782" t="str">
        <f>B11</f>
        <v>CPUC Rate Group</v>
      </c>
      <c r="C45" s="784" t="s">
        <v>2289</v>
      </c>
      <c r="D45" s="784" t="s">
        <v>2145</v>
      </c>
      <c r="E45" s="784" t="s">
        <v>2146</v>
      </c>
      <c r="G45" s="784" t="s">
        <v>1194</v>
      </c>
      <c r="H45" s="784" t="s">
        <v>2147</v>
      </c>
      <c r="I45" s="817" t="s">
        <v>2148</v>
      </c>
      <c r="J45" s="784" t="s">
        <v>2149</v>
      </c>
      <c r="K45" s="817" t="s">
        <v>2150</v>
      </c>
      <c r="L45" s="828" t="s">
        <v>168</v>
      </c>
      <c r="M45" s="758"/>
    </row>
    <row r="46" spans="1:13" s="767" customFormat="1" ht="13.5" thickBot="1">
      <c r="A46" s="785" t="s">
        <v>2151</v>
      </c>
      <c r="B46" s="488" t="str">
        <f>B12</f>
        <v>Domestic</v>
      </c>
      <c r="C46" s="1157">
        <f>D46+E46</f>
        <v>433061859.72797871</v>
      </c>
      <c r="D46" s="1157">
        <f>D12-E46</f>
        <v>433061859.72797871</v>
      </c>
      <c r="E46" s="829"/>
      <c r="G46" s="829">
        <f>D46/(J12*10^6)</f>
        <v>1.6032470520094821E-2</v>
      </c>
      <c r="H46" s="829"/>
      <c r="I46" s="830"/>
      <c r="J46" s="831"/>
      <c r="K46" s="829"/>
      <c r="L46" s="829"/>
      <c r="M46" s="810"/>
    </row>
    <row r="47" spans="1:13" s="767" customFormat="1" ht="13.5" thickBot="1">
      <c r="A47" s="785" t="s">
        <v>2152</v>
      </c>
      <c r="B47" s="488" t="str">
        <f>B13</f>
        <v>GS-1</v>
      </c>
      <c r="C47" s="1157">
        <f t="shared" ref="C47:C59" si="10">D47+E47</f>
        <v>80686190.52259323</v>
      </c>
      <c r="D47" s="1157">
        <f t="shared" ref="D47" si="11">D13-E47</f>
        <v>80686190.52259323</v>
      </c>
      <c r="E47" s="821">
        <f>I47*I13*10^3</f>
        <v>0</v>
      </c>
      <c r="G47" s="829">
        <f>D47/(J13*10^6)</f>
        <v>1.3676228368220314E-2</v>
      </c>
      <c r="H47" s="832">
        <f>(M14-E47)/N13/10^3</f>
        <v>2.7891794012292759</v>
      </c>
      <c r="I47" s="833">
        <f>MIN($I$54,L14)</f>
        <v>2.7891794012292759</v>
      </c>
      <c r="J47" s="833"/>
      <c r="K47" s="833"/>
      <c r="L47" s="1130" t="s">
        <v>2290</v>
      </c>
      <c r="M47" s="810"/>
    </row>
    <row r="48" spans="1:13" s="767" customFormat="1">
      <c r="A48" s="785" t="s">
        <v>2153</v>
      </c>
      <c r="B48" s="488" t="str">
        <f t="shared" ref="B48:B59" si="12">B15</f>
        <v>TC-1</v>
      </c>
      <c r="C48" s="1157">
        <f t="shared" si="10"/>
        <v>506830.76703318523</v>
      </c>
      <c r="D48" s="1157">
        <f>D15-E48</f>
        <v>506830.76703318523</v>
      </c>
      <c r="E48" s="829"/>
      <c r="G48" s="829">
        <f>D48/(J15*10^6)</f>
        <v>8.7908404717426929E-3</v>
      </c>
      <c r="H48" s="829"/>
      <c r="I48" s="830"/>
      <c r="J48" s="831"/>
      <c r="K48" s="829"/>
      <c r="L48" s="829"/>
      <c r="M48" s="810"/>
    </row>
    <row r="49" spans="1:13" s="767" customFormat="1">
      <c r="A49" s="785" t="s">
        <v>2154</v>
      </c>
      <c r="B49" s="488" t="str">
        <f t="shared" si="12"/>
        <v>GS-2</v>
      </c>
      <c r="C49" s="1157">
        <f t="shared" si="10"/>
        <v>171418382.97756198</v>
      </c>
      <c r="D49" s="1157">
        <f t="shared" ref="D49:D50" si="13">D16-E49</f>
        <v>171294902.27105892</v>
      </c>
      <c r="E49" s="821">
        <f>I49*I16*10^3</f>
        <v>123480.70650306044</v>
      </c>
      <c r="G49" s="821"/>
      <c r="H49" s="834">
        <f t="shared" ref="H49:H58" si="14">D49/H16/10^3</f>
        <v>3.815282012115353</v>
      </c>
      <c r="I49" s="835">
        <f>MIN($I$54,L16)</f>
        <v>3.4300196250850123</v>
      </c>
      <c r="J49" s="831"/>
      <c r="K49" s="829"/>
      <c r="L49" s="829"/>
      <c r="M49" s="810"/>
    </row>
    <row r="50" spans="1:13" s="767" customFormat="1">
      <c r="A50" s="785" t="s">
        <v>2155</v>
      </c>
      <c r="B50" s="488" t="str">
        <f t="shared" si="12"/>
        <v>TOU-GS-3</v>
      </c>
      <c r="C50" s="1157">
        <f t="shared" si="10"/>
        <v>94583121.474023163</v>
      </c>
      <c r="D50" s="1157">
        <f t="shared" si="13"/>
        <v>94343020.100267217</v>
      </c>
      <c r="E50" s="821">
        <f>I50*I17*10^3</f>
        <v>240101.37375595089</v>
      </c>
      <c r="G50" s="821"/>
      <c r="H50" s="834">
        <f t="shared" si="14"/>
        <v>4.159227407224896</v>
      </c>
      <c r="I50" s="835">
        <f>MIN($I$54,L17)</f>
        <v>3.4300196250850123</v>
      </c>
      <c r="J50" s="831"/>
      <c r="K50" s="829"/>
      <c r="L50" s="829"/>
      <c r="M50" s="810"/>
    </row>
    <row r="51" spans="1:13" s="767" customFormat="1">
      <c r="A51" s="785" t="s">
        <v>2156</v>
      </c>
      <c r="B51" s="488" t="str">
        <f t="shared" si="12"/>
        <v>TOU-8-SEC</v>
      </c>
      <c r="C51" s="1157">
        <f t="shared" si="10"/>
        <v>89794708.349752322</v>
      </c>
      <c r="D51" s="1157">
        <f>J36*H18*1000</f>
        <v>89794708.349752322</v>
      </c>
      <c r="E51" s="829"/>
      <c r="G51" s="821"/>
      <c r="H51" s="834">
        <f t="shared" si="14"/>
        <v>4.3735626795038103</v>
      </c>
      <c r="I51" s="830"/>
      <c r="J51" s="831"/>
      <c r="K51" s="829"/>
      <c r="L51" s="829"/>
      <c r="M51" s="810"/>
    </row>
    <row r="52" spans="1:13" s="767" customFormat="1">
      <c r="A52" s="785" t="s">
        <v>2157</v>
      </c>
      <c r="B52" s="488" t="str">
        <f t="shared" si="12"/>
        <v>TOU-8-PRI</v>
      </c>
      <c r="C52" s="1157">
        <f t="shared" si="10"/>
        <v>54941323.525711589</v>
      </c>
      <c r="D52" s="1157">
        <f t="shared" ref="D52:D53" si="15">J37*H19*1000</f>
        <v>54941323.525711589</v>
      </c>
      <c r="E52" s="829"/>
      <c r="G52" s="821"/>
      <c r="H52" s="834">
        <f t="shared" si="14"/>
        <v>4.2867515194678312</v>
      </c>
      <c r="I52" s="830"/>
      <c r="J52" s="831"/>
      <c r="K52" s="829"/>
      <c r="L52" s="829"/>
      <c r="M52" s="810"/>
    </row>
    <row r="53" spans="1:13" s="767" customFormat="1">
      <c r="A53" s="785" t="s">
        <v>2158</v>
      </c>
      <c r="B53" s="488" t="str">
        <f t="shared" si="12"/>
        <v>TOU-8-SUB</v>
      </c>
      <c r="C53" s="1157">
        <f t="shared" si="10"/>
        <v>51350399.484419845</v>
      </c>
      <c r="D53" s="1157">
        <f t="shared" si="15"/>
        <v>51350399.484419845</v>
      </c>
      <c r="E53" s="829"/>
      <c r="G53" s="821"/>
      <c r="H53" s="834">
        <f t="shared" si="14"/>
        <v>4.3174076021014702</v>
      </c>
      <c r="I53" s="830"/>
      <c r="J53" s="836"/>
      <c r="K53" s="837"/>
      <c r="L53" s="837"/>
      <c r="M53" s="810"/>
    </row>
    <row r="54" spans="1:13" s="767" customFormat="1">
      <c r="A54" s="785" t="s">
        <v>2159</v>
      </c>
      <c r="B54" s="488" t="str">
        <f t="shared" si="12"/>
        <v>TOU-8-Standby-SEC</v>
      </c>
      <c r="C54" s="1157">
        <f t="shared" si="10"/>
        <v>2397535.5632430725</v>
      </c>
      <c r="D54" s="1157">
        <f>J36*H21*1000</f>
        <v>1420353.8422329782</v>
      </c>
      <c r="E54" s="821">
        <f>I54*I21*10^3</f>
        <v>977181.72101009428</v>
      </c>
      <c r="G54" s="821"/>
      <c r="H54" s="1163">
        <f>J36</f>
        <v>4.3735626795038112</v>
      </c>
      <c r="I54" s="1164">
        <f>E36</f>
        <v>3.4300196250850123</v>
      </c>
      <c r="J54" s="836"/>
      <c r="K54" s="837"/>
      <c r="L54" s="837"/>
      <c r="M54" s="810"/>
    </row>
    <row r="55" spans="1:13" s="767" customFormat="1">
      <c r="A55" s="785" t="s">
        <v>2160</v>
      </c>
      <c r="B55" s="488" t="str">
        <f t="shared" si="12"/>
        <v>TOU-8-Standby-PRI</v>
      </c>
      <c r="C55" s="1157">
        <f t="shared" si="10"/>
        <v>7723383.6661456255</v>
      </c>
      <c r="D55" s="1157">
        <f t="shared" ref="D55:D56" si="16">J37*H22*1000</f>
        <v>5614671.3979079397</v>
      </c>
      <c r="E55" s="821">
        <f>I55*I22*10^3</f>
        <v>2108712.2682376858</v>
      </c>
      <c r="G55" s="821"/>
      <c r="H55" s="1163">
        <f>J37</f>
        <v>4.2867515194678312</v>
      </c>
      <c r="I55" s="1164">
        <f>E37</f>
        <v>1.5360162787770548</v>
      </c>
      <c r="J55" s="836"/>
      <c r="K55" s="837"/>
      <c r="L55" s="837"/>
      <c r="M55" s="810"/>
    </row>
    <row r="56" spans="1:13" s="767" customFormat="1" ht="13.5" thickBot="1">
      <c r="A56" s="785" t="s">
        <v>2161</v>
      </c>
      <c r="B56" s="488" t="str">
        <f t="shared" si="12"/>
        <v>TOU-8-Standby-SUB</v>
      </c>
      <c r="C56" s="1157">
        <f t="shared" si="10"/>
        <v>18596629.665070754</v>
      </c>
      <c r="D56" s="1157">
        <f t="shared" si="16"/>
        <v>14285256.942714056</v>
      </c>
      <c r="E56" s="821">
        <f>I56*I23*10^3</f>
        <v>4311372.7223566966</v>
      </c>
      <c r="G56" s="821"/>
      <c r="H56" s="1163">
        <f>J38</f>
        <v>4.3174076021014702</v>
      </c>
      <c r="I56" s="1164">
        <f>E38</f>
        <v>0.51364027992186778</v>
      </c>
      <c r="J56" s="836"/>
      <c r="K56" s="837"/>
      <c r="L56" s="837"/>
      <c r="M56" s="810"/>
    </row>
    <row r="57" spans="1:13" s="767" customFormat="1" ht="13.5" thickBot="1">
      <c r="A57" s="785" t="s">
        <v>2162</v>
      </c>
      <c r="B57" s="488" t="str">
        <f t="shared" si="12"/>
        <v>TOU-PA-2</v>
      </c>
      <c r="C57" s="1157">
        <f t="shared" si="10"/>
        <v>16292137.383324403</v>
      </c>
      <c r="D57" s="1157">
        <f t="shared" ref="D57:D59" si="17">D24-E57</f>
        <v>16291102.29613615</v>
      </c>
      <c r="E57" s="821">
        <f>I57*I24*10^3</f>
        <v>1035.0871882535189</v>
      </c>
      <c r="G57" s="821"/>
      <c r="H57" s="1163">
        <f t="shared" si="14"/>
        <v>2.0059829229719357</v>
      </c>
      <c r="I57" s="1164">
        <f>MIN($I$54,L24)</f>
        <v>2.0059829229719357</v>
      </c>
      <c r="J57" s="838">
        <f>H57*0.746</f>
        <v>1.496463260537064</v>
      </c>
      <c r="K57" s="833">
        <f>I57*0.746</f>
        <v>1.496463260537064</v>
      </c>
      <c r="L57" s="1130" t="s">
        <v>2291</v>
      </c>
      <c r="M57" s="770"/>
    </row>
    <row r="58" spans="1:13" s="767" customFormat="1">
      <c r="A58" s="785" t="s">
        <v>2163</v>
      </c>
      <c r="B58" s="488" t="str">
        <f t="shared" si="12"/>
        <v>TOU-PA-3</v>
      </c>
      <c r="C58" s="1157">
        <f t="shared" si="10"/>
        <v>12305416.715366693</v>
      </c>
      <c r="D58" s="1157">
        <f t="shared" si="17"/>
        <v>12284987.421106432</v>
      </c>
      <c r="E58" s="821">
        <f>I58*I25*10^3</f>
        <v>20429.294260262421</v>
      </c>
      <c r="G58" s="821"/>
      <c r="H58" s="834">
        <f t="shared" si="14"/>
        <v>2.4901626353318407</v>
      </c>
      <c r="I58" s="835">
        <f>MIN($I$54,L25)</f>
        <v>2.4901626353318402</v>
      </c>
      <c r="J58" s="831"/>
      <c r="K58" s="829"/>
      <c r="L58" s="829"/>
      <c r="M58" s="770"/>
    </row>
    <row r="59" spans="1:13" s="767" customFormat="1">
      <c r="A59" s="785" t="s">
        <v>2164</v>
      </c>
      <c r="B59" s="488" t="str">
        <f t="shared" si="12"/>
        <v>Street Lighting</v>
      </c>
      <c r="C59" s="1157">
        <f t="shared" si="10"/>
        <v>4467474.9476709487</v>
      </c>
      <c r="D59" s="1157">
        <f t="shared" si="17"/>
        <v>4467474.9476709487</v>
      </c>
      <c r="E59" s="829"/>
      <c r="G59" s="829">
        <f>D59/(J26*10^6)</f>
        <v>6.3975281482336133E-3</v>
      </c>
      <c r="H59" s="829"/>
      <c r="I59" s="830"/>
      <c r="J59" s="831"/>
      <c r="K59" s="829"/>
      <c r="L59" s="829"/>
      <c r="M59" s="770"/>
    </row>
    <row r="60" spans="1:13" s="767" customFormat="1">
      <c r="A60" s="785" t="s">
        <v>2165</v>
      </c>
      <c r="B60" s="803" t="s">
        <v>76</v>
      </c>
      <c r="C60" s="1157"/>
      <c r="D60" s="1157"/>
      <c r="E60" s="829"/>
      <c r="G60" s="829"/>
      <c r="H60" s="829"/>
      <c r="I60" s="830"/>
      <c r="J60" s="831"/>
      <c r="K60" s="829"/>
      <c r="L60" s="829"/>
      <c r="M60" s="770"/>
    </row>
    <row r="61" spans="1:13" s="767" customFormat="1">
      <c r="A61" s="785">
        <v>17</v>
      </c>
      <c r="B61" s="489" t="s">
        <v>197</v>
      </c>
      <c r="C61" s="1165">
        <f>SUM(C46:C60)</f>
        <v>1038125394.7698956</v>
      </c>
      <c r="D61" s="1165">
        <f>SUM(D46:D60)</f>
        <v>1030343081.5965835</v>
      </c>
      <c r="E61" s="808">
        <f>SUM(E46:E59)</f>
        <v>7782313.1733120037</v>
      </c>
      <c r="G61" s="839"/>
      <c r="H61" s="839"/>
      <c r="I61" s="839"/>
      <c r="J61" s="839"/>
      <c r="K61" s="756"/>
      <c r="L61" s="756"/>
      <c r="M61" s="770"/>
    </row>
    <row r="62" spans="1:13" s="767" customFormat="1">
      <c r="A62" s="785">
        <v>18</v>
      </c>
      <c r="B62" s="759"/>
      <c r="C62" s="759"/>
      <c r="D62" s="759"/>
      <c r="E62" s="759"/>
      <c r="F62" s="759"/>
      <c r="G62" s="759"/>
      <c r="H62" s="759"/>
      <c r="I62" s="756"/>
      <c r="J62" s="756"/>
      <c r="K62" s="756"/>
      <c r="L62" s="756"/>
      <c r="M62" s="758"/>
    </row>
    <row r="63" spans="1:13" s="767" customFormat="1">
      <c r="A63" s="785">
        <v>19</v>
      </c>
      <c r="B63" s="840" t="s">
        <v>232</v>
      </c>
      <c r="C63" s="759"/>
      <c r="D63" s="759"/>
      <c r="E63" s="759"/>
      <c r="F63" s="759"/>
      <c r="G63" s="759"/>
      <c r="H63" s="759"/>
      <c r="I63" s="756"/>
      <c r="J63" s="756"/>
      <c r="K63" s="756"/>
      <c r="L63" s="756"/>
      <c r="M63" s="758"/>
    </row>
    <row r="64" spans="1:13" s="767" customFormat="1">
      <c r="A64" s="759"/>
      <c r="B64" s="841" t="s">
        <v>2166</v>
      </c>
      <c r="I64" s="841"/>
      <c r="J64" s="841"/>
      <c r="K64" s="841"/>
      <c r="L64" s="841"/>
      <c r="M64" s="758"/>
    </row>
    <row r="65" spans="1:13" s="767" customFormat="1">
      <c r="A65" s="759"/>
      <c r="B65" s="841" t="s">
        <v>2261</v>
      </c>
      <c r="I65" s="841"/>
      <c r="J65" s="841"/>
      <c r="K65" s="841"/>
      <c r="L65" s="841"/>
      <c r="M65" s="758"/>
    </row>
    <row r="66" spans="1:13" s="767" customFormat="1">
      <c r="A66" s="759"/>
      <c r="B66" s="841" t="s">
        <v>2292</v>
      </c>
      <c r="I66" s="841"/>
      <c r="J66" s="841"/>
      <c r="K66" s="841"/>
      <c r="L66" s="841"/>
      <c r="M66" s="758"/>
    </row>
    <row r="67" spans="1:13" s="767" customFormat="1">
      <c r="A67" s="759"/>
      <c r="B67" s="1135" t="s">
        <v>2293</v>
      </c>
      <c r="C67" s="841"/>
      <c r="D67" s="841"/>
      <c r="E67" s="841"/>
      <c r="F67" s="841"/>
      <c r="G67" s="841"/>
      <c r="I67" s="841"/>
      <c r="J67" s="841"/>
      <c r="K67" s="841"/>
      <c r="L67" s="841"/>
      <c r="M67" s="758"/>
    </row>
    <row r="68" spans="1:13" s="767" customFormat="1">
      <c r="A68" s="759"/>
      <c r="B68" s="1135" t="s">
        <v>2294</v>
      </c>
      <c r="C68" s="841"/>
      <c r="D68" s="841"/>
      <c r="E68" s="841"/>
      <c r="F68" s="841"/>
      <c r="G68" s="841"/>
      <c r="I68" s="841"/>
      <c r="J68" s="841"/>
      <c r="K68" s="841"/>
      <c r="L68" s="841"/>
      <c r="M68" s="758"/>
    </row>
    <row r="69" spans="1:13" s="767" customFormat="1">
      <c r="A69" s="759"/>
      <c r="B69" s="1166" t="s">
        <v>2295</v>
      </c>
      <c r="I69" s="841"/>
      <c r="J69" s="841"/>
      <c r="K69" s="841"/>
      <c r="L69" s="841"/>
      <c r="M69" s="758"/>
    </row>
    <row r="70" spans="1:13" s="767" customFormat="1">
      <c r="A70" s="759"/>
      <c r="B70" s="841" t="s">
        <v>2296</v>
      </c>
      <c r="I70" s="841"/>
      <c r="J70" s="841"/>
      <c r="K70" s="841"/>
      <c r="L70" s="841"/>
      <c r="M70" s="758"/>
    </row>
    <row r="71" spans="1:13" s="767" customFormat="1">
      <c r="A71" s="759"/>
      <c r="B71" s="841" t="s">
        <v>2297</v>
      </c>
      <c r="I71" s="841"/>
      <c r="J71" s="841"/>
      <c r="K71" s="841"/>
      <c r="L71" s="841"/>
      <c r="M71" s="758"/>
    </row>
    <row r="72" spans="1:13" s="767" customFormat="1">
      <c r="A72" s="759"/>
      <c r="B72" s="841" t="s">
        <v>2298</v>
      </c>
      <c r="I72" s="841"/>
      <c r="J72" s="841"/>
      <c r="K72" s="841"/>
      <c r="L72" s="841"/>
      <c r="M72" s="758"/>
    </row>
    <row r="73" spans="1:13" s="767" customFormat="1">
      <c r="A73" s="759"/>
      <c r="B73" s="841" t="s">
        <v>2299</v>
      </c>
      <c r="I73" s="841"/>
      <c r="J73" s="841"/>
      <c r="K73" s="841"/>
      <c r="L73" s="841"/>
      <c r="M73" s="758"/>
    </row>
    <row r="74" spans="1:13" s="767" customFormat="1">
      <c r="A74" s="759"/>
      <c r="B74" s="841" t="s">
        <v>2300</v>
      </c>
      <c r="I74" s="841"/>
      <c r="J74" s="841"/>
      <c r="K74" s="841"/>
      <c r="L74" s="841"/>
      <c r="M74" s="758"/>
    </row>
    <row r="75" spans="1:13" s="767" customFormat="1">
      <c r="A75" s="759"/>
      <c r="B75" s="1135" t="s">
        <v>2301</v>
      </c>
      <c r="I75" s="841"/>
      <c r="J75" s="841"/>
      <c r="K75" s="841"/>
      <c r="L75" s="841"/>
      <c r="M75" s="758"/>
    </row>
    <row r="76" spans="1:13" s="767" customFormat="1">
      <c r="A76" s="759"/>
      <c r="B76" s="1135" t="s">
        <v>2302</v>
      </c>
      <c r="I76" s="841"/>
      <c r="J76" s="841"/>
      <c r="K76" s="841"/>
      <c r="L76" s="841"/>
      <c r="M76" s="758"/>
    </row>
    <row r="77" spans="1:13" s="767" customFormat="1">
      <c r="A77" s="759"/>
      <c r="B77" s="1135" t="s">
        <v>2303</v>
      </c>
      <c r="I77" s="841"/>
      <c r="J77" s="841"/>
      <c r="K77" s="841"/>
      <c r="L77" s="841"/>
      <c r="M77" s="758"/>
    </row>
    <row r="78" spans="1:13" s="767" customFormat="1" ht="15.75">
      <c r="A78" s="759"/>
      <c r="B78" s="841" t="s">
        <v>2304</v>
      </c>
      <c r="I78" s="841"/>
      <c r="J78" s="841"/>
      <c r="K78" s="841"/>
      <c r="L78" s="841"/>
      <c r="M78" s="758"/>
    </row>
    <row r="79" spans="1:13" s="767" customFormat="1">
      <c r="A79" s="759"/>
      <c r="B79" s="841" t="s">
        <v>2305</v>
      </c>
      <c r="I79" s="841"/>
      <c r="J79" s="841"/>
      <c r="K79" s="841"/>
      <c r="L79" s="841"/>
      <c r="M79" s="758"/>
    </row>
    <row r="80" spans="1:13" s="767" customFormat="1">
      <c r="A80" s="759"/>
      <c r="B80" s="841" t="s">
        <v>2306</v>
      </c>
      <c r="I80" s="841"/>
      <c r="J80" s="841"/>
      <c r="K80" s="841"/>
      <c r="L80" s="841"/>
      <c r="M80" s="758"/>
    </row>
    <row r="81" spans="1:13" s="767" customFormat="1">
      <c r="A81" s="759"/>
      <c r="B81" s="841" t="s">
        <v>2307</v>
      </c>
      <c r="I81" s="841"/>
      <c r="J81" s="841"/>
      <c r="K81" s="841"/>
      <c r="L81" s="841"/>
      <c r="M81" s="758"/>
    </row>
    <row r="82" spans="1:13" s="767" customFormat="1">
      <c r="A82" s="759"/>
      <c r="B82" s="841" t="s">
        <v>2308</v>
      </c>
      <c r="I82" s="841"/>
      <c r="J82" s="841"/>
      <c r="K82" s="841"/>
      <c r="L82" s="841"/>
      <c r="M82" s="758"/>
    </row>
    <row r="83" spans="1:13">
      <c r="A83" s="785">
        <v>20</v>
      </c>
    </row>
    <row r="84" spans="1:13" s="767" customFormat="1">
      <c r="A84" s="785">
        <v>21</v>
      </c>
      <c r="B84" s="842"/>
      <c r="C84" s="759"/>
      <c r="D84" s="759"/>
      <c r="M84" s="758"/>
    </row>
    <row r="85" spans="1:13" s="767" customFormat="1" ht="15.75">
      <c r="A85" s="785">
        <v>22</v>
      </c>
      <c r="B85" s="755" t="s">
        <v>1195</v>
      </c>
      <c r="C85" s="759"/>
      <c r="D85" s="759"/>
      <c r="E85" s="759"/>
      <c r="F85" s="759"/>
      <c r="G85" s="759"/>
      <c r="H85" s="759"/>
      <c r="I85" s="759"/>
      <c r="J85" s="759"/>
      <c r="K85" s="759"/>
      <c r="L85" s="759"/>
      <c r="M85" s="758"/>
    </row>
    <row r="86" spans="1:13">
      <c r="A86" s="785">
        <v>23</v>
      </c>
    </row>
    <row r="87" spans="1:13">
      <c r="A87" s="785">
        <v>24</v>
      </c>
    </row>
    <row r="88" spans="1:13" s="767" customFormat="1" ht="25.5" customHeight="1">
      <c r="A88" s="785">
        <v>25</v>
      </c>
      <c r="B88" s="782" t="str">
        <f>B11</f>
        <v>CPUC Rate Group</v>
      </c>
      <c r="C88" s="843" t="s">
        <v>1196</v>
      </c>
      <c r="D88" s="844"/>
      <c r="E88" s="844"/>
      <c r="F88" s="844"/>
      <c r="G88" s="844"/>
      <c r="H88" s="844"/>
      <c r="I88" s="844"/>
      <c r="J88" s="845"/>
      <c r="K88" s="759"/>
      <c r="L88" s="759"/>
      <c r="M88" s="758"/>
    </row>
    <row r="89" spans="1:13" s="767" customFormat="1">
      <c r="A89" s="785" t="s">
        <v>2167</v>
      </c>
      <c r="B89" s="846" t="s">
        <v>2112</v>
      </c>
      <c r="C89" s="847" t="s">
        <v>2896</v>
      </c>
      <c r="D89" s="848"/>
      <c r="E89" s="848"/>
      <c r="F89" s="848"/>
      <c r="G89" s="848"/>
      <c r="H89" s="848"/>
      <c r="I89" s="849"/>
      <c r="J89" s="849"/>
      <c r="K89" s="759"/>
      <c r="L89" s="759"/>
      <c r="M89" s="758"/>
    </row>
    <row r="90" spans="1:13" s="767" customFormat="1">
      <c r="A90" s="785"/>
      <c r="B90" s="1136" t="s">
        <v>2262</v>
      </c>
      <c r="C90" s="1137"/>
      <c r="D90" s="1137" t="s">
        <v>2897</v>
      </c>
      <c r="E90" s="1138"/>
      <c r="F90" s="1138"/>
      <c r="G90" s="1138"/>
      <c r="H90" s="1138"/>
      <c r="I90" s="849"/>
      <c r="J90" s="849"/>
      <c r="K90" s="759"/>
      <c r="L90" s="759"/>
      <c r="M90" s="758"/>
    </row>
    <row r="91" spans="1:13" s="767" customFormat="1">
      <c r="A91" s="785" t="s">
        <v>2168</v>
      </c>
      <c r="B91" s="846" t="s">
        <v>2113</v>
      </c>
      <c r="C91" s="847" t="s">
        <v>2898</v>
      </c>
      <c r="D91" s="848"/>
      <c r="E91" s="848"/>
      <c r="F91" s="848"/>
      <c r="G91" s="848"/>
      <c r="H91" s="848"/>
      <c r="I91" s="849"/>
      <c r="J91" s="846"/>
      <c r="K91" s="759"/>
      <c r="L91" s="759"/>
      <c r="M91" s="758"/>
    </row>
    <row r="92" spans="1:13" s="767" customFormat="1">
      <c r="A92" s="785" t="s">
        <v>2169</v>
      </c>
      <c r="B92" s="846" t="s">
        <v>2115</v>
      </c>
      <c r="C92" s="847" t="s">
        <v>2899</v>
      </c>
      <c r="D92" s="848"/>
      <c r="E92" s="848"/>
      <c r="F92" s="848"/>
      <c r="G92" s="848"/>
      <c r="H92" s="848"/>
      <c r="I92" s="849"/>
      <c r="J92" s="846"/>
      <c r="K92" s="759"/>
      <c r="L92" s="759"/>
      <c r="M92" s="758"/>
    </row>
    <row r="93" spans="1:13" s="767" customFormat="1">
      <c r="A93" s="785" t="s">
        <v>2170</v>
      </c>
      <c r="B93" s="846" t="s">
        <v>2116</v>
      </c>
      <c r="C93" s="847" t="s">
        <v>2900</v>
      </c>
      <c r="D93" s="848"/>
      <c r="E93" s="848"/>
      <c r="F93" s="848"/>
      <c r="G93" s="848"/>
      <c r="H93" s="848"/>
      <c r="I93" s="849"/>
      <c r="J93" s="846"/>
      <c r="K93" s="759"/>
      <c r="L93" s="759"/>
      <c r="M93" s="758"/>
    </row>
    <row r="94" spans="1:13" s="767" customFormat="1">
      <c r="A94" s="785" t="s">
        <v>2171</v>
      </c>
      <c r="B94" s="846" t="s">
        <v>2117</v>
      </c>
      <c r="C94" s="847" t="s">
        <v>2901</v>
      </c>
      <c r="D94" s="848"/>
      <c r="E94" s="848"/>
      <c r="F94" s="848"/>
      <c r="G94" s="848"/>
      <c r="H94" s="848"/>
      <c r="I94" s="849"/>
      <c r="J94" s="846"/>
      <c r="K94" s="759"/>
      <c r="L94" s="759"/>
      <c r="M94" s="758"/>
    </row>
    <row r="95" spans="1:13" s="767" customFormat="1">
      <c r="A95" s="785" t="s">
        <v>2172</v>
      </c>
      <c r="B95" s="1136" t="s">
        <v>2118</v>
      </c>
      <c r="C95" s="1137" t="s">
        <v>2902</v>
      </c>
      <c r="D95" s="1138"/>
      <c r="E95" s="1138"/>
      <c r="F95" s="1138"/>
      <c r="G95" s="1138"/>
      <c r="H95" s="1138"/>
      <c r="I95" s="1138"/>
      <c r="J95" s="1136"/>
      <c r="K95" s="759"/>
      <c r="L95" s="759"/>
      <c r="M95" s="758"/>
    </row>
    <row r="96" spans="1:13">
      <c r="A96" s="785" t="s">
        <v>2173</v>
      </c>
      <c r="B96" s="1136" t="s">
        <v>2119</v>
      </c>
      <c r="C96" s="1137" t="s">
        <v>2902</v>
      </c>
      <c r="D96" s="1138"/>
      <c r="E96" s="1138"/>
      <c r="F96" s="1138"/>
      <c r="G96" s="1138"/>
      <c r="H96" s="1138"/>
      <c r="I96" s="1138"/>
      <c r="J96" s="1136"/>
    </row>
    <row r="97" spans="1:13">
      <c r="A97" s="785" t="s">
        <v>2174</v>
      </c>
      <c r="B97" s="1136" t="s">
        <v>2120</v>
      </c>
      <c r="C97" s="1137" t="s">
        <v>2902</v>
      </c>
      <c r="D97" s="1138"/>
      <c r="E97" s="1138"/>
      <c r="F97" s="1138"/>
      <c r="G97" s="1138"/>
      <c r="H97" s="1138"/>
      <c r="I97" s="1138"/>
      <c r="J97" s="1136"/>
    </row>
    <row r="98" spans="1:13">
      <c r="A98" s="785" t="s">
        <v>2175</v>
      </c>
      <c r="B98" s="1136" t="s">
        <v>2121</v>
      </c>
      <c r="C98" s="1137" t="s">
        <v>2903</v>
      </c>
      <c r="D98" s="1138"/>
      <c r="E98" s="1138"/>
      <c r="F98" s="1138"/>
      <c r="G98" s="1138"/>
      <c r="H98" s="1138"/>
      <c r="I98" s="1139"/>
      <c r="J98" s="1136"/>
    </row>
    <row r="99" spans="1:13">
      <c r="A99" s="785" t="s">
        <v>2176</v>
      </c>
      <c r="B99" s="1136" t="s">
        <v>2122</v>
      </c>
      <c r="C99" s="1137" t="s">
        <v>2904</v>
      </c>
      <c r="D99" s="1138"/>
      <c r="E99" s="1138"/>
      <c r="F99" s="1138"/>
      <c r="G99" s="1138"/>
      <c r="H99" s="1138"/>
      <c r="I99" s="1139"/>
      <c r="J99" s="1136"/>
    </row>
    <row r="100" spans="1:13">
      <c r="A100" s="785" t="s">
        <v>2177</v>
      </c>
      <c r="B100" s="1136" t="s">
        <v>2123</v>
      </c>
      <c r="C100" s="1137" t="s">
        <v>2904</v>
      </c>
      <c r="D100" s="1138"/>
      <c r="E100" s="1138"/>
      <c r="F100" s="1138"/>
      <c r="G100" s="1138"/>
      <c r="H100" s="1138"/>
      <c r="I100" s="1139"/>
      <c r="J100" s="1136"/>
    </row>
    <row r="101" spans="1:13">
      <c r="A101" s="785" t="s">
        <v>2178</v>
      </c>
      <c r="B101" s="846" t="s">
        <v>2124</v>
      </c>
      <c r="C101" s="847" t="s">
        <v>2905</v>
      </c>
      <c r="D101" s="848"/>
      <c r="E101" s="848"/>
      <c r="F101" s="848"/>
      <c r="G101" s="848"/>
      <c r="H101" s="848"/>
      <c r="I101" s="849"/>
      <c r="J101" s="846"/>
    </row>
    <row r="102" spans="1:13">
      <c r="A102" s="785" t="s">
        <v>2179</v>
      </c>
      <c r="B102" s="846" t="s">
        <v>2125</v>
      </c>
      <c r="C102" s="847" t="s">
        <v>2906</v>
      </c>
      <c r="D102" s="848"/>
      <c r="E102" s="848"/>
      <c r="F102" s="848"/>
      <c r="G102" s="848"/>
      <c r="H102" s="848"/>
      <c r="I102" s="849"/>
      <c r="J102" s="846"/>
    </row>
    <row r="103" spans="1:13">
      <c r="A103" s="785" t="s">
        <v>2180</v>
      </c>
      <c r="B103" s="846" t="s">
        <v>2126</v>
      </c>
      <c r="C103" s="847" t="s">
        <v>2907</v>
      </c>
      <c r="D103" s="848"/>
      <c r="E103" s="848"/>
      <c r="F103" s="848"/>
      <c r="G103" s="848"/>
      <c r="H103" s="848"/>
      <c r="I103" s="849"/>
      <c r="J103" s="846"/>
    </row>
    <row r="104" spans="1:13">
      <c r="A104" s="785" t="s">
        <v>2181</v>
      </c>
      <c r="B104" s="850" t="s">
        <v>76</v>
      </c>
      <c r="C104" s="847"/>
      <c r="D104" s="848"/>
      <c r="E104" s="848"/>
      <c r="F104" s="848"/>
      <c r="G104" s="848"/>
      <c r="H104" s="848"/>
      <c r="I104" s="849"/>
      <c r="J104" s="846"/>
    </row>
    <row r="105" spans="1:13">
      <c r="A105" s="785">
        <v>27</v>
      </c>
    </row>
    <row r="106" spans="1:13">
      <c r="A106" s="785">
        <f t="shared" ref="A106:A112" si="18">A105+1</f>
        <v>28</v>
      </c>
    </row>
    <row r="107" spans="1:13" ht="15.75">
      <c r="A107" s="785">
        <f t="shared" si="18"/>
        <v>29</v>
      </c>
      <c r="B107" s="755" t="s">
        <v>1197</v>
      </c>
    </row>
    <row r="108" spans="1:13">
      <c r="A108" s="785">
        <f t="shared" si="18"/>
        <v>30</v>
      </c>
      <c r="C108" s="769" t="s">
        <v>363</v>
      </c>
      <c r="D108" s="769" t="s">
        <v>347</v>
      </c>
      <c r="E108" s="769" t="s">
        <v>348</v>
      </c>
      <c r="F108" s="769" t="s">
        <v>349</v>
      </c>
      <c r="G108" s="851" t="s">
        <v>350</v>
      </c>
      <c r="H108" s="851" t="s">
        <v>351</v>
      </c>
      <c r="I108" s="851" t="s">
        <v>352</v>
      </c>
      <c r="J108" s="851" t="s">
        <v>544</v>
      </c>
      <c r="K108" s="851" t="s">
        <v>961</v>
      </c>
      <c r="L108" s="851" t="s">
        <v>974</v>
      </c>
      <c r="M108" s="851" t="s">
        <v>977</v>
      </c>
    </row>
    <row r="109" spans="1:13" s="774" customFormat="1" ht="38.25">
      <c r="A109" s="852">
        <f t="shared" si="18"/>
        <v>31</v>
      </c>
      <c r="C109" s="775"/>
      <c r="D109" s="775"/>
      <c r="E109" s="775"/>
      <c r="F109" s="814" t="s">
        <v>2182</v>
      </c>
      <c r="G109" s="853"/>
      <c r="H109" s="814"/>
      <c r="I109" s="1167" t="s">
        <v>2183</v>
      </c>
      <c r="J109" s="1167" t="s">
        <v>2309</v>
      </c>
      <c r="K109" s="1167" t="s">
        <v>2310</v>
      </c>
      <c r="L109" s="1167" t="s">
        <v>2311</v>
      </c>
      <c r="M109" s="1167" t="s">
        <v>2312</v>
      </c>
    </row>
    <row r="110" spans="1:13" s="854" customFormat="1">
      <c r="A110" s="785">
        <f t="shared" si="18"/>
        <v>32</v>
      </c>
      <c r="C110" s="855"/>
      <c r="D110" s="855"/>
      <c r="E110" s="855"/>
      <c r="F110" s="856"/>
      <c r="G110" s="857"/>
      <c r="H110" s="856"/>
      <c r="I110" s="1150" t="s">
        <v>2313</v>
      </c>
      <c r="J110" s="1168"/>
      <c r="K110" s="856"/>
      <c r="L110" s="856"/>
      <c r="M110" s="856"/>
    </row>
    <row r="111" spans="1:13" ht="21.75" customHeight="1">
      <c r="A111" s="785">
        <f t="shared" si="18"/>
        <v>33</v>
      </c>
      <c r="B111" s="858"/>
      <c r="C111" s="1425" t="s">
        <v>1468</v>
      </c>
      <c r="D111" s="1426"/>
      <c r="E111" s="1426"/>
      <c r="F111" s="1429"/>
      <c r="G111" s="858"/>
      <c r="H111" s="859"/>
      <c r="I111" s="860"/>
      <c r="J111" s="860"/>
      <c r="K111" s="858"/>
      <c r="L111" s="1318" t="s">
        <v>148</v>
      </c>
      <c r="M111" s="861"/>
    </row>
    <row r="112" spans="1:13" s="810" customFormat="1" ht="51.75" customHeight="1">
      <c r="A112" s="785">
        <f t="shared" si="18"/>
        <v>34</v>
      </c>
      <c r="B112" s="862" t="str">
        <f>B11</f>
        <v>CPUC Rate Group</v>
      </c>
      <c r="C112" s="863">
        <v>2014</v>
      </c>
      <c r="D112" s="864">
        <v>2015</v>
      </c>
      <c r="E112" s="864">
        <v>2016</v>
      </c>
      <c r="F112" s="862" t="s">
        <v>2184</v>
      </c>
      <c r="G112" s="862" t="s">
        <v>1198</v>
      </c>
      <c r="H112" s="865" t="s">
        <v>2314</v>
      </c>
      <c r="I112" s="1169" t="s">
        <v>2315</v>
      </c>
      <c r="J112" s="862" t="s">
        <v>2270</v>
      </c>
      <c r="K112" s="862" t="s">
        <v>2316</v>
      </c>
      <c r="L112" s="862" t="s">
        <v>1469</v>
      </c>
      <c r="M112" s="862" t="s">
        <v>2185</v>
      </c>
    </row>
    <row r="113" spans="1:13">
      <c r="A113" s="785" t="s">
        <v>2186</v>
      </c>
      <c r="B113" s="488" t="str">
        <f>B12</f>
        <v>Domestic</v>
      </c>
      <c r="C113" s="1170">
        <v>68996.84</v>
      </c>
      <c r="D113" s="1170">
        <v>70774.77</v>
      </c>
      <c r="E113" s="1170">
        <v>70601.36</v>
      </c>
      <c r="F113" s="866">
        <f>(C113+D113+E113)/3</f>
        <v>70124.323333333319</v>
      </c>
      <c r="G113" s="867">
        <v>1.0905</v>
      </c>
      <c r="H113" s="1055">
        <v>29556.667926666665</v>
      </c>
      <c r="I113" s="1140">
        <f>E12</f>
        <v>28442.665725131195</v>
      </c>
      <c r="J113" s="1140">
        <f>F12</f>
        <v>0</v>
      </c>
      <c r="K113" s="811">
        <f>I113+J113</f>
        <v>28442.665725131195</v>
      </c>
      <c r="L113" s="866">
        <f>(F113*G113)*(K113/H113)</f>
        <v>73588.369176484135</v>
      </c>
      <c r="M113" s="1171">
        <f t="shared" ref="M113:M126" si="19">L113/$L$128</f>
        <v>0.41715756295892231</v>
      </c>
    </row>
    <row r="114" spans="1:13">
      <c r="A114" s="785" t="s">
        <v>2187</v>
      </c>
      <c r="B114" s="488" t="str">
        <f>B13</f>
        <v>GS-1</v>
      </c>
      <c r="C114" s="1170">
        <v>12145.16</v>
      </c>
      <c r="D114" s="1170">
        <v>12888.83</v>
      </c>
      <c r="E114" s="1170">
        <v>12483.47</v>
      </c>
      <c r="F114" s="866">
        <f t="shared" ref="F114:F126" si="20">(C114+D114+E114)/3</f>
        <v>12505.82</v>
      </c>
      <c r="G114" s="867">
        <v>1.0909</v>
      </c>
      <c r="H114" s="1055">
        <v>5881.3626699999995</v>
      </c>
      <c r="I114" s="1140">
        <f t="shared" ref="I114" si="21">E13</f>
        <v>5910.7051936480202</v>
      </c>
      <c r="J114" s="1140">
        <f>F13</f>
        <v>0</v>
      </c>
      <c r="K114" s="811">
        <f t="shared" ref="K114:K126" si="22">I114+J114</f>
        <v>5910.7051936480202</v>
      </c>
      <c r="L114" s="866">
        <f t="shared" ref="L114:L126" si="23">(F114*G114)*(K114/H114)</f>
        <v>13710.66290471832</v>
      </c>
      <c r="M114" s="1171">
        <f t="shared" si="19"/>
        <v>7.7722971549576289E-2</v>
      </c>
    </row>
    <row r="115" spans="1:13">
      <c r="A115" s="785" t="s">
        <v>2188</v>
      </c>
      <c r="B115" s="488" t="str">
        <f t="shared" ref="B115:B126" si="24">B15</f>
        <v>TC-1</v>
      </c>
      <c r="C115" s="1170">
        <v>85.18</v>
      </c>
      <c r="D115" s="1170">
        <v>83.21</v>
      </c>
      <c r="E115" s="1170">
        <v>81.87</v>
      </c>
      <c r="F115" s="866">
        <f t="shared" si="20"/>
        <v>83.42</v>
      </c>
      <c r="G115" s="867">
        <v>1.0916999999999999</v>
      </c>
      <c r="H115" s="1055">
        <v>60.96546</v>
      </c>
      <c r="I115" s="1140">
        <f t="shared" ref="I115:J126" si="25">E15</f>
        <v>57.65441525896685</v>
      </c>
      <c r="J115" s="1140">
        <f t="shared" si="25"/>
        <v>0</v>
      </c>
      <c r="K115" s="811">
        <f t="shared" si="22"/>
        <v>57.65441525896685</v>
      </c>
      <c r="L115" s="866">
        <f t="shared" si="23"/>
        <v>86.123607416885235</v>
      </c>
      <c r="M115" s="1171">
        <f t="shared" si="19"/>
        <v>4.8821729011409675E-4</v>
      </c>
    </row>
    <row r="116" spans="1:13">
      <c r="A116" s="785" t="s">
        <v>2189</v>
      </c>
      <c r="B116" s="488" t="str">
        <f t="shared" si="24"/>
        <v>GS-2</v>
      </c>
      <c r="C116" s="1170">
        <v>30524.12</v>
      </c>
      <c r="D116" s="1170">
        <v>30626.46</v>
      </c>
      <c r="E116" s="1170">
        <v>29451.81</v>
      </c>
      <c r="F116" s="866">
        <f t="shared" si="20"/>
        <v>30200.796666666665</v>
      </c>
      <c r="G116" s="867">
        <v>1.0905</v>
      </c>
      <c r="H116" s="1055">
        <v>14811.063876666667</v>
      </c>
      <c r="I116" s="1140">
        <f t="shared" si="25"/>
        <v>13099.623737986469</v>
      </c>
      <c r="J116" s="1140">
        <f t="shared" si="25"/>
        <v>0</v>
      </c>
      <c r="K116" s="811">
        <f t="shared" si="22"/>
        <v>13099.623737986469</v>
      </c>
      <c r="L116" s="866">
        <f t="shared" si="23"/>
        <v>29128.400404765085</v>
      </c>
      <c r="M116" s="1171">
        <f t="shared" si="19"/>
        <v>0.16512300329148344</v>
      </c>
    </row>
    <row r="117" spans="1:13">
      <c r="A117" s="785" t="s">
        <v>2190</v>
      </c>
      <c r="B117" s="488" t="str">
        <f t="shared" si="24"/>
        <v>TOU-GS-3</v>
      </c>
      <c r="C117" s="1170">
        <v>16197.25</v>
      </c>
      <c r="D117" s="1170">
        <v>16184.27</v>
      </c>
      <c r="E117" s="1170">
        <v>15946.69</v>
      </c>
      <c r="F117" s="866">
        <f t="shared" si="20"/>
        <v>16109.403333333334</v>
      </c>
      <c r="G117" s="867">
        <v>1.0900000000000001</v>
      </c>
      <c r="H117" s="1055">
        <v>8565.12637</v>
      </c>
      <c r="I117" s="1140">
        <f t="shared" si="25"/>
        <v>7839.7227893620366</v>
      </c>
      <c r="J117" s="1140">
        <f t="shared" si="25"/>
        <v>0</v>
      </c>
      <c r="K117" s="811">
        <f t="shared" si="22"/>
        <v>7839.7227893620366</v>
      </c>
      <c r="L117" s="866">
        <f t="shared" si="23"/>
        <v>16072.109571751751</v>
      </c>
      <c r="M117" s="1171">
        <f t="shared" si="19"/>
        <v>9.1109534503765688E-2</v>
      </c>
    </row>
    <row r="118" spans="1:13">
      <c r="A118" s="785" t="s">
        <v>2191</v>
      </c>
      <c r="B118" s="488" t="str">
        <f t="shared" si="24"/>
        <v>TOU-8-SEC</v>
      </c>
      <c r="C118" s="1170">
        <v>15190.25</v>
      </c>
      <c r="D118" s="1170">
        <v>14907.32</v>
      </c>
      <c r="E118" s="1170">
        <v>14707.02</v>
      </c>
      <c r="F118" s="866">
        <f t="shared" si="20"/>
        <v>14934.863333333333</v>
      </c>
      <c r="G118" s="867">
        <v>1.0909</v>
      </c>
      <c r="H118" s="1056">
        <v>8585.843809647542</v>
      </c>
      <c r="I118" s="1140">
        <f>E18+E21</f>
        <v>8168.1290301649788</v>
      </c>
      <c r="J118" s="1140">
        <f t="shared" si="25"/>
        <v>0</v>
      </c>
      <c r="K118" s="811">
        <f>I118+J118</f>
        <v>8168.1290301649788</v>
      </c>
      <c r="L118" s="866">
        <f t="shared" si="23"/>
        <v>15499.789511032091</v>
      </c>
      <c r="M118" s="1171">
        <f t="shared" si="19"/>
        <v>8.786516797636329E-2</v>
      </c>
    </row>
    <row r="119" spans="1:13">
      <c r="A119" s="785" t="s">
        <v>2192</v>
      </c>
      <c r="B119" s="488" t="str">
        <f t="shared" si="24"/>
        <v>TOU-8-PRI</v>
      </c>
      <c r="C119" s="1170">
        <v>9948.57</v>
      </c>
      <c r="D119" s="1170">
        <v>9881.76</v>
      </c>
      <c r="E119" s="1170">
        <v>9683.99</v>
      </c>
      <c r="F119" s="866">
        <f t="shared" si="20"/>
        <v>9838.1066666666666</v>
      </c>
      <c r="G119" s="867">
        <v>1.0644</v>
      </c>
      <c r="H119" s="1056">
        <v>6150.0327036823846</v>
      </c>
      <c r="I119" s="1140">
        <f>E19+E22</f>
        <v>6043.3454223804365</v>
      </c>
      <c r="J119" s="1140">
        <f t="shared" si="25"/>
        <v>0</v>
      </c>
      <c r="K119" s="811">
        <f t="shared" si="22"/>
        <v>6043.3454223804365</v>
      </c>
      <c r="L119" s="866">
        <f t="shared" si="23"/>
        <v>10290.023954286158</v>
      </c>
      <c r="M119" s="1171">
        <f t="shared" si="19"/>
        <v>5.8332062030947623E-2</v>
      </c>
    </row>
    <row r="120" spans="1:13">
      <c r="A120" s="785" t="s">
        <v>2193</v>
      </c>
      <c r="B120" s="488" t="str">
        <f t="shared" si="24"/>
        <v>TOU-8-SUB</v>
      </c>
      <c r="C120" s="1170">
        <v>11843.23</v>
      </c>
      <c r="D120" s="1170">
        <v>10984.46</v>
      </c>
      <c r="E120" s="1170">
        <v>11021.36</v>
      </c>
      <c r="F120" s="866">
        <f t="shared" si="20"/>
        <v>11283.016666666668</v>
      </c>
      <c r="G120" s="867">
        <v>1.0315000000000001</v>
      </c>
      <c r="H120" s="1056">
        <v>7868.2314182368382</v>
      </c>
      <c r="I120" s="1140">
        <f>E20+E23</f>
        <v>7540.1804196665589</v>
      </c>
      <c r="J120" s="1140">
        <f t="shared" si="25"/>
        <v>0</v>
      </c>
      <c r="K120" s="811">
        <f t="shared" si="22"/>
        <v>7540.1804196665589</v>
      </c>
      <c r="L120" s="866">
        <f t="shared" si="23"/>
        <v>11153.189337280148</v>
      </c>
      <c r="M120" s="1171">
        <f t="shared" si="19"/>
        <v>6.3225171793126492E-2</v>
      </c>
    </row>
    <row r="121" spans="1:13">
      <c r="A121" s="785" t="s">
        <v>2194</v>
      </c>
      <c r="B121" s="488" t="str">
        <f t="shared" si="24"/>
        <v>TOU-8-Standby-SEC</v>
      </c>
      <c r="C121" s="1170">
        <v>100.81</v>
      </c>
      <c r="D121" s="1170">
        <v>143.15</v>
      </c>
      <c r="E121" s="1170">
        <v>155.46</v>
      </c>
      <c r="F121" s="866">
        <f t="shared" si="20"/>
        <v>133.14000000000001</v>
      </c>
      <c r="G121" s="867">
        <v>1.0911</v>
      </c>
      <c r="H121" s="1056">
        <v>84.658774149536043</v>
      </c>
      <c r="I121" s="1172">
        <f>E21*0</f>
        <v>0</v>
      </c>
      <c r="J121" s="1140">
        <f t="shared" si="25"/>
        <v>96.768373999999994</v>
      </c>
      <c r="K121" s="811">
        <f t="shared" si="22"/>
        <v>96.768373999999994</v>
      </c>
      <c r="L121" s="866">
        <f t="shared" si="23"/>
        <v>166.04835457773083</v>
      </c>
      <c r="M121" s="1171">
        <f t="shared" si="19"/>
        <v>9.4129449672762362E-4</v>
      </c>
    </row>
    <row r="122" spans="1:13">
      <c r="A122" s="785" t="s">
        <v>2195</v>
      </c>
      <c r="B122" s="488" t="str">
        <f t="shared" si="24"/>
        <v>TOU-8-Standby-PRI</v>
      </c>
      <c r="C122" s="1170">
        <v>294.37</v>
      </c>
      <c r="D122" s="1170">
        <v>311.39999999999998</v>
      </c>
      <c r="E122" s="1170">
        <v>372.99</v>
      </c>
      <c r="F122" s="866">
        <f t="shared" si="20"/>
        <v>326.25333333333333</v>
      </c>
      <c r="G122" s="867">
        <v>1.0645</v>
      </c>
      <c r="H122" s="1056">
        <v>235.83953844949079</v>
      </c>
      <c r="I122" s="1172">
        <f>E22*0</f>
        <v>0</v>
      </c>
      <c r="J122" s="1140">
        <f t="shared" si="25"/>
        <v>243.32826499999999</v>
      </c>
      <c r="K122" s="811">
        <f t="shared" si="22"/>
        <v>243.32826499999999</v>
      </c>
      <c r="L122" s="866">
        <f t="shared" si="23"/>
        <v>358.3245520155665</v>
      </c>
      <c r="M122" s="1171">
        <f t="shared" si="19"/>
        <v>2.0312693233991161E-3</v>
      </c>
    </row>
    <row r="123" spans="1:13">
      <c r="A123" s="785" t="s">
        <v>2196</v>
      </c>
      <c r="B123" s="488" t="str">
        <f t="shared" si="24"/>
        <v>TOU-8-Standby-SUB</v>
      </c>
      <c r="C123" s="1062">
        <v>587.17999999999995</v>
      </c>
      <c r="D123" s="1062">
        <v>631.27</v>
      </c>
      <c r="E123" s="1062">
        <v>713.8</v>
      </c>
      <c r="F123" s="866">
        <f t="shared" si="20"/>
        <v>644.08333333333326</v>
      </c>
      <c r="G123" s="867">
        <v>1.0316000000000001</v>
      </c>
      <c r="H123" s="1056">
        <v>507.57454349336689</v>
      </c>
      <c r="I123" s="1172">
        <f>E23*0</f>
        <v>0</v>
      </c>
      <c r="J123" s="1140">
        <f t="shared" si="25"/>
        <v>559.65611000000001</v>
      </c>
      <c r="K123" s="811">
        <f t="shared" si="22"/>
        <v>559.65611000000001</v>
      </c>
      <c r="L123" s="866">
        <f t="shared" si="23"/>
        <v>732.61332168456136</v>
      </c>
      <c r="M123" s="1171">
        <f t="shared" si="19"/>
        <v>4.1530365638655139E-3</v>
      </c>
    </row>
    <row r="124" spans="1:13">
      <c r="A124" s="785" t="s">
        <v>2197</v>
      </c>
      <c r="B124" s="488" t="str">
        <f t="shared" si="24"/>
        <v>TOU-PA-2</v>
      </c>
      <c r="C124" s="1170">
        <v>3188.9</v>
      </c>
      <c r="D124" s="1170">
        <v>3023.59</v>
      </c>
      <c r="E124" s="1170">
        <v>2748.37</v>
      </c>
      <c r="F124" s="866">
        <f t="shared" si="20"/>
        <v>2986.9533333333334</v>
      </c>
      <c r="G124" s="867">
        <v>1.091</v>
      </c>
      <c r="H124" s="1055">
        <v>2137.80564</v>
      </c>
      <c r="I124" s="1140">
        <f>E24</f>
        <v>1816.152596448351</v>
      </c>
      <c r="J124" s="1140">
        <f t="shared" si="25"/>
        <v>0</v>
      </c>
      <c r="K124" s="811">
        <f t="shared" si="22"/>
        <v>1816.152596448351</v>
      </c>
      <c r="L124" s="866">
        <f t="shared" si="23"/>
        <v>2768.4539598826664</v>
      </c>
      <c r="M124" s="1171">
        <f t="shared" si="19"/>
        <v>1.5693804876949012E-2</v>
      </c>
    </row>
    <row r="125" spans="1:13">
      <c r="A125" s="785" t="s">
        <v>2198</v>
      </c>
      <c r="B125" s="488" t="str">
        <f t="shared" si="24"/>
        <v>TOU-PA-3</v>
      </c>
      <c r="C125" s="1170">
        <v>1845.59</v>
      </c>
      <c r="D125" s="1170">
        <v>1832.57</v>
      </c>
      <c r="E125" s="1170">
        <v>1891.42</v>
      </c>
      <c r="F125" s="866">
        <f t="shared" si="20"/>
        <v>1856.5266666666666</v>
      </c>
      <c r="G125" s="867">
        <v>1.0895999999999999</v>
      </c>
      <c r="H125" s="1055">
        <v>1406.2727466666665</v>
      </c>
      <c r="I125" s="1140">
        <f>E25</f>
        <v>1453.6399206185063</v>
      </c>
      <c r="J125" s="1140">
        <f t="shared" si="25"/>
        <v>0</v>
      </c>
      <c r="K125" s="811">
        <f t="shared" si="22"/>
        <v>1453.6399206185063</v>
      </c>
      <c r="L125" s="866">
        <f t="shared" si="23"/>
        <v>2091.0073879276315</v>
      </c>
      <c r="M125" s="1171">
        <f t="shared" si="19"/>
        <v>1.1853497445840093E-2</v>
      </c>
    </row>
    <row r="126" spans="1:13">
      <c r="A126" s="785" t="s">
        <v>2199</v>
      </c>
      <c r="B126" s="488" t="str">
        <f t="shared" si="24"/>
        <v>Street Lighting</v>
      </c>
      <c r="C126" s="1170">
        <v>812</v>
      </c>
      <c r="D126" s="1170">
        <v>659.6</v>
      </c>
      <c r="E126" s="1170">
        <v>684.89</v>
      </c>
      <c r="F126" s="866">
        <f t="shared" si="20"/>
        <v>718.82999999999993</v>
      </c>
      <c r="G126" s="867">
        <v>1.0938000000000001</v>
      </c>
      <c r="H126" s="1055">
        <v>723.25703333333331</v>
      </c>
      <c r="I126" s="1140">
        <f>E26</f>
        <v>698.31266766750207</v>
      </c>
      <c r="J126" s="1140">
        <f t="shared" si="25"/>
        <v>0</v>
      </c>
      <c r="K126" s="811">
        <f t="shared" si="22"/>
        <v>698.31266766750207</v>
      </c>
      <c r="L126" s="866">
        <f t="shared" si="23"/>
        <v>759.139112233079</v>
      </c>
      <c r="M126" s="1171">
        <f t="shared" si="19"/>
        <v>4.3034058989195444E-3</v>
      </c>
    </row>
    <row r="127" spans="1:13">
      <c r="A127" s="785" t="s">
        <v>2200</v>
      </c>
      <c r="B127" s="803" t="s">
        <v>76</v>
      </c>
      <c r="C127" s="1057"/>
      <c r="D127" s="1057"/>
      <c r="E127" s="1057"/>
      <c r="F127" s="866"/>
      <c r="G127" s="867"/>
      <c r="H127" s="1055"/>
      <c r="I127" s="756"/>
      <c r="J127" s="756"/>
      <c r="K127" s="811"/>
      <c r="L127" s="866"/>
      <c r="M127" s="1171"/>
    </row>
    <row r="128" spans="1:13">
      <c r="A128" s="785">
        <v>36</v>
      </c>
      <c r="B128" s="491" t="s">
        <v>197</v>
      </c>
      <c r="C128" s="809">
        <f>SUM(C113:C127)</f>
        <v>171759.44999999998</v>
      </c>
      <c r="D128" s="809">
        <f>SUM(D113:D127)</f>
        <v>172932.66</v>
      </c>
      <c r="E128" s="809">
        <f>SUM(E113:E127)</f>
        <v>170544.5</v>
      </c>
      <c r="F128" s="809">
        <f>SUM(F113:F127)</f>
        <v>171745.53666666665</v>
      </c>
      <c r="G128" s="807"/>
      <c r="H128" s="809">
        <f>SUM(H113:H127)</f>
        <v>86574.702510992487</v>
      </c>
      <c r="I128" s="1173">
        <f t="shared" ref="I128:J128" si="26">SUM(I113:I127)</f>
        <v>81070.131918333005</v>
      </c>
      <c r="J128" s="1173">
        <f t="shared" si="26"/>
        <v>899.75274899999999</v>
      </c>
      <c r="K128" s="809">
        <f>SUM(K113:K127)</f>
        <v>81969.884667333012</v>
      </c>
      <c r="L128" s="809">
        <f>SUM(L113:L127)</f>
        <v>176404.25515605579</v>
      </c>
      <c r="M128" s="1174">
        <f>SUM(M113:M127)</f>
        <v>1.0000000000000002</v>
      </c>
    </row>
    <row r="129" spans="10:13">
      <c r="J129" s="868"/>
      <c r="L129" s="822"/>
      <c r="M129" s="823"/>
    </row>
    <row r="130" spans="10:13">
      <c r="J130" s="868"/>
      <c r="L130" s="822"/>
      <c r="M130" s="823"/>
    </row>
    <row r="131" spans="10:13">
      <c r="J131" s="868"/>
      <c r="L131" s="822"/>
      <c r="M131" s="823"/>
    </row>
    <row r="132" spans="10:13">
      <c r="J132" s="868"/>
      <c r="L132" s="822"/>
      <c r="M132" s="823"/>
    </row>
    <row r="133" spans="10:13">
      <c r="J133" s="868"/>
      <c r="L133" s="822"/>
      <c r="M133" s="823"/>
    </row>
    <row r="134" spans="10:13">
      <c r="J134" s="868"/>
      <c r="L134" s="822"/>
      <c r="M134" s="823"/>
    </row>
    <row r="135" spans="10:13">
      <c r="J135" s="868"/>
      <c r="L135" s="822"/>
      <c r="M135" s="823"/>
    </row>
    <row r="136" spans="10:13">
      <c r="J136" s="868"/>
      <c r="L136" s="822"/>
      <c r="M136" s="823"/>
    </row>
    <row r="137" spans="10:13">
      <c r="J137" s="868"/>
      <c r="L137" s="822"/>
      <c r="M137" s="823"/>
    </row>
    <row r="138" spans="10:13">
      <c r="L138" s="822"/>
    </row>
    <row r="142" spans="10:13">
      <c r="M142" s="759"/>
    </row>
    <row r="143" spans="10:13">
      <c r="M143" s="759"/>
    </row>
    <row r="144" spans="10:13">
      <c r="M144" s="759"/>
    </row>
    <row r="145" spans="13:13">
      <c r="M145" s="759"/>
    </row>
    <row r="146" spans="13:13">
      <c r="M146" s="759"/>
    </row>
    <row r="147" spans="13:13">
      <c r="M147" s="759"/>
    </row>
    <row r="148" spans="13:13">
      <c r="M148" s="759"/>
    </row>
    <row r="149" spans="13:13">
      <c r="M149" s="759"/>
    </row>
    <row r="150" spans="13:13">
      <c r="M150" s="759"/>
    </row>
    <row r="151" spans="13:13">
      <c r="M151" s="759"/>
    </row>
    <row r="152" spans="13:13">
      <c r="M152" s="759"/>
    </row>
    <row r="153" spans="13:13">
      <c r="M153" s="759"/>
    </row>
    <row r="154" spans="13:13">
      <c r="M154" s="759"/>
    </row>
    <row r="155" spans="13:13">
      <c r="M155" s="759"/>
    </row>
    <row r="156" spans="13:13">
      <c r="M156" s="759"/>
    </row>
    <row r="157" spans="13:13">
      <c r="M157" s="759"/>
    </row>
    <row r="158" spans="13:13">
      <c r="M158" s="759"/>
    </row>
    <row r="159" spans="13:13">
      <c r="M159" s="759"/>
    </row>
    <row r="160" spans="13:13">
      <c r="M160" s="759"/>
    </row>
    <row r="161" spans="13:13">
      <c r="M161" s="759"/>
    </row>
    <row r="162" spans="13:13">
      <c r="M162" s="759"/>
    </row>
    <row r="163" spans="13:13">
      <c r="M163" s="759"/>
    </row>
    <row r="164" spans="13:13">
      <c r="M164" s="759"/>
    </row>
    <row r="165" spans="13:13">
      <c r="M165" s="759"/>
    </row>
    <row r="166" spans="13:13">
      <c r="M166" s="759"/>
    </row>
    <row r="167" spans="13:13">
      <c r="M167" s="759"/>
    </row>
    <row r="168" spans="13:13">
      <c r="M168" s="759"/>
    </row>
    <row r="169" spans="13:13">
      <c r="M169" s="759"/>
    </row>
    <row r="170" spans="13:13">
      <c r="M170" s="759"/>
    </row>
    <row r="171" spans="13:13">
      <c r="M171" s="759"/>
    </row>
    <row r="172" spans="13:13">
      <c r="M172" s="759"/>
    </row>
    <row r="173" spans="13:13">
      <c r="M173" s="759"/>
    </row>
    <row r="174" spans="13:13">
      <c r="M174" s="759"/>
    </row>
    <row r="175" spans="13:13">
      <c r="M175" s="759"/>
    </row>
    <row r="176" spans="13:13">
      <c r="M176" s="759"/>
    </row>
    <row r="177" spans="13:13">
      <c r="M177" s="759"/>
    </row>
    <row r="178" spans="13:13">
      <c r="M178" s="759"/>
    </row>
    <row r="179" spans="13:13">
      <c r="M179" s="759"/>
    </row>
    <row r="180" spans="13:13">
      <c r="M180" s="759"/>
    </row>
    <row r="181" spans="13:13">
      <c r="M181" s="759"/>
    </row>
    <row r="182" spans="13:13">
      <c r="M182" s="759"/>
    </row>
    <row r="183" spans="13:13">
      <c r="M183" s="759"/>
    </row>
    <row r="184" spans="13:13">
      <c r="M184" s="759"/>
    </row>
    <row r="185" spans="13:13">
      <c r="M185" s="759"/>
    </row>
    <row r="186" spans="13:13">
      <c r="M186" s="759"/>
    </row>
    <row r="187" spans="13:13">
      <c r="M187" s="759"/>
    </row>
    <row r="188" spans="13:13">
      <c r="M188" s="759"/>
    </row>
    <row r="189" spans="13:13">
      <c r="M189" s="759"/>
    </row>
    <row r="190" spans="13:13">
      <c r="M190" s="759"/>
    </row>
    <row r="191" spans="13:13">
      <c r="M191" s="759"/>
    </row>
    <row r="192" spans="13:13">
      <c r="M192" s="759"/>
    </row>
    <row r="193" spans="13:13">
      <c r="M193" s="759"/>
    </row>
    <row r="194" spans="13:13">
      <c r="M194" s="759"/>
    </row>
    <row r="195" spans="13:13">
      <c r="M195" s="759"/>
    </row>
    <row r="196" spans="13:13">
      <c r="M196" s="759"/>
    </row>
    <row r="197" spans="13:13">
      <c r="M197" s="759"/>
    </row>
    <row r="198" spans="13:13">
      <c r="M198" s="759"/>
    </row>
    <row r="199" spans="13:13">
      <c r="M199" s="759"/>
    </row>
    <row r="200" spans="13:13">
      <c r="M200" s="759"/>
    </row>
    <row r="201" spans="13:13">
      <c r="M201" s="759"/>
    </row>
    <row r="202" spans="13:13">
      <c r="M202" s="759"/>
    </row>
    <row r="203" spans="13:13">
      <c r="M203" s="759"/>
    </row>
    <row r="204" spans="13:13">
      <c r="M204" s="759"/>
    </row>
    <row r="205" spans="13:13">
      <c r="M205" s="759"/>
    </row>
    <row r="206" spans="13:13">
      <c r="M206" s="759"/>
    </row>
    <row r="207" spans="13:13">
      <c r="M207" s="759"/>
    </row>
    <row r="208" spans="13:13">
      <c r="M208" s="759"/>
    </row>
    <row r="209" spans="13:13">
      <c r="M209" s="759"/>
    </row>
    <row r="210" spans="13:13">
      <c r="M210" s="759"/>
    </row>
    <row r="211" spans="13:13">
      <c r="M211" s="759"/>
    </row>
    <row r="212" spans="13:13">
      <c r="M212" s="759"/>
    </row>
    <row r="213" spans="13:13">
      <c r="M213" s="759"/>
    </row>
    <row r="214" spans="13:13">
      <c r="M214" s="759"/>
    </row>
    <row r="215" spans="13:13">
      <c r="M215" s="759"/>
    </row>
    <row r="216" spans="13:13">
      <c r="M216" s="759"/>
    </row>
    <row r="217" spans="13:13">
      <c r="M217" s="759"/>
    </row>
    <row r="218" spans="13:13">
      <c r="M218" s="759"/>
    </row>
    <row r="219" spans="13:13">
      <c r="M219" s="759"/>
    </row>
    <row r="220" spans="13:13">
      <c r="M220" s="759"/>
    </row>
    <row r="221" spans="13:13">
      <c r="M221" s="759"/>
    </row>
    <row r="222" spans="13:13">
      <c r="M222" s="759"/>
    </row>
    <row r="223" spans="13:13">
      <c r="M223" s="759"/>
    </row>
    <row r="224" spans="13:13">
      <c r="M224" s="759"/>
    </row>
    <row r="225" spans="13:13">
      <c r="M225" s="759"/>
    </row>
    <row r="226" spans="13:13">
      <c r="M226" s="759"/>
    </row>
    <row r="227" spans="13:13">
      <c r="M227" s="759"/>
    </row>
    <row r="228" spans="13:13">
      <c r="M228" s="759"/>
    </row>
    <row r="229" spans="13:13">
      <c r="M229" s="759"/>
    </row>
    <row r="230" spans="13:13">
      <c r="M230" s="759"/>
    </row>
    <row r="231" spans="13:13">
      <c r="M231" s="759"/>
    </row>
    <row r="232" spans="13:13">
      <c r="M232" s="759"/>
    </row>
    <row r="233" spans="13:13">
      <c r="M233" s="759"/>
    </row>
    <row r="234" spans="13:13">
      <c r="M234" s="759"/>
    </row>
    <row r="235" spans="13:13">
      <c r="M235" s="759"/>
    </row>
    <row r="236" spans="13:13">
      <c r="M236" s="759"/>
    </row>
    <row r="237" spans="13:13">
      <c r="M237" s="759"/>
    </row>
    <row r="238" spans="13:13">
      <c r="M238" s="759"/>
    </row>
    <row r="239" spans="13:13">
      <c r="M239" s="759"/>
    </row>
    <row r="240" spans="13:13">
      <c r="M240" s="759"/>
    </row>
    <row r="241" spans="13:13">
      <c r="M241" s="759"/>
    </row>
    <row r="242" spans="13:13">
      <c r="M242" s="759"/>
    </row>
    <row r="243" spans="13:13">
      <c r="M243" s="759"/>
    </row>
    <row r="244" spans="13:13">
      <c r="M244" s="759"/>
    </row>
    <row r="245" spans="13:13">
      <c r="M245" s="759"/>
    </row>
    <row r="246" spans="13:13">
      <c r="M246" s="759"/>
    </row>
    <row r="247" spans="13:13">
      <c r="M247" s="759"/>
    </row>
    <row r="248" spans="13:13">
      <c r="M248" s="759"/>
    </row>
    <row r="249" spans="13:13">
      <c r="M249" s="759"/>
    </row>
    <row r="250" spans="13:13">
      <c r="M250" s="759"/>
    </row>
  </sheetData>
  <mergeCells count="2">
    <mergeCell ref="E9:I9"/>
    <mergeCell ref="C111:F111"/>
  </mergeCells>
  <pageMargins left="0.7" right="0.7" top="0.75" bottom="0.75" header="0.3" footer="0.3"/>
  <pageSetup scale="53" orientation="landscape" cellComments="asDisplayed" r:id="rId1"/>
  <headerFooter>
    <oddHeader>&amp;C&amp;"Arial,Bold"Schedule 33
Retail Transmission Rates&amp;"Arial,Regular"
&amp;RTO2019 Draft Annual Update 
Attachment1</oddHeader>
    <oddFooter>&amp;R33-RetailRates</oddFooter>
  </headerFooter>
  <rowBreaks count="4" manualBreakCount="4">
    <brk id="40" max="16383" man="1"/>
    <brk id="84" max="16383" man="1"/>
    <brk id="181" max="16383" man="1"/>
    <brk id="22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9"/>
  <sheetViews>
    <sheetView tabSelected="1" zoomScaleNormal="100" zoomScalePageLayoutView="85" workbookViewId="0"/>
  </sheetViews>
  <sheetFormatPr defaultRowHeight="12.75"/>
  <cols>
    <col min="1" max="1" width="4.7109375" customWidth="1"/>
    <col min="8" max="8" width="25.7109375" customWidth="1"/>
    <col min="9" max="9" width="29.28515625" customWidth="1"/>
    <col min="10" max="10" width="2.7109375" customWidth="1"/>
    <col min="11" max="11" width="17.7109375" customWidth="1"/>
    <col min="13" max="13" width="14.28515625" customWidth="1"/>
    <col min="14" max="14" width="2.28515625" customWidth="1"/>
    <col min="15" max="15" width="14.140625" customWidth="1"/>
  </cols>
  <sheetData>
    <row r="1" spans="1:15">
      <c r="A1" s="1" t="s">
        <v>166</v>
      </c>
    </row>
    <row r="2" spans="1:15">
      <c r="I2" s="97" t="s">
        <v>304</v>
      </c>
      <c r="J2" s="97"/>
      <c r="K2" s="14"/>
      <c r="L2" s="14"/>
    </row>
    <row r="3" spans="1:15">
      <c r="A3" s="1" t="s">
        <v>167</v>
      </c>
      <c r="L3" s="14"/>
    </row>
    <row r="4" spans="1:15">
      <c r="H4" s="2"/>
      <c r="I4" s="2" t="s">
        <v>169</v>
      </c>
      <c r="K4" s="250">
        <v>2017</v>
      </c>
    </row>
    <row r="5" spans="1:15">
      <c r="A5" s="53" t="s">
        <v>322</v>
      </c>
      <c r="H5" s="3" t="s">
        <v>168</v>
      </c>
      <c r="I5" s="3" t="s">
        <v>170</v>
      </c>
      <c r="K5" s="3" t="s">
        <v>171</v>
      </c>
    </row>
    <row r="6" spans="1:15">
      <c r="M6" s="580"/>
    </row>
    <row r="7" spans="1:15">
      <c r="A7" s="10" t="s">
        <v>176</v>
      </c>
      <c r="B7" s="11"/>
      <c r="C7" s="11"/>
      <c r="D7" s="11"/>
      <c r="E7" s="11"/>
      <c r="F7" s="11"/>
      <c r="G7" s="11"/>
      <c r="H7" s="9"/>
      <c r="I7" s="9"/>
      <c r="J7" s="9"/>
      <c r="K7" s="9"/>
      <c r="M7" s="580"/>
      <c r="O7" s="580"/>
    </row>
    <row r="8" spans="1:15">
      <c r="M8" s="3"/>
      <c r="O8" s="3"/>
    </row>
    <row r="9" spans="1:15">
      <c r="A9" s="2">
        <v>1</v>
      </c>
      <c r="B9" s="50" t="s">
        <v>1056</v>
      </c>
      <c r="I9" s="15" t="str">
        <f>"6-PlantInService, Line "&amp;'6-PlantInService'!A43&amp;""</f>
        <v>6-PlantInService, Line 19</v>
      </c>
      <c r="K9" s="7">
        <f>'6-PlantInService'!D43</f>
        <v>8573445553.3305378</v>
      </c>
      <c r="M9" s="7"/>
      <c r="O9" s="7"/>
    </row>
    <row r="10" spans="1:15">
      <c r="A10" s="2">
        <f>A9+1</f>
        <v>2</v>
      </c>
      <c r="B10" s="50" t="s">
        <v>320</v>
      </c>
      <c r="I10" s="15" t="str">
        <f>"6-PlantInService, Line "&amp;'6-PlantInService'!A63&amp;""</f>
        <v>6-PlantInService, Line 27</v>
      </c>
      <c r="K10" s="7">
        <f>'6-PlantInService'!F63</f>
        <v>266256630.63265046</v>
      </c>
      <c r="M10" s="7"/>
      <c r="O10" s="7"/>
    </row>
    <row r="11" spans="1:15">
      <c r="A11" s="2">
        <f>A10+1</f>
        <v>3</v>
      </c>
      <c r="B11" s="50" t="s">
        <v>157</v>
      </c>
      <c r="I11" s="15" t="str">
        <f>"11-PHFU, Line "&amp;'11-PHFU'!A38&amp;""</f>
        <v>11-PHFU, Line 8</v>
      </c>
      <c r="K11" s="7">
        <f>'11-PHFU'!E38</f>
        <v>9942155</v>
      </c>
      <c r="M11" s="7"/>
      <c r="O11" s="7"/>
    </row>
    <row r="12" spans="1:15">
      <c r="A12" s="2">
        <f>A11+1</f>
        <v>4</v>
      </c>
      <c r="B12" s="110" t="s">
        <v>315</v>
      </c>
      <c r="C12" s="14"/>
      <c r="D12" s="14"/>
      <c r="E12" s="14"/>
      <c r="F12" s="14"/>
      <c r="G12" s="14"/>
      <c r="H12" s="14"/>
      <c r="I12" s="15" t="str">
        <f>"12-AbandonedPlant, Line "&amp;'12-AbandonedPlant'!A20&amp;""</f>
        <v>12-AbandonedPlant, Line 3</v>
      </c>
      <c r="K12" s="7">
        <f>'12-AbandonedPlant'!G20</f>
        <v>0</v>
      </c>
      <c r="M12" s="7"/>
      <c r="O12" s="7"/>
    </row>
    <row r="13" spans="1:15">
      <c r="A13" s="2"/>
      <c r="B13" s="110"/>
      <c r="C13" s="14"/>
      <c r="D13" s="14"/>
      <c r="E13" s="14"/>
      <c r="F13" s="14"/>
      <c r="G13" s="14"/>
      <c r="H13" s="14"/>
      <c r="I13" s="14"/>
      <c r="K13" s="7"/>
      <c r="M13" s="7"/>
      <c r="O13" s="7"/>
    </row>
    <row r="14" spans="1:15">
      <c r="A14" s="2"/>
      <c r="B14" s="45" t="s">
        <v>245</v>
      </c>
      <c r="C14" s="14"/>
      <c r="D14" s="14"/>
      <c r="E14" s="14"/>
      <c r="F14" s="14"/>
      <c r="G14" s="14"/>
      <c r="H14" s="14"/>
      <c r="I14" s="14"/>
      <c r="K14" s="7"/>
      <c r="M14" s="7"/>
      <c r="O14" s="7"/>
    </row>
    <row r="15" spans="1:15">
      <c r="A15" s="2">
        <f>A12+1</f>
        <v>5</v>
      </c>
      <c r="B15" s="13" t="s">
        <v>91</v>
      </c>
      <c r="I15" s="15" t="str">
        <f>"13-WorkCap, Line "&amp;'13-WorkCap'!A26&amp;""</f>
        <v>13-WorkCap, Line 16</v>
      </c>
      <c r="K15" s="7">
        <f>'13-WorkCap'!F26</f>
        <v>14314525.767238792</v>
      </c>
      <c r="M15" s="7"/>
      <c r="O15" s="7"/>
    </row>
    <row r="16" spans="1:15">
      <c r="A16" s="2">
        <f>A15+1</f>
        <v>6</v>
      </c>
      <c r="B16" s="16" t="s">
        <v>92</v>
      </c>
      <c r="I16" s="15" t="str">
        <f>"13-WorkCap, Line "&amp;'13-WorkCap'!A55&amp;""</f>
        <v>13-WorkCap, Line 36</v>
      </c>
      <c r="K16" s="7">
        <f>'13-WorkCap'!F55</f>
        <v>13703824.167555664</v>
      </c>
      <c r="M16" s="7"/>
      <c r="O16" s="7"/>
    </row>
    <row r="17" spans="1:15">
      <c r="A17" s="2">
        <f>A16+1</f>
        <v>7</v>
      </c>
      <c r="B17" s="13" t="s">
        <v>172</v>
      </c>
      <c r="I17" s="15" t="str">
        <f>"(Line "&amp;A124&amp;" + Line "&amp;A125&amp;") / 8"</f>
        <v>(Line 66 + Line 67) / 8</v>
      </c>
      <c r="K17" s="102">
        <f>(K124+K125)/8</f>
        <v>16239767.973393589</v>
      </c>
      <c r="M17" s="7"/>
      <c r="O17" s="7"/>
    </row>
    <row r="18" spans="1:15">
      <c r="A18" s="2">
        <f>A17+1</f>
        <v>8</v>
      </c>
      <c r="B18" s="13" t="s">
        <v>90</v>
      </c>
      <c r="I18" s="15" t="str">
        <f>"Line "&amp;A15&amp;" + Line "&amp;A16&amp;" + Line "&amp;A17&amp;""</f>
        <v>Line 5 + Line 6 + Line 7</v>
      </c>
      <c r="K18" s="7">
        <f>SUM(K15:K17)</f>
        <v>44258117.908188045</v>
      </c>
      <c r="M18" s="7"/>
      <c r="O18" s="7"/>
    </row>
    <row r="19" spans="1:15">
      <c r="A19" s="2"/>
      <c r="B19" s="13"/>
      <c r="I19" s="14"/>
      <c r="K19" s="7"/>
      <c r="M19" s="7"/>
      <c r="O19" s="7"/>
    </row>
    <row r="20" spans="1:15">
      <c r="A20" s="2"/>
      <c r="B20" s="76" t="s">
        <v>165</v>
      </c>
      <c r="I20" s="14"/>
      <c r="K20" s="7"/>
      <c r="M20" s="7"/>
      <c r="O20" s="7"/>
    </row>
    <row r="21" spans="1:15">
      <c r="A21" s="2">
        <f>A18+1</f>
        <v>9</v>
      </c>
      <c r="B21" s="13" t="s">
        <v>1059</v>
      </c>
      <c r="H21" t="s">
        <v>151</v>
      </c>
      <c r="I21" s="15" t="str">
        <f>"8-AccDep, Line "&amp;'8-AccDep'!A24&amp;", Col. 12"</f>
        <v>8-AccDep, Line 13, Col. 12</v>
      </c>
      <c r="K21" s="7">
        <f>-'8-AccDep'!N24</f>
        <v>-1633677099.9991164</v>
      </c>
      <c r="M21" s="7"/>
      <c r="O21" s="7"/>
    </row>
    <row r="22" spans="1:15">
      <c r="A22" s="2">
        <f>A21+1</f>
        <v>10</v>
      </c>
      <c r="B22" s="13" t="s">
        <v>1060</v>
      </c>
      <c r="H22" t="s">
        <v>151</v>
      </c>
      <c r="I22" s="15" t="str">
        <f>"8-AccDep, Line "&amp;'8-AccDep'!A34&amp;", Col. 5"</f>
        <v>8-AccDep, Line 16, Col. 5</v>
      </c>
      <c r="K22" s="7">
        <f>-'8-AccDep'!G34</f>
        <v>0</v>
      </c>
      <c r="M22" s="7"/>
      <c r="O22" s="7"/>
    </row>
    <row r="23" spans="1:15">
      <c r="A23" s="2">
        <f>A22+1</f>
        <v>11</v>
      </c>
      <c r="B23" s="13" t="s">
        <v>311</v>
      </c>
      <c r="C23" s="22"/>
      <c r="H23" t="s">
        <v>151</v>
      </c>
      <c r="I23" s="15" t="str">
        <f>"8-AccDep, Line "&amp;'8-AccDep'!A60&amp;""</f>
        <v>8-AccDep, Line 26</v>
      </c>
      <c r="K23" s="57">
        <f>-'8-AccDep'!F60</f>
        <v>-104458767.12060079</v>
      </c>
      <c r="M23" s="7"/>
      <c r="O23" s="7"/>
    </row>
    <row r="24" spans="1:15">
      <c r="A24" s="2">
        <f>A23+1</f>
        <v>12</v>
      </c>
      <c r="B24" s="77" t="s">
        <v>163</v>
      </c>
      <c r="C24" s="22"/>
      <c r="I24" s="15" t="str">
        <f>"Line "&amp;A21&amp;" + Line "&amp;A22&amp;" + Line "&amp;A23&amp;""</f>
        <v>Line 9 + Line 10 + Line 11</v>
      </c>
      <c r="K24" s="7">
        <f>SUM(K21:K23)</f>
        <v>-1738135867.1197171</v>
      </c>
      <c r="M24" s="7"/>
      <c r="O24" s="7"/>
    </row>
    <row r="25" spans="1:15">
      <c r="B25" s="12"/>
      <c r="I25" s="14"/>
      <c r="K25" s="7"/>
      <c r="M25" s="7"/>
      <c r="O25" s="7"/>
    </row>
    <row r="26" spans="1:15">
      <c r="A26" s="2">
        <f>A24+1</f>
        <v>13</v>
      </c>
      <c r="B26" s="65" t="s">
        <v>164</v>
      </c>
      <c r="H26" t="s">
        <v>151</v>
      </c>
      <c r="I26" s="15" t="str">
        <f>"9-ADIT, Line "&amp;'9-ADIT'!A14&amp;", Col. 2"</f>
        <v>9-ADIT, Line 5, Col. 2</v>
      </c>
      <c r="K26" s="7">
        <f>'9-ADIT'!D14</f>
        <v>-1649088770.0130017</v>
      </c>
      <c r="M26" s="7"/>
      <c r="O26" s="7"/>
    </row>
    <row r="27" spans="1:15">
      <c r="A27" s="2"/>
      <c r="B27" s="65"/>
      <c r="I27" s="14"/>
      <c r="M27" s="7"/>
      <c r="O27" s="7"/>
    </row>
    <row r="28" spans="1:15">
      <c r="A28" s="2">
        <f>A26+1</f>
        <v>14</v>
      </c>
      <c r="B28" s="50" t="s">
        <v>242</v>
      </c>
      <c r="I28" s="15" t="str">
        <f>"14-IncentivePlant, L "&amp;'14-IncentivePlant'!A37&amp;", Col 1"</f>
        <v>14-IncentivePlant, L 12, Col 1</v>
      </c>
      <c r="K28" s="7">
        <f>'14-IncentivePlant'!E37</f>
        <v>221778479.72000003</v>
      </c>
      <c r="M28" s="7"/>
      <c r="O28" s="7"/>
    </row>
    <row r="29" spans="1:15">
      <c r="A29" s="2"/>
      <c r="B29" s="50"/>
      <c r="I29" s="14"/>
      <c r="K29" s="7"/>
      <c r="M29" s="7"/>
      <c r="O29" s="7"/>
    </row>
    <row r="30" spans="1:15">
      <c r="A30" s="2">
        <f>A28+1</f>
        <v>15</v>
      </c>
      <c r="B30" s="50" t="s">
        <v>367</v>
      </c>
      <c r="I30" s="15" t="str">
        <f>"23-RegAssets, Line "&amp;'23-RegAssets'!A17&amp;""</f>
        <v>23-RegAssets, Line 14</v>
      </c>
      <c r="K30" s="63">
        <f>'23-RegAssets'!E17</f>
        <v>0</v>
      </c>
      <c r="M30" s="7"/>
      <c r="O30" s="7"/>
    </row>
    <row r="31" spans="1:15">
      <c r="A31" s="580">
        <f t="shared" ref="A31:A32" si="0">A30+1</f>
        <v>16</v>
      </c>
      <c r="B31" s="938" t="s">
        <v>1992</v>
      </c>
      <c r="C31" s="14"/>
      <c r="D31" s="14"/>
      <c r="E31" s="14"/>
      <c r="F31" s="14"/>
      <c r="G31" s="14"/>
      <c r="H31" s="14"/>
      <c r="I31" s="15" t="str">
        <f>"34-UnfundedReserves, Line "&amp;'34-UnfundedReserves'!A9&amp;""</f>
        <v>34-UnfundedReserves, Line 6</v>
      </c>
      <c r="J31" s="14"/>
      <c r="K31" s="63">
        <f>'34-UnfundedReserves'!K9</f>
        <v>-10717922.245167419</v>
      </c>
      <c r="M31" s="7"/>
      <c r="O31" s="7"/>
    </row>
    <row r="32" spans="1:15">
      <c r="A32" s="580">
        <f t="shared" si="0"/>
        <v>17</v>
      </c>
      <c r="B32" s="938" t="s">
        <v>55</v>
      </c>
      <c r="C32" s="14"/>
      <c r="D32" s="14"/>
      <c r="E32" s="14"/>
      <c r="F32" s="14"/>
      <c r="G32" s="14"/>
      <c r="H32" s="14" t="s">
        <v>151</v>
      </c>
      <c r="I32" s="15" t="str">
        <f>"22-NUCs, Line "&amp;'22-NUCs'!A11&amp;""</f>
        <v>22-NUCs, Line 4</v>
      </c>
      <c r="J32" s="14"/>
      <c r="K32" s="63">
        <f>-'22-NUCs'!E11</f>
        <v>-93345104.709999993</v>
      </c>
      <c r="M32" s="7"/>
      <c r="O32" s="7"/>
    </row>
    <row r="33" spans="1:15">
      <c r="A33" s="111"/>
      <c r="B33" s="938"/>
      <c r="C33" s="14"/>
      <c r="D33" s="14"/>
      <c r="E33" s="14"/>
      <c r="F33" s="14"/>
      <c r="G33" s="14"/>
      <c r="H33" s="14"/>
      <c r="I33" s="14"/>
      <c r="J33" s="14"/>
      <c r="K33" s="14"/>
      <c r="M33" s="7"/>
      <c r="O33" s="7"/>
    </row>
    <row r="34" spans="1:15">
      <c r="A34" s="580">
        <f>A32+1</f>
        <v>18</v>
      </c>
      <c r="B34" s="14" t="s">
        <v>173</v>
      </c>
      <c r="C34" s="14"/>
      <c r="D34" s="14"/>
      <c r="E34" s="14"/>
      <c r="F34" s="14"/>
      <c r="G34" s="14"/>
      <c r="H34" s="14"/>
      <c r="I34" s="15" t="str">
        <f>"L"&amp;A9&amp;" + L"&amp;A10&amp;" + L"&amp;A11&amp;" + L"&amp;A12&amp;" + L"&amp;A18&amp;" + L"&amp;A24&amp;" +"</f>
        <v>L1 + L2 + L3 + L4 + L8 + L12 +</v>
      </c>
      <c r="J34" s="14"/>
      <c r="K34" s="63">
        <f>K9+K10+K11+K12+K18+K24+K26+K28+K30+K31+K32</f>
        <v>5624393272.5034904</v>
      </c>
      <c r="M34" s="7"/>
      <c r="O34" s="7"/>
    </row>
    <row r="35" spans="1:15">
      <c r="A35" s="111"/>
      <c r="B35" s="14"/>
      <c r="C35" s="14"/>
      <c r="D35" s="14"/>
      <c r="E35" s="14"/>
      <c r="F35" s="14"/>
      <c r="G35" s="14"/>
      <c r="H35" s="14"/>
      <c r="I35" s="110" t="str">
        <f>"L"&amp;A26&amp;" + L"&amp;A28&amp;"+ L"&amp;A30&amp;"+ L"&amp;A31&amp;" + L"&amp;A32&amp;""</f>
        <v>L13 + L14+ L15+ L16 + L17</v>
      </c>
      <c r="J35" s="14"/>
      <c r="K35" s="63"/>
      <c r="O35" s="7"/>
    </row>
    <row r="36" spans="1:15">
      <c r="O36" s="7"/>
    </row>
    <row r="37" spans="1:15">
      <c r="A37" s="10" t="s">
        <v>253</v>
      </c>
      <c r="B37" s="11"/>
      <c r="C37" s="11"/>
      <c r="D37" s="11"/>
      <c r="E37" s="11"/>
      <c r="F37" s="11"/>
      <c r="G37" s="11"/>
      <c r="H37" s="9"/>
      <c r="I37" s="9"/>
      <c r="J37" s="9"/>
      <c r="K37" s="9"/>
      <c r="O37" s="7"/>
    </row>
    <row r="38" spans="1:15">
      <c r="O38" s="7"/>
    </row>
    <row r="39" spans="1:15">
      <c r="A39" s="2">
        <f>A34+1</f>
        <v>19</v>
      </c>
      <c r="B39" s="485" t="s">
        <v>1788</v>
      </c>
      <c r="C39" s="14"/>
      <c r="D39" s="14"/>
      <c r="H39" s="1081" t="s">
        <v>2679</v>
      </c>
      <c r="I39" s="483" t="s">
        <v>2345</v>
      </c>
      <c r="K39" s="6">
        <v>298376268</v>
      </c>
      <c r="L39" s="485"/>
      <c r="M39" s="7"/>
      <c r="O39" s="7"/>
    </row>
    <row r="40" spans="1:15">
      <c r="A40" s="2">
        <f>A39+1</f>
        <v>20</v>
      </c>
      <c r="B40" s="114" t="s">
        <v>57</v>
      </c>
      <c r="C40" s="14"/>
      <c r="D40" s="14"/>
      <c r="H40" s="1075"/>
      <c r="I40" s="15" t="str">
        <f>"27-Allocators, Line "&amp;'27-Allocators'!A27&amp;""</f>
        <v>27-Allocators, Line 22</v>
      </c>
      <c r="K40" s="8">
        <f>'27-Allocators'!G27</f>
        <v>0.19148424914638884</v>
      </c>
      <c r="L40" s="14"/>
      <c r="M40" s="8"/>
      <c r="N40" s="8"/>
      <c r="O40" s="8"/>
    </row>
    <row r="41" spans="1:15">
      <c r="A41" s="2">
        <f>A40+1</f>
        <v>21</v>
      </c>
      <c r="B41" s="14" t="s">
        <v>60</v>
      </c>
      <c r="C41" s="14"/>
      <c r="D41" s="14"/>
      <c r="H41" s="1075"/>
      <c r="I41" s="15" t="str">
        <f>"Line "&amp;A39&amp;" * Line "&amp;A40&amp;""</f>
        <v>Line 19 * Line 20</v>
      </c>
      <c r="K41" s="7">
        <f>K39*K40</f>
        <v>57134355.641081691</v>
      </c>
      <c r="L41" s="14"/>
      <c r="M41" s="7"/>
      <c r="O41" s="7"/>
    </row>
    <row r="42" spans="1:15">
      <c r="A42" s="2" t="s">
        <v>331</v>
      </c>
      <c r="B42" s="14"/>
      <c r="C42" s="14"/>
      <c r="D42" s="14"/>
      <c r="H42" s="483"/>
      <c r="I42" s="14"/>
      <c r="K42" s="8"/>
      <c r="L42" s="14"/>
      <c r="M42" s="7"/>
      <c r="O42" s="7"/>
    </row>
    <row r="43" spans="1:15">
      <c r="A43" s="2">
        <f>A41+1</f>
        <v>22</v>
      </c>
      <c r="B43" s="15" t="s">
        <v>254</v>
      </c>
      <c r="C43" s="14"/>
      <c r="D43" s="14"/>
      <c r="H43" s="1075"/>
      <c r="I43" s="14"/>
      <c r="K43" s="8"/>
      <c r="L43" s="14"/>
      <c r="M43" s="7"/>
      <c r="O43" s="7"/>
    </row>
    <row r="44" spans="1:15">
      <c r="A44" s="2">
        <f t="shared" ref="A44:A56" si="1">A43+1</f>
        <v>23</v>
      </c>
      <c r="B44" s="114" t="s">
        <v>16</v>
      </c>
      <c r="C44" s="14"/>
      <c r="D44" s="14"/>
      <c r="E44" s="1"/>
      <c r="F44" s="1"/>
      <c r="G44" s="1"/>
      <c r="H44" s="1075"/>
      <c r="I44" s="15" t="str">
        <f>"Line "&amp;A45&amp;" + Line "&amp;A46&amp;"+ Line "&amp;A47&amp;""</f>
        <v>Line 24 + Line 25+ Line 26</v>
      </c>
      <c r="K44" s="63">
        <f>SUM(K45:K47)</f>
        <v>106921364</v>
      </c>
      <c r="L44" s="14"/>
      <c r="M44" s="7"/>
      <c r="O44" s="7"/>
    </row>
    <row r="45" spans="1:15">
      <c r="A45" s="2">
        <f t="shared" si="1"/>
        <v>24</v>
      </c>
      <c r="B45" s="378" t="s">
        <v>39</v>
      </c>
      <c r="C45" s="14"/>
      <c r="D45" s="14"/>
      <c r="E45" s="1"/>
      <c r="F45" s="1"/>
      <c r="G45" s="1"/>
      <c r="H45" s="1081" t="s">
        <v>2674</v>
      </c>
      <c r="I45" s="483" t="s">
        <v>2345</v>
      </c>
      <c r="K45" s="6">
        <v>106811420</v>
      </c>
      <c r="L45" s="485"/>
      <c r="M45" s="7"/>
      <c r="O45" s="7"/>
    </row>
    <row r="46" spans="1:15">
      <c r="A46" s="2">
        <f t="shared" si="1"/>
        <v>25</v>
      </c>
      <c r="B46" s="378" t="s">
        <v>40</v>
      </c>
      <c r="C46" s="14"/>
      <c r="D46" s="14"/>
      <c r="E46" s="1"/>
      <c r="F46" s="1"/>
      <c r="G46" s="1"/>
      <c r="H46" s="1081" t="s">
        <v>2675</v>
      </c>
      <c r="I46" s="483" t="s">
        <v>2345</v>
      </c>
      <c r="K46" s="6">
        <v>80115</v>
      </c>
      <c r="L46" s="485"/>
      <c r="M46" s="7"/>
      <c r="O46" s="7"/>
    </row>
    <row r="47" spans="1:15">
      <c r="A47" s="2">
        <f t="shared" si="1"/>
        <v>26</v>
      </c>
      <c r="B47" s="378" t="s">
        <v>41</v>
      </c>
      <c r="C47" s="14"/>
      <c r="D47" s="14"/>
      <c r="E47" s="1"/>
      <c r="F47" s="1"/>
      <c r="G47" s="1"/>
      <c r="H47" s="1081" t="s">
        <v>2676</v>
      </c>
      <c r="I47" s="483" t="s">
        <v>2345</v>
      </c>
      <c r="K47" s="6">
        <v>29829</v>
      </c>
      <c r="L47" s="485"/>
      <c r="M47" s="7"/>
      <c r="O47" s="7"/>
    </row>
    <row r="48" spans="1:15">
      <c r="A48" s="2">
        <f t="shared" si="1"/>
        <v>27</v>
      </c>
      <c r="B48" s="482" t="s">
        <v>1789</v>
      </c>
      <c r="C48" s="14"/>
      <c r="D48" s="14"/>
      <c r="H48" s="1081" t="s">
        <v>2677</v>
      </c>
      <c r="I48" s="483" t="s">
        <v>2345</v>
      </c>
      <c r="K48" s="6">
        <v>5909370</v>
      </c>
      <c r="L48" s="485"/>
      <c r="M48" s="7"/>
      <c r="O48" s="7"/>
    </row>
    <row r="49" spans="1:15">
      <c r="A49" s="2">
        <f t="shared" si="1"/>
        <v>28</v>
      </c>
      <c r="B49" s="114" t="s">
        <v>1790</v>
      </c>
      <c r="C49" s="14"/>
      <c r="D49" s="14"/>
      <c r="H49" s="1081" t="s">
        <v>2678</v>
      </c>
      <c r="I49" s="483" t="s">
        <v>2345</v>
      </c>
      <c r="K49" s="6">
        <v>2620285</v>
      </c>
      <c r="L49" s="485"/>
      <c r="M49" s="7"/>
      <c r="O49" s="7"/>
    </row>
    <row r="50" spans="1:15">
      <c r="A50" s="562">
        <f t="shared" si="1"/>
        <v>29</v>
      </c>
      <c r="B50" s="114" t="s">
        <v>1646</v>
      </c>
      <c r="C50" s="14"/>
      <c r="D50" s="14"/>
      <c r="H50" s="1081" t="s">
        <v>2680</v>
      </c>
      <c r="I50" s="483" t="s">
        <v>2345</v>
      </c>
      <c r="K50" s="6">
        <v>1555582</v>
      </c>
      <c r="L50" s="485"/>
      <c r="M50" s="7"/>
      <c r="O50" s="7"/>
    </row>
    <row r="51" spans="1:15">
      <c r="A51" s="562">
        <f t="shared" si="1"/>
        <v>30</v>
      </c>
      <c r="B51" s="114" t="s">
        <v>1791</v>
      </c>
      <c r="C51" s="14"/>
      <c r="D51" s="14"/>
      <c r="H51" s="1081" t="s">
        <v>2681</v>
      </c>
      <c r="I51" s="483" t="s">
        <v>2345</v>
      </c>
      <c r="K51" s="6">
        <v>42940</v>
      </c>
      <c r="L51" s="485"/>
      <c r="M51" s="7"/>
      <c r="O51" s="7"/>
    </row>
    <row r="52" spans="1:15">
      <c r="A52" s="562">
        <f t="shared" si="1"/>
        <v>31</v>
      </c>
      <c r="B52" t="s">
        <v>61</v>
      </c>
      <c r="I52" s="15" t="str">
        <f>"Line "&amp;A44&amp;" + (Line "&amp;A48&amp;" to Line "&amp;A51&amp;")"</f>
        <v>Line 23 + (Line 27 to Line 30)</v>
      </c>
      <c r="K52" s="7">
        <f>K44+K48+K49+K50+K51</f>
        <v>117049541</v>
      </c>
      <c r="M52" s="7"/>
      <c r="O52" s="7"/>
    </row>
    <row r="53" spans="1:15">
      <c r="A53" s="562">
        <f t="shared" si="1"/>
        <v>32</v>
      </c>
      <c r="B53" s="485" t="s">
        <v>1647</v>
      </c>
      <c r="C53" s="14"/>
      <c r="D53" s="14"/>
      <c r="E53" s="14"/>
      <c r="F53" s="14"/>
      <c r="G53" s="14"/>
      <c r="H53" s="485"/>
      <c r="I53" s="485" t="str">
        <f>"26-TaxRates, Line "&amp;'26-TaxRates'!A22&amp;""</f>
        <v>26-TaxRates, Line 16</v>
      </c>
      <c r="K53" s="236">
        <f>'26-TaxRates'!F22</f>
        <v>46585717.318000004</v>
      </c>
      <c r="M53" s="7"/>
      <c r="O53" s="7"/>
    </row>
    <row r="54" spans="1:15">
      <c r="A54" s="562">
        <f t="shared" si="1"/>
        <v>33</v>
      </c>
      <c r="B54" s="14" t="s">
        <v>1330</v>
      </c>
      <c r="C54" s="14"/>
      <c r="D54" s="14"/>
      <c r="E54" s="14"/>
      <c r="F54" s="14"/>
      <c r="G54" s="14"/>
      <c r="I54" s="15" t="str">
        <f>"Line "&amp;A52&amp;" - Line "&amp;A53&amp;""</f>
        <v>Line 31 - Line 32</v>
      </c>
      <c r="K54" s="7">
        <f>K52-K53</f>
        <v>70463823.681999996</v>
      </c>
      <c r="M54" s="7"/>
      <c r="O54" s="7"/>
    </row>
    <row r="55" spans="1:15">
      <c r="A55" s="562">
        <f t="shared" si="1"/>
        <v>34</v>
      </c>
      <c r="B55" s="13" t="s">
        <v>93</v>
      </c>
      <c r="I55" s="15" t="str">
        <f>"27-Allocators, Line "&amp;'27-Allocators'!A14&amp;""</f>
        <v>27-Allocators, Line 9</v>
      </c>
      <c r="K55" s="8">
        <f>'27-Allocators'!G14</f>
        <v>6.0143362776597958E-2</v>
      </c>
      <c r="M55" s="7"/>
      <c r="O55" s="7"/>
    </row>
    <row r="56" spans="1:15">
      <c r="A56" s="562">
        <f t="shared" si="1"/>
        <v>35</v>
      </c>
      <c r="B56" s="50" t="s">
        <v>254</v>
      </c>
      <c r="I56" s="15" t="str">
        <f>"Line "&amp;A54&amp;" * Line "&amp;A55&amp;""</f>
        <v>Line 33 * Line 34</v>
      </c>
      <c r="K56" s="7">
        <f>K54*K55</f>
        <v>4237931.3103327602</v>
      </c>
      <c r="M56" s="7"/>
      <c r="O56" s="7"/>
    </row>
    <row r="57" spans="1:15">
      <c r="A57" s="2"/>
      <c r="K57" s="7"/>
      <c r="M57" s="7"/>
      <c r="O57" s="7"/>
    </row>
    <row r="58" spans="1:15">
      <c r="A58" s="2">
        <f>A56+1</f>
        <v>36</v>
      </c>
      <c r="B58" s="12" t="s">
        <v>79</v>
      </c>
      <c r="H58" s="483" t="s">
        <v>364</v>
      </c>
      <c r="I58" s="12" t="str">
        <f>"Line "&amp;A41&amp;" + Line "&amp;A56&amp;""</f>
        <v>Line 21 + Line 35</v>
      </c>
      <c r="K58" s="7">
        <f>K41+K56</f>
        <v>61372286.951414451</v>
      </c>
      <c r="M58" s="7"/>
      <c r="O58" s="7"/>
    </row>
    <row r="59" spans="1:15">
      <c r="O59" s="7"/>
    </row>
    <row r="60" spans="1:15">
      <c r="A60" s="10" t="s">
        <v>177</v>
      </c>
      <c r="B60" s="11"/>
      <c r="C60" s="11"/>
      <c r="D60" s="11"/>
      <c r="E60" s="11"/>
      <c r="F60" s="11"/>
      <c r="G60" s="11"/>
      <c r="H60" s="9"/>
      <c r="I60" s="9"/>
      <c r="J60" s="9"/>
      <c r="K60" s="9"/>
      <c r="O60" s="7"/>
    </row>
    <row r="61" spans="1:15">
      <c r="A61" s="44"/>
      <c r="B61" s="15"/>
      <c r="C61" s="15"/>
      <c r="D61" s="15"/>
      <c r="E61" s="15"/>
      <c r="F61" s="15"/>
      <c r="G61" s="15"/>
      <c r="H61" s="15"/>
      <c r="I61" s="15"/>
      <c r="J61" s="15"/>
      <c r="K61" s="15"/>
      <c r="O61" s="7"/>
    </row>
    <row r="62" spans="1:15">
      <c r="A62" s="106"/>
      <c r="B62" s="45" t="s">
        <v>26</v>
      </c>
      <c r="C62" s="15"/>
      <c r="D62" s="15"/>
      <c r="E62" s="15"/>
      <c r="F62" s="15"/>
      <c r="G62" s="15"/>
      <c r="H62" s="15"/>
      <c r="I62" s="15"/>
      <c r="J62" s="15"/>
      <c r="K62" s="15"/>
      <c r="O62" s="7"/>
    </row>
    <row r="63" spans="1:15">
      <c r="A63" s="111">
        <f>A58+1</f>
        <v>37</v>
      </c>
      <c r="B63" s="15" t="s">
        <v>209</v>
      </c>
      <c r="C63" s="15"/>
      <c r="D63" s="15"/>
      <c r="E63" s="15"/>
      <c r="F63" s="15"/>
      <c r="G63" s="15"/>
      <c r="H63" s="15"/>
      <c r="I63" s="15" t="str">
        <f>"5-ROR-1, Line "&amp;'5-ROR-1'!A19&amp;""</f>
        <v>5-ROR-1, Line 12</v>
      </c>
      <c r="J63" s="15"/>
      <c r="K63" s="47">
        <f>'5-ROR-1'!L19</f>
        <v>10255775546.047663</v>
      </c>
      <c r="M63" s="1075"/>
      <c r="N63" s="1075"/>
      <c r="O63" s="7"/>
    </row>
    <row r="64" spans="1:15">
      <c r="A64" s="2">
        <f>A63+1</f>
        <v>38</v>
      </c>
      <c r="B64" s="15" t="s">
        <v>255</v>
      </c>
      <c r="C64" s="15"/>
      <c r="D64" s="15"/>
      <c r="E64" s="15"/>
      <c r="F64" s="15"/>
      <c r="G64" s="15"/>
      <c r="H64" s="15"/>
      <c r="I64" s="485" t="str">
        <f>"Line "&amp;A63&amp;" * Line "&amp;A65&amp;""</f>
        <v>Line 37 * Line 39</v>
      </c>
      <c r="J64" s="485"/>
      <c r="K64" s="497">
        <f>K63*K65</f>
        <v>504409810.26108915</v>
      </c>
      <c r="M64" s="1075"/>
      <c r="N64" s="1075"/>
      <c r="O64" s="7"/>
    </row>
    <row r="65" spans="1:15">
      <c r="A65" s="2">
        <f>A64+1</f>
        <v>39</v>
      </c>
      <c r="B65" s="15" t="s">
        <v>256</v>
      </c>
      <c r="C65" s="15"/>
      <c r="D65" s="15"/>
      <c r="E65" s="15"/>
      <c r="F65" s="15"/>
      <c r="G65" s="15"/>
      <c r="I65" s="485" t="str">
        <f>"5-ROR-3, Line "&amp;'5-ROR-3'!A15&amp;""</f>
        <v>5-ROR-3, Line 10</v>
      </c>
      <c r="J65" s="15"/>
      <c r="K65" s="405">
        <f>'5-ROR-3'!E15</f>
        <v>4.9183000154042658E-2</v>
      </c>
      <c r="M65" s="1075"/>
      <c r="N65" s="1075"/>
      <c r="O65" s="7"/>
    </row>
    <row r="66" spans="1:15">
      <c r="A66" s="111"/>
      <c r="B66" s="15"/>
      <c r="C66" s="15"/>
      <c r="D66" s="15"/>
      <c r="E66" s="15"/>
      <c r="F66" s="15"/>
      <c r="G66" s="15"/>
      <c r="I66" s="15"/>
      <c r="J66" s="15"/>
      <c r="K66" s="48"/>
      <c r="M66" s="1075"/>
      <c r="N66" s="1075"/>
      <c r="O66" s="7"/>
    </row>
    <row r="67" spans="1:15">
      <c r="A67" s="111"/>
      <c r="B67" s="45" t="s">
        <v>27</v>
      </c>
      <c r="C67" s="15"/>
      <c r="D67" s="15"/>
      <c r="E67" s="15"/>
      <c r="F67" s="15"/>
      <c r="G67" s="15"/>
      <c r="H67" s="15"/>
      <c r="I67" s="15"/>
      <c r="J67" s="15"/>
      <c r="K67" s="15"/>
      <c r="M67" s="1075"/>
      <c r="N67" s="1075"/>
      <c r="O67" s="7"/>
    </row>
    <row r="68" spans="1:15">
      <c r="A68" s="111">
        <f>A65+1</f>
        <v>40</v>
      </c>
      <c r="B68" s="485" t="s">
        <v>47</v>
      </c>
      <c r="C68" s="15"/>
      <c r="D68" s="15"/>
      <c r="E68" s="15"/>
      <c r="F68" s="15"/>
      <c r="G68" s="15"/>
      <c r="H68" s="15"/>
      <c r="I68" s="485" t="str">
        <f>"5-ROR-1, Line "&amp;'5-ROR-1'!A25&amp;""</f>
        <v>5-ROR-1, Line 16</v>
      </c>
      <c r="J68" s="485"/>
      <c r="K68" s="497">
        <f>'5-ROR-1'!L25</f>
        <v>2224620928.7883053</v>
      </c>
      <c r="M68" s="1075"/>
      <c r="N68" s="1075"/>
      <c r="O68" s="7"/>
    </row>
    <row r="69" spans="1:15">
      <c r="A69" s="2">
        <f>A68+1</f>
        <v>41</v>
      </c>
      <c r="B69" s="485" t="s">
        <v>25</v>
      </c>
      <c r="C69" s="15"/>
      <c r="D69" s="15"/>
      <c r="E69" s="15"/>
      <c r="F69" s="15"/>
      <c r="G69" s="15"/>
      <c r="H69" s="15"/>
      <c r="I69" s="485" t="s">
        <v>2611</v>
      </c>
      <c r="J69" s="485"/>
      <c r="K69" s="497">
        <f>K68*K70</f>
        <v>126985859.63280323</v>
      </c>
      <c r="M69" s="1075"/>
      <c r="N69" s="1075"/>
      <c r="O69" s="7"/>
    </row>
    <row r="70" spans="1:15">
      <c r="A70" s="2">
        <f>A69+1</f>
        <v>42</v>
      </c>
      <c r="B70" s="485" t="s">
        <v>43</v>
      </c>
      <c r="C70" s="15"/>
      <c r="D70" s="15"/>
      <c r="E70" s="15"/>
      <c r="F70" s="15"/>
      <c r="G70" s="15"/>
      <c r="I70" s="485" t="str">
        <f>"5-ROR-4, Line "&amp;'5-ROR-4'!A14&amp;""</f>
        <v>5-ROR-4, Line 9</v>
      </c>
      <c r="J70" s="485"/>
      <c r="K70" s="405">
        <f>'5-ROR-4'!E14</f>
        <v>5.7082021475887673E-2</v>
      </c>
      <c r="M70" s="1075"/>
      <c r="N70" s="1075"/>
      <c r="O70" s="7"/>
    </row>
    <row r="71" spans="1:15">
      <c r="A71" s="111"/>
      <c r="B71" s="15"/>
      <c r="C71" s="15"/>
      <c r="D71" s="15"/>
      <c r="E71" s="15"/>
      <c r="F71" s="15"/>
      <c r="G71" s="15"/>
      <c r="I71" s="15"/>
      <c r="J71" s="15"/>
      <c r="K71" s="48"/>
      <c r="M71" s="1075"/>
      <c r="N71" s="1075"/>
      <c r="O71" s="7"/>
    </row>
    <row r="72" spans="1:15">
      <c r="A72" s="111"/>
      <c r="B72" s="45" t="s">
        <v>28</v>
      </c>
      <c r="C72" s="15"/>
      <c r="D72" s="15"/>
      <c r="E72" s="15"/>
      <c r="F72" s="15"/>
      <c r="G72" s="15"/>
      <c r="H72" s="15"/>
      <c r="I72" s="15"/>
      <c r="J72" s="15"/>
      <c r="K72" s="15"/>
      <c r="M72" s="1075"/>
      <c r="N72" s="1075"/>
      <c r="O72" s="7"/>
    </row>
    <row r="73" spans="1:15">
      <c r="A73" s="111">
        <f>A70+1</f>
        <v>43</v>
      </c>
      <c r="B73" s="15" t="s">
        <v>44</v>
      </c>
      <c r="C73" s="15"/>
      <c r="D73" s="15"/>
      <c r="E73" s="15"/>
      <c r="F73" s="15"/>
      <c r="G73" s="15"/>
      <c r="H73" s="15"/>
      <c r="I73" s="485" t="str">
        <f>"5-ROR-1, Line "&amp;'5-ROR-1'!A33&amp;""</f>
        <v>5-ROR-1, Line 22</v>
      </c>
      <c r="J73" s="485"/>
      <c r="K73" s="497">
        <f>'5-ROR-1'!L33</f>
        <v>12575222879.990946</v>
      </c>
      <c r="M73" s="1075"/>
      <c r="N73" s="1075"/>
      <c r="O73" s="7"/>
    </row>
    <row r="74" spans="1:15">
      <c r="A74" s="111"/>
      <c r="B74" s="15"/>
      <c r="C74" s="15"/>
      <c r="D74" s="15"/>
      <c r="E74" s="15"/>
      <c r="F74" s="15"/>
      <c r="G74" s="15"/>
      <c r="H74" s="15"/>
      <c r="I74" s="64"/>
      <c r="J74" s="15"/>
      <c r="K74" s="15"/>
      <c r="M74" s="1075"/>
      <c r="N74" s="1075"/>
      <c r="O74" s="7"/>
    </row>
    <row r="75" spans="1:15">
      <c r="A75" s="2">
        <f>A73+1</f>
        <v>44</v>
      </c>
      <c r="B75" s="15" t="s">
        <v>46</v>
      </c>
      <c r="C75" s="15"/>
      <c r="D75" s="15"/>
      <c r="E75" s="15"/>
      <c r="F75" s="15"/>
      <c r="G75" s="15"/>
      <c r="H75" s="15"/>
      <c r="I75" s="12" t="str">
        <f>"Line "&amp;A63&amp;" + Line "&amp;A68&amp;" + Line "&amp;A73&amp;""</f>
        <v>Line 37 + Line 40 + Line 43</v>
      </c>
      <c r="J75" s="15"/>
      <c r="K75" s="47">
        <f>K63+K68+K73</f>
        <v>25055619354.826912</v>
      </c>
      <c r="M75" s="1075"/>
      <c r="N75" s="1075"/>
      <c r="O75" s="7"/>
    </row>
    <row r="76" spans="1:15">
      <c r="A76" s="111"/>
      <c r="B76" s="46"/>
      <c r="C76" s="15"/>
      <c r="D76" s="15"/>
      <c r="E76" s="15"/>
      <c r="F76" s="15"/>
      <c r="G76" s="15"/>
      <c r="I76" s="15"/>
      <c r="J76" s="15"/>
      <c r="K76" s="47"/>
      <c r="M76" s="1075"/>
      <c r="N76" s="1075"/>
      <c r="O76" s="7"/>
    </row>
    <row r="77" spans="1:15">
      <c r="A77" s="111"/>
      <c r="B77" s="45" t="s">
        <v>48</v>
      </c>
      <c r="C77" s="15"/>
      <c r="D77" s="15"/>
      <c r="E77" s="15"/>
      <c r="F77" s="15"/>
      <c r="G77" s="15"/>
      <c r="H77" s="15"/>
      <c r="I77" s="15"/>
      <c r="J77" s="15"/>
      <c r="K77" s="15"/>
      <c r="M77" s="1075"/>
      <c r="N77" s="1075"/>
      <c r="O77" s="7"/>
    </row>
    <row r="78" spans="1:15">
      <c r="A78" s="111">
        <f>A75+1</f>
        <v>45</v>
      </c>
      <c r="B78" s="15" t="s">
        <v>257</v>
      </c>
      <c r="C78" s="15"/>
      <c r="D78" s="15"/>
      <c r="E78" s="15"/>
      <c r="F78" s="15"/>
      <c r="G78" s="15"/>
      <c r="H78" s="15"/>
      <c r="I78" s="12" t="str">
        <f>"Line "&amp;A63&amp;" / Line "&amp;A75&amp;""</f>
        <v>Line 37 / Line 44</v>
      </c>
      <c r="J78" s="15"/>
      <c r="K78" s="48">
        <f>K63/K75</f>
        <v>0.40932037643172087</v>
      </c>
      <c r="M78" s="1075"/>
      <c r="N78" s="1075"/>
      <c r="O78" s="7"/>
    </row>
    <row r="79" spans="1:15">
      <c r="A79" s="2">
        <f>A78+1</f>
        <v>46</v>
      </c>
      <c r="B79" s="485" t="s">
        <v>258</v>
      </c>
      <c r="C79" s="15"/>
      <c r="D79" s="15"/>
      <c r="E79" s="15"/>
      <c r="F79" s="15"/>
      <c r="G79" s="15"/>
      <c r="H79" s="15"/>
      <c r="I79" s="12" t="str">
        <f>"Line "&amp;A68&amp;" / Line "&amp;A75&amp;""</f>
        <v>Line 40 / Line 44</v>
      </c>
      <c r="J79" s="15"/>
      <c r="K79" s="48">
        <f>K68/K75</f>
        <v>8.8787305445703804E-2</v>
      </c>
      <c r="M79" s="1075"/>
      <c r="N79" s="1075"/>
      <c r="O79" s="7"/>
    </row>
    <row r="80" spans="1:15">
      <c r="A80" s="2">
        <f>A79+1</f>
        <v>47</v>
      </c>
      <c r="B80" s="15" t="s">
        <v>49</v>
      </c>
      <c r="C80" s="15"/>
      <c r="D80" s="15"/>
      <c r="E80" s="15"/>
      <c r="F80" s="15"/>
      <c r="G80" s="15"/>
      <c r="H80" s="15"/>
      <c r="I80" s="12" t="str">
        <f>"Line "&amp;A73&amp;" / Line "&amp;A75&amp;""</f>
        <v>Line 43 / Line 44</v>
      </c>
      <c r="J80" s="15"/>
      <c r="K80" s="49">
        <f>K73/K75</f>
        <v>0.5018923181225754</v>
      </c>
      <c r="M80" s="1075"/>
      <c r="N80" s="1075"/>
      <c r="O80" s="7"/>
    </row>
    <row r="81" spans="1:15">
      <c r="A81" s="111"/>
      <c r="B81" s="15"/>
      <c r="C81" s="15"/>
      <c r="D81" s="15"/>
      <c r="E81" s="15"/>
      <c r="F81" s="15"/>
      <c r="G81" s="15"/>
      <c r="H81" s="15"/>
      <c r="I81" s="12" t="str">
        <f>"Line "&amp;A78&amp;" + Line "&amp;A79&amp;"+ Line "&amp;A80&amp;""</f>
        <v>Line 45 + Line 46+ Line 47</v>
      </c>
      <c r="J81" s="15"/>
      <c r="K81" s="48">
        <f>SUM(K78:K80)</f>
        <v>1</v>
      </c>
      <c r="M81" s="1075"/>
      <c r="N81" s="1075"/>
      <c r="O81" s="7"/>
    </row>
    <row r="82" spans="1:15">
      <c r="A82" s="111"/>
      <c r="B82" s="45" t="s">
        <v>220</v>
      </c>
      <c r="C82" s="15"/>
      <c r="D82" s="15"/>
      <c r="E82" s="15"/>
      <c r="F82" s="15"/>
      <c r="G82" s="15"/>
      <c r="H82" s="15"/>
      <c r="I82" s="15"/>
      <c r="J82" s="15"/>
      <c r="K82" s="48"/>
      <c r="M82" s="1075"/>
      <c r="N82" s="1075"/>
      <c r="O82" s="7"/>
    </row>
    <row r="83" spans="1:15">
      <c r="A83" s="111">
        <f>A80+1</f>
        <v>48</v>
      </c>
      <c r="B83" s="15" t="s">
        <v>256</v>
      </c>
      <c r="C83" s="15"/>
      <c r="D83" s="15"/>
      <c r="E83" s="15"/>
      <c r="F83" s="15"/>
      <c r="G83" s="15"/>
      <c r="I83" s="12" t="str">
        <f>"Line "&amp;A65&amp;""</f>
        <v>Line 39</v>
      </c>
      <c r="J83" s="15"/>
      <c r="K83" s="48">
        <f>K65</f>
        <v>4.9183000154042658E-2</v>
      </c>
      <c r="M83" s="1075"/>
      <c r="N83" s="1075"/>
      <c r="O83" s="7"/>
    </row>
    <row r="84" spans="1:15">
      <c r="A84" s="2">
        <f>A83+1</f>
        <v>49</v>
      </c>
      <c r="B84" s="485" t="s">
        <v>43</v>
      </c>
      <c r="C84" s="15"/>
      <c r="D84" s="15"/>
      <c r="E84" s="15"/>
      <c r="F84" s="15"/>
      <c r="G84" s="15"/>
      <c r="I84" s="12" t="str">
        <f>"Line "&amp;A70&amp;""</f>
        <v>Line 42</v>
      </c>
      <c r="J84" s="15"/>
      <c r="K84" s="48">
        <f>K70</f>
        <v>5.7082021475887673E-2</v>
      </c>
      <c r="M84" s="1075"/>
      <c r="N84" s="1075"/>
      <c r="O84" s="7"/>
    </row>
    <row r="85" spans="1:15">
      <c r="A85" s="2">
        <f>A84+1</f>
        <v>50</v>
      </c>
      <c r="B85" s="485" t="s">
        <v>1740</v>
      </c>
      <c r="C85" s="15"/>
      <c r="D85" s="15"/>
      <c r="E85" s="15"/>
      <c r="F85" s="15"/>
      <c r="G85" s="15"/>
      <c r="H85" s="483" t="s">
        <v>365</v>
      </c>
      <c r="I85" s="15" t="s">
        <v>213</v>
      </c>
      <c r="J85" s="15"/>
      <c r="K85" s="1038">
        <v>0.108</v>
      </c>
      <c r="M85" s="1075"/>
      <c r="N85" s="1075"/>
      <c r="O85" s="7"/>
    </row>
    <row r="86" spans="1:15">
      <c r="A86" s="111"/>
      <c r="B86" s="15"/>
      <c r="C86" s="15"/>
      <c r="D86" s="15"/>
      <c r="E86" s="15"/>
      <c r="F86" s="15"/>
      <c r="G86" s="15"/>
      <c r="I86" s="69"/>
      <c r="J86" s="15"/>
      <c r="K86" s="48"/>
      <c r="M86" s="1075"/>
      <c r="N86" s="1075"/>
      <c r="O86" s="7"/>
    </row>
    <row r="87" spans="1:15">
      <c r="A87" s="111"/>
      <c r="B87" s="45" t="s">
        <v>261</v>
      </c>
      <c r="C87" s="15"/>
      <c r="D87" s="15"/>
      <c r="E87" s="15"/>
      <c r="F87" s="15"/>
      <c r="G87" s="15"/>
      <c r="H87" s="15"/>
      <c r="I87" s="15"/>
      <c r="J87" s="15"/>
      <c r="K87" s="15"/>
      <c r="M87" s="1075"/>
      <c r="N87" s="1075"/>
      <c r="O87" s="7"/>
    </row>
    <row r="88" spans="1:15">
      <c r="A88" s="111">
        <f>A85+1</f>
        <v>51</v>
      </c>
      <c r="B88" s="15" t="s">
        <v>50</v>
      </c>
      <c r="C88" s="15"/>
      <c r="D88" s="15"/>
      <c r="E88" s="15"/>
      <c r="F88" s="15"/>
      <c r="G88" s="15"/>
      <c r="I88" s="12" t="str">
        <f>"Line "&amp;A65&amp;" * Line "&amp;A78&amp;""</f>
        <v>Line 39 * Line 45</v>
      </c>
      <c r="J88" s="15"/>
      <c r="K88" s="48">
        <f>K65*K78</f>
        <v>2.0131604137094125E-2</v>
      </c>
      <c r="M88" s="1075"/>
      <c r="N88" s="1075"/>
      <c r="O88" s="7"/>
    </row>
    <row r="89" spans="1:15">
      <c r="A89" s="2">
        <f>A88+1</f>
        <v>52</v>
      </c>
      <c r="B89" s="485" t="s">
        <v>51</v>
      </c>
      <c r="C89" s="15"/>
      <c r="D89" s="15"/>
      <c r="E89" s="15"/>
      <c r="F89" s="15"/>
      <c r="G89" s="15"/>
      <c r="I89" s="12" t="str">
        <f>"Line "&amp;A70&amp;" * Line "&amp;A79&amp;""</f>
        <v>Line 42 * Line 46</v>
      </c>
      <c r="J89" s="15"/>
      <c r="K89" s="48">
        <f>K70*K79</f>
        <v>5.0681588762378632E-3</v>
      </c>
      <c r="M89" s="1075"/>
      <c r="N89" s="1075"/>
      <c r="O89" s="7"/>
    </row>
    <row r="90" spans="1:15">
      <c r="A90" s="2">
        <f>A89+1</f>
        <v>53</v>
      </c>
      <c r="B90" s="15" t="s">
        <v>52</v>
      </c>
      <c r="C90" s="15"/>
      <c r="D90" s="15"/>
      <c r="E90" s="15"/>
      <c r="F90" s="15"/>
      <c r="G90" s="15"/>
      <c r="I90" s="12" t="str">
        <f>"Line "&amp;A80&amp;" * Line "&amp;A85&amp;""</f>
        <v>Line 47 * Line 50</v>
      </c>
      <c r="J90" s="15"/>
      <c r="K90" s="49">
        <f>K80*K85</f>
        <v>5.4204370357238144E-2</v>
      </c>
      <c r="M90" s="1075"/>
      <c r="N90" s="1075"/>
      <c r="O90" s="7"/>
    </row>
    <row r="91" spans="1:15">
      <c r="A91" s="111">
        <f>A90+1</f>
        <v>54</v>
      </c>
      <c r="B91" s="46" t="s">
        <v>53</v>
      </c>
      <c r="C91" s="15"/>
      <c r="D91" s="15"/>
      <c r="E91" s="15"/>
      <c r="F91" s="15"/>
      <c r="G91" s="15"/>
      <c r="H91" s="14"/>
      <c r="I91" s="15" t="str">
        <f>"Line "&amp;A88&amp;" + Line "&amp;A89&amp;" + Line "&amp;A90&amp;""</f>
        <v>Line 51 + Line 52 + Line 53</v>
      </c>
      <c r="J91" s="15"/>
      <c r="K91" s="405">
        <f>SUM(K88:K90)</f>
        <v>7.9404133370570132E-2</v>
      </c>
      <c r="M91" s="67"/>
      <c r="N91" s="67"/>
      <c r="O91" s="67"/>
    </row>
    <row r="92" spans="1:15">
      <c r="A92" s="111"/>
      <c r="B92" s="46"/>
      <c r="C92" s="15"/>
      <c r="D92" s="15"/>
      <c r="E92" s="15"/>
      <c r="F92" s="15"/>
      <c r="G92" s="15"/>
      <c r="I92" s="15"/>
      <c r="J92" s="15"/>
      <c r="K92" s="1246"/>
      <c r="M92" s="67"/>
      <c r="N92" s="67"/>
      <c r="O92" s="67"/>
    </row>
    <row r="93" spans="1:15">
      <c r="A93" s="111">
        <f>A91+1</f>
        <v>55</v>
      </c>
      <c r="B93" s="940" t="s">
        <v>1741</v>
      </c>
      <c r="C93" s="15"/>
      <c r="D93" s="15"/>
      <c r="E93" s="15"/>
      <c r="F93" s="15"/>
      <c r="G93" s="15"/>
      <c r="H93" s="15" t="s">
        <v>215</v>
      </c>
      <c r="I93" s="15" t="str">
        <f>"Line "&amp;A89&amp;" + Line "&amp;A90&amp;""</f>
        <v>Line 52 + Line 53</v>
      </c>
      <c r="J93" s="15"/>
      <c r="K93" s="405">
        <f>K89+K90</f>
        <v>5.9272529233476007E-2</v>
      </c>
      <c r="M93" s="67"/>
      <c r="N93" s="67"/>
      <c r="O93" s="67"/>
    </row>
    <row r="94" spans="1:15">
      <c r="A94" s="111"/>
      <c r="B94" s="15"/>
      <c r="C94" s="15"/>
      <c r="D94" s="15"/>
      <c r="E94" s="15"/>
      <c r="F94" s="15"/>
      <c r="G94" s="15"/>
      <c r="I94" s="15"/>
      <c r="J94" s="15"/>
      <c r="K94" s="1246"/>
      <c r="O94" s="7"/>
    </row>
    <row r="95" spans="1:15">
      <c r="A95" s="2">
        <f>A93+1</f>
        <v>56</v>
      </c>
      <c r="B95" s="15" t="s">
        <v>54</v>
      </c>
      <c r="C95" s="15"/>
      <c r="D95" s="15"/>
      <c r="E95" s="15"/>
      <c r="F95" s="15"/>
      <c r="G95" s="15"/>
      <c r="I95" s="12" t="str">
        <f>"Line "&amp;A34&amp;" * Line "&amp;A91&amp;""</f>
        <v>Line 18 * Line 54</v>
      </c>
      <c r="J95" s="15"/>
      <c r="K95" s="47">
        <f>K34*K91</f>
        <v>446600073.53840458</v>
      </c>
      <c r="M95" s="7"/>
      <c r="O95" s="7"/>
    </row>
    <row r="96" spans="1:15">
      <c r="A96" s="87"/>
      <c r="B96" s="12"/>
      <c r="C96" s="12"/>
      <c r="D96" s="12"/>
      <c r="E96" s="12"/>
      <c r="F96" s="12"/>
      <c r="G96" s="12"/>
      <c r="H96" s="12"/>
      <c r="I96" s="12"/>
      <c r="J96" s="12"/>
      <c r="K96" s="12"/>
      <c r="O96" s="7"/>
    </row>
    <row r="97" spans="1:15">
      <c r="A97" s="12"/>
      <c r="B97" s="12"/>
      <c r="C97" s="12"/>
      <c r="D97" s="12"/>
      <c r="E97" s="12"/>
      <c r="F97" s="12"/>
      <c r="G97" s="12"/>
      <c r="H97" s="12"/>
      <c r="I97" s="12"/>
      <c r="J97" s="12"/>
      <c r="K97" s="12"/>
      <c r="O97" s="7"/>
    </row>
    <row r="98" spans="1:15">
      <c r="A98" s="10" t="s">
        <v>178</v>
      </c>
      <c r="B98" s="11"/>
      <c r="C98" s="11"/>
      <c r="D98" s="11"/>
      <c r="E98" s="11"/>
      <c r="F98" s="11"/>
      <c r="G98" s="11"/>
      <c r="H98" s="9"/>
      <c r="I98" s="9"/>
      <c r="J98" s="9"/>
      <c r="K98" s="9"/>
      <c r="O98" s="7"/>
    </row>
    <row r="99" spans="1:15">
      <c r="O99" s="7"/>
    </row>
    <row r="100" spans="1:15">
      <c r="A100" s="111">
        <f>A95+1</f>
        <v>57</v>
      </c>
      <c r="B100" t="s">
        <v>214</v>
      </c>
      <c r="I100" s="14" t="str">
        <f>"26-Tax Rates, Line "&amp;'26-TaxRates'!A7&amp;""</f>
        <v>26-Tax Rates, Line 1</v>
      </c>
      <c r="K100" s="67">
        <f>'26-TaxRates'!D7</f>
        <v>0.21</v>
      </c>
      <c r="M100" s="8"/>
      <c r="O100" s="7"/>
    </row>
    <row r="101" spans="1:15">
      <c r="A101" s="2">
        <f>A100+1</f>
        <v>58</v>
      </c>
      <c r="B101" s="12" t="s">
        <v>260</v>
      </c>
      <c r="I101" s="14" t="str">
        <f>"26-Tax Rates, Line "&amp;'26-TaxRates'!A14&amp;""</f>
        <v>26-Tax Rates, Line 8</v>
      </c>
      <c r="K101" s="67">
        <f>'26-TaxRates'!D14</f>
        <v>8.8400000000000006E-2</v>
      </c>
      <c r="M101" s="8"/>
      <c r="O101" s="7"/>
    </row>
    <row r="102" spans="1:15">
      <c r="A102" s="2">
        <f>A101+1</f>
        <v>59</v>
      </c>
      <c r="B102" s="12" t="s">
        <v>259</v>
      </c>
      <c r="H102" s="52" t="s">
        <v>1660</v>
      </c>
      <c r="I102" s="12" t="str">
        <f>"(L"&amp;A100&amp;" + L"&amp;A101&amp;") - (L"&amp;A100&amp;" * L"&amp;A101&amp;")"</f>
        <v>(L57 + L58) - (L57 * L58)</v>
      </c>
      <c r="K102" s="8">
        <f>(K100+K101)-(K100*K101)</f>
        <v>0.27983599999999997</v>
      </c>
      <c r="M102" s="8"/>
      <c r="O102" s="7"/>
    </row>
    <row r="103" spans="1:15">
      <c r="A103" s="2"/>
      <c r="K103" s="8"/>
      <c r="O103" s="7"/>
    </row>
    <row r="104" spans="1:15">
      <c r="A104" s="2"/>
      <c r="B104" s="75" t="s">
        <v>262</v>
      </c>
      <c r="K104" s="8"/>
      <c r="O104" s="7"/>
    </row>
    <row r="105" spans="1:15">
      <c r="A105" s="111">
        <f>A102+1</f>
        <v>60</v>
      </c>
      <c r="B105" s="557" t="s">
        <v>2908</v>
      </c>
      <c r="C105" s="14"/>
      <c r="D105" s="14"/>
      <c r="E105" s="14"/>
      <c r="F105" s="14"/>
      <c r="G105" s="14"/>
      <c r="H105" s="483" t="s">
        <v>1173</v>
      </c>
      <c r="I105" s="14"/>
      <c r="K105" s="1099">
        <v>200</v>
      </c>
      <c r="M105" s="7"/>
      <c r="O105" s="7"/>
    </row>
    <row r="106" spans="1:15">
      <c r="A106" s="111">
        <f>A105+1</f>
        <v>61</v>
      </c>
      <c r="B106" s="557" t="s">
        <v>1839</v>
      </c>
      <c r="C106" s="14"/>
      <c r="D106" s="14"/>
      <c r="E106" s="14"/>
      <c r="F106" s="14"/>
      <c r="G106" s="14"/>
      <c r="H106" s="483" t="s">
        <v>1173</v>
      </c>
      <c r="I106" s="14"/>
      <c r="K106" s="1099">
        <v>-520000</v>
      </c>
      <c r="M106" s="7"/>
      <c r="O106" s="7"/>
    </row>
    <row r="107" spans="1:15">
      <c r="A107" s="111">
        <f t="shared" ref="A107:A108" si="2">A106+1</f>
        <v>62</v>
      </c>
      <c r="B107" s="557" t="s">
        <v>1840</v>
      </c>
      <c r="C107" s="14"/>
      <c r="D107" s="14"/>
      <c r="E107" s="14"/>
      <c r="F107" s="14"/>
      <c r="G107" s="14"/>
      <c r="H107" s="483" t="s">
        <v>1173</v>
      </c>
      <c r="I107" s="14"/>
      <c r="K107" s="112">
        <v>2606000</v>
      </c>
      <c r="M107" s="7"/>
      <c r="O107" s="7"/>
    </row>
    <row r="108" spans="1:15">
      <c r="A108" s="111">
        <f t="shared" si="2"/>
        <v>63</v>
      </c>
      <c r="B108" s="13" t="s">
        <v>263</v>
      </c>
      <c r="I108" s="483" t="str">
        <f>"Line "&amp;A105&amp;" + Line "&amp;A106&amp;"+ Line "&amp;A107&amp;""</f>
        <v>Line 60 + Line 61+ Line 62</v>
      </c>
      <c r="K108" s="63">
        <f>SUM(K105:K107)</f>
        <v>2086200</v>
      </c>
      <c r="M108" s="7"/>
      <c r="O108" s="7"/>
    </row>
    <row r="109" spans="1:15">
      <c r="A109" s="1354"/>
      <c r="M109" s="7"/>
      <c r="O109" s="7"/>
    </row>
    <row r="110" spans="1:15">
      <c r="A110" s="111">
        <f>A108+1</f>
        <v>64</v>
      </c>
      <c r="B110" s="12" t="s">
        <v>264</v>
      </c>
      <c r="I110" t="str">
        <f>"Formula on Line "&amp;A112&amp;""</f>
        <v>Formula on Line 65</v>
      </c>
      <c r="K110" s="63">
        <f>(((K34*K93) + K119)*(K102/(1-K102)))+(K108/(1-K102))</f>
        <v>133809874.35084094</v>
      </c>
      <c r="M110" s="7"/>
      <c r="O110" s="7"/>
    </row>
    <row r="111" spans="1:15">
      <c r="A111" s="111"/>
      <c r="O111" s="7"/>
    </row>
    <row r="112" spans="1:15">
      <c r="A112" s="111">
        <f>A110+1</f>
        <v>65</v>
      </c>
      <c r="B112" s="485" t="s">
        <v>2202</v>
      </c>
      <c r="C112" s="485"/>
      <c r="D112" s="485"/>
      <c r="E112" s="485"/>
      <c r="F112" s="485"/>
      <c r="G112" s="485"/>
      <c r="O112" s="7"/>
    </row>
    <row r="113" spans="1:15">
      <c r="A113" s="61"/>
      <c r="I113" s="12"/>
      <c r="O113" s="7"/>
    </row>
    <row r="114" spans="1:15">
      <c r="A114" s="61"/>
      <c r="C114" t="s">
        <v>216</v>
      </c>
      <c r="O114" s="7"/>
    </row>
    <row r="115" spans="1:15">
      <c r="A115" s="61"/>
      <c r="C115" s="114" t="s">
        <v>217</v>
      </c>
      <c r="D115" s="14"/>
      <c r="E115" s="14"/>
      <c r="F115" s="14"/>
      <c r="G115" s="14"/>
      <c r="H115" s="14"/>
      <c r="I115" s="15" t="str">
        <f>"Line "&amp;A34&amp;""</f>
        <v>Line 18</v>
      </c>
      <c r="O115" s="7"/>
    </row>
    <row r="116" spans="1:15">
      <c r="A116" s="61"/>
      <c r="C116" s="482" t="s">
        <v>1742</v>
      </c>
      <c r="D116" s="14"/>
      <c r="E116" s="14"/>
      <c r="F116" s="14"/>
      <c r="G116" s="14"/>
      <c r="H116" s="14"/>
      <c r="I116" s="15" t="str">
        <f>"Line "&amp;A93&amp;""</f>
        <v>Line 55</v>
      </c>
      <c r="O116" s="7"/>
    </row>
    <row r="117" spans="1:15">
      <c r="A117" s="61"/>
      <c r="C117" s="114" t="s">
        <v>218</v>
      </c>
      <c r="D117" s="14"/>
      <c r="E117" s="14"/>
      <c r="F117" s="14"/>
      <c r="G117" s="14"/>
      <c r="H117" s="14"/>
      <c r="I117" s="15" t="str">
        <f>"Line "&amp;A102&amp;""</f>
        <v>Line 59</v>
      </c>
      <c r="O117" s="7"/>
    </row>
    <row r="118" spans="1:15">
      <c r="A118" s="61"/>
      <c r="C118" s="114" t="s">
        <v>219</v>
      </c>
      <c r="D118" s="14"/>
      <c r="E118" s="14"/>
      <c r="F118" s="14"/>
      <c r="G118" s="14"/>
      <c r="H118" s="14"/>
      <c r="I118" s="15" t="str">
        <f>"Line "&amp;A108&amp;""</f>
        <v>Line 63</v>
      </c>
      <c r="O118" s="7"/>
    </row>
    <row r="119" spans="1:15">
      <c r="A119" s="504"/>
      <c r="C119" s="114" t="s">
        <v>1739</v>
      </c>
      <c r="D119" s="14"/>
      <c r="E119" s="14"/>
      <c r="F119" s="14"/>
      <c r="G119" s="14"/>
      <c r="H119" s="14"/>
      <c r="I119" s="14" t="s">
        <v>33</v>
      </c>
      <c r="K119" s="517">
        <v>3535511</v>
      </c>
      <c r="M119" s="7"/>
      <c r="O119" s="7"/>
    </row>
    <row r="120" spans="1:15">
      <c r="M120" s="7"/>
      <c r="O120" s="7"/>
    </row>
    <row r="121" spans="1:15">
      <c r="A121" s="10" t="s">
        <v>62</v>
      </c>
      <c r="B121" s="11"/>
      <c r="C121" s="11"/>
      <c r="D121" s="11"/>
      <c r="E121" s="11"/>
      <c r="F121" s="11"/>
      <c r="G121" s="11"/>
      <c r="H121" s="9"/>
      <c r="I121" s="9"/>
      <c r="J121" s="9"/>
      <c r="K121" s="9"/>
      <c r="M121" s="7"/>
      <c r="O121" s="7"/>
    </row>
    <row r="122" spans="1:15">
      <c r="M122" s="7"/>
      <c r="O122" s="7"/>
    </row>
    <row r="123" spans="1:15">
      <c r="B123" s="75" t="s">
        <v>265</v>
      </c>
      <c r="M123" s="7"/>
      <c r="O123" s="7"/>
    </row>
    <row r="124" spans="1:15">
      <c r="A124" s="111">
        <f>A112+1</f>
        <v>66</v>
      </c>
      <c r="B124" t="s">
        <v>101</v>
      </c>
      <c r="H124" s="16"/>
      <c r="I124" s="14" t="str">
        <f>"19-OandM, Line "&amp;'19-OandM'!A124&amp;", Col. 6"</f>
        <v>19-OandM, Line 91, Col. 6</v>
      </c>
      <c r="K124" s="63">
        <f>'19-OandM'!G124</f>
        <v>77531619.044176161</v>
      </c>
      <c r="M124" s="7"/>
      <c r="O124" s="7"/>
    </row>
    <row r="125" spans="1:15">
      <c r="A125" s="111">
        <f t="shared" ref="A125:A139" si="3">A124+1</f>
        <v>67</v>
      </c>
      <c r="B125" s="12" t="s">
        <v>266</v>
      </c>
      <c r="H125" s="16"/>
      <c r="I125" s="14" t="str">
        <f>"20-AandG, Line "&amp;'20-AandG'!A30&amp;""</f>
        <v>20-AandG, Line 23</v>
      </c>
      <c r="K125" s="63">
        <f>'20-AandG'!F30</f>
        <v>52386524.742972553</v>
      </c>
      <c r="M125" s="7"/>
      <c r="O125" s="7"/>
    </row>
    <row r="126" spans="1:15">
      <c r="A126" s="111">
        <f t="shared" si="3"/>
        <v>68</v>
      </c>
      <c r="B126" t="s">
        <v>56</v>
      </c>
      <c r="H126" s="16"/>
      <c r="I126" s="15" t="str">
        <f>"22-NUCs, Line "&amp;'22-NUCs'!A17&amp;""</f>
        <v>22-NUCs, Line 8</v>
      </c>
      <c r="K126" s="7">
        <f>'22-NUCs'!E17</f>
        <v>6116850.9299999997</v>
      </c>
      <c r="M126" s="7"/>
      <c r="O126" s="7"/>
    </row>
    <row r="127" spans="1:15">
      <c r="A127" s="111">
        <f t="shared" si="3"/>
        <v>69</v>
      </c>
      <c r="B127" s="12" t="s">
        <v>252</v>
      </c>
      <c r="H127" s="16"/>
      <c r="I127" s="14" t="str">
        <f>"17-Depreciation, Line "&amp;'17-Depreciation'!A94&amp;""</f>
        <v>17-Depreciation, Line 70</v>
      </c>
      <c r="K127" s="7">
        <f>'17-Depreciation'!F94</f>
        <v>241415720.66978657</v>
      </c>
      <c r="M127" s="7"/>
      <c r="O127" s="7"/>
    </row>
    <row r="128" spans="1:15">
      <c r="A128" s="111">
        <f t="shared" si="3"/>
        <v>70</v>
      </c>
      <c r="B128" s="12" t="s">
        <v>294</v>
      </c>
      <c r="H128" s="16"/>
      <c r="I128" s="14" t="str">
        <f>"12-AbandonedPlant, Line "&amp;'12-AbandonedPlant'!A18&amp;""</f>
        <v>12-AbandonedPlant, Line 1</v>
      </c>
      <c r="K128" s="7">
        <f>'12-AbandonedPlant'!G18</f>
        <v>0</v>
      </c>
      <c r="M128" s="7"/>
      <c r="O128" s="7"/>
    </row>
    <row r="129" spans="1:15">
      <c r="A129" s="111">
        <f t="shared" si="3"/>
        <v>71</v>
      </c>
      <c r="B129" s="12" t="s">
        <v>79</v>
      </c>
      <c r="H129" s="16"/>
      <c r="I129" s="14" t="str">
        <f>"Line "&amp;A58&amp;""</f>
        <v>Line 36</v>
      </c>
      <c r="K129" s="7">
        <f>K58</f>
        <v>61372286.951414451</v>
      </c>
      <c r="M129" s="7"/>
      <c r="O129" s="7"/>
    </row>
    <row r="130" spans="1:15">
      <c r="A130" s="111">
        <f t="shared" si="3"/>
        <v>72</v>
      </c>
      <c r="B130" t="s">
        <v>11</v>
      </c>
      <c r="H130" s="46" t="s">
        <v>151</v>
      </c>
      <c r="I130" s="14" t="str">
        <f>"21-Revenue Credits, Line "&amp;'21-RevenueCredits'!A219&amp;""</f>
        <v>21-Revenue Credits, Line 44</v>
      </c>
      <c r="K130" s="7">
        <f>-'21-RevenueCredits'!E219</f>
        <v>-58832605.54180719</v>
      </c>
      <c r="M130" s="7"/>
      <c r="O130" s="7"/>
    </row>
    <row r="131" spans="1:15">
      <c r="A131" s="111">
        <f t="shared" si="3"/>
        <v>73</v>
      </c>
      <c r="B131" t="s">
        <v>87</v>
      </c>
      <c r="H131" s="16"/>
      <c r="I131" s="14" t="str">
        <f>"Line "&amp;A95&amp;""</f>
        <v>Line 56</v>
      </c>
      <c r="K131" s="7">
        <f>K95</f>
        <v>446600073.53840458</v>
      </c>
      <c r="M131" s="7"/>
      <c r="O131" s="7"/>
    </row>
    <row r="132" spans="1:15">
      <c r="A132" s="111">
        <f t="shared" si="3"/>
        <v>74</v>
      </c>
      <c r="B132" t="s">
        <v>5</v>
      </c>
      <c r="H132" s="16"/>
      <c r="I132" s="14" t="str">
        <f>"Line "&amp;A110&amp;""</f>
        <v>Line 64</v>
      </c>
      <c r="K132" s="101">
        <f>K110</f>
        <v>133809874.35084094</v>
      </c>
      <c r="M132" s="7"/>
      <c r="O132" s="7"/>
    </row>
    <row r="133" spans="1:15">
      <c r="A133" s="111">
        <f t="shared" si="3"/>
        <v>75</v>
      </c>
      <c r="B133" t="s">
        <v>958</v>
      </c>
      <c r="H133" s="13" t="s">
        <v>1168</v>
      </c>
      <c r="I133" s="15" t="str">
        <f>"11-PHFU, Line "&amp;'11-PHFU'!A46&amp;""</f>
        <v>11-PHFU, Line 10</v>
      </c>
      <c r="K133" s="47">
        <f>-'11-PHFU'!E46</f>
        <v>0</v>
      </c>
      <c r="M133" s="7"/>
      <c r="O133" s="7"/>
    </row>
    <row r="134" spans="1:15">
      <c r="A134" s="111">
        <f t="shared" si="3"/>
        <v>76</v>
      </c>
      <c r="B134" s="596" t="s">
        <v>1728</v>
      </c>
      <c r="C134" s="709"/>
      <c r="D134" s="14"/>
      <c r="E134" s="14"/>
      <c r="H134" s="16"/>
      <c r="I134" s="15" t="str">
        <f>"23-RegAssets, Line "&amp;'23-RegAssets'!A19&amp;""</f>
        <v>23-RegAssets, Line 16</v>
      </c>
      <c r="K134" s="47">
        <f>'23-RegAssets'!E19</f>
        <v>0</v>
      </c>
      <c r="M134" s="7"/>
      <c r="O134" s="7"/>
    </row>
    <row r="135" spans="1:15">
      <c r="A135" s="111">
        <f t="shared" si="3"/>
        <v>77</v>
      </c>
      <c r="B135" s="12" t="s">
        <v>267</v>
      </c>
      <c r="H135" s="16"/>
      <c r="I135" s="14" t="str">
        <f>"15-IncentiveAdder, Line "&amp;'15-IncentiveAdder'!A44&amp;""</f>
        <v>15-IncentiveAdder, Line 14</v>
      </c>
      <c r="K135" s="91">
        <f>'15-IncentiveAdder'!G44</f>
        <v>29349156.498015203</v>
      </c>
      <c r="M135" s="7"/>
      <c r="O135" s="7"/>
    </row>
    <row r="136" spans="1:15">
      <c r="A136" s="111">
        <f t="shared" si="3"/>
        <v>78</v>
      </c>
      <c r="B136" s="12" t="s">
        <v>1452</v>
      </c>
      <c r="H136" s="16"/>
      <c r="I136" s="14" t="str">
        <f>"Sum of Lines "&amp;A124&amp;" to "&amp;A135&amp;""</f>
        <v>Sum of Lines 66 to 77</v>
      </c>
      <c r="K136" s="7">
        <f>SUM(K124:K135)</f>
        <v>989749501.1838032</v>
      </c>
      <c r="M136" s="7"/>
      <c r="O136" s="7"/>
    </row>
    <row r="137" spans="1:15">
      <c r="A137" s="1354"/>
      <c r="B137" s="12"/>
      <c r="H137" s="16"/>
      <c r="I137" s="14"/>
      <c r="K137" s="7"/>
      <c r="M137" s="7"/>
      <c r="O137" s="7"/>
    </row>
    <row r="138" spans="1:15">
      <c r="A138" s="111">
        <f>A136+1</f>
        <v>79</v>
      </c>
      <c r="B138" s="12" t="s">
        <v>289</v>
      </c>
      <c r="I138" s="14" t="str">
        <f>"L "&amp;A136&amp;" * FF Factor (28-FFU, L "&amp;'28-FFU'!A22&amp;")"</f>
        <v>L 78 * FF Factor (28-FFU, L 5)</v>
      </c>
      <c r="J138" s="14"/>
      <c r="K138" s="7">
        <f>'28-FFU'!D22*K136</f>
        <v>9111336.9830477387</v>
      </c>
      <c r="M138" s="7"/>
      <c r="O138" s="7"/>
    </row>
    <row r="139" spans="1:15">
      <c r="A139" s="111">
        <f t="shared" si="3"/>
        <v>80</v>
      </c>
      <c r="B139" s="12" t="s">
        <v>288</v>
      </c>
      <c r="I139" s="14" t="str">
        <f>"L "&amp;A136&amp;" * U Factor (28-FFU, L "&amp;'28-FFU'!A22&amp;")"</f>
        <v>L 78 * U Factor (28-FFU, L 5)</v>
      </c>
      <c r="J139" s="14"/>
      <c r="K139" s="7">
        <f>'28-FFU'!E22*K136</f>
        <v>2382920.8990501249</v>
      </c>
      <c r="M139" s="7"/>
      <c r="O139" s="7"/>
    </row>
    <row r="140" spans="1:15">
      <c r="A140" s="111"/>
      <c r="B140" s="12"/>
      <c r="K140" s="7"/>
      <c r="M140" s="7"/>
      <c r="O140" s="7"/>
    </row>
    <row r="141" spans="1:15">
      <c r="A141" s="111">
        <f>A139+1</f>
        <v>81</v>
      </c>
      <c r="B141" s="12" t="s">
        <v>95</v>
      </c>
      <c r="I141" t="str">
        <f>"Line "&amp;A136&amp;" + Line "&amp;A138&amp;"+ Line "&amp;A139&amp;""</f>
        <v>Line 78 + Line 79+ Line 80</v>
      </c>
      <c r="K141" s="7">
        <f>K136+K138+K139</f>
        <v>1001243759.065901</v>
      </c>
      <c r="M141" s="7"/>
      <c r="O141" s="7"/>
    </row>
    <row r="142" spans="1:15">
      <c r="O142" s="7"/>
    </row>
    <row r="143" spans="1:15">
      <c r="A143" s="10" t="s">
        <v>268</v>
      </c>
      <c r="B143" s="11"/>
      <c r="C143" s="11"/>
      <c r="D143" s="11"/>
      <c r="E143" s="11"/>
      <c r="F143" s="11"/>
      <c r="G143" s="11"/>
      <c r="H143" s="9"/>
      <c r="I143" s="9"/>
      <c r="J143" s="9"/>
      <c r="K143" s="9"/>
      <c r="O143" s="7"/>
    </row>
    <row r="144" spans="1:15">
      <c r="O144" s="7"/>
    </row>
    <row r="145" spans="1:15">
      <c r="B145" s="75" t="s">
        <v>1650</v>
      </c>
      <c r="O145" s="7"/>
    </row>
    <row r="146" spans="1:15">
      <c r="A146" s="111">
        <f>A141+1</f>
        <v>82</v>
      </c>
      <c r="B146" t="s">
        <v>95</v>
      </c>
      <c r="I146" t="str">
        <f>"Line "&amp;A141&amp;""</f>
        <v>Line 81</v>
      </c>
      <c r="K146" s="7">
        <f>K141</f>
        <v>1001243759.065901</v>
      </c>
      <c r="M146" s="7"/>
      <c r="O146" s="7"/>
    </row>
    <row r="147" spans="1:15">
      <c r="A147" s="111">
        <f>A146+1</f>
        <v>83</v>
      </c>
      <c r="B147" t="s">
        <v>321</v>
      </c>
      <c r="I147" s="15" t="str">
        <f>"2-IFPTRR, Line "&amp;'2-IFPTRR'!A91&amp;""</f>
        <v>2-IFPTRR, Line 82</v>
      </c>
      <c r="K147" s="7">
        <f>'2-IFPTRR'!D91</f>
        <v>99737698.737122223</v>
      </c>
      <c r="M147" s="7"/>
      <c r="O147" s="7"/>
    </row>
    <row r="148" spans="1:15">
      <c r="A148" s="111">
        <f>A147+1</f>
        <v>84</v>
      </c>
      <c r="B148" s="12" t="s">
        <v>29</v>
      </c>
      <c r="H148" s="12"/>
      <c r="I148" s="15" t="str">
        <f>"3-TrueUpAdjust, Line "&amp;'3-TrueUpAdjust'!A44&amp;""</f>
        <v>3-TrueUpAdjust, Line 30</v>
      </c>
      <c r="K148" s="101">
        <f>'3-TrueUpAdjust'!E44</f>
        <v>-62856063.033127867</v>
      </c>
      <c r="M148" s="7"/>
      <c r="O148" s="7"/>
    </row>
    <row r="149" spans="1:15">
      <c r="A149" s="111">
        <f>A148+1</f>
        <v>85</v>
      </c>
      <c r="B149" s="485" t="s">
        <v>1903</v>
      </c>
      <c r="C149" s="14"/>
      <c r="H149" s="483" t="s">
        <v>1188</v>
      </c>
      <c r="I149" s="14"/>
      <c r="K149" s="120">
        <v>0</v>
      </c>
      <c r="M149" s="7"/>
      <c r="O149" s="7"/>
    </row>
    <row r="150" spans="1:15">
      <c r="A150" s="111"/>
      <c r="I150" s="14"/>
      <c r="K150" s="7"/>
      <c r="M150" s="7"/>
      <c r="O150" s="7"/>
    </row>
    <row r="151" spans="1:15">
      <c r="A151" s="111">
        <f>A149+1</f>
        <v>86</v>
      </c>
      <c r="B151" s="483" t="s">
        <v>1648</v>
      </c>
      <c r="H151" s="12" t="s">
        <v>269</v>
      </c>
      <c r="I151" s="14" t="str">
        <f>"L "&amp;A146&amp;" + L "&amp;A147&amp;" + L "&amp;A148&amp;" + L "&amp;A149&amp;""</f>
        <v>L 82 + L 83 + L 84 + L 85</v>
      </c>
      <c r="K151" s="7">
        <f>K146+K147+K148+K149</f>
        <v>1038125394.7698954</v>
      </c>
      <c r="M151" s="7"/>
      <c r="O151" s="7"/>
    </row>
    <row r="152" spans="1:15">
      <c r="A152" s="111"/>
      <c r="I152" s="14"/>
      <c r="K152" s="7"/>
      <c r="O152" s="7"/>
    </row>
    <row r="153" spans="1:15">
      <c r="A153" s="111"/>
      <c r="B153" s="75" t="s">
        <v>1649</v>
      </c>
      <c r="I153" s="14"/>
      <c r="K153" s="7"/>
      <c r="M153" s="7"/>
      <c r="O153" s="7"/>
    </row>
    <row r="154" spans="1:15">
      <c r="A154" s="111">
        <f>A151+1</f>
        <v>87</v>
      </c>
      <c r="B154" t="s">
        <v>1383</v>
      </c>
      <c r="I154" s="14" t="str">
        <f>"Line "&amp;A151&amp;""</f>
        <v>Line 86</v>
      </c>
      <c r="K154" s="7">
        <f>K151</f>
        <v>1038125394.7698954</v>
      </c>
      <c r="M154" s="7"/>
      <c r="O154" s="7"/>
    </row>
    <row r="155" spans="1:15">
      <c r="A155" s="111">
        <f>A154+1</f>
        <v>88</v>
      </c>
      <c r="B155" t="s">
        <v>1382</v>
      </c>
      <c r="I155" s="15" t="str">
        <f>"25-WholesaleDifference, Line "&amp;'25-WholesaleDifference'!A93&amp;""</f>
        <v>25-WholesaleDifference, Line 45</v>
      </c>
      <c r="K155" s="91">
        <f>'25-WholesaleDifference'!H93</f>
        <v>-5166547.1842717072</v>
      </c>
      <c r="M155" s="7"/>
      <c r="O155" s="7"/>
    </row>
    <row r="156" spans="1:15">
      <c r="A156" s="111">
        <f>A155+1</f>
        <v>89</v>
      </c>
      <c r="B156" t="s">
        <v>1649</v>
      </c>
      <c r="I156" t="str">
        <f>"Line "&amp;A154&amp;" + Line "&amp;A155&amp;""</f>
        <v>Line 87 + Line 88</v>
      </c>
      <c r="K156" s="7">
        <f>K154+K155</f>
        <v>1032958847.5856237</v>
      </c>
      <c r="M156" s="7"/>
      <c r="O156" s="7"/>
    </row>
    <row r="157" spans="1:15">
      <c r="A157" s="14"/>
      <c r="H157" s="12"/>
      <c r="O157" s="7"/>
    </row>
    <row r="159" spans="1:15">
      <c r="B159" s="51" t="s">
        <v>232</v>
      </c>
    </row>
    <row r="160" spans="1:15" s="1075" customFormat="1">
      <c r="B160" s="483" t="s">
        <v>2346</v>
      </c>
    </row>
    <row r="161" spans="2:11" s="1075" customFormat="1">
      <c r="B161" s="487" t="s">
        <v>2347</v>
      </c>
    </row>
    <row r="162" spans="2:11">
      <c r="B162" s="485" t="s">
        <v>2348</v>
      </c>
      <c r="C162" s="14"/>
      <c r="D162" s="14"/>
      <c r="E162" s="14"/>
      <c r="F162" s="14"/>
      <c r="G162" s="14"/>
      <c r="H162" s="14"/>
      <c r="I162" s="14"/>
      <c r="J162" s="14"/>
      <c r="K162" s="14"/>
    </row>
    <row r="163" spans="2:11">
      <c r="B163" s="483" t="s">
        <v>1666</v>
      </c>
    </row>
    <row r="164" spans="2:11">
      <c r="B164" s="485" t="s">
        <v>1834</v>
      </c>
      <c r="C164" s="14"/>
      <c r="D164" s="14"/>
      <c r="E164" s="14"/>
      <c r="F164" s="14"/>
      <c r="G164" s="14"/>
      <c r="H164" s="14"/>
      <c r="I164" s="14"/>
      <c r="J164" s="14"/>
      <c r="K164" s="14"/>
    </row>
    <row r="165" spans="2:11">
      <c r="B165" s="485"/>
      <c r="C165" s="14" t="s">
        <v>1833</v>
      </c>
      <c r="D165" s="14"/>
      <c r="E165" s="14"/>
      <c r="F165" s="97"/>
      <c r="G165" s="97"/>
      <c r="H165" s="97"/>
      <c r="I165" s="14"/>
      <c r="J165" s="14"/>
      <c r="K165" s="14"/>
    </row>
    <row r="166" spans="2:11">
      <c r="B166" s="483" t="s">
        <v>2909</v>
      </c>
      <c r="C166" s="14"/>
      <c r="D166" s="14"/>
      <c r="E166" s="14"/>
      <c r="F166" s="14"/>
      <c r="G166" s="14"/>
      <c r="H166" s="14"/>
      <c r="I166" s="14"/>
    </row>
    <row r="167" spans="2:11">
      <c r="B167" s="487" t="s">
        <v>2499</v>
      </c>
    </row>
    <row r="168" spans="2:11">
      <c r="B168" s="487" t="s">
        <v>2500</v>
      </c>
    </row>
    <row r="169" spans="2:11">
      <c r="B169" s="485" t="s">
        <v>2349</v>
      </c>
    </row>
  </sheetData>
  <phoneticPr fontId="22" type="noConversion"/>
  <pageMargins left="0.75" right="0.75" top="1" bottom="1" header="0.5" footer="0.5"/>
  <pageSetup scale="67" orientation="portrait" cellComments="asDisplayed" r:id="rId1"/>
  <headerFooter alignWithMargins="0">
    <oddHeader>&amp;CSchedule 1
Base TRR
&amp;RTO2019 Draft Annual Update 
Attachment1</oddHeader>
    <oddFooter>&amp;R&amp;A</oddFooter>
  </headerFooter>
  <rowBreaks count="2" manualBreakCount="2">
    <brk id="59" max="16383" man="1"/>
    <brk id="120" max="16383" man="1"/>
  </rowBreaks>
  <colBreaks count="1" manualBreakCount="1">
    <brk id="1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708" t="s">
        <v>1993</v>
      </c>
      <c r="B1" s="708"/>
      <c r="C1" s="709"/>
      <c r="D1" s="709"/>
      <c r="G1" s="709"/>
      <c r="H1" s="709"/>
      <c r="I1" s="709"/>
      <c r="J1" s="709"/>
      <c r="K1" s="709"/>
      <c r="L1" s="709"/>
      <c r="M1" s="709"/>
      <c r="N1" s="14"/>
      <c r="O1" s="14"/>
      <c r="P1" s="14"/>
      <c r="Q1" s="14"/>
      <c r="R1" s="14"/>
      <c r="S1" s="14"/>
      <c r="T1" s="14"/>
    </row>
    <row r="2" spans="1:20">
      <c r="A2" s="14"/>
      <c r="B2" s="14"/>
      <c r="C2" s="485"/>
      <c r="D2" s="14"/>
      <c r="E2" s="14"/>
      <c r="F2" s="14"/>
      <c r="G2" s="14"/>
      <c r="H2" s="14"/>
      <c r="I2" s="14"/>
      <c r="J2" s="14"/>
      <c r="K2" s="14"/>
      <c r="L2" s="14"/>
      <c r="M2" s="14"/>
      <c r="N2" s="14"/>
      <c r="O2" s="14"/>
      <c r="P2" s="14"/>
      <c r="Q2" s="14"/>
      <c r="R2" s="14"/>
      <c r="S2" s="14"/>
      <c r="T2" s="14"/>
    </row>
    <row r="3" spans="1:20">
      <c r="A3" s="710" t="s">
        <v>332</v>
      </c>
      <c r="B3" s="710"/>
      <c r="C3" s="709"/>
      <c r="D3" s="709"/>
      <c r="E3" s="709"/>
      <c r="F3" s="709"/>
      <c r="G3" s="709"/>
      <c r="H3" s="709"/>
      <c r="I3" s="709"/>
      <c r="J3" s="709"/>
      <c r="K3" s="709"/>
      <c r="L3" s="709"/>
      <c r="M3" s="709"/>
      <c r="N3" s="14"/>
      <c r="O3" s="14"/>
      <c r="P3" s="14"/>
      <c r="Q3" s="14"/>
      <c r="R3" s="14"/>
      <c r="S3" s="14"/>
      <c r="T3" s="14"/>
    </row>
    <row r="4" spans="1:20">
      <c r="A4" s="711">
        <v>1</v>
      </c>
      <c r="B4" s="711"/>
      <c r="C4" s="596"/>
      <c r="D4" s="596"/>
      <c r="E4" s="596"/>
      <c r="F4" s="596"/>
      <c r="G4" s="709"/>
      <c r="H4" s="709"/>
      <c r="I4" s="709"/>
      <c r="J4" s="709"/>
      <c r="K4" s="709"/>
      <c r="L4" s="709"/>
      <c r="M4" s="709"/>
      <c r="N4" s="14"/>
      <c r="O4" s="14"/>
      <c r="P4" s="14"/>
      <c r="Q4" s="14"/>
      <c r="R4" s="14"/>
      <c r="S4" s="14"/>
      <c r="T4" s="14"/>
    </row>
    <row r="5" spans="1:20">
      <c r="A5" s="587">
        <v>2</v>
      </c>
      <c r="B5" s="587"/>
      <c r="C5" s="596"/>
      <c r="D5" s="596"/>
      <c r="E5" s="596"/>
      <c r="F5" s="596"/>
      <c r="G5" s="709"/>
      <c r="H5" s="709"/>
      <c r="I5" s="709"/>
      <c r="J5" s="709"/>
      <c r="K5" s="709"/>
      <c r="L5" s="709"/>
      <c r="M5" s="709"/>
      <c r="N5" s="14"/>
      <c r="O5" s="14"/>
    </row>
    <row r="6" spans="1:20">
      <c r="A6" s="587">
        <v>3</v>
      </c>
      <c r="B6" s="587"/>
      <c r="C6" s="588"/>
      <c r="D6" s="588"/>
      <c r="E6" s="588"/>
      <c r="F6" s="588"/>
      <c r="G6" s="585"/>
      <c r="H6" s="585"/>
      <c r="I6" s="585"/>
      <c r="J6" s="585"/>
      <c r="K6" s="587" t="s">
        <v>63</v>
      </c>
      <c r="L6" s="585"/>
      <c r="M6" s="585"/>
    </row>
    <row r="7" spans="1:20">
      <c r="A7" s="587">
        <v>4</v>
      </c>
      <c r="B7" s="587"/>
      <c r="C7" s="585"/>
      <c r="D7" s="585"/>
      <c r="E7" s="712" t="s">
        <v>205</v>
      </c>
      <c r="F7" s="713"/>
      <c r="G7" s="585"/>
      <c r="H7" s="585"/>
      <c r="I7" s="585"/>
      <c r="J7" s="585"/>
      <c r="K7" s="714" t="s">
        <v>175</v>
      </c>
      <c r="L7" s="585"/>
      <c r="M7" s="590"/>
    </row>
    <row r="8" spans="1:20">
      <c r="A8" s="587">
        <v>5</v>
      </c>
      <c r="B8" s="587"/>
      <c r="C8" s="588"/>
      <c r="D8" s="588"/>
      <c r="E8" s="588"/>
      <c r="F8" s="588"/>
      <c r="G8" s="585"/>
      <c r="H8" s="585"/>
      <c r="I8" s="585"/>
      <c r="J8" s="585"/>
      <c r="K8" s="591"/>
      <c r="L8" s="585"/>
      <c r="M8" s="588"/>
    </row>
    <row r="9" spans="1:20">
      <c r="A9" s="587">
        <v>6</v>
      </c>
      <c r="B9" s="587"/>
      <c r="C9" s="708" t="s">
        <v>2014</v>
      </c>
      <c r="D9" s="596"/>
      <c r="E9" s="596" t="s">
        <v>2015</v>
      </c>
      <c r="F9" s="596"/>
      <c r="G9" s="709"/>
      <c r="H9" s="709"/>
      <c r="I9" s="709"/>
      <c r="J9" s="709"/>
      <c r="K9" s="591">
        <f>I20</f>
        <v>-10717922.245167419</v>
      </c>
      <c r="L9" s="585"/>
      <c r="M9" s="588"/>
      <c r="N9" s="715"/>
    </row>
    <row r="10" spans="1:20" ht="13.5" thickBot="1">
      <c r="A10" s="587">
        <v>7</v>
      </c>
      <c r="B10" s="587"/>
      <c r="C10" s="708" t="s">
        <v>2013</v>
      </c>
      <c r="D10" s="710"/>
      <c r="E10" s="596" t="s">
        <v>1994</v>
      </c>
      <c r="F10" s="596"/>
      <c r="G10" s="709"/>
      <c r="H10" s="709"/>
      <c r="I10" s="709"/>
      <c r="J10" s="709"/>
      <c r="K10" s="716">
        <f>+K20</f>
        <v>-10860906.583258362</v>
      </c>
      <c r="L10" s="585"/>
      <c r="M10" s="588"/>
    </row>
    <row r="11" spans="1:20" ht="13.5" thickTop="1">
      <c r="A11" s="587">
        <v>8</v>
      </c>
      <c r="B11" s="587"/>
      <c r="C11" s="596"/>
      <c r="D11" s="596"/>
      <c r="E11" s="596"/>
      <c r="F11" s="596"/>
      <c r="G11" s="709"/>
      <c r="H11" s="709"/>
      <c r="I11" s="709"/>
      <c r="J11" s="709"/>
      <c r="K11" s="591"/>
      <c r="L11" s="585"/>
      <c r="M11" s="585"/>
    </row>
    <row r="12" spans="1:20">
      <c r="A12" s="587">
        <v>9</v>
      </c>
      <c r="B12" s="587"/>
      <c r="C12" s="709"/>
      <c r="D12" s="709"/>
      <c r="E12" s="709"/>
      <c r="F12" s="709"/>
      <c r="G12" s="717" t="s">
        <v>363</v>
      </c>
      <c r="H12" s="717"/>
      <c r="I12" s="717" t="s">
        <v>347</v>
      </c>
      <c r="J12" s="717"/>
      <c r="K12" s="717" t="s">
        <v>348</v>
      </c>
      <c r="L12" s="585"/>
      <c r="M12" s="585"/>
    </row>
    <row r="13" spans="1:20">
      <c r="A13" s="587">
        <v>10</v>
      </c>
      <c r="B13" s="587"/>
      <c r="C13" s="709"/>
      <c r="D13" s="709"/>
      <c r="E13" s="709"/>
      <c r="F13" s="709"/>
      <c r="G13" s="711" t="s">
        <v>63</v>
      </c>
      <c r="H13" s="711"/>
      <c r="I13" s="711" t="s">
        <v>63</v>
      </c>
      <c r="J13" s="713"/>
      <c r="K13" s="711" t="s">
        <v>63</v>
      </c>
      <c r="L13" s="585"/>
      <c r="M13" s="585"/>
    </row>
    <row r="14" spans="1:20" ht="15">
      <c r="A14" s="587">
        <v>11</v>
      </c>
      <c r="B14" s="587"/>
      <c r="C14" s="711"/>
      <c r="D14" s="711"/>
      <c r="E14" s="711"/>
      <c r="F14" s="711"/>
      <c r="G14" s="711" t="s">
        <v>385</v>
      </c>
      <c r="H14" s="711"/>
      <c r="I14" s="711" t="s">
        <v>302</v>
      </c>
      <c r="J14" s="713"/>
      <c r="K14" s="718" t="s">
        <v>231</v>
      </c>
      <c r="L14" s="585"/>
      <c r="M14" s="585"/>
    </row>
    <row r="15" spans="1:20">
      <c r="A15" s="587">
        <v>12</v>
      </c>
      <c r="B15" s="587"/>
      <c r="C15" s="587" t="s">
        <v>415</v>
      </c>
      <c r="D15" s="587"/>
      <c r="E15" s="587"/>
      <c r="F15" s="587"/>
      <c r="G15" s="587" t="s">
        <v>1995</v>
      </c>
      <c r="H15" s="713"/>
      <c r="I15" s="587" t="s">
        <v>1995</v>
      </c>
      <c r="J15" s="713"/>
      <c r="K15" s="587" t="s">
        <v>1995</v>
      </c>
      <c r="L15" s="585"/>
      <c r="M15" s="585"/>
    </row>
    <row r="16" spans="1:20">
      <c r="A16" s="587">
        <v>13</v>
      </c>
      <c r="B16" s="587"/>
      <c r="C16" s="589" t="s">
        <v>1992</v>
      </c>
      <c r="D16" s="589"/>
      <c r="E16" s="589"/>
      <c r="F16" s="589"/>
      <c r="G16" s="714" t="s">
        <v>1996</v>
      </c>
      <c r="H16" s="713"/>
      <c r="I16" s="714" t="s">
        <v>1996</v>
      </c>
      <c r="J16" s="713"/>
      <c r="K16" s="714" t="s">
        <v>1996</v>
      </c>
      <c r="L16" s="585"/>
      <c r="M16" s="585"/>
    </row>
    <row r="17" spans="1:14">
      <c r="A17" s="587">
        <v>14</v>
      </c>
      <c r="B17" s="587"/>
      <c r="C17" s="596" t="s">
        <v>1997</v>
      </c>
      <c r="D17" s="596"/>
      <c r="E17" s="485" t="s">
        <v>2247</v>
      </c>
      <c r="F17" s="483"/>
      <c r="G17" s="591">
        <f>+G27</f>
        <v>-6902252.9420805341</v>
      </c>
      <c r="H17" s="719"/>
      <c r="I17" s="591">
        <f>+I27</f>
        <v>-6450199.3824053016</v>
      </c>
      <c r="J17" s="719"/>
      <c r="K17" s="591">
        <f>(+G17+I17)/2</f>
        <v>-6676226.1622429173</v>
      </c>
      <c r="L17" s="585"/>
      <c r="M17" s="585"/>
      <c r="N17" s="585"/>
    </row>
    <row r="18" spans="1:14">
      <c r="A18" s="587">
        <v>15</v>
      </c>
      <c r="B18" s="587"/>
      <c r="C18" s="596" t="s">
        <v>1998</v>
      </c>
      <c r="D18" s="596"/>
      <c r="E18" s="596" t="s">
        <v>2248</v>
      </c>
      <c r="F18" s="596"/>
      <c r="G18" s="591">
        <f>+G32</f>
        <v>-3535740.5514770709</v>
      </c>
      <c r="H18" s="719"/>
      <c r="I18" s="591">
        <f>+I32</f>
        <v>-3702212.2265593712</v>
      </c>
      <c r="J18" s="719"/>
      <c r="K18" s="591">
        <f>(+G18+I18)/2</f>
        <v>-3618976.3890182208</v>
      </c>
      <c r="L18" s="585"/>
      <c r="M18" s="585"/>
      <c r="N18" s="585"/>
    </row>
    <row r="19" spans="1:14">
      <c r="A19" s="587">
        <v>16</v>
      </c>
      <c r="B19" s="587"/>
      <c r="C19" s="596" t="s">
        <v>1999</v>
      </c>
      <c r="D19" s="596"/>
      <c r="E19" s="596" t="s">
        <v>2249</v>
      </c>
      <c r="F19" s="596"/>
      <c r="G19" s="720">
        <f>+G39</f>
        <v>-565897.42779170151</v>
      </c>
      <c r="H19" s="721"/>
      <c r="I19" s="720">
        <f>+I39</f>
        <v>-565510.63620274712</v>
      </c>
      <c r="J19" s="721"/>
      <c r="K19" s="591">
        <f>(+G19+I19)/2</f>
        <v>-565704.03199722432</v>
      </c>
      <c r="L19" s="585"/>
      <c r="M19" s="585"/>
    </row>
    <row r="20" spans="1:14" ht="13.5" thickBot="1">
      <c r="A20" s="587">
        <v>17</v>
      </c>
      <c r="B20" s="587"/>
      <c r="C20" s="588" t="s">
        <v>197</v>
      </c>
      <c r="D20" s="588"/>
      <c r="E20" s="588" t="s">
        <v>2000</v>
      </c>
      <c r="F20" s="588"/>
      <c r="G20" s="722">
        <f>+G17+G18+G19</f>
        <v>-11003890.921349308</v>
      </c>
      <c r="H20" s="719"/>
      <c r="I20" s="722">
        <f>+I17+I18+I19</f>
        <v>-10717922.245167419</v>
      </c>
      <c r="J20" s="719"/>
      <c r="K20" s="722">
        <f>+K17+K18+K19</f>
        <v>-10860906.583258362</v>
      </c>
      <c r="L20" s="585"/>
      <c r="M20" s="588"/>
      <c r="N20" s="483" t="s">
        <v>331</v>
      </c>
    </row>
    <row r="21" spans="1:14" ht="13.5" thickTop="1">
      <c r="A21" s="587">
        <v>18</v>
      </c>
      <c r="B21" s="587"/>
      <c r="C21" s="585"/>
      <c r="D21" s="585"/>
      <c r="E21" s="585"/>
      <c r="F21" s="585"/>
      <c r="G21" s="585"/>
      <c r="H21" s="723"/>
      <c r="I21" s="585"/>
      <c r="J21" s="723"/>
      <c r="K21" s="585"/>
      <c r="L21" s="585"/>
      <c r="M21" s="585"/>
    </row>
    <row r="22" spans="1:14">
      <c r="A22" s="587">
        <v>19</v>
      </c>
      <c r="B22" s="587"/>
      <c r="C22" s="586" t="s">
        <v>2001</v>
      </c>
      <c r="D22" s="586"/>
      <c r="E22" s="586"/>
      <c r="F22" s="586"/>
      <c r="G22" s="585"/>
      <c r="H22" s="723"/>
      <c r="I22" s="585"/>
      <c r="J22" s="723"/>
      <c r="K22" s="585"/>
      <c r="L22" s="585"/>
      <c r="M22" s="585"/>
    </row>
    <row r="23" spans="1:14">
      <c r="A23" s="587">
        <v>20</v>
      </c>
      <c r="B23" s="587"/>
      <c r="H23" s="540"/>
      <c r="J23" s="540"/>
      <c r="K23" s="484" t="s">
        <v>231</v>
      </c>
    </row>
    <row r="24" spans="1:14">
      <c r="A24" s="587">
        <v>21</v>
      </c>
      <c r="B24" s="587"/>
      <c r="C24" s="586" t="s">
        <v>107</v>
      </c>
      <c r="D24" s="586"/>
      <c r="E24" s="586"/>
      <c r="F24" s="586"/>
      <c r="G24" s="396" t="s">
        <v>385</v>
      </c>
      <c r="H24" s="724"/>
      <c r="I24" s="396" t="s">
        <v>302</v>
      </c>
      <c r="J24" s="724"/>
      <c r="K24" s="725" t="s">
        <v>2002</v>
      </c>
      <c r="M24" s="503" t="s">
        <v>331</v>
      </c>
    </row>
    <row r="25" spans="1:14">
      <c r="A25" s="587">
        <v>22</v>
      </c>
      <c r="B25" s="587"/>
      <c r="C25" t="s">
        <v>2003</v>
      </c>
      <c r="E25" s="596" t="s">
        <v>2004</v>
      </c>
      <c r="F25" s="596"/>
      <c r="G25" s="726">
        <v>-114763335.86</v>
      </c>
      <c r="H25" s="727"/>
      <c r="I25" s="726">
        <v>-107247069.08</v>
      </c>
      <c r="J25" s="728"/>
      <c r="M25" s="715"/>
      <c r="N25" s="623"/>
    </row>
    <row r="26" spans="1:14">
      <c r="A26" s="711">
        <v>23</v>
      </c>
      <c r="B26" s="587"/>
      <c r="C26" t="s">
        <v>200</v>
      </c>
      <c r="E26" s="729" t="s">
        <v>2005</v>
      </c>
      <c r="F26" s="729"/>
      <c r="G26" s="730">
        <f>'27-Allocators'!G14</f>
        <v>6.0143362776597958E-2</v>
      </c>
      <c r="H26" s="731"/>
      <c r="I26" s="730">
        <f>'27-Allocators'!G14</f>
        <v>6.0143362776597958E-2</v>
      </c>
      <c r="J26" s="731"/>
      <c r="M26" s="715"/>
    </row>
    <row r="27" spans="1:14" ht="13.5" thickBot="1">
      <c r="A27" s="711">
        <v>24</v>
      </c>
      <c r="B27" s="587"/>
      <c r="C27" t="s">
        <v>2006</v>
      </c>
      <c r="E27" s="601" t="s">
        <v>2250</v>
      </c>
      <c r="F27" s="52"/>
      <c r="G27" s="732">
        <f>+G25*G26</f>
        <v>-6902252.9420805341</v>
      </c>
      <c r="H27" s="733"/>
      <c r="I27" s="732">
        <f>+I25*I26</f>
        <v>-6450199.3824053016</v>
      </c>
      <c r="J27" s="733"/>
      <c r="K27" s="734">
        <f>(G27+I27)/2</f>
        <v>-6676226.1622429173</v>
      </c>
      <c r="M27" s="715"/>
    </row>
    <row r="28" spans="1:14" ht="13.5" thickTop="1">
      <c r="A28" s="711">
        <v>25</v>
      </c>
      <c r="B28" s="587"/>
      <c r="H28" s="540"/>
      <c r="J28" s="540"/>
      <c r="M28" s="715"/>
    </row>
    <row r="29" spans="1:14">
      <c r="A29" s="711">
        <v>26</v>
      </c>
      <c r="B29" s="587"/>
      <c r="C29" s="51" t="s">
        <v>2007</v>
      </c>
      <c r="D29" s="51"/>
      <c r="E29" s="51"/>
      <c r="F29" s="51"/>
      <c r="H29" s="540"/>
      <c r="J29" s="540"/>
      <c r="M29" s="735" t="s">
        <v>331</v>
      </c>
    </row>
    <row r="30" spans="1:14">
      <c r="A30" s="711">
        <v>27</v>
      </c>
      <c r="B30" s="587"/>
      <c r="C30" s="483" t="s">
        <v>2008</v>
      </c>
      <c r="D30" s="483"/>
      <c r="E30" s="596" t="s">
        <v>2004</v>
      </c>
      <c r="F30" s="596"/>
      <c r="G30" s="726">
        <v>-58788541.049999997</v>
      </c>
      <c r="H30" s="727"/>
      <c r="I30" s="726">
        <v>-61556455.369999997</v>
      </c>
      <c r="J30" s="728"/>
      <c r="M30" s="715"/>
    </row>
    <row r="31" spans="1:14">
      <c r="A31" s="711">
        <v>28</v>
      </c>
      <c r="B31" s="587"/>
      <c r="C31" t="s">
        <v>200</v>
      </c>
      <c r="E31" s="729" t="s">
        <v>2005</v>
      </c>
      <c r="F31" s="729"/>
      <c r="G31" s="730">
        <f>'27-Allocators'!G14</f>
        <v>6.0143362776597958E-2</v>
      </c>
      <c r="H31" s="731"/>
      <c r="I31" s="730">
        <f>'27-Allocators'!G14</f>
        <v>6.0143362776597958E-2</v>
      </c>
      <c r="J31" s="731"/>
      <c r="M31" s="715"/>
    </row>
    <row r="32" spans="1:14" ht="13.5" thickBot="1">
      <c r="A32" s="711">
        <v>29</v>
      </c>
      <c r="B32" s="587"/>
      <c r="C32" t="s">
        <v>2006</v>
      </c>
      <c r="E32" s="601" t="s">
        <v>2251</v>
      </c>
      <c r="F32" s="52"/>
      <c r="G32" s="732">
        <f>+G30*G31</f>
        <v>-3535740.5514770709</v>
      </c>
      <c r="H32" s="733"/>
      <c r="I32" s="732">
        <f>+I30*I31</f>
        <v>-3702212.2265593712</v>
      </c>
      <c r="J32" s="733"/>
      <c r="K32" s="734">
        <f>(G32+I32)/2</f>
        <v>-3618976.3890182208</v>
      </c>
      <c r="M32" s="715"/>
    </row>
    <row r="33" spans="1:11" ht="13.5" thickTop="1">
      <c r="A33" s="711">
        <f t="shared" ref="A33:A39" si="0">1+A32</f>
        <v>30</v>
      </c>
      <c r="H33" s="540"/>
      <c r="J33" s="540"/>
    </row>
    <row r="34" spans="1:11">
      <c r="A34" s="711">
        <f t="shared" si="0"/>
        <v>31</v>
      </c>
      <c r="C34" s="51" t="s">
        <v>2009</v>
      </c>
      <c r="H34" s="540"/>
      <c r="J34" s="540"/>
    </row>
    <row r="35" spans="1:11">
      <c r="A35" s="711">
        <f t="shared" si="0"/>
        <v>32</v>
      </c>
      <c r="C35" s="483" t="s">
        <v>2009</v>
      </c>
      <c r="E35" s="596" t="s">
        <v>2004</v>
      </c>
      <c r="F35" s="596"/>
      <c r="G35" s="1099">
        <v>-18818283.57</v>
      </c>
      <c r="H35" s="727"/>
      <c r="I35" s="1099">
        <v>-18805421.25</v>
      </c>
      <c r="J35" s="728"/>
    </row>
    <row r="36" spans="1:11">
      <c r="A36" s="711">
        <f t="shared" si="0"/>
        <v>33</v>
      </c>
      <c r="C36" s="483" t="s">
        <v>2010</v>
      </c>
      <c r="E36" s="737" t="s">
        <v>2011</v>
      </c>
      <c r="G36" s="738">
        <v>0.5</v>
      </c>
      <c r="H36" s="540"/>
      <c r="I36" s="738">
        <v>0.5</v>
      </c>
      <c r="J36" s="540"/>
    </row>
    <row r="37" spans="1:11">
      <c r="A37" s="711">
        <f t="shared" si="0"/>
        <v>34</v>
      </c>
      <c r="C37" s="483" t="s">
        <v>2012</v>
      </c>
      <c r="E37" s="485" t="s">
        <v>2252</v>
      </c>
      <c r="G37" s="7">
        <f>+G35*G36</f>
        <v>-9409141.7850000001</v>
      </c>
      <c r="H37" s="739"/>
      <c r="I37" s="7">
        <f>+I35*I36</f>
        <v>-9402710.625</v>
      </c>
      <c r="J37" s="540"/>
    </row>
    <row r="38" spans="1:11">
      <c r="A38" s="711">
        <f t="shared" si="0"/>
        <v>35</v>
      </c>
      <c r="C38" t="s">
        <v>200</v>
      </c>
      <c r="E38" s="729" t="s">
        <v>2005</v>
      </c>
      <c r="F38" s="729"/>
      <c r="G38" s="730">
        <f>'27-Allocators'!G14</f>
        <v>6.0143362776597958E-2</v>
      </c>
      <c r="H38" s="731"/>
      <c r="I38" s="730">
        <f>'27-Allocators'!G14</f>
        <v>6.0143362776597958E-2</v>
      </c>
      <c r="J38" s="731"/>
    </row>
    <row r="39" spans="1:11" ht="13.5" thickBot="1">
      <c r="A39" s="711">
        <f t="shared" si="0"/>
        <v>36</v>
      </c>
      <c r="C39" t="s">
        <v>2006</v>
      </c>
      <c r="E39" s="601" t="s">
        <v>2253</v>
      </c>
      <c r="F39" s="52"/>
      <c r="G39" s="732">
        <f>+G37*G38</f>
        <v>-565897.42779170151</v>
      </c>
      <c r="H39" s="733"/>
      <c r="I39" s="732">
        <f>+I37*I38</f>
        <v>-565510.63620274712</v>
      </c>
      <c r="J39" s="733"/>
      <c r="K39" s="734">
        <f>(G39+I39)/2</f>
        <v>-565704.03199722432</v>
      </c>
    </row>
    <row r="40" spans="1:11" ht="13.5" thickTop="1">
      <c r="H40" s="540"/>
      <c r="J40" s="540"/>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&amp;RTO2019 Draft Annual Update 
Attachment1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election activeCell="B50" sqref="B50"/>
    </sheetView>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1078</v>
      </c>
    </row>
    <row r="2" spans="1:6">
      <c r="A2" s="1"/>
    </row>
    <row r="3" spans="1:6">
      <c r="B3" s="12" t="s">
        <v>411</v>
      </c>
    </row>
    <row r="4" spans="1:6">
      <c r="A4" s="1"/>
      <c r="B4" s="13" t="s">
        <v>343</v>
      </c>
    </row>
    <row r="5" spans="1:6">
      <c r="A5" s="1"/>
      <c r="B5" s="13" t="s">
        <v>344</v>
      </c>
    </row>
    <row r="7" spans="1:6">
      <c r="B7" s="1" t="s">
        <v>1008</v>
      </c>
    </row>
    <row r="8" spans="1:6">
      <c r="E8" s="16"/>
    </row>
    <row r="9" spans="1:6">
      <c r="A9" s="51" t="s">
        <v>332</v>
      </c>
      <c r="B9" s="70" t="s">
        <v>1077</v>
      </c>
    </row>
    <row r="10" spans="1:6">
      <c r="A10" s="2">
        <v>1</v>
      </c>
    </row>
    <row r="11" spans="1:6">
      <c r="A11" s="2">
        <f>A10+1</f>
        <v>2</v>
      </c>
      <c r="B11" s="377" t="s">
        <v>1446</v>
      </c>
      <c r="C11" s="14"/>
      <c r="D11" s="14"/>
      <c r="E11" s="14"/>
      <c r="F11" s="14"/>
    </row>
    <row r="12" spans="1:6">
      <c r="A12" s="2">
        <f t="shared" ref="A12:A87" si="0">A11+1</f>
        <v>3</v>
      </c>
      <c r="B12" s="377" t="s">
        <v>1054</v>
      </c>
      <c r="C12" s="14"/>
      <c r="D12" s="14"/>
      <c r="E12" s="14"/>
      <c r="F12" s="14"/>
    </row>
    <row r="13" spans="1:6">
      <c r="A13" s="2">
        <f t="shared" si="0"/>
        <v>4</v>
      </c>
      <c r="B13" s="377"/>
      <c r="C13" s="14"/>
      <c r="D13" s="14"/>
      <c r="E13" s="14"/>
      <c r="F13" s="14"/>
    </row>
    <row r="14" spans="1:6">
      <c r="A14" s="2">
        <f t="shared" si="0"/>
        <v>5</v>
      </c>
      <c r="B14" s="944" t="s">
        <v>2219</v>
      </c>
      <c r="C14" s="14"/>
      <c r="D14" s="14"/>
      <c r="E14" s="14"/>
      <c r="F14" s="14"/>
    </row>
    <row r="15" spans="1:6">
      <c r="A15" s="2">
        <f t="shared" si="0"/>
        <v>6</v>
      </c>
      <c r="B15" s="378"/>
      <c r="C15" s="14"/>
      <c r="D15" s="14"/>
      <c r="E15" s="14"/>
      <c r="F15" s="14"/>
    </row>
    <row r="16" spans="1:6">
      <c r="A16" s="2">
        <f t="shared" si="0"/>
        <v>7</v>
      </c>
      <c r="B16" s="377" t="s">
        <v>368</v>
      </c>
      <c r="C16" s="14"/>
      <c r="D16" s="14"/>
      <c r="E16" s="14"/>
      <c r="F16" s="375"/>
    </row>
    <row r="17" spans="1:6">
      <c r="A17" s="2">
        <f t="shared" si="0"/>
        <v>8</v>
      </c>
      <c r="B17" s="379" t="s">
        <v>1050</v>
      </c>
      <c r="C17" s="14"/>
      <c r="D17" s="14"/>
      <c r="E17" s="14"/>
      <c r="F17" s="67"/>
    </row>
    <row r="18" spans="1:6">
      <c r="A18" s="2">
        <f t="shared" si="0"/>
        <v>9</v>
      </c>
      <c r="B18" s="379" t="s">
        <v>1051</v>
      </c>
      <c r="C18" s="14"/>
      <c r="D18" s="14"/>
      <c r="E18" s="14"/>
      <c r="F18" s="67"/>
    </row>
    <row r="19" spans="1:6">
      <c r="A19" s="2">
        <f t="shared" si="0"/>
        <v>10</v>
      </c>
      <c r="B19" s="379" t="s">
        <v>218</v>
      </c>
      <c r="C19" s="14"/>
      <c r="D19" s="14"/>
      <c r="E19" s="365"/>
      <c r="F19" s="63"/>
    </row>
    <row r="20" spans="1:6">
      <c r="A20" s="2">
        <f t="shared" si="0"/>
        <v>11</v>
      </c>
      <c r="B20" s="44"/>
      <c r="C20" s="14"/>
      <c r="D20" s="365"/>
      <c r="E20" s="125" t="s">
        <v>205</v>
      </c>
      <c r="F20" s="14"/>
    </row>
    <row r="21" spans="1:6">
      <c r="A21" s="2">
        <f t="shared" si="0"/>
        <v>12</v>
      </c>
      <c r="C21" s="365" t="s">
        <v>1087</v>
      </c>
      <c r="D21" s="376">
        <f>'1-BaseTRR'!K88</f>
        <v>2.0131604137094125E-2</v>
      </c>
      <c r="E21" s="46" t="str">
        <f>"1-BaseTRR, Line "&amp;'1-BaseTRR'!A88&amp;""</f>
        <v>1-BaseTRR, Line 51</v>
      </c>
      <c r="F21" s="14"/>
    </row>
    <row r="22" spans="1:6">
      <c r="A22" s="2">
        <f t="shared" si="0"/>
        <v>13</v>
      </c>
      <c r="C22" s="365" t="s">
        <v>1088</v>
      </c>
      <c r="D22" s="376">
        <f>'1-BaseTRR'!K93</f>
        <v>5.9272529233476007E-2</v>
      </c>
      <c r="E22" s="46" t="str">
        <f>"1-BaseTRR, Line "&amp;'1-BaseTRR'!A93&amp;""</f>
        <v>1-BaseTRR, Line 55</v>
      </c>
      <c r="F22" s="14"/>
    </row>
    <row r="23" spans="1:6">
      <c r="A23" s="2">
        <f t="shared" si="0"/>
        <v>14</v>
      </c>
      <c r="C23" s="365" t="s">
        <v>1053</v>
      </c>
      <c r="D23" s="376">
        <f>'1-BaseTRR'!K102</f>
        <v>0.27983599999999997</v>
      </c>
      <c r="E23" s="46" t="str">
        <f>"1-BaseTRR, Line "&amp;'1-BaseTRR'!A102&amp;""</f>
        <v>1-BaseTRR, Line 59</v>
      </c>
      <c r="F23" s="14"/>
    </row>
    <row r="24" spans="1:6">
      <c r="A24" s="2">
        <f t="shared" si="0"/>
        <v>15</v>
      </c>
      <c r="B24" s="15"/>
      <c r="C24" s="14"/>
      <c r="D24" s="376"/>
      <c r="E24" s="46"/>
      <c r="F24" s="14"/>
    </row>
    <row r="25" spans="1:6">
      <c r="A25" s="2">
        <f t="shared" si="0"/>
        <v>16</v>
      </c>
      <c r="C25" s="365" t="s">
        <v>1052</v>
      </c>
      <c r="D25" s="376">
        <f>D21 + (D22*(1/(1-D23)))</f>
        <v>0.10243581433571</v>
      </c>
      <c r="E25" s="46" t="str">
        <f>"Line "&amp;A21&amp;" + (Line "&amp;A22&amp;" * (1/(1 - Line "&amp;A23&amp;")))"</f>
        <v>Line 12 + (Line 13 * (1/(1 - Line 14)))</v>
      </c>
      <c r="F25" s="14"/>
    </row>
    <row r="26" spans="1:6">
      <c r="A26" s="2">
        <f t="shared" si="0"/>
        <v>17</v>
      </c>
      <c r="B26" s="15"/>
      <c r="C26" s="14"/>
      <c r="D26" s="365"/>
      <c r="E26" s="46"/>
      <c r="F26" s="14"/>
    </row>
    <row r="27" spans="1:6">
      <c r="A27" s="2">
        <f t="shared" si="0"/>
        <v>18</v>
      </c>
      <c r="B27" s="70" t="s">
        <v>1006</v>
      </c>
      <c r="C27" s="14"/>
      <c r="D27" s="365"/>
      <c r="E27" s="46"/>
      <c r="F27" s="14"/>
    </row>
    <row r="28" spans="1:6">
      <c r="A28" s="2">
        <f t="shared" si="0"/>
        <v>19</v>
      </c>
      <c r="B28" s="15"/>
      <c r="C28" s="14"/>
      <c r="D28" s="365"/>
      <c r="E28" s="46"/>
      <c r="F28" s="14"/>
    </row>
    <row r="29" spans="1:6">
      <c r="A29" s="2">
        <f t="shared" si="0"/>
        <v>20</v>
      </c>
      <c r="B29" s="377" t="s">
        <v>1089</v>
      </c>
      <c r="C29" s="14"/>
      <c r="D29" s="365"/>
      <c r="E29" s="46"/>
      <c r="F29" s="14"/>
    </row>
    <row r="30" spans="1:6">
      <c r="A30" s="2">
        <f t="shared" si="0"/>
        <v>21</v>
      </c>
      <c r="B30" s="377" t="s">
        <v>1090</v>
      </c>
      <c r="C30" s="14"/>
      <c r="D30" s="365"/>
      <c r="E30" s="46"/>
      <c r="F30" s="14"/>
    </row>
    <row r="31" spans="1:6">
      <c r="A31" s="2">
        <f t="shared" si="0"/>
        <v>22</v>
      </c>
      <c r="C31" s="14"/>
      <c r="D31" s="365"/>
      <c r="E31" s="46"/>
      <c r="F31" s="14"/>
    </row>
    <row r="32" spans="1:6">
      <c r="A32" s="2">
        <f t="shared" si="0"/>
        <v>23</v>
      </c>
      <c r="B32" s="379" t="s">
        <v>1055</v>
      </c>
      <c r="C32" s="14"/>
      <c r="D32" s="365"/>
      <c r="E32" s="46"/>
      <c r="F32" s="14"/>
    </row>
    <row r="33" spans="1:11">
      <c r="A33" s="2">
        <f t="shared" si="0"/>
        <v>24</v>
      </c>
      <c r="F33" s="14"/>
    </row>
    <row r="34" spans="1:11">
      <c r="A34" s="2">
        <f t="shared" si="0"/>
        <v>25</v>
      </c>
      <c r="B34" s="70" t="s">
        <v>1076</v>
      </c>
      <c r="F34" s="14"/>
    </row>
    <row r="35" spans="1:11">
      <c r="A35" s="2">
        <f t="shared" si="0"/>
        <v>26</v>
      </c>
      <c r="B35" s="12"/>
      <c r="E35" s="3" t="s">
        <v>205</v>
      </c>
      <c r="F35" s="14"/>
    </row>
    <row r="36" spans="1:11">
      <c r="A36" s="2">
        <f t="shared" si="0"/>
        <v>27</v>
      </c>
      <c r="C36" s="94" t="s">
        <v>1061</v>
      </c>
      <c r="D36" s="101">
        <f>'6-PlantInService'!M23</f>
        <v>8573445553.3305378</v>
      </c>
      <c r="E36" s="46" t="str">
        <f>"6-PlantInService, Line "&amp;'6-PlantInService'!A23&amp;""</f>
        <v>6-PlantInService, Line 13</v>
      </c>
      <c r="F36" s="14"/>
      <c r="G36" s="14"/>
    </row>
    <row r="37" spans="1:11">
      <c r="A37" s="2">
        <f t="shared" si="0"/>
        <v>28</v>
      </c>
      <c r="C37" s="94" t="s">
        <v>1062</v>
      </c>
      <c r="D37" s="101">
        <f>'6-PlantInService'!F35</f>
        <v>0</v>
      </c>
      <c r="E37" s="46" t="str">
        <f>"6-PlantInService, Line "&amp;'6-PlantInService'!A35&amp;""</f>
        <v>6-PlantInService, Line 16</v>
      </c>
      <c r="F37" s="14"/>
      <c r="G37" s="14"/>
    </row>
    <row r="38" spans="1:11">
      <c r="A38" s="2">
        <f t="shared" si="0"/>
        <v>29</v>
      </c>
      <c r="C38" s="94" t="s">
        <v>1074</v>
      </c>
      <c r="D38" s="101">
        <f>'8-AccDep'!N24</f>
        <v>1633677099.9991164</v>
      </c>
      <c r="E38" s="46" t="str">
        <f>"8-AccDep, Line "&amp;'8-AccDep'!A24&amp;""</f>
        <v>8-AccDep, Line 13</v>
      </c>
      <c r="F38" s="14"/>
      <c r="G38" s="14"/>
    </row>
    <row r="39" spans="1:11">
      <c r="A39" s="2">
        <f t="shared" si="0"/>
        <v>30</v>
      </c>
      <c r="C39" s="94" t="s">
        <v>1075</v>
      </c>
      <c r="D39" s="91">
        <f>'8-AccDep'!G34</f>
        <v>0</v>
      </c>
      <c r="E39" s="46" t="str">
        <f>"8-AccDep, Line "&amp;'8-AccDep'!A34&amp;""</f>
        <v>8-AccDep, Line 16</v>
      </c>
      <c r="F39" s="14"/>
      <c r="G39" s="14"/>
    </row>
    <row r="40" spans="1:11">
      <c r="A40" s="2">
        <f t="shared" si="0"/>
        <v>31</v>
      </c>
      <c r="C40" s="94" t="s">
        <v>1007</v>
      </c>
      <c r="D40" s="7">
        <f>(D36+D37)-(D38+D39)</f>
        <v>6939768453.3314209</v>
      </c>
      <c r="E40" s="46" t="str">
        <f>"(L"&amp;A36&amp;" + L"&amp;A37&amp;") - (L"&amp;A38&amp;" + L"&amp;A39&amp;")"</f>
        <v>(L27 + L28) - (L29 + L30)</v>
      </c>
      <c r="F40" s="14"/>
      <c r="G40" s="14"/>
    </row>
    <row r="41" spans="1:11">
      <c r="A41" s="2">
        <f t="shared" si="0"/>
        <v>32</v>
      </c>
      <c r="C41" s="94"/>
      <c r="D41" s="7"/>
      <c r="E41" s="46"/>
      <c r="F41" s="14"/>
      <c r="G41" s="14"/>
    </row>
    <row r="42" spans="1:11">
      <c r="A42" s="2">
        <f t="shared" si="0"/>
        <v>33</v>
      </c>
      <c r="B42" s="70" t="s">
        <v>1427</v>
      </c>
      <c r="E42" s="14"/>
      <c r="F42" s="14"/>
      <c r="G42" s="14"/>
    </row>
    <row r="43" spans="1:11">
      <c r="A43" s="473">
        <f t="shared" si="0"/>
        <v>34</v>
      </c>
      <c r="B43" s="70"/>
      <c r="E43" s="14"/>
      <c r="F43" s="14"/>
      <c r="G43" s="14"/>
    </row>
    <row r="44" spans="1:11">
      <c r="A44" s="473">
        <f t="shared" si="0"/>
        <v>35</v>
      </c>
      <c r="B44" s="70" t="s">
        <v>1428</v>
      </c>
      <c r="E44" s="14"/>
      <c r="F44" s="14"/>
      <c r="G44" s="14"/>
    </row>
    <row r="45" spans="1:11">
      <c r="A45" s="473">
        <f t="shared" si="0"/>
        <v>36</v>
      </c>
      <c r="B45" s="55" t="s">
        <v>1429</v>
      </c>
      <c r="E45" s="14"/>
      <c r="F45" s="14"/>
      <c r="G45" s="14"/>
    </row>
    <row r="46" spans="1:11">
      <c r="A46" s="473">
        <f t="shared" si="0"/>
        <v>37</v>
      </c>
      <c r="B46" s="70"/>
      <c r="C46" s="94" t="s">
        <v>1447</v>
      </c>
      <c r="D46" s="101">
        <f>'10-CWIP'!D25</f>
        <v>221778479.72000003</v>
      </c>
      <c r="E46" s="46" t="str">
        <f>"10-CWIP, L "&amp;'10-CWIP'!A25&amp;" C1"</f>
        <v>10-CWIP, L 13 C1</v>
      </c>
      <c r="F46" s="14"/>
      <c r="G46" s="14"/>
      <c r="K46" s="7"/>
    </row>
    <row r="47" spans="1:11">
      <c r="A47" s="473">
        <f t="shared" si="0"/>
        <v>38</v>
      </c>
      <c r="B47" s="70"/>
      <c r="C47" s="94" t="s">
        <v>356</v>
      </c>
      <c r="D47" s="126">
        <f>D25</f>
        <v>0.10243581433571</v>
      </c>
      <c r="E47" s="46" t="str">
        <f>"Line "&amp;A25&amp;""</f>
        <v>Line 16</v>
      </c>
      <c r="F47" s="14"/>
      <c r="G47" s="14"/>
      <c r="K47" s="7"/>
    </row>
    <row r="48" spans="1:11">
      <c r="A48" s="473">
        <f t="shared" si="0"/>
        <v>39</v>
      </c>
      <c r="B48" s="70"/>
      <c r="C48" s="94" t="s">
        <v>1422</v>
      </c>
      <c r="D48" s="101">
        <f>D46*D47</f>
        <v>22718059.172253948</v>
      </c>
      <c r="E48" s="46" t="str">
        <f>"Line "&amp;A46&amp;" * Line "&amp;A47&amp;""</f>
        <v>Line 37 * Line 38</v>
      </c>
      <c r="F48" s="14"/>
      <c r="G48" s="14"/>
      <c r="K48" s="7"/>
    </row>
    <row r="49" spans="1:11">
      <c r="A49" s="473">
        <f t="shared" si="0"/>
        <v>40</v>
      </c>
      <c r="B49" s="70"/>
      <c r="C49" s="94"/>
      <c r="D49" s="101"/>
      <c r="E49" s="46"/>
      <c r="F49" s="14"/>
      <c r="G49" s="14"/>
      <c r="K49" s="7"/>
    </row>
    <row r="50" spans="1:11">
      <c r="A50" s="473">
        <f t="shared" si="0"/>
        <v>41</v>
      </c>
      <c r="B50" s="55" t="s">
        <v>1430</v>
      </c>
      <c r="E50" s="14"/>
      <c r="F50" s="14"/>
      <c r="G50" s="14"/>
      <c r="K50" s="7"/>
    </row>
    <row r="51" spans="1:11">
      <c r="A51" s="473">
        <f t="shared" si="0"/>
        <v>42</v>
      </c>
      <c r="B51" s="70"/>
      <c r="C51" s="94" t="s">
        <v>1436</v>
      </c>
      <c r="D51" s="101">
        <f>'15-IncentiveAdder'!G17</f>
        <v>6969.1392255455057</v>
      </c>
      <c r="E51" s="114" t="str">
        <f>"15-IncentiveAdder, Line "&amp;'15-IncentiveAdder'!A17&amp;""</f>
        <v>15-IncentiveAdder, Line 3</v>
      </c>
      <c r="F51" s="14"/>
      <c r="G51" s="14"/>
      <c r="K51" s="7"/>
    </row>
    <row r="52" spans="1:11">
      <c r="A52" s="473">
        <f t="shared" si="0"/>
        <v>43</v>
      </c>
      <c r="B52" s="70"/>
      <c r="C52" s="94"/>
      <c r="E52" s="14"/>
      <c r="F52" s="14"/>
      <c r="G52" s="14"/>
      <c r="K52" s="7"/>
    </row>
    <row r="53" spans="1:11">
      <c r="A53" s="473">
        <f t="shared" si="0"/>
        <v>44</v>
      </c>
      <c r="B53" s="70"/>
      <c r="C53" s="94" t="s">
        <v>1409</v>
      </c>
      <c r="D53" s="7">
        <f>'10-CWIP'!E25</f>
        <v>150976.49</v>
      </c>
      <c r="E53" s="46" t="str">
        <f>"10-CWIP, Line "&amp;'10-CWIP'!A25&amp;""</f>
        <v>10-CWIP, Line 13</v>
      </c>
      <c r="F53" s="15"/>
      <c r="G53" s="14"/>
      <c r="K53" s="7"/>
    </row>
    <row r="54" spans="1:11">
      <c r="A54" s="473">
        <f t="shared" si="0"/>
        <v>45</v>
      </c>
      <c r="B54" s="70"/>
      <c r="C54" s="94" t="s">
        <v>1433</v>
      </c>
      <c r="D54" s="42">
        <f>'15-IncentiveAdder'!E26</f>
        <v>1.2500000000000001E-2</v>
      </c>
      <c r="E54" s="114" t="str">
        <f>"15-IncentiveAdder, Line "&amp;'15-IncentiveAdder'!A26&amp;""</f>
        <v>15-IncentiveAdder, Line 5</v>
      </c>
      <c r="F54" s="15"/>
      <c r="G54" s="14"/>
      <c r="K54" s="7"/>
    </row>
    <row r="55" spans="1:11">
      <c r="A55" s="473">
        <f t="shared" si="0"/>
        <v>46</v>
      </c>
      <c r="B55" s="70"/>
      <c r="C55" s="94" t="s">
        <v>1432</v>
      </c>
      <c r="D55" s="7">
        <f>(D53/1000000)*($D$51*(D54/0.01))</f>
        <v>1315.2202232427233</v>
      </c>
      <c r="E55" s="482" t="str">
        <f>"Formula on Line "&amp;A61&amp;""</f>
        <v>Formula on Line 52</v>
      </c>
      <c r="F55" s="14"/>
      <c r="G55" s="14"/>
      <c r="K55" s="7"/>
    </row>
    <row r="56" spans="1:11">
      <c r="A56" s="473">
        <f t="shared" si="0"/>
        <v>47</v>
      </c>
      <c r="B56" s="70"/>
      <c r="C56" s="94"/>
      <c r="E56" s="63"/>
      <c r="F56" s="14"/>
      <c r="G56" s="14"/>
      <c r="K56" s="7"/>
    </row>
    <row r="57" spans="1:11">
      <c r="A57" s="473">
        <f t="shared" si="0"/>
        <v>48</v>
      </c>
      <c r="C57" s="94" t="s">
        <v>1431</v>
      </c>
      <c r="D57" s="7">
        <f>'10-CWIP'!F25</f>
        <v>0</v>
      </c>
      <c r="E57" s="46" t="str">
        <f>"10-CWIP, Line "&amp;'10-CWIP'!A25&amp;""</f>
        <v>10-CWIP, Line 13</v>
      </c>
      <c r="F57" s="14"/>
      <c r="G57" s="14"/>
      <c r="K57" s="7"/>
    </row>
    <row r="58" spans="1:11">
      <c r="A58" s="473">
        <f t="shared" si="0"/>
        <v>49</v>
      </c>
      <c r="C58" s="94" t="s">
        <v>1434</v>
      </c>
      <c r="D58" s="42">
        <f>'15-IncentiveAdder'!E27</f>
        <v>0.01</v>
      </c>
      <c r="E58" s="114" t="str">
        <f>"15-IncentiveAdder, Line "&amp;'15-IncentiveAdder'!A27&amp;""</f>
        <v>15-IncentiveAdder, Line 6</v>
      </c>
      <c r="F58" s="14"/>
      <c r="G58" s="14"/>
      <c r="K58" s="7"/>
    </row>
    <row r="59" spans="1:11">
      <c r="A59" s="473">
        <f t="shared" si="0"/>
        <v>50</v>
      </c>
      <c r="C59" s="94" t="s">
        <v>1435</v>
      </c>
      <c r="D59" s="7">
        <f>(D57/1000000)*($D$51*(D58/0.01))</f>
        <v>0</v>
      </c>
      <c r="E59" s="46" t="str">
        <f>"Formula on Line "&amp;A61&amp;""</f>
        <v>Formula on Line 52</v>
      </c>
      <c r="F59" s="14"/>
      <c r="G59" s="14"/>
      <c r="K59" s="7"/>
    </row>
    <row r="60" spans="1:11">
      <c r="A60" s="473">
        <f t="shared" si="0"/>
        <v>51</v>
      </c>
      <c r="C60" s="94"/>
      <c r="D60" s="7"/>
      <c r="E60" s="46"/>
      <c r="F60" s="14"/>
      <c r="G60" s="14"/>
      <c r="K60" s="7"/>
    </row>
    <row r="61" spans="1:11">
      <c r="A61" s="473">
        <f t="shared" si="0"/>
        <v>52</v>
      </c>
      <c r="C61" s="50" t="s">
        <v>1411</v>
      </c>
      <c r="D61" s="7"/>
      <c r="E61" s="46"/>
      <c r="F61" s="14"/>
      <c r="G61" s="14"/>
      <c r="K61" s="7"/>
    </row>
    <row r="62" spans="1:11">
      <c r="A62" s="473">
        <f t="shared" si="0"/>
        <v>53</v>
      </c>
      <c r="E62" s="14"/>
      <c r="F62" s="14"/>
      <c r="G62" s="14"/>
      <c r="K62" s="7"/>
    </row>
    <row r="63" spans="1:11">
      <c r="A63" s="473">
        <f t="shared" si="0"/>
        <v>54</v>
      </c>
      <c r="C63" s="481" t="s">
        <v>1466</v>
      </c>
      <c r="D63" s="101">
        <f>D48+D55+D59</f>
        <v>22719374.392477192</v>
      </c>
      <c r="E63" s="46" t="str">
        <f>"Line "&amp;A48&amp;" + Line "&amp;A55&amp;" + Line "&amp;A59&amp;""</f>
        <v>Line 39 + Line 46 + Line 50</v>
      </c>
      <c r="F63" s="14"/>
      <c r="G63" s="14"/>
      <c r="K63" s="7"/>
    </row>
    <row r="64" spans="1:11">
      <c r="A64" s="480">
        <f t="shared" si="0"/>
        <v>55</v>
      </c>
      <c r="C64" s="481" t="s">
        <v>1465</v>
      </c>
      <c r="D64" s="91">
        <f>('28-FFU'!D22+'28-FFU'!E22)*D63</f>
        <v>263846.91063215537</v>
      </c>
      <c r="E64" s="482" t="str">
        <f>"(28-FFU, L"&amp;'28-FFU'!A22&amp;" FF Factor + U Factor) * L"&amp;A63&amp;""</f>
        <v>(28-FFU, L5 FF Factor + U Factor) * L54</v>
      </c>
      <c r="F64" s="14"/>
      <c r="G64" s="14"/>
      <c r="K64" s="7"/>
    </row>
    <row r="65" spans="1:11">
      <c r="A65" s="480">
        <f t="shared" si="0"/>
        <v>56</v>
      </c>
      <c r="C65" s="481" t="s">
        <v>1467</v>
      </c>
      <c r="D65" s="101">
        <f>SUM(D63:D64)</f>
        <v>22983221.303109348</v>
      </c>
      <c r="E65" s="46" t="str">
        <f>"Line "&amp;A63&amp;" + Line "&amp;A64&amp;""</f>
        <v>Line 54 + Line 55</v>
      </c>
      <c r="F65" s="14"/>
      <c r="K65" s="7"/>
    </row>
    <row r="66" spans="1:11">
      <c r="A66" s="480">
        <f t="shared" si="0"/>
        <v>57</v>
      </c>
      <c r="C66" s="94"/>
      <c r="D66" s="101"/>
      <c r="E66" s="46"/>
      <c r="F66" s="14"/>
      <c r="K66" s="7"/>
    </row>
    <row r="67" spans="1:11">
      <c r="A67" s="480">
        <f t="shared" si="0"/>
        <v>58</v>
      </c>
      <c r="B67" s="70" t="s">
        <v>1437</v>
      </c>
      <c r="C67" s="94"/>
      <c r="D67" s="101"/>
      <c r="E67" s="46"/>
      <c r="F67" s="14"/>
      <c r="K67" s="7"/>
    </row>
    <row r="68" spans="1:11">
      <c r="A68" s="480">
        <f t="shared" si="0"/>
        <v>59</v>
      </c>
      <c r="F68" s="14"/>
      <c r="K68" s="7"/>
    </row>
    <row r="69" spans="1:11">
      <c r="A69" s="111">
        <f t="shared" si="0"/>
        <v>60</v>
      </c>
      <c r="B69" s="14"/>
      <c r="C69" s="941" t="s">
        <v>1466</v>
      </c>
      <c r="D69" s="47">
        <f>D63</f>
        <v>22719374.392477192</v>
      </c>
      <c r="E69" s="46" t="str">
        <f>"Line "&amp;A63&amp;""</f>
        <v>Line 54</v>
      </c>
      <c r="F69" s="14"/>
      <c r="K69" s="7"/>
    </row>
    <row r="70" spans="1:11">
      <c r="A70" s="111">
        <f t="shared" si="0"/>
        <v>61</v>
      </c>
      <c r="B70" s="14"/>
      <c r="C70" s="941" t="s">
        <v>1735</v>
      </c>
      <c r="D70" s="47">
        <f>'1-BaseTRR'!K136</f>
        <v>989749501.1838032</v>
      </c>
      <c r="E70" s="46" t="str">
        <f>"1-BaseTRR, Line "&amp;'1-BaseTRR'!A136&amp;""</f>
        <v>1-BaseTRR, Line 78</v>
      </c>
      <c r="F70" s="14"/>
      <c r="K70" s="7"/>
    </row>
    <row r="71" spans="1:11">
      <c r="A71" s="111">
        <f t="shared" si="0"/>
        <v>62</v>
      </c>
      <c r="B71" s="14"/>
      <c r="C71" s="365" t="s">
        <v>1448</v>
      </c>
      <c r="D71" s="47">
        <f>D70-D69</f>
        <v>967030126.79132605</v>
      </c>
      <c r="E71" s="46" t="str">
        <f>"Line "&amp;A70&amp;" - Line "&amp;A69&amp;""</f>
        <v>Line 61 - Line 60</v>
      </c>
      <c r="F71" s="14"/>
      <c r="K71" s="7"/>
    </row>
    <row r="72" spans="1:11">
      <c r="A72" s="111">
        <f t="shared" si="0"/>
        <v>63</v>
      </c>
      <c r="B72" s="14"/>
      <c r="C72" s="942" t="s">
        <v>1849</v>
      </c>
      <c r="D72" s="63">
        <f>('1-BaseTRR'!K124+'1-BaseTRR'!K125)*0.75</f>
        <v>97438607.840361536</v>
      </c>
      <c r="E72" s="46" t="str">
        <f>"(1-BaseTRR, Line "&amp;'1-BaseTRR'!A124&amp;" + Line "&amp;'1-BaseTRR'!A125&amp;") * .75"</f>
        <v>(1-BaseTRR, Line 66 + Line 67) * .75</v>
      </c>
      <c r="F72" s="14"/>
      <c r="K72" s="7"/>
    </row>
    <row r="73" spans="1:11">
      <c r="A73" s="111">
        <f t="shared" si="0"/>
        <v>64</v>
      </c>
      <c r="B73" s="14"/>
      <c r="C73" s="365" t="s">
        <v>273</v>
      </c>
      <c r="D73" s="939">
        <f xml:space="preserve"> (D71-D72)/D40</f>
        <v>0.12530555231039717</v>
      </c>
      <c r="E73" s="46" t="str">
        <f>"(Line "&amp;A71&amp;" - Line "&amp;A72&amp;") / Line "&amp;A40&amp;""</f>
        <v>(Line 62 - Line 63) / Line 31</v>
      </c>
      <c r="F73" s="14"/>
      <c r="K73" s="7"/>
    </row>
    <row r="74" spans="1:11">
      <c r="A74" s="111">
        <f t="shared" si="0"/>
        <v>65</v>
      </c>
      <c r="B74" s="14"/>
      <c r="C74" s="14"/>
      <c r="D74" s="63"/>
      <c r="E74" s="46"/>
      <c r="F74" s="14"/>
    </row>
    <row r="75" spans="1:11">
      <c r="A75" s="111">
        <f t="shared" si="0"/>
        <v>66</v>
      </c>
      <c r="B75" s="44" t="s">
        <v>354</v>
      </c>
      <c r="C75" s="14"/>
      <c r="D75" s="14"/>
      <c r="E75" s="14"/>
      <c r="F75" s="14"/>
    </row>
    <row r="76" spans="1:11">
      <c r="A76" s="111">
        <f t="shared" si="0"/>
        <v>67</v>
      </c>
      <c r="B76" s="14"/>
      <c r="C76" s="14"/>
      <c r="D76" s="14"/>
      <c r="E76" s="14"/>
      <c r="F76" s="14"/>
    </row>
    <row r="77" spans="1:11">
      <c r="A77" s="111">
        <f t="shared" si="0"/>
        <v>68</v>
      </c>
      <c r="B77" s="14"/>
      <c r="C77" s="14"/>
      <c r="D77" s="14"/>
      <c r="E77" s="125" t="s">
        <v>205</v>
      </c>
      <c r="F77" s="14"/>
      <c r="I77" s="1"/>
    </row>
    <row r="78" spans="1:11">
      <c r="A78" s="111">
        <f t="shared" si="0"/>
        <v>69</v>
      </c>
      <c r="B78" s="14"/>
      <c r="C78" s="365" t="s">
        <v>272</v>
      </c>
      <c r="D78" s="63">
        <f>'16-PlantAdditions'!N37</f>
        <v>540379821.85890818</v>
      </c>
      <c r="E78" s="46" t="str">
        <f>"16-PlantAdditions, L "&amp;'16-PlantAdditions'!A37&amp;", C10"</f>
        <v>16-PlantAdditions, L 25, C10</v>
      </c>
      <c r="F78" s="14"/>
      <c r="K78" s="7"/>
    </row>
    <row r="79" spans="1:11">
      <c r="A79" s="111">
        <f t="shared" si="0"/>
        <v>70</v>
      </c>
      <c r="B79" s="14"/>
      <c r="C79" s="365" t="s">
        <v>273</v>
      </c>
      <c r="D79" s="943">
        <f>D73</f>
        <v>0.12530555231039717</v>
      </c>
      <c r="E79" s="46" t="str">
        <f>"Line "&amp;A73&amp;""</f>
        <v>Line 64</v>
      </c>
      <c r="F79" s="14"/>
      <c r="K79" s="706"/>
    </row>
    <row r="80" spans="1:11">
      <c r="A80" s="111">
        <f t="shared" si="0"/>
        <v>71</v>
      </c>
      <c r="B80" s="14"/>
      <c r="C80" s="365" t="s">
        <v>355</v>
      </c>
      <c r="D80" s="63">
        <f>D78*D79</f>
        <v>67712592.035424516</v>
      </c>
      <c r="E80" s="46" t="str">
        <f>"Line "&amp;A78&amp;" * Line "&amp;A79&amp;""</f>
        <v>Line 69 * Line 70</v>
      </c>
      <c r="F80" s="14"/>
      <c r="K80" s="7"/>
    </row>
    <row r="81" spans="1:11">
      <c r="A81" s="111">
        <f t="shared" si="0"/>
        <v>72</v>
      </c>
      <c r="B81" s="14"/>
      <c r="C81" s="14"/>
      <c r="D81" s="14"/>
      <c r="E81" s="14"/>
      <c r="F81" s="14"/>
      <c r="K81" s="7"/>
    </row>
    <row r="82" spans="1:11">
      <c r="A82" s="111">
        <f t="shared" si="0"/>
        <v>73</v>
      </c>
      <c r="B82" s="14"/>
      <c r="C82" s="365" t="s">
        <v>358</v>
      </c>
      <c r="D82" s="63">
        <f>'10-CWIP'!K79</f>
        <v>301458236.65036386</v>
      </c>
      <c r="E82" s="46" t="str">
        <f>"10-CWIP, L "&amp;'10-CWIP'!A79&amp;", C8"</f>
        <v>10-CWIP, L 54, C8</v>
      </c>
      <c r="F82" s="14"/>
      <c r="K82" s="7"/>
    </row>
    <row r="83" spans="1:11">
      <c r="A83" s="111">
        <f t="shared" si="0"/>
        <v>74</v>
      </c>
      <c r="B83" s="14"/>
      <c r="C83" s="365" t="s">
        <v>356</v>
      </c>
      <c r="D83" s="943">
        <f>D25</f>
        <v>0.10243581433571</v>
      </c>
      <c r="E83" s="46" t="str">
        <f>"Line "&amp;A25&amp;""</f>
        <v>Line 16</v>
      </c>
      <c r="F83" s="14"/>
      <c r="K83" s="706"/>
    </row>
    <row r="84" spans="1:11">
      <c r="A84" s="111">
        <f t="shared" si="0"/>
        <v>75</v>
      </c>
      <c r="B84" s="14"/>
      <c r="C84" s="365" t="s">
        <v>357</v>
      </c>
      <c r="D84" s="63">
        <f>D82*D83</f>
        <v>30880119.9594872</v>
      </c>
      <c r="E84" s="46" t="str">
        <f>"Line "&amp;A82&amp;" * Line "&amp;A83&amp;""</f>
        <v>Line 73 * Line 74</v>
      </c>
      <c r="F84" s="14"/>
      <c r="K84" s="7"/>
    </row>
    <row r="85" spans="1:11">
      <c r="A85" s="111">
        <f t="shared" si="0"/>
        <v>76</v>
      </c>
      <c r="B85" s="14"/>
      <c r="C85" s="14"/>
      <c r="D85" s="14"/>
      <c r="E85" s="14"/>
      <c r="F85" s="14"/>
      <c r="K85" s="7"/>
    </row>
    <row r="86" spans="1:11">
      <c r="A86" s="111">
        <f t="shared" si="0"/>
        <v>77</v>
      </c>
      <c r="B86" s="14"/>
      <c r="C86" s="365" t="s">
        <v>1453</v>
      </c>
      <c r="D86" s="63">
        <f>D80+D84</f>
        <v>98592711.994911715</v>
      </c>
      <c r="E86" s="46" t="str">
        <f>"Line "&amp;A80&amp;" + Line "&amp;A84&amp;""</f>
        <v>Line 71 + Line 75</v>
      </c>
      <c r="F86" s="14"/>
      <c r="K86" s="7"/>
    </row>
    <row r="87" spans="1:11">
      <c r="A87" s="111">
        <f t="shared" si="0"/>
        <v>78</v>
      </c>
      <c r="B87" s="14"/>
      <c r="C87" s="14"/>
      <c r="D87" s="14"/>
      <c r="E87" s="14"/>
      <c r="F87" s="14"/>
      <c r="K87" s="7"/>
    </row>
    <row r="88" spans="1:11">
      <c r="A88" s="111">
        <f t="shared" ref="A88:A91" si="1">A87+1</f>
        <v>79</v>
      </c>
      <c r="B88" s="14"/>
      <c r="C88" s="365" t="s">
        <v>1454</v>
      </c>
      <c r="D88" s="63">
        <f>'28-FFU'!D22*D86</f>
        <v>907614.92881155887</v>
      </c>
      <c r="E88" s="114" t="str">
        <f>"Line "&amp;A86&amp;" * FF (from 28-FFU, L "&amp;'28-FFU'!A22&amp;")"</f>
        <v>Line 77 * FF (from 28-FFU, L 5)</v>
      </c>
      <c r="F88" s="14"/>
      <c r="K88" s="7"/>
    </row>
    <row r="89" spans="1:11">
      <c r="A89" s="111">
        <f t="shared" si="1"/>
        <v>80</v>
      </c>
      <c r="B89" s="14"/>
      <c r="C89" s="79" t="s">
        <v>1455</v>
      </c>
      <c r="D89" s="63">
        <f>'28-FFU'!E22*D86</f>
        <v>237371.81339894945</v>
      </c>
      <c r="E89" s="114" t="str">
        <f>"Line "&amp;A86&amp;" * U (from 28-FFU, L "&amp;'28-FFU'!A22&amp;")"</f>
        <v>Line 77 * U (from 28-FFU, L 5)</v>
      </c>
      <c r="F89" s="14"/>
      <c r="K89" s="7"/>
    </row>
    <row r="90" spans="1:11">
      <c r="A90" s="111">
        <f t="shared" si="1"/>
        <v>81</v>
      </c>
      <c r="B90" s="14"/>
      <c r="C90" s="14"/>
      <c r="D90" s="63"/>
      <c r="E90" s="14"/>
      <c r="F90" s="14"/>
      <c r="K90" s="7"/>
    </row>
    <row r="91" spans="1:11">
      <c r="A91" s="111">
        <f t="shared" si="1"/>
        <v>82</v>
      </c>
      <c r="B91" s="14"/>
      <c r="C91" s="79" t="s">
        <v>359</v>
      </c>
      <c r="D91" s="63">
        <f>D86+D88+D89</f>
        <v>99737698.737122223</v>
      </c>
      <c r="E91" s="46" t="str">
        <f>"Line "&amp;A86&amp;" + Line "&amp;A88&amp;" + Line "&amp;A89&amp;""</f>
        <v>Line 77 + Line 79 + Line 80</v>
      </c>
      <c r="F91" s="14"/>
      <c r="K91" s="7"/>
    </row>
  </sheetData>
  <phoneticPr fontId="22" type="noConversion"/>
  <pageMargins left="0.75" right="0.75" top="1" bottom="1" header="0.5" footer="0.5"/>
  <pageSetup scale="75" orientation="portrait" cellComments="asDisplayed" r:id="rId1"/>
  <headerFooter alignWithMargins="0">
    <oddHeader>&amp;CSchedule 2
Incremental Forecast Period TRR
&amp;RTO2019 Draft Annual Update 
Attachment1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7"/>
  <sheetViews>
    <sheetView zoomScaleNormal="100" workbookViewId="0">
      <selection activeCell="D7" sqref="D7"/>
    </sheetView>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1697</v>
      </c>
      <c r="B1" s="232"/>
      <c r="C1" s="232"/>
      <c r="D1" s="232"/>
      <c r="E1" s="232"/>
      <c r="F1" s="232"/>
      <c r="G1" s="232"/>
      <c r="H1" s="232"/>
      <c r="I1" s="232"/>
      <c r="J1" s="232"/>
      <c r="K1" s="232"/>
      <c r="L1" s="232"/>
    </row>
    <row r="2" spans="1:12">
      <c r="A2" s="232"/>
      <c r="B2" s="232"/>
      <c r="C2" s="232"/>
      <c r="D2" s="232"/>
      <c r="E2" s="232"/>
      <c r="F2" s="232"/>
      <c r="G2" s="232"/>
      <c r="H2" s="232"/>
      <c r="I2" s="232"/>
      <c r="J2" s="232"/>
      <c r="K2" s="232"/>
      <c r="L2" s="232"/>
    </row>
    <row r="3" spans="1:12">
      <c r="A3" s="232"/>
      <c r="B3" s="1" t="s">
        <v>496</v>
      </c>
      <c r="C3" s="232"/>
      <c r="D3" s="232"/>
      <c r="E3" s="232"/>
      <c r="F3" s="232"/>
      <c r="G3" s="232"/>
      <c r="H3" s="232"/>
      <c r="I3" s="232"/>
      <c r="J3" s="232"/>
      <c r="K3" s="232"/>
      <c r="L3" s="232"/>
    </row>
    <row r="4" spans="1:12">
      <c r="A4" s="232"/>
      <c r="B4" s="487" t="s">
        <v>2317</v>
      </c>
      <c r="C4" s="232"/>
      <c r="D4" s="232"/>
      <c r="E4" s="232"/>
      <c r="F4" s="232"/>
      <c r="G4" s="232"/>
      <c r="H4" s="232"/>
      <c r="I4" s="232"/>
      <c r="J4" s="232"/>
      <c r="K4" s="232"/>
      <c r="L4" s="232"/>
    </row>
    <row r="5" spans="1:12">
      <c r="A5" s="232"/>
      <c r="B5" s="13" t="s">
        <v>1500</v>
      </c>
      <c r="C5" s="232"/>
      <c r="D5" s="232"/>
      <c r="E5" s="232"/>
      <c r="F5" s="232"/>
      <c r="G5" s="232"/>
      <c r="H5" s="232"/>
      <c r="I5" s="232"/>
      <c r="J5" s="232"/>
      <c r="K5" s="232"/>
      <c r="L5" s="232"/>
    </row>
    <row r="6" spans="1:12">
      <c r="A6" s="232"/>
      <c r="B6" s="487" t="s">
        <v>1063</v>
      </c>
      <c r="C6" s="232"/>
      <c r="D6" s="232"/>
      <c r="E6" s="232"/>
      <c r="F6" s="232"/>
      <c r="G6" s="232"/>
      <c r="H6" s="232"/>
      <c r="I6" s="232"/>
      <c r="J6" s="232"/>
      <c r="K6" s="232"/>
      <c r="L6" s="232"/>
    </row>
    <row r="7" spans="1:12">
      <c r="A7" s="232"/>
      <c r="B7" s="487" t="str">
        <f>"d) Include previous Annual Update Cumulative Excess or Shortfall in Prior Year (from Previous Annual Update Line "&amp;A36&amp;")"</f>
        <v>d) Include previous Annual Update Cumulative Excess or Shortfall in Prior Year (from Previous Annual Update Line 23)</v>
      </c>
      <c r="C7" s="232"/>
      <c r="D7" s="232"/>
      <c r="E7" s="232"/>
      <c r="F7" s="232"/>
      <c r="G7" s="232"/>
      <c r="H7" s="232"/>
      <c r="I7" s="232"/>
      <c r="J7" s="232"/>
      <c r="K7" s="232"/>
      <c r="L7" s="232"/>
    </row>
    <row r="8" spans="1:12">
      <c r="A8" s="232"/>
      <c r="B8" s="1184" t="str">
        <f>"and any One-Time Adjustments in Column 4 (Lines "&amp;A24&amp;" and "&amp;A25&amp;" respectively)."</f>
        <v>and any One-Time Adjustments in Column 4 (Lines 11 and 12 respectively).</v>
      </c>
      <c r="C8" s="232"/>
      <c r="D8" s="232"/>
      <c r="E8" s="232"/>
      <c r="F8" s="232"/>
      <c r="G8" s="232"/>
      <c r="H8" s="232"/>
      <c r="I8" s="232"/>
      <c r="J8" s="232"/>
      <c r="K8" s="232"/>
      <c r="L8" s="232"/>
    </row>
    <row r="9" spans="1:12">
      <c r="A9" s="232"/>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2"/>
      <c r="D9" s="232"/>
      <c r="E9" s="232"/>
      <c r="F9" s="232"/>
      <c r="G9" s="232"/>
      <c r="H9" s="232"/>
      <c r="I9" s="232"/>
      <c r="J9" s="232"/>
      <c r="K9" s="232"/>
      <c r="L9" s="232"/>
    </row>
    <row r="10" spans="1:12">
      <c r="A10" s="232"/>
      <c r="B10" s="232"/>
      <c r="C10" s="232"/>
      <c r="D10" s="232"/>
      <c r="E10" s="232"/>
      <c r="F10" s="232"/>
      <c r="G10" s="232"/>
      <c r="H10" s="232"/>
      <c r="I10" s="232"/>
      <c r="J10" s="232"/>
      <c r="K10" s="232"/>
      <c r="L10" s="232"/>
    </row>
    <row r="11" spans="1:12">
      <c r="A11" s="2"/>
      <c r="B11" s="83" t="s">
        <v>1501</v>
      </c>
      <c r="C11" s="232"/>
      <c r="D11" s="233"/>
      <c r="E11" s="234"/>
      <c r="F11" s="232"/>
      <c r="G11" s="232"/>
      <c r="H11" s="232"/>
      <c r="I11" s="232"/>
      <c r="J11" s="232"/>
      <c r="K11" s="101"/>
      <c r="L11" s="232"/>
    </row>
    <row r="12" spans="1:12" s="14" customFormat="1">
      <c r="A12" s="111"/>
      <c r="B12" s="1013" t="s">
        <v>2318</v>
      </c>
      <c r="C12" s="241"/>
      <c r="D12" s="958"/>
      <c r="E12" s="236"/>
      <c r="F12" s="241"/>
      <c r="G12" s="241"/>
      <c r="H12" s="241"/>
      <c r="I12" s="241"/>
      <c r="J12" s="241"/>
      <c r="K12" s="241"/>
      <c r="L12" s="241"/>
    </row>
    <row r="13" spans="1:12">
      <c r="A13" s="53" t="s">
        <v>322</v>
      </c>
      <c r="B13" s="232"/>
      <c r="C13" s="83"/>
      <c r="D13" s="233"/>
      <c r="E13" s="234"/>
      <c r="F13" s="3"/>
      <c r="G13" s="232"/>
      <c r="H13" s="232"/>
      <c r="I13" s="232"/>
      <c r="J13" s="232"/>
      <c r="K13" s="232"/>
      <c r="L13" s="232"/>
    </row>
    <row r="14" spans="1:12">
      <c r="A14" s="2">
        <f>A7+1</f>
        <v>1</v>
      </c>
      <c r="B14" s="232"/>
      <c r="C14" s="232"/>
      <c r="D14" s="508" t="s">
        <v>1499</v>
      </c>
      <c r="E14" s="234">
        <f>'4-TUTRR'!E72</f>
        <v>946315306.49320924</v>
      </c>
      <c r="F14" s="509" t="s">
        <v>1800</v>
      </c>
      <c r="G14" s="241"/>
      <c r="H14" s="232" t="str">
        <f>"Line "&amp;'4-TUTRR'!A72&amp;""</f>
        <v>Line 46</v>
      </c>
      <c r="I14" s="232"/>
      <c r="J14" s="232"/>
      <c r="K14" s="232"/>
      <c r="L14" s="232"/>
    </row>
    <row r="15" spans="1:12">
      <c r="A15" s="2">
        <f>A14+1</f>
        <v>2</v>
      </c>
      <c r="B15" s="83"/>
      <c r="C15" s="232"/>
      <c r="D15" s="232"/>
      <c r="E15" s="232"/>
      <c r="F15" s="232"/>
      <c r="G15" s="232"/>
      <c r="H15" s="234"/>
      <c r="I15" s="232"/>
      <c r="J15" s="232"/>
      <c r="K15" s="232"/>
      <c r="L15" s="232"/>
    </row>
    <row r="16" spans="1:12">
      <c r="A16" s="2">
        <f t="shared" ref="A16:A50" si="0">A15+1</f>
        <v>3</v>
      </c>
      <c r="B16" s="232"/>
      <c r="C16" s="232"/>
      <c r="D16" s="84" t="s">
        <v>363</v>
      </c>
      <c r="E16" s="84" t="s">
        <v>347</v>
      </c>
      <c r="F16" s="84" t="s">
        <v>348</v>
      </c>
      <c r="G16" s="84" t="s">
        <v>349</v>
      </c>
      <c r="H16" s="84" t="s">
        <v>350</v>
      </c>
      <c r="I16" s="84" t="s">
        <v>351</v>
      </c>
      <c r="J16" s="84" t="s">
        <v>352</v>
      </c>
      <c r="K16" s="84" t="s">
        <v>544</v>
      </c>
      <c r="L16" s="84" t="s">
        <v>961</v>
      </c>
    </row>
    <row r="17" spans="1:12">
      <c r="A17" s="2">
        <f t="shared" si="0"/>
        <v>4</v>
      </c>
      <c r="B17" s="232"/>
      <c r="C17" s="233" t="s">
        <v>962</v>
      </c>
      <c r="D17" s="84"/>
      <c r="E17" s="87" t="s">
        <v>211</v>
      </c>
      <c r="F17" s="87" t="s">
        <v>284</v>
      </c>
      <c r="G17" s="87" t="s">
        <v>963</v>
      </c>
      <c r="H17" s="96" t="s">
        <v>533</v>
      </c>
      <c r="I17" s="87" t="s">
        <v>964</v>
      </c>
      <c r="J17" s="87" t="s">
        <v>531</v>
      </c>
      <c r="K17" s="87" t="s">
        <v>532</v>
      </c>
      <c r="L17" s="96" t="s">
        <v>965</v>
      </c>
    </row>
    <row r="18" spans="1:12">
      <c r="A18" s="2">
        <f t="shared" si="0"/>
        <v>5</v>
      </c>
      <c r="B18" s="232"/>
      <c r="C18" s="232"/>
      <c r="D18" s="84"/>
      <c r="G18" s="4" t="s">
        <v>2319</v>
      </c>
      <c r="I18" s="84"/>
      <c r="J18" s="2" t="s">
        <v>204</v>
      </c>
      <c r="K18" s="84"/>
      <c r="L18" s="84"/>
    </row>
    <row r="19" spans="1:12">
      <c r="A19" s="2">
        <f t="shared" si="0"/>
        <v>6</v>
      </c>
      <c r="B19" s="232"/>
      <c r="C19" s="232"/>
      <c r="D19" s="84"/>
      <c r="G19" s="461" t="s">
        <v>2320</v>
      </c>
      <c r="I19" s="232"/>
      <c r="J19" s="2" t="s">
        <v>30</v>
      </c>
      <c r="K19" s="232"/>
      <c r="L19" s="2" t="s">
        <v>204</v>
      </c>
    </row>
    <row r="20" spans="1:12">
      <c r="A20" s="2">
        <f t="shared" si="0"/>
        <v>7</v>
      </c>
      <c r="B20" s="232"/>
      <c r="C20" s="232"/>
      <c r="D20" s="84"/>
      <c r="F20" s="2" t="s">
        <v>510</v>
      </c>
      <c r="G20" s="580" t="s">
        <v>2321</v>
      </c>
      <c r="H20" s="2" t="s">
        <v>19</v>
      </c>
      <c r="I20" s="232"/>
      <c r="J20" s="2" t="s">
        <v>31</v>
      </c>
      <c r="K20" s="232"/>
      <c r="L20" s="2" t="s">
        <v>30</v>
      </c>
    </row>
    <row r="21" spans="1:12">
      <c r="A21" s="2">
        <f t="shared" si="0"/>
        <v>8</v>
      </c>
      <c r="B21" s="232"/>
      <c r="C21" s="232"/>
      <c r="D21" s="2"/>
      <c r="E21" s="2" t="s">
        <v>19</v>
      </c>
      <c r="F21" s="2" t="s">
        <v>529</v>
      </c>
      <c r="G21" s="580" t="s">
        <v>2322</v>
      </c>
      <c r="H21" s="2" t="s">
        <v>30</v>
      </c>
      <c r="I21" s="2" t="s">
        <v>19</v>
      </c>
      <c r="J21" s="2" t="s">
        <v>22</v>
      </c>
      <c r="K21" s="235" t="s">
        <v>23</v>
      </c>
      <c r="L21" s="2" t="s">
        <v>31</v>
      </c>
    </row>
    <row r="22" spans="1:12">
      <c r="A22" s="2">
        <f t="shared" si="0"/>
        <v>9</v>
      </c>
      <c r="B22" s="232"/>
      <c r="C22" s="232"/>
      <c r="D22" s="2"/>
      <c r="E22" s="2" t="s">
        <v>281</v>
      </c>
      <c r="F22" s="2" t="s">
        <v>309</v>
      </c>
      <c r="G22" s="580" t="s">
        <v>966</v>
      </c>
      <c r="H22" s="2" t="s">
        <v>31</v>
      </c>
      <c r="I22" s="2" t="s">
        <v>23</v>
      </c>
      <c r="J22" s="2" t="s">
        <v>1064</v>
      </c>
      <c r="K22" s="2" t="s">
        <v>1065</v>
      </c>
      <c r="L22" s="2" t="s">
        <v>22</v>
      </c>
    </row>
    <row r="23" spans="1:12" s="14" customFormat="1">
      <c r="A23" s="111">
        <f t="shared" si="0"/>
        <v>10</v>
      </c>
      <c r="B23" s="241"/>
      <c r="C23" s="29" t="s">
        <v>192</v>
      </c>
      <c r="D23" s="29" t="s">
        <v>193</v>
      </c>
      <c r="E23" s="125" t="s">
        <v>967</v>
      </c>
      <c r="F23" s="125" t="s">
        <v>21</v>
      </c>
      <c r="G23" s="125" t="s">
        <v>2323</v>
      </c>
      <c r="H23" s="125" t="s">
        <v>22</v>
      </c>
      <c r="I23" s="125" t="s">
        <v>13</v>
      </c>
      <c r="J23" s="125" t="s">
        <v>1066</v>
      </c>
      <c r="K23" s="125" t="s">
        <v>192</v>
      </c>
      <c r="L23" s="125" t="s">
        <v>968</v>
      </c>
    </row>
    <row r="24" spans="1:12" s="1075" customFormat="1">
      <c r="A24" s="580">
        <f>A23+1</f>
        <v>11</v>
      </c>
      <c r="B24" s="232"/>
      <c r="C24" s="518" t="s">
        <v>180</v>
      </c>
      <c r="D24" s="148">
        <v>2016</v>
      </c>
      <c r="E24" s="240" t="s">
        <v>76</v>
      </c>
      <c r="F24" s="240" t="s">
        <v>76</v>
      </c>
      <c r="G24" s="1114">
        <v>56501075</v>
      </c>
      <c r="H24" s="234">
        <f>G24</f>
        <v>56501075</v>
      </c>
      <c r="I24" s="240" t="s">
        <v>76</v>
      </c>
      <c r="J24" s="239">
        <f>H24</f>
        <v>56501075</v>
      </c>
      <c r="K24" s="240" t="s">
        <v>76</v>
      </c>
      <c r="L24" s="1175">
        <f>J24</f>
        <v>56501075</v>
      </c>
    </row>
    <row r="25" spans="1:12">
      <c r="A25" s="580">
        <f t="shared" ref="A25:A36" si="1">A24+1</f>
        <v>12</v>
      </c>
      <c r="B25" s="232"/>
      <c r="C25" s="20" t="s">
        <v>181</v>
      </c>
      <c r="D25" s="148">
        <v>2017</v>
      </c>
      <c r="E25" s="245">
        <f>$E$14/12</f>
        <v>78859608.874434099</v>
      </c>
      <c r="F25" s="236">
        <f>C77</f>
        <v>88876405.790000007</v>
      </c>
      <c r="G25" s="1114">
        <v>137651.71354579926</v>
      </c>
      <c r="H25" s="234">
        <f>E25-F25+G25</f>
        <v>-9879145.2020201087</v>
      </c>
      <c r="I25" s="238">
        <v>2.8999999999999998E-3</v>
      </c>
      <c r="J25" s="239">
        <f>L24+H25</f>
        <v>46621929.797979891</v>
      </c>
      <c r="K25" s="239">
        <f>((L24+J25)/2)*I25</f>
        <v>149528.35695707082</v>
      </c>
      <c r="L25" s="239">
        <f>J25+K25</f>
        <v>46771458.154936962</v>
      </c>
    </row>
    <row r="26" spans="1:12">
      <c r="A26" s="580">
        <f t="shared" si="1"/>
        <v>13</v>
      </c>
      <c r="B26" s="232"/>
      <c r="C26" s="21" t="s">
        <v>182</v>
      </c>
      <c r="D26" s="148">
        <v>2017</v>
      </c>
      <c r="E26" s="245">
        <f t="shared" ref="E26:E36" si="2">$E$14/12</f>
        <v>78859608.874434099</v>
      </c>
      <c r="F26" s="236">
        <f t="shared" ref="F26:F36" si="3">C78</f>
        <v>76214393.859999999</v>
      </c>
      <c r="G26" s="367"/>
      <c r="H26" s="234">
        <f t="shared" ref="H26:H35" si="4">E26-F26+G26</f>
        <v>2645215.0144340992</v>
      </c>
      <c r="I26" s="238">
        <v>2.8999999999999998E-3</v>
      </c>
      <c r="J26" s="239">
        <f>L25+H26</f>
        <v>49416673.169371061</v>
      </c>
      <c r="K26" s="239">
        <f>((L25+J26)/2)*I26</f>
        <v>139472.79042024663</v>
      </c>
      <c r="L26" s="239">
        <f t="shared" ref="L26:L36" si="5">J26+K26</f>
        <v>49556145.95979131</v>
      </c>
    </row>
    <row r="27" spans="1:12">
      <c r="A27" s="580">
        <f t="shared" si="1"/>
        <v>14</v>
      </c>
      <c r="B27" s="232"/>
      <c r="C27" s="21" t="s">
        <v>195</v>
      </c>
      <c r="D27" s="148">
        <v>2017</v>
      </c>
      <c r="E27" s="245">
        <f t="shared" si="2"/>
        <v>78859608.874434099</v>
      </c>
      <c r="F27" s="236">
        <f t="shared" si="3"/>
        <v>88623013.280000001</v>
      </c>
      <c r="G27" s="367"/>
      <c r="H27" s="234">
        <f t="shared" si="4"/>
        <v>-9763404.4055659026</v>
      </c>
      <c r="I27" s="238">
        <v>2.8999999999999998E-3</v>
      </c>
      <c r="J27" s="239">
        <f t="shared" ref="J27:J36" si="6">L26+H27</f>
        <v>39792741.554225408</v>
      </c>
      <c r="K27" s="239">
        <f t="shared" ref="K27:K36" si="7">((L26+J27)/2)*I27</f>
        <v>129555.88689532423</v>
      </c>
      <c r="L27" s="239">
        <f t="shared" si="5"/>
        <v>39922297.441120729</v>
      </c>
    </row>
    <row r="28" spans="1:12">
      <c r="A28" s="580">
        <f t="shared" si="1"/>
        <v>15</v>
      </c>
      <c r="B28" s="232"/>
      <c r="C28" s="20" t="s">
        <v>183</v>
      </c>
      <c r="D28" s="148">
        <v>2017</v>
      </c>
      <c r="E28" s="245">
        <f t="shared" si="2"/>
        <v>78859608.874434099</v>
      </c>
      <c r="F28" s="236">
        <f t="shared" si="3"/>
        <v>83996141.510000005</v>
      </c>
      <c r="G28" s="367"/>
      <c r="H28" s="234">
        <f t="shared" si="4"/>
        <v>-5136532.6355659068</v>
      </c>
      <c r="I28" s="238">
        <v>3.0999999999999999E-3</v>
      </c>
      <c r="J28" s="239">
        <f t="shared" si="6"/>
        <v>34785764.805554822</v>
      </c>
      <c r="K28" s="239">
        <f t="shared" si="7"/>
        <v>115797.49648234709</v>
      </c>
      <c r="L28" s="239">
        <f t="shared" si="5"/>
        <v>34901562.302037172</v>
      </c>
    </row>
    <row r="29" spans="1:12">
      <c r="A29" s="580">
        <f t="shared" si="1"/>
        <v>16</v>
      </c>
      <c r="B29" s="232"/>
      <c r="C29" s="21" t="s">
        <v>184</v>
      </c>
      <c r="D29" s="148">
        <v>2017</v>
      </c>
      <c r="E29" s="245">
        <f t="shared" si="2"/>
        <v>78859608.874434099</v>
      </c>
      <c r="F29" s="236">
        <f t="shared" si="3"/>
        <v>92695249.209999993</v>
      </c>
      <c r="G29" s="367"/>
      <c r="H29" s="234">
        <f t="shared" si="4"/>
        <v>-13835640.335565895</v>
      </c>
      <c r="I29" s="238">
        <v>3.0999999999999999E-3</v>
      </c>
      <c r="J29" s="239">
        <f t="shared" si="6"/>
        <v>21065921.966471277</v>
      </c>
      <c r="K29" s="239">
        <f t="shared" si="7"/>
        <v>86749.600616188094</v>
      </c>
      <c r="L29" s="239">
        <f t="shared" si="5"/>
        <v>21152671.567087464</v>
      </c>
    </row>
    <row r="30" spans="1:12">
      <c r="A30" s="580">
        <f t="shared" si="1"/>
        <v>17</v>
      </c>
      <c r="B30" s="232"/>
      <c r="C30" s="21" t="s">
        <v>185</v>
      </c>
      <c r="D30" s="148">
        <v>2017</v>
      </c>
      <c r="E30" s="245">
        <f t="shared" si="2"/>
        <v>78859608.874434099</v>
      </c>
      <c r="F30" s="236">
        <f t="shared" si="3"/>
        <v>104845652.2</v>
      </c>
      <c r="G30" s="367"/>
      <c r="H30" s="234">
        <f t="shared" si="4"/>
        <v>-25986043.325565904</v>
      </c>
      <c r="I30" s="238">
        <v>3.0999999999999999E-3</v>
      </c>
      <c r="J30" s="239">
        <f t="shared" si="6"/>
        <v>-4833371.7584784403</v>
      </c>
      <c r="K30" s="239">
        <f t="shared" si="7"/>
        <v>25294.914703343988</v>
      </c>
      <c r="L30" s="239">
        <f t="shared" si="5"/>
        <v>-4808076.8437750963</v>
      </c>
    </row>
    <row r="31" spans="1:12">
      <c r="A31" s="580">
        <f t="shared" si="1"/>
        <v>18</v>
      </c>
      <c r="B31" s="232"/>
      <c r="C31" s="20" t="s">
        <v>186</v>
      </c>
      <c r="D31" s="148">
        <v>2017</v>
      </c>
      <c r="E31" s="245">
        <f t="shared" si="2"/>
        <v>78859608.874434099</v>
      </c>
      <c r="F31" s="236">
        <f t="shared" si="3"/>
        <v>123594050.2</v>
      </c>
      <c r="G31" s="367"/>
      <c r="H31" s="234">
        <f t="shared" si="4"/>
        <v>-44734441.325565904</v>
      </c>
      <c r="I31" s="238">
        <v>3.3E-3</v>
      </c>
      <c r="J31" s="239">
        <f t="shared" si="6"/>
        <v>-49542518.169340998</v>
      </c>
      <c r="K31" s="239">
        <f t="shared" si="7"/>
        <v>-89678.481771641556</v>
      </c>
      <c r="L31" s="239">
        <f t="shared" si="5"/>
        <v>-49632196.651112638</v>
      </c>
    </row>
    <row r="32" spans="1:12">
      <c r="A32" s="580">
        <f t="shared" si="1"/>
        <v>19</v>
      </c>
      <c r="B32" s="232"/>
      <c r="C32" s="21" t="s">
        <v>187</v>
      </c>
      <c r="D32" s="148">
        <v>2017</v>
      </c>
      <c r="E32" s="245">
        <f t="shared" si="2"/>
        <v>78859608.874434099</v>
      </c>
      <c r="F32" s="236">
        <f t="shared" si="3"/>
        <v>125785395.62</v>
      </c>
      <c r="G32" s="367"/>
      <c r="H32" s="234">
        <f t="shared" si="4"/>
        <v>-46925786.745565906</v>
      </c>
      <c r="I32" s="238">
        <v>3.3E-3</v>
      </c>
      <c r="J32" s="239">
        <f t="shared" si="6"/>
        <v>-96557983.396678537</v>
      </c>
      <c r="K32" s="239">
        <f t="shared" si="7"/>
        <v>-241213.79707885545</v>
      </c>
      <c r="L32" s="239">
        <f t="shared" si="5"/>
        <v>-96799197.1937574</v>
      </c>
    </row>
    <row r="33" spans="1:12">
      <c r="A33" s="580">
        <f t="shared" si="1"/>
        <v>20</v>
      </c>
      <c r="B33" s="232"/>
      <c r="C33" s="21" t="s">
        <v>188</v>
      </c>
      <c r="D33" s="148">
        <v>2017</v>
      </c>
      <c r="E33" s="245">
        <f t="shared" si="2"/>
        <v>78859608.874434099</v>
      </c>
      <c r="F33" s="236">
        <f t="shared" si="3"/>
        <v>106851758.05</v>
      </c>
      <c r="G33" s="367"/>
      <c r="H33" s="234">
        <f t="shared" si="4"/>
        <v>-27992149.175565898</v>
      </c>
      <c r="I33" s="238">
        <v>3.3E-3</v>
      </c>
      <c r="J33" s="239">
        <f t="shared" si="6"/>
        <v>-124791346.3693233</v>
      </c>
      <c r="K33" s="239">
        <f t="shared" si="7"/>
        <v>-365624.39687908313</v>
      </c>
      <c r="L33" s="239">
        <f t="shared" si="5"/>
        <v>-125156970.76620238</v>
      </c>
    </row>
    <row r="34" spans="1:12">
      <c r="A34" s="580">
        <f t="shared" si="1"/>
        <v>21</v>
      </c>
      <c r="B34" s="232"/>
      <c r="C34" s="20" t="s">
        <v>191</v>
      </c>
      <c r="D34" s="148">
        <v>2017</v>
      </c>
      <c r="E34" s="245">
        <f t="shared" si="2"/>
        <v>78859608.874434099</v>
      </c>
      <c r="F34" s="236">
        <f t="shared" si="3"/>
        <v>100653472.02</v>
      </c>
      <c r="G34" s="367"/>
      <c r="H34" s="234">
        <f t="shared" si="4"/>
        <v>-21793863.145565897</v>
      </c>
      <c r="I34" s="238">
        <v>3.5000000000000001E-3</v>
      </c>
      <c r="J34" s="239">
        <f t="shared" si="6"/>
        <v>-146950833.91176826</v>
      </c>
      <c r="K34" s="239">
        <f t="shared" si="7"/>
        <v>-476188.65818644862</v>
      </c>
      <c r="L34" s="239">
        <f t="shared" si="5"/>
        <v>-147427022.56995469</v>
      </c>
    </row>
    <row r="35" spans="1:12">
      <c r="A35" s="580">
        <f t="shared" si="1"/>
        <v>22</v>
      </c>
      <c r="B35" s="232"/>
      <c r="C35" s="20" t="s">
        <v>190</v>
      </c>
      <c r="D35" s="148">
        <v>2017</v>
      </c>
      <c r="E35" s="245">
        <f t="shared" si="2"/>
        <v>78859608.874434099</v>
      </c>
      <c r="F35" s="236">
        <f t="shared" si="3"/>
        <v>88159107.019999996</v>
      </c>
      <c r="G35" s="367"/>
      <c r="H35" s="234">
        <f t="shared" si="4"/>
        <v>-9299498.1455658972</v>
      </c>
      <c r="I35" s="238">
        <v>3.5000000000000001E-3</v>
      </c>
      <c r="J35" s="239">
        <f t="shared" si="6"/>
        <v>-156726520.71552059</v>
      </c>
      <c r="K35" s="239">
        <f t="shared" si="7"/>
        <v>-532268.70074958168</v>
      </c>
      <c r="L35" s="239">
        <f t="shared" si="5"/>
        <v>-157258789.41627017</v>
      </c>
    </row>
    <row r="36" spans="1:12">
      <c r="A36" s="580">
        <f t="shared" si="1"/>
        <v>23</v>
      </c>
      <c r="B36" s="232"/>
      <c r="C36" s="21" t="s">
        <v>180</v>
      </c>
      <c r="D36" s="148">
        <v>2017</v>
      </c>
      <c r="E36" s="245">
        <f t="shared" si="2"/>
        <v>78859608.874434099</v>
      </c>
      <c r="F36" s="236">
        <f t="shared" si="3"/>
        <v>89149113.290000007</v>
      </c>
      <c r="G36" s="367">
        <v>69247490</v>
      </c>
      <c r="H36" s="234">
        <f>E36-F36+G36</f>
        <v>58957985.584434092</v>
      </c>
      <c r="I36" s="238">
        <v>3.5000000000000001E-3</v>
      </c>
      <c r="J36" s="239">
        <f t="shared" si="6"/>
        <v>-98300803.831836075</v>
      </c>
      <c r="K36" s="239">
        <f t="shared" si="7"/>
        <v>-447229.28818418592</v>
      </c>
      <c r="L36" s="239">
        <f t="shared" si="5"/>
        <v>-98748033.120020255</v>
      </c>
    </row>
    <row r="37" spans="1:12">
      <c r="A37" s="111"/>
      <c r="B37" s="232"/>
      <c r="C37" s="21"/>
      <c r="D37" s="24"/>
      <c r="E37" s="232"/>
      <c r="F37" s="245"/>
      <c r="G37" s="242"/>
      <c r="H37" s="380"/>
      <c r="I37" s="232"/>
      <c r="J37" s="232"/>
      <c r="K37" s="232"/>
      <c r="L37" s="232"/>
    </row>
    <row r="38" spans="1:12" s="14" customFormat="1">
      <c r="A38" s="111">
        <f>A36+1</f>
        <v>24</v>
      </c>
      <c r="B38" s="44" t="s">
        <v>497</v>
      </c>
      <c r="C38" s="21"/>
      <c r="D38" s="24"/>
      <c r="E38" s="241"/>
      <c r="F38" s="482"/>
      <c r="G38" s="242"/>
      <c r="H38" s="979"/>
      <c r="I38" s="241"/>
      <c r="J38" s="241"/>
      <c r="K38" s="241"/>
      <c r="L38" s="241"/>
    </row>
    <row r="39" spans="1:12">
      <c r="A39" s="111">
        <f t="shared" si="0"/>
        <v>25</v>
      </c>
      <c r="B39" s="1"/>
      <c r="C39" s="21"/>
      <c r="D39" s="24"/>
      <c r="E39" s="232"/>
      <c r="F39" s="515" t="s">
        <v>232</v>
      </c>
      <c r="G39" s="242"/>
      <c r="H39" s="245"/>
      <c r="I39" s="232"/>
      <c r="J39" s="232"/>
      <c r="K39" s="232"/>
      <c r="L39" s="232"/>
    </row>
    <row r="40" spans="1:12">
      <c r="A40" s="111">
        <f t="shared" si="0"/>
        <v>26</v>
      </c>
      <c r="B40" s="232"/>
      <c r="C40" s="21"/>
      <c r="D40" s="233" t="s">
        <v>1069</v>
      </c>
      <c r="E40" s="234">
        <f>L36</f>
        <v>-98748033.120020255</v>
      </c>
      <c r="F40" s="482" t="str">
        <f>"Line "&amp;A36&amp;", Column 9"</f>
        <v>Line 23, Column 9</v>
      </c>
      <c r="G40" s="242"/>
      <c r="H40" s="245"/>
      <c r="I40" s="232"/>
      <c r="J40" s="232"/>
      <c r="K40" s="232"/>
      <c r="L40" s="232"/>
    </row>
    <row r="41" spans="1:12" s="1075" customFormat="1">
      <c r="A41" s="111">
        <f t="shared" si="0"/>
        <v>27</v>
      </c>
      <c r="B41" s="232"/>
      <c r="C41" s="21"/>
      <c r="D41" s="481" t="s">
        <v>2324</v>
      </c>
      <c r="E41" s="1176">
        <v>-39617211.828272499</v>
      </c>
      <c r="F41" s="482" t="str">
        <f>"Previous Annual Update Schedule 3, Line "&amp;A44&amp;""</f>
        <v>Previous Annual Update Schedule 3, Line 30</v>
      </c>
      <c r="G41" s="242"/>
      <c r="H41" s="245"/>
      <c r="J41" s="233" t="s">
        <v>2649</v>
      </c>
      <c r="K41" s="1078" t="s">
        <v>2728</v>
      </c>
      <c r="L41" s="1078"/>
    </row>
    <row r="42" spans="1:12" s="1075" customFormat="1">
      <c r="A42" s="111">
        <f t="shared" si="0"/>
        <v>28</v>
      </c>
      <c r="B42" s="232"/>
      <c r="C42" s="21"/>
      <c r="D42" s="481" t="s">
        <v>2325</v>
      </c>
      <c r="E42" s="1243">
        <f>E40-E41</f>
        <v>-59130821.291747756</v>
      </c>
      <c r="F42" s="482" t="str">
        <f>"Line "&amp;A40&amp;" - Line "&amp;A41&amp;""</f>
        <v>Line 26 - Line 27</v>
      </c>
      <c r="G42" s="242"/>
      <c r="H42" s="245"/>
      <c r="J42" s="482"/>
      <c r="K42" s="1078"/>
      <c r="L42" s="1078"/>
    </row>
    <row r="43" spans="1:12" s="1075" customFormat="1" ht="15">
      <c r="A43" s="111">
        <f t="shared" si="0"/>
        <v>29</v>
      </c>
      <c r="B43" s="232"/>
      <c r="C43" s="21"/>
      <c r="D43" s="481" t="s">
        <v>2326</v>
      </c>
      <c r="E43" s="1242">
        <f>E42*I36*18</f>
        <v>-3725241.741380109</v>
      </c>
      <c r="F43" s="482" t="str">
        <f>"Line "&amp;A42&amp;" * (Line "&amp;A36&amp;", Column 6) * 18 months"</f>
        <v>Line 28 * (Line 23, Column 6) * 18 months</v>
      </c>
      <c r="G43" s="242"/>
      <c r="H43" s="245"/>
      <c r="I43" s="482"/>
      <c r="J43" s="232"/>
      <c r="K43" s="232"/>
      <c r="L43" s="232"/>
    </row>
    <row r="44" spans="1:12" s="14" customFormat="1">
      <c r="A44" s="111">
        <f t="shared" si="0"/>
        <v>30</v>
      </c>
      <c r="B44" s="241"/>
      <c r="C44" s="21"/>
      <c r="D44" s="85" t="s">
        <v>32</v>
      </c>
      <c r="E44" s="236">
        <f>E42+E43</f>
        <v>-62856063.033127867</v>
      </c>
      <c r="F44" s="1177" t="str">
        <f>"Line "&amp;A42&amp;" + Line "&amp;A43&amp;".  Positive amount is to be collected by SCE (included in Base TRR as a positive amount)."</f>
        <v>Line 28 + Line 29.  Positive amount is to be collected by SCE (included in Base TRR as a positive amount).</v>
      </c>
      <c r="G44" s="242"/>
      <c r="H44" s="979"/>
      <c r="I44" s="241"/>
      <c r="J44" s="241"/>
      <c r="K44" s="241"/>
      <c r="L44" s="241"/>
    </row>
    <row r="45" spans="1:12">
      <c r="A45" s="111">
        <f t="shared" si="0"/>
        <v>31</v>
      </c>
      <c r="B45" s="232"/>
      <c r="C45" s="232"/>
      <c r="D45" s="232"/>
      <c r="E45" s="232"/>
      <c r="F45" s="514" t="s">
        <v>1547</v>
      </c>
      <c r="G45" s="232"/>
      <c r="H45" s="232"/>
      <c r="I45" s="232"/>
      <c r="J45" s="232"/>
      <c r="K45" s="232"/>
      <c r="L45" s="232"/>
    </row>
    <row r="46" spans="1:12">
      <c r="A46" s="111">
        <f t="shared" si="0"/>
        <v>32</v>
      </c>
      <c r="B46" s="1" t="s">
        <v>970</v>
      </c>
      <c r="C46" s="232"/>
      <c r="D46" s="232"/>
      <c r="E46" s="232"/>
      <c r="F46" s="247"/>
      <c r="G46" s="232"/>
      <c r="H46" s="232"/>
      <c r="I46" s="232"/>
      <c r="J46" s="232"/>
      <c r="K46" s="232"/>
      <c r="L46" s="232"/>
    </row>
    <row r="47" spans="1:12">
      <c r="A47" s="111">
        <f t="shared" si="0"/>
        <v>33</v>
      </c>
      <c r="B47" s="13" t="s">
        <v>371</v>
      </c>
      <c r="C47" s="232"/>
      <c r="D47" s="232"/>
      <c r="E47" s="232"/>
      <c r="F47" s="232"/>
      <c r="G47" s="232"/>
      <c r="H47" s="232"/>
      <c r="I47" s="232"/>
      <c r="J47" s="232"/>
      <c r="K47" s="232"/>
      <c r="L47" s="232"/>
    </row>
    <row r="48" spans="1:12">
      <c r="A48" s="111">
        <f t="shared" si="0"/>
        <v>34</v>
      </c>
      <c r="B48" s="13" t="s">
        <v>372</v>
      </c>
      <c r="C48" s="232"/>
      <c r="D48" s="232"/>
      <c r="E48" s="232"/>
      <c r="F48" s="232"/>
      <c r="G48" s="232"/>
      <c r="H48" s="232"/>
      <c r="I48" s="232"/>
      <c r="J48" s="232"/>
      <c r="K48" s="232"/>
      <c r="L48" s="232"/>
    </row>
    <row r="49" spans="1:12">
      <c r="A49" s="111">
        <f t="shared" si="0"/>
        <v>35</v>
      </c>
      <c r="B49" s="13" t="s">
        <v>373</v>
      </c>
      <c r="C49" s="232"/>
      <c r="D49" s="232"/>
      <c r="E49" s="232"/>
      <c r="F49" s="232"/>
      <c r="G49" s="232"/>
      <c r="H49" s="232"/>
      <c r="I49" s="232"/>
      <c r="J49" s="232"/>
      <c r="K49" s="232"/>
      <c r="L49" s="232"/>
    </row>
    <row r="50" spans="1:12">
      <c r="A50" s="111">
        <f t="shared" si="0"/>
        <v>36</v>
      </c>
      <c r="B50" s="232"/>
      <c r="C50" s="232"/>
      <c r="D50" s="232"/>
      <c r="E50" s="232"/>
      <c r="F50" s="232"/>
      <c r="G50" s="232"/>
      <c r="H50" s="232"/>
      <c r="I50" s="232"/>
      <c r="J50" s="232"/>
      <c r="K50" s="232"/>
      <c r="L50" s="232"/>
    </row>
    <row r="51" spans="1:12">
      <c r="A51" s="111">
        <f t="shared" ref="A51:A91" si="8">A50+1</f>
        <v>37</v>
      </c>
      <c r="B51" s="1" t="s">
        <v>1216</v>
      </c>
      <c r="C51" s="232"/>
      <c r="D51" s="232"/>
      <c r="E51" s="232"/>
      <c r="F51" s="232"/>
      <c r="G51" s="232"/>
      <c r="H51" s="232"/>
      <c r="I51" s="232"/>
      <c r="J51" s="232"/>
      <c r="K51" s="232"/>
      <c r="L51" s="232"/>
    </row>
    <row r="52" spans="1:12">
      <c r="A52" s="111">
        <f t="shared" si="8"/>
        <v>38</v>
      </c>
      <c r="B52" s="232"/>
      <c r="C52" s="232"/>
      <c r="D52" s="235" t="s">
        <v>1169</v>
      </c>
      <c r="E52" s="232"/>
      <c r="G52" s="232"/>
      <c r="H52" s="232"/>
      <c r="I52" s="232"/>
      <c r="J52" s="232"/>
      <c r="K52" s="232"/>
      <c r="L52" s="232"/>
    </row>
    <row r="53" spans="1:12">
      <c r="A53" s="111">
        <f t="shared" si="8"/>
        <v>39</v>
      </c>
      <c r="B53" s="232"/>
      <c r="C53" s="25" t="s">
        <v>192</v>
      </c>
      <c r="D53" s="3" t="s">
        <v>1070</v>
      </c>
      <c r="E53" s="3" t="s">
        <v>238</v>
      </c>
      <c r="G53" s="241"/>
      <c r="H53" s="241"/>
      <c r="I53" s="241"/>
      <c r="J53" s="241"/>
      <c r="K53" s="241"/>
      <c r="L53" s="241"/>
    </row>
    <row r="54" spans="1:12">
      <c r="A54" s="111">
        <f t="shared" si="8"/>
        <v>40</v>
      </c>
      <c r="B54" s="232"/>
      <c r="C54" s="20" t="s">
        <v>181</v>
      </c>
      <c r="D54" s="126">
        <v>6.3763211440757639E-2</v>
      </c>
      <c r="E54" s="13" t="s">
        <v>1222</v>
      </c>
      <c r="G54" s="241"/>
      <c r="H54" s="241"/>
      <c r="I54" s="241"/>
      <c r="J54" s="241"/>
      <c r="K54" s="241"/>
      <c r="L54" s="241"/>
    </row>
    <row r="55" spans="1:12">
      <c r="A55" s="111">
        <f t="shared" si="8"/>
        <v>41</v>
      </c>
      <c r="B55" s="232"/>
      <c r="C55" s="21" t="s">
        <v>182</v>
      </c>
      <c r="D55" s="126">
        <v>5.6553289888256801E-2</v>
      </c>
      <c r="G55" s="241"/>
      <c r="H55" s="241"/>
      <c r="I55" s="241"/>
      <c r="J55" s="241"/>
      <c r="K55" s="241"/>
      <c r="L55" s="241"/>
    </row>
    <row r="56" spans="1:12">
      <c r="A56" s="111">
        <f t="shared" si="8"/>
        <v>42</v>
      </c>
      <c r="B56" s="232"/>
      <c r="C56" s="21" t="s">
        <v>195</v>
      </c>
      <c r="D56" s="126">
        <v>7.1828142218240867E-2</v>
      </c>
      <c r="E56" s="13"/>
      <c r="G56" s="241"/>
      <c r="H56" s="241"/>
      <c r="I56" s="241"/>
      <c r="J56" s="241"/>
      <c r="K56" s="241"/>
      <c r="L56" s="241"/>
    </row>
    <row r="57" spans="1:12">
      <c r="A57" s="111">
        <f t="shared" si="8"/>
        <v>43</v>
      </c>
      <c r="B57" s="232"/>
      <c r="C57" s="20" t="s">
        <v>183</v>
      </c>
      <c r="D57" s="126">
        <v>8.2236801934806855E-2</v>
      </c>
      <c r="E57" s="149"/>
      <c r="G57" s="241"/>
      <c r="H57" s="241"/>
      <c r="I57" s="241"/>
      <c r="J57" s="241"/>
      <c r="K57" s="241"/>
      <c r="L57" s="241"/>
    </row>
    <row r="58" spans="1:12">
      <c r="A58" s="111">
        <f t="shared" si="8"/>
        <v>44</v>
      </c>
      <c r="B58" s="232"/>
      <c r="C58" s="21" t="s">
        <v>184</v>
      </c>
      <c r="D58" s="126">
        <v>8.01837425905748E-2</v>
      </c>
      <c r="E58" s="248"/>
      <c r="G58" s="241"/>
      <c r="H58" s="241"/>
      <c r="I58" s="241"/>
      <c r="J58" s="241"/>
      <c r="K58" s="241"/>
      <c r="L58" s="241"/>
    </row>
    <row r="59" spans="1:12">
      <c r="A59" s="111">
        <f t="shared" si="8"/>
        <v>45</v>
      </c>
      <c r="B59" s="232"/>
      <c r="C59" s="21" t="s">
        <v>185</v>
      </c>
      <c r="D59" s="126">
        <v>8.9450501877561497E-2</v>
      </c>
      <c r="E59" s="248"/>
      <c r="G59" s="241"/>
      <c r="H59" s="241"/>
      <c r="I59" s="241"/>
      <c r="J59" s="241"/>
      <c r="K59" s="241"/>
      <c r="L59" s="241"/>
    </row>
    <row r="60" spans="1:12">
      <c r="A60" s="111">
        <f t="shared" si="8"/>
        <v>46</v>
      </c>
      <c r="B60" s="232"/>
      <c r="C60" s="20" t="s">
        <v>186</v>
      </c>
      <c r="D60" s="126">
        <v>9.8908415854749826E-2</v>
      </c>
      <c r="E60" s="248"/>
      <c r="G60" s="241"/>
      <c r="H60" s="241"/>
      <c r="I60" s="241"/>
      <c r="J60" s="241"/>
      <c r="K60" s="241"/>
      <c r="L60" s="241"/>
    </row>
    <row r="61" spans="1:12">
      <c r="A61" s="111">
        <f t="shared" si="8"/>
        <v>47</v>
      </c>
      <c r="B61" s="232"/>
      <c r="C61" s="21" t="s">
        <v>187</v>
      </c>
      <c r="D61" s="126">
        <v>0.10141004323318151</v>
      </c>
      <c r="E61" s="248"/>
      <c r="G61" s="241"/>
      <c r="H61" s="241"/>
      <c r="I61" s="241"/>
      <c r="J61" s="241"/>
      <c r="K61" s="241"/>
      <c r="L61" s="241"/>
    </row>
    <row r="62" spans="1:12">
      <c r="A62" s="111">
        <f t="shared" si="8"/>
        <v>48</v>
      </c>
      <c r="B62" s="232"/>
      <c r="C62" s="21" t="s">
        <v>188</v>
      </c>
      <c r="D62" s="126">
        <v>0.10217900008822713</v>
      </c>
      <c r="E62" s="248"/>
      <c r="G62" s="241"/>
      <c r="H62" s="241"/>
      <c r="I62" s="241"/>
      <c r="J62" s="241"/>
      <c r="K62" s="241"/>
      <c r="L62" s="241"/>
    </row>
    <row r="63" spans="1:12">
      <c r="A63" s="111">
        <f t="shared" si="8"/>
        <v>49</v>
      </c>
      <c r="B63" s="232"/>
      <c r="C63" s="20" t="s">
        <v>191</v>
      </c>
      <c r="D63" s="126">
        <v>9.1787269171678454E-2</v>
      </c>
      <c r="E63" s="248"/>
      <c r="G63" s="241"/>
      <c r="H63" s="241"/>
      <c r="I63" s="241"/>
      <c r="J63" s="241"/>
      <c r="K63" s="241"/>
      <c r="L63" s="241"/>
    </row>
    <row r="64" spans="1:12">
      <c r="A64" s="111">
        <f t="shared" si="8"/>
        <v>50</v>
      </c>
      <c r="B64" s="232"/>
      <c r="C64" s="20" t="s">
        <v>190</v>
      </c>
      <c r="D64" s="126">
        <v>7.5296938318149625E-2</v>
      </c>
      <c r="E64" s="248"/>
      <c r="G64" s="232"/>
      <c r="H64" s="232"/>
      <c r="I64" s="232"/>
      <c r="J64" s="232"/>
      <c r="K64" s="232"/>
      <c r="L64" s="232"/>
    </row>
    <row r="65" spans="1:16">
      <c r="A65" s="111">
        <f t="shared" si="8"/>
        <v>51</v>
      </c>
      <c r="B65" s="232"/>
      <c r="C65" s="21" t="s">
        <v>180</v>
      </c>
      <c r="D65" s="381">
        <v>8.640264338381512E-2</v>
      </c>
      <c r="E65" s="153"/>
      <c r="G65" s="232"/>
      <c r="H65" s="232"/>
      <c r="I65" s="232"/>
      <c r="J65" s="232"/>
      <c r="K65" s="232"/>
      <c r="L65" s="232"/>
    </row>
    <row r="66" spans="1:16">
      <c r="A66" s="111">
        <f t="shared" si="8"/>
        <v>52</v>
      </c>
      <c r="B66" s="232"/>
      <c r="C66" s="34" t="s">
        <v>4</v>
      </c>
      <c r="D66" s="395">
        <f>SUM(D54:D65)</f>
        <v>1.0000000000000002</v>
      </c>
      <c r="E66" s="232"/>
      <c r="G66" s="232"/>
      <c r="H66" s="232"/>
      <c r="I66" s="232"/>
      <c r="J66" s="232"/>
      <c r="K66" s="232"/>
      <c r="L66" s="232"/>
    </row>
    <row r="67" spans="1:16" s="14" customFormat="1">
      <c r="A67" s="111">
        <f t="shared" si="8"/>
        <v>53</v>
      </c>
      <c r="B67" s="241"/>
      <c r="C67" s="241"/>
      <c r="D67" s="241"/>
      <c r="E67" s="241"/>
      <c r="F67" s="111"/>
      <c r="G67" s="241"/>
      <c r="H67" s="241"/>
      <c r="I67" s="241"/>
      <c r="J67" s="241"/>
      <c r="K67" s="241"/>
      <c r="L67" s="241"/>
    </row>
    <row r="68" spans="1:16">
      <c r="A68" s="111">
        <f t="shared" si="8"/>
        <v>54</v>
      </c>
      <c r="B68" s="1" t="s">
        <v>2327</v>
      </c>
      <c r="C68" s="232"/>
      <c r="D68" s="232"/>
      <c r="E68" s="232"/>
      <c r="F68" s="2"/>
      <c r="G68" s="232"/>
      <c r="H68" s="232"/>
      <c r="I68" s="232"/>
      <c r="J68" s="232"/>
      <c r="K68" s="232"/>
      <c r="L68" s="232"/>
    </row>
    <row r="69" spans="1:16">
      <c r="A69" s="111">
        <f t="shared" si="8"/>
        <v>55</v>
      </c>
      <c r="B69" s="232"/>
      <c r="C69" s="232"/>
      <c r="D69" s="232"/>
      <c r="E69" s="232"/>
      <c r="F69" s="2"/>
      <c r="G69" s="232"/>
      <c r="H69" s="232"/>
      <c r="I69" s="232"/>
      <c r="J69" s="232"/>
      <c r="K69" s="232"/>
      <c r="L69" s="232"/>
    </row>
    <row r="70" spans="1:16">
      <c r="A70" s="111">
        <f t="shared" si="8"/>
        <v>56</v>
      </c>
      <c r="B70" s="232"/>
      <c r="C70" s="84" t="s">
        <v>363</v>
      </c>
      <c r="D70" s="84" t="s">
        <v>347</v>
      </c>
      <c r="E70" s="84" t="s">
        <v>348</v>
      </c>
      <c r="F70" s="84" t="s">
        <v>349</v>
      </c>
      <c r="G70" s="84" t="s">
        <v>350</v>
      </c>
      <c r="H70" s="84" t="s">
        <v>351</v>
      </c>
      <c r="I70" s="84" t="s">
        <v>352</v>
      </c>
      <c r="J70" s="232"/>
    </row>
    <row r="71" spans="1:16">
      <c r="A71" s="111">
        <f t="shared" si="8"/>
        <v>57</v>
      </c>
      <c r="B71" s="232"/>
      <c r="C71" s="484" t="s">
        <v>1067</v>
      </c>
      <c r="D71" s="484" t="s">
        <v>1068</v>
      </c>
      <c r="E71" s="84"/>
      <c r="F71" s="84"/>
      <c r="G71" s="84"/>
      <c r="H71" s="84"/>
      <c r="I71" s="87" t="s">
        <v>535</v>
      </c>
      <c r="J71" s="232"/>
      <c r="K71" s="232"/>
      <c r="L71" s="232"/>
    </row>
    <row r="72" spans="1:16">
      <c r="A72" s="111">
        <f t="shared" si="8"/>
        <v>58</v>
      </c>
      <c r="B72" s="232"/>
      <c r="C72" s="232"/>
      <c r="D72" s="232"/>
      <c r="E72" s="232"/>
      <c r="F72" s="2"/>
      <c r="G72" s="232"/>
      <c r="H72" s="232"/>
      <c r="I72" s="232"/>
      <c r="J72" s="232"/>
      <c r="K72" s="398"/>
      <c r="L72" s="232"/>
    </row>
    <row r="73" spans="1:16">
      <c r="A73" s="111">
        <f t="shared" si="8"/>
        <v>59</v>
      </c>
      <c r="B73" s="232"/>
      <c r="C73" s="2" t="s">
        <v>510</v>
      </c>
      <c r="D73" s="232"/>
      <c r="E73" s="232"/>
      <c r="F73" s="2"/>
      <c r="G73" s="232"/>
      <c r="H73" s="232"/>
      <c r="I73" s="2" t="s">
        <v>19</v>
      </c>
      <c r="J73" s="232"/>
      <c r="K73" s="501"/>
      <c r="L73" s="232"/>
    </row>
    <row r="74" spans="1:16">
      <c r="A74" s="111">
        <f t="shared" si="8"/>
        <v>60</v>
      </c>
      <c r="B74" s="235" t="s">
        <v>407</v>
      </c>
      <c r="C74" s="2" t="s">
        <v>529</v>
      </c>
      <c r="D74" s="232"/>
      <c r="E74" s="232"/>
      <c r="F74" s="84"/>
      <c r="G74" s="232"/>
      <c r="H74" s="232"/>
      <c r="I74" s="2" t="s">
        <v>196</v>
      </c>
      <c r="J74" s="232"/>
    </row>
    <row r="75" spans="1:16" ht="15">
      <c r="A75" s="111">
        <f t="shared" si="8"/>
        <v>61</v>
      </c>
      <c r="B75" s="235" t="s">
        <v>193</v>
      </c>
      <c r="C75" s="2" t="s">
        <v>309</v>
      </c>
      <c r="D75" s="2" t="s">
        <v>361</v>
      </c>
      <c r="E75" s="2"/>
      <c r="F75" s="2"/>
      <c r="G75" s="2" t="s">
        <v>527</v>
      </c>
      <c r="H75" s="2"/>
      <c r="I75" s="2" t="s">
        <v>20</v>
      </c>
      <c r="J75" s="232"/>
      <c r="P75" s="243"/>
    </row>
    <row r="76" spans="1:16" ht="15">
      <c r="A76" s="111">
        <f t="shared" si="8"/>
        <v>62</v>
      </c>
      <c r="B76" s="3" t="s">
        <v>192</v>
      </c>
      <c r="C76" s="3" t="s">
        <v>21</v>
      </c>
      <c r="D76" s="3" t="s">
        <v>309</v>
      </c>
      <c r="E76" s="3" t="s">
        <v>308</v>
      </c>
      <c r="F76" s="3" t="s">
        <v>526</v>
      </c>
      <c r="G76" s="3" t="s">
        <v>528</v>
      </c>
      <c r="H76" s="3" t="s">
        <v>361</v>
      </c>
      <c r="I76" s="3" t="s">
        <v>77</v>
      </c>
      <c r="J76" s="232"/>
      <c r="K76" s="244"/>
      <c r="L76" s="244"/>
      <c r="M76" s="244"/>
      <c r="N76" s="244"/>
      <c r="O76" s="244"/>
      <c r="P76" s="244"/>
    </row>
    <row r="77" spans="1:16">
      <c r="A77" s="111">
        <f t="shared" si="8"/>
        <v>63</v>
      </c>
      <c r="B77" s="249" t="s">
        <v>64</v>
      </c>
      <c r="C77" s="246">
        <v>88876405.790000007</v>
      </c>
      <c r="D77" s="246">
        <v>-7087025.2800000003</v>
      </c>
      <c r="E77" s="246">
        <v>363695813.60000002</v>
      </c>
      <c r="F77" s="246">
        <v>311346757.66999996</v>
      </c>
      <c r="G77" s="246">
        <v>49601039.910000004</v>
      </c>
      <c r="H77" s="1083">
        <v>51035736.079999998</v>
      </c>
      <c r="I77" s="234">
        <f>SUM(C77:H77)</f>
        <v>857468727.76999998</v>
      </c>
      <c r="J77" s="232"/>
      <c r="K77" s="52"/>
      <c r="M77" s="7"/>
      <c r="N77" s="7"/>
      <c r="O77" s="7"/>
      <c r="P77" s="7"/>
    </row>
    <row r="78" spans="1:16">
      <c r="A78" s="111">
        <f t="shared" si="8"/>
        <v>64</v>
      </c>
      <c r="B78" s="249" t="s">
        <v>65</v>
      </c>
      <c r="C78" s="246">
        <v>76214393.859999999</v>
      </c>
      <c r="D78" s="246">
        <v>-6699589.3600000003</v>
      </c>
      <c r="E78" s="246">
        <v>307753182.08999997</v>
      </c>
      <c r="F78" s="246">
        <v>259118518.43000001</v>
      </c>
      <c r="G78" s="246">
        <v>36338088.100000001</v>
      </c>
      <c r="H78" s="246">
        <v>47178057.239999995</v>
      </c>
      <c r="I78" s="234">
        <f t="shared" ref="I78:I87" si="9">SUM(C78:H78)</f>
        <v>719902650.36000001</v>
      </c>
      <c r="J78" s="232"/>
      <c r="K78" s="52"/>
      <c r="M78" s="7"/>
      <c r="N78" s="7"/>
      <c r="O78" s="7"/>
      <c r="P78" s="7"/>
    </row>
    <row r="79" spans="1:16">
      <c r="A79" s="111">
        <f t="shared" si="8"/>
        <v>65</v>
      </c>
      <c r="B79" s="249" t="s">
        <v>66</v>
      </c>
      <c r="C79" s="246">
        <v>88623013.280000001</v>
      </c>
      <c r="D79" s="246">
        <v>-7723145.5899999999</v>
      </c>
      <c r="E79" s="246">
        <v>356417097.34000003</v>
      </c>
      <c r="F79" s="246">
        <v>297947006.99000001</v>
      </c>
      <c r="G79" s="246">
        <v>38088668.530000001</v>
      </c>
      <c r="H79" s="246">
        <v>54002238.420000002</v>
      </c>
      <c r="I79" s="234">
        <f t="shared" si="9"/>
        <v>827354878.96999991</v>
      </c>
      <c r="J79" s="232"/>
      <c r="K79" s="52"/>
      <c r="M79" s="7"/>
      <c r="N79" s="7"/>
      <c r="O79" s="7"/>
      <c r="P79" s="7"/>
    </row>
    <row r="80" spans="1:16">
      <c r="A80" s="111">
        <f t="shared" si="8"/>
        <v>66</v>
      </c>
      <c r="B80" s="249" t="s">
        <v>67</v>
      </c>
      <c r="C80" s="246">
        <v>83996141.510000005</v>
      </c>
      <c r="D80" s="246">
        <v>-7536483.5499999989</v>
      </c>
      <c r="E80" s="246">
        <v>188886686.20999998</v>
      </c>
      <c r="F80" s="246">
        <v>282082099.15999997</v>
      </c>
      <c r="G80" s="246">
        <v>37109156.090000004</v>
      </c>
      <c r="H80" s="246">
        <v>51830193.259999998</v>
      </c>
      <c r="I80" s="234">
        <f t="shared" si="9"/>
        <v>636367792.67999995</v>
      </c>
      <c r="J80" s="232"/>
      <c r="K80" s="52"/>
      <c r="M80" s="7"/>
      <c r="N80" s="7"/>
      <c r="O80" s="7"/>
      <c r="P80" s="7"/>
    </row>
    <row r="81" spans="1:16">
      <c r="A81" s="111">
        <f t="shared" si="8"/>
        <v>67</v>
      </c>
      <c r="B81" s="87" t="s">
        <v>184</v>
      </c>
      <c r="C81" s="246">
        <v>92695249.209999993</v>
      </c>
      <c r="D81" s="246">
        <v>-8104571.5099999988</v>
      </c>
      <c r="E81" s="246">
        <v>355261646.01999998</v>
      </c>
      <c r="F81" s="246">
        <v>311024347.45999998</v>
      </c>
      <c r="G81" s="246">
        <v>43230141.75</v>
      </c>
      <c r="H81" s="246">
        <v>56581146.129999995</v>
      </c>
      <c r="I81" s="234">
        <f t="shared" si="9"/>
        <v>850687959.05999994</v>
      </c>
      <c r="J81" s="232"/>
      <c r="K81" s="52"/>
      <c r="M81" s="7"/>
      <c r="N81" s="7"/>
      <c r="O81" s="7"/>
      <c r="P81" s="7"/>
    </row>
    <row r="82" spans="1:16">
      <c r="A82" s="111">
        <f t="shared" si="8"/>
        <v>68</v>
      </c>
      <c r="B82" s="249" t="s">
        <v>68</v>
      </c>
      <c r="C82" s="246">
        <v>104845652.2</v>
      </c>
      <c r="D82" s="246">
        <v>-12956108.67</v>
      </c>
      <c r="E82" s="246">
        <v>402432157.86000001</v>
      </c>
      <c r="F82" s="246">
        <v>527362391.88</v>
      </c>
      <c r="G82" s="246">
        <v>45581306.109999999</v>
      </c>
      <c r="H82" s="246">
        <v>64335179.689999998</v>
      </c>
      <c r="I82" s="234">
        <f t="shared" si="9"/>
        <v>1131600579.0699999</v>
      </c>
      <c r="J82" s="232"/>
      <c r="K82" s="52"/>
      <c r="M82" s="7"/>
      <c r="N82" s="7"/>
      <c r="O82" s="7"/>
      <c r="P82" s="7"/>
    </row>
    <row r="83" spans="1:16">
      <c r="A83" s="111">
        <f t="shared" si="8"/>
        <v>69</v>
      </c>
      <c r="B83" s="249" t="s">
        <v>69</v>
      </c>
      <c r="C83" s="246">
        <v>123594050.2</v>
      </c>
      <c r="D83" s="246">
        <v>-19621539.999999996</v>
      </c>
      <c r="E83" s="246">
        <v>460524055.99000001</v>
      </c>
      <c r="F83" s="246">
        <v>644206333.99000001</v>
      </c>
      <c r="G83" s="246">
        <v>73983881.809999987</v>
      </c>
      <c r="H83" s="246">
        <v>77772627.200000003</v>
      </c>
      <c r="I83" s="234">
        <f t="shared" si="9"/>
        <v>1360459409.1900001</v>
      </c>
      <c r="J83" s="232"/>
      <c r="K83" s="52"/>
      <c r="M83" s="7"/>
      <c r="N83" s="7"/>
      <c r="O83" s="7"/>
      <c r="P83" s="7"/>
    </row>
    <row r="84" spans="1:16">
      <c r="A84" s="111">
        <f t="shared" si="8"/>
        <v>70</v>
      </c>
      <c r="B84" s="249" t="s">
        <v>70</v>
      </c>
      <c r="C84" s="246">
        <v>125785395.62</v>
      </c>
      <c r="D84" s="246">
        <v>-18661551.910000004</v>
      </c>
      <c r="E84" s="246">
        <v>472206915.98000002</v>
      </c>
      <c r="F84" s="246">
        <v>682290749.38999999</v>
      </c>
      <c r="G84" s="246">
        <v>79884678.980000004</v>
      </c>
      <c r="H84" s="246">
        <v>78382836.030000001</v>
      </c>
      <c r="I84" s="234">
        <f t="shared" si="9"/>
        <v>1419889024.0899999</v>
      </c>
      <c r="J84" s="232"/>
      <c r="K84" s="52"/>
      <c r="M84" s="7"/>
      <c r="N84" s="7"/>
      <c r="O84" s="7"/>
      <c r="P84" s="7"/>
    </row>
    <row r="85" spans="1:16">
      <c r="A85" s="111">
        <f t="shared" si="8"/>
        <v>71</v>
      </c>
      <c r="B85" s="249" t="s">
        <v>71</v>
      </c>
      <c r="C85" s="246">
        <v>106851758.05</v>
      </c>
      <c r="D85" s="246">
        <v>-15843048.290000003</v>
      </c>
      <c r="E85" s="246">
        <v>396942805.63999999</v>
      </c>
      <c r="F85" s="246">
        <v>580474930.38999999</v>
      </c>
      <c r="G85" s="246">
        <v>62680551.57</v>
      </c>
      <c r="H85" s="246">
        <v>65928575.859999999</v>
      </c>
      <c r="I85" s="234">
        <f t="shared" si="9"/>
        <v>1197035573.2199998</v>
      </c>
      <c r="J85" s="232"/>
      <c r="K85" s="52"/>
      <c r="M85" s="7"/>
      <c r="N85" s="7"/>
      <c r="O85" s="7"/>
      <c r="P85" s="7"/>
    </row>
    <row r="86" spans="1:16">
      <c r="A86" s="111">
        <f t="shared" si="8"/>
        <v>72</v>
      </c>
      <c r="B86" s="249" t="s">
        <v>72</v>
      </c>
      <c r="C86" s="246">
        <v>100653472.02</v>
      </c>
      <c r="D86" s="246">
        <v>-15014566.739999998</v>
      </c>
      <c r="E86" s="246">
        <v>247390825.06000003</v>
      </c>
      <c r="F86" s="246">
        <v>390764398.99999994</v>
      </c>
      <c r="G86" s="246">
        <v>42021233.840000004</v>
      </c>
      <c r="H86" s="246">
        <v>61154922.710000001</v>
      </c>
      <c r="I86" s="234">
        <f t="shared" si="9"/>
        <v>826970285.88999999</v>
      </c>
      <c r="J86" s="232"/>
      <c r="K86" s="52"/>
      <c r="M86" s="7"/>
      <c r="N86" s="7"/>
      <c r="O86" s="7"/>
      <c r="P86" s="7"/>
    </row>
    <row r="87" spans="1:16">
      <c r="A87" s="111">
        <f t="shared" si="8"/>
        <v>73</v>
      </c>
      <c r="B87" s="249" t="s">
        <v>73</v>
      </c>
      <c r="C87" s="246">
        <v>88159107.019999996</v>
      </c>
      <c r="D87" s="246">
        <v>-13029919.08</v>
      </c>
      <c r="E87" s="246">
        <v>343372179.05000001</v>
      </c>
      <c r="F87" s="246">
        <v>293271394.49000001</v>
      </c>
      <c r="G87" s="246">
        <v>40310841.799999997</v>
      </c>
      <c r="H87" s="246">
        <v>53305058.780000001</v>
      </c>
      <c r="I87" s="234">
        <f t="shared" si="9"/>
        <v>805388662.05999994</v>
      </c>
      <c r="J87" s="232"/>
      <c r="K87" s="52"/>
      <c r="M87" s="7"/>
      <c r="N87" s="7"/>
      <c r="O87" s="7"/>
      <c r="P87" s="7"/>
    </row>
    <row r="88" spans="1:16">
      <c r="A88" s="111">
        <f t="shared" si="8"/>
        <v>74</v>
      </c>
      <c r="B88" s="249" t="s">
        <v>74</v>
      </c>
      <c r="C88" s="108">
        <v>89149113.290000007</v>
      </c>
      <c r="D88" s="108">
        <v>-13623611.720000001</v>
      </c>
      <c r="E88" s="108">
        <v>351130269.45000005</v>
      </c>
      <c r="F88" s="108">
        <v>301056365.16000003</v>
      </c>
      <c r="G88" s="108">
        <v>38410018.740000002</v>
      </c>
      <c r="H88" s="108">
        <v>55407794.349999994</v>
      </c>
      <c r="I88" s="91">
        <f>SUM(C88:H88)</f>
        <v>821529949.2700001</v>
      </c>
      <c r="J88" s="232"/>
      <c r="K88" s="52"/>
      <c r="M88" s="7"/>
      <c r="N88" s="7"/>
      <c r="O88" s="7"/>
      <c r="P88" s="91"/>
    </row>
    <row r="89" spans="1:16">
      <c r="A89" s="111">
        <f t="shared" si="8"/>
        <v>75</v>
      </c>
      <c r="B89" s="87" t="s">
        <v>197</v>
      </c>
      <c r="C89" s="234">
        <f t="shared" ref="C89:I89" si="10">SUM(C77:C88)</f>
        <v>1169443752.05</v>
      </c>
      <c r="D89" s="234">
        <f t="shared" si="10"/>
        <v>-145901161.70000002</v>
      </c>
      <c r="E89" s="234">
        <f t="shared" si="10"/>
        <v>4246013634.29</v>
      </c>
      <c r="F89" s="234">
        <f t="shared" si="10"/>
        <v>4880945294.0099993</v>
      </c>
      <c r="G89" s="234">
        <f t="shared" si="10"/>
        <v>587239607.23000002</v>
      </c>
      <c r="H89" s="234">
        <f t="shared" si="10"/>
        <v>716914365.75</v>
      </c>
      <c r="I89" s="234">
        <f t="shared" si="10"/>
        <v>11454655491.629999</v>
      </c>
      <c r="J89" s="232"/>
      <c r="P89" s="7"/>
    </row>
    <row r="90" spans="1:16">
      <c r="A90" s="111">
        <f t="shared" si="8"/>
        <v>76</v>
      </c>
      <c r="B90" s="232"/>
      <c r="C90" s="232"/>
      <c r="D90" s="232"/>
      <c r="E90" s="232"/>
      <c r="F90" s="232"/>
      <c r="G90" s="232"/>
      <c r="H90" s="94"/>
      <c r="I90" s="232"/>
      <c r="J90" s="232"/>
      <c r="K90" s="232"/>
      <c r="L90" s="232"/>
    </row>
    <row r="91" spans="1:16">
      <c r="A91" s="111">
        <f t="shared" si="8"/>
        <v>77</v>
      </c>
      <c r="B91" s="232"/>
      <c r="C91" s="232"/>
      <c r="D91" s="232"/>
      <c r="E91" s="232"/>
      <c r="F91" s="232"/>
      <c r="G91" s="232"/>
      <c r="H91" s="94" t="s">
        <v>530</v>
      </c>
      <c r="I91" s="1083">
        <v>11454655492</v>
      </c>
      <c r="J91" s="232"/>
      <c r="K91" s="232"/>
      <c r="L91" s="232"/>
    </row>
    <row r="92" spans="1:16">
      <c r="A92" s="232"/>
      <c r="B92" s="232"/>
      <c r="C92" s="232"/>
      <c r="D92" s="232"/>
      <c r="E92" s="232"/>
      <c r="F92" s="232"/>
      <c r="G92" s="232"/>
      <c r="H92" s="232"/>
      <c r="I92" s="232"/>
      <c r="J92" s="232"/>
      <c r="K92" s="232"/>
      <c r="L92" s="232"/>
    </row>
    <row r="93" spans="1:16">
      <c r="A93" s="2"/>
      <c r="B93" s="44" t="s">
        <v>382</v>
      </c>
      <c r="C93" s="241"/>
      <c r="D93" s="241"/>
      <c r="E93" s="241"/>
      <c r="F93" s="241"/>
      <c r="G93" s="241"/>
      <c r="H93" s="241"/>
      <c r="I93" s="236"/>
      <c r="J93" s="241"/>
      <c r="K93" s="241"/>
      <c r="L93" s="232"/>
    </row>
    <row r="94" spans="1:16">
      <c r="A94" s="2"/>
      <c r="B94" s="482" t="str">
        <f>"1) Enter applicable years on Column 1, Lines "&amp;A24&amp;"-"&amp;A36&amp;" (Prior Year and December of the year previous to the Prior Year)."</f>
        <v>1) Enter applicable years on Column 1, Lines 11-23 (Prior Year and December of the year previous to the Prior Year).</v>
      </c>
      <c r="C94" s="241"/>
      <c r="D94" s="241"/>
      <c r="E94" s="241"/>
      <c r="F94" s="241"/>
      <c r="G94" s="241"/>
      <c r="H94" s="241"/>
      <c r="I94" s="241"/>
      <c r="J94" s="241"/>
      <c r="K94" s="241"/>
      <c r="L94" s="232"/>
    </row>
    <row r="95" spans="1:16">
      <c r="A95" s="2"/>
      <c r="B95" s="482" t="str">
        <f>"2) Enter Previous Annual Update True Up Adjustment (if any) on Line "&amp;A41&amp;"."</f>
        <v>2) Enter Previous Annual Update True Up Adjustment (if any) on Line 27.</v>
      </c>
      <c r="C95" s="241"/>
      <c r="D95" s="241"/>
      <c r="E95" s="241"/>
      <c r="F95" s="241"/>
      <c r="G95" s="241"/>
      <c r="H95" s="241"/>
      <c r="I95" s="241"/>
      <c r="J95" s="241"/>
      <c r="K95" s="241"/>
      <c r="L95" s="232"/>
    </row>
    <row r="96" spans="1:16">
      <c r="A96" s="2"/>
      <c r="B96" s="1179" t="s">
        <v>2328</v>
      </c>
      <c r="C96" s="241"/>
      <c r="D96" s="241"/>
      <c r="E96" s="241"/>
      <c r="F96" s="241"/>
      <c r="G96" s="241"/>
      <c r="H96" s="241"/>
      <c r="I96" s="241"/>
      <c r="J96" s="241"/>
      <c r="K96" s="241"/>
      <c r="L96" s="232"/>
    </row>
    <row r="97" spans="1:12">
      <c r="A97" s="2"/>
      <c r="B97" s="482" t="s">
        <v>971</v>
      </c>
      <c r="C97" s="241"/>
      <c r="D97" s="241"/>
      <c r="E97" s="241"/>
      <c r="F97" s="241"/>
      <c r="G97" s="241"/>
      <c r="H97" s="241"/>
      <c r="I97" s="241"/>
      <c r="J97" s="241"/>
      <c r="K97" s="241"/>
      <c r="L97" s="232"/>
    </row>
    <row r="98" spans="1:12">
      <c r="A98" s="2"/>
      <c r="B98" s="944" t="str">
        <f>"18 C.F.R. §35.19a on lines "&amp;A25&amp;" to "&amp;A36&amp;", Column 6."</f>
        <v>18 C.F.R. §35.19a on lines 12 to 23, Column 6.</v>
      </c>
      <c r="C98" s="241"/>
      <c r="D98" s="241"/>
      <c r="E98" s="241"/>
      <c r="F98" s="241"/>
      <c r="G98" s="241"/>
      <c r="H98" s="241"/>
      <c r="I98" s="241"/>
      <c r="J98" s="241"/>
      <c r="K98" s="241"/>
      <c r="L98" s="232"/>
    </row>
    <row r="99" spans="1:12">
      <c r="A99" s="2"/>
      <c r="B99" s="482" t="s">
        <v>2329</v>
      </c>
      <c r="C99" s="241"/>
      <c r="D99" s="241"/>
      <c r="E99" s="241"/>
      <c r="F99" s="241"/>
      <c r="G99" s="241"/>
      <c r="H99" s="241"/>
      <c r="I99" s="241"/>
      <c r="J99" s="241"/>
      <c r="K99" s="241"/>
      <c r="L99" s="232"/>
    </row>
    <row r="100" spans="1:12">
      <c r="A100" s="2"/>
      <c r="B100" s="459" t="s">
        <v>1730</v>
      </c>
      <c r="C100" s="241"/>
      <c r="D100" s="241"/>
      <c r="E100" s="241"/>
      <c r="F100" s="241"/>
      <c r="G100" s="241"/>
      <c r="H100" s="241"/>
      <c r="I100" s="241"/>
      <c r="J100" s="241"/>
      <c r="K100" s="241"/>
      <c r="L100" s="232"/>
    </row>
    <row r="101" spans="1:12">
      <c r="A101" s="580"/>
      <c r="B101" s="946" t="s">
        <v>2330</v>
      </c>
      <c r="C101" s="241"/>
      <c r="D101" s="241"/>
      <c r="E101" s="241"/>
      <c r="F101" s="241"/>
      <c r="G101" s="241"/>
      <c r="H101" s="241"/>
      <c r="I101" s="241"/>
      <c r="J101" s="241"/>
      <c r="K101" s="241"/>
    </row>
    <row r="102" spans="1:12">
      <c r="A102" s="580"/>
      <c r="B102" s="1180" t="s">
        <v>2331</v>
      </c>
      <c r="C102" s="241"/>
      <c r="D102" s="241"/>
      <c r="E102" s="241"/>
      <c r="F102" s="241"/>
      <c r="G102" s="241"/>
      <c r="H102" s="241"/>
      <c r="I102" s="241"/>
      <c r="J102" s="241"/>
      <c r="K102" s="241"/>
      <c r="L102" s="232"/>
    </row>
    <row r="103" spans="1:12">
      <c r="A103" s="580"/>
      <c r="B103" s="1180"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41"/>
      <c r="E103" s="241"/>
      <c r="F103" s="241"/>
      <c r="G103" s="241"/>
      <c r="H103" s="241"/>
      <c r="I103" s="241"/>
      <c r="J103" s="241"/>
      <c r="K103" s="241"/>
      <c r="L103" s="232"/>
    </row>
    <row r="104" spans="1:12">
      <c r="A104" s="2"/>
      <c r="B104" s="946" t="s">
        <v>2332</v>
      </c>
      <c r="C104" s="241"/>
      <c r="D104" s="241"/>
      <c r="E104" s="241"/>
      <c r="F104" s="241"/>
      <c r="G104" s="241"/>
      <c r="H104" s="241"/>
      <c r="I104" s="241"/>
      <c r="J104" s="241"/>
      <c r="K104" s="241"/>
      <c r="L104" s="232"/>
    </row>
    <row r="105" spans="1:12">
      <c r="A105" s="2"/>
      <c r="B105" s="946" t="s">
        <v>2333</v>
      </c>
      <c r="C105" s="241"/>
      <c r="D105" s="241"/>
      <c r="E105" s="241"/>
      <c r="F105" s="241"/>
      <c r="G105" s="241"/>
      <c r="H105" s="241"/>
      <c r="I105" s="241"/>
      <c r="J105" s="241"/>
      <c r="K105" s="241"/>
      <c r="L105" s="232"/>
    </row>
    <row r="106" spans="1:12">
      <c r="A106" s="2"/>
      <c r="B106" s="482" t="str">
        <f>"5) Fill in matrix of all retail revenues from Prior Year in table on lines "&amp;A77&amp;" to "&amp;A88&amp;"."</f>
        <v>5) Fill in matrix of all retail revenues from Prior Year in table on lines 63 to 74.</v>
      </c>
      <c r="C106" s="241"/>
      <c r="D106" s="241"/>
      <c r="E106" s="241"/>
      <c r="F106" s="241"/>
      <c r="G106" s="241"/>
      <c r="H106" s="241"/>
      <c r="I106" s="241"/>
      <c r="J106" s="241"/>
      <c r="K106" s="241"/>
      <c r="L106" s="232"/>
    </row>
    <row r="107" spans="1:12">
      <c r="A107" s="2"/>
      <c r="B107" s="482" t="str">
        <f>"6) Enter Total Sales to Ultimate Consumers on line "&amp;A91&amp;" and verify that it equals the total on line "&amp;A89&amp;"."</f>
        <v>6) Enter Total Sales to Ultimate Consumers on line 77 and verify that it equals the total on line 75.</v>
      </c>
      <c r="C107" s="241"/>
      <c r="D107" s="241"/>
      <c r="E107" s="241"/>
      <c r="F107" s="241"/>
      <c r="G107" s="241"/>
      <c r="H107" s="241"/>
      <c r="I107" s="241"/>
      <c r="J107" s="241"/>
      <c r="K107" s="241"/>
      <c r="L107" s="232"/>
    </row>
    <row r="108" spans="1:12">
      <c r="A108" s="2"/>
      <c r="B108" s="482" t="s">
        <v>2334</v>
      </c>
      <c r="C108" s="241"/>
      <c r="D108" s="241"/>
      <c r="E108" s="241"/>
      <c r="F108" s="241"/>
      <c r="G108" s="241"/>
      <c r="H108" s="241"/>
      <c r="I108" s="241"/>
      <c r="J108" s="241"/>
      <c r="K108" s="241"/>
      <c r="L108" s="232"/>
    </row>
    <row r="109" spans="1:12" s="14" customFormat="1">
      <c r="A109" s="111"/>
      <c r="B109" s="944" t="s">
        <v>1071</v>
      </c>
      <c r="C109" s="241"/>
      <c r="D109" s="241"/>
      <c r="E109" s="241"/>
      <c r="F109" s="241"/>
      <c r="G109" s="241"/>
      <c r="H109" s="241"/>
      <c r="I109" s="241"/>
      <c r="J109" s="241"/>
      <c r="K109" s="241"/>
      <c r="L109" s="241"/>
    </row>
    <row r="110" spans="1:12">
      <c r="A110" s="2"/>
      <c r="B110" s="932" t="s">
        <v>232</v>
      </c>
      <c r="C110" s="241"/>
      <c r="D110" s="241"/>
      <c r="E110" s="241"/>
      <c r="F110" s="241"/>
      <c r="G110" s="241"/>
      <c r="H110" s="241"/>
      <c r="I110" s="241"/>
      <c r="J110" s="241"/>
      <c r="K110" s="241"/>
      <c r="L110" s="232"/>
    </row>
    <row r="111" spans="1:12">
      <c r="A111" s="2"/>
      <c r="B111" s="487" t="s">
        <v>1502</v>
      </c>
      <c r="C111" s="241"/>
      <c r="D111" s="241"/>
      <c r="E111" s="241"/>
      <c r="F111" s="241"/>
      <c r="G111" s="241"/>
      <c r="H111" s="241"/>
      <c r="I111" s="241"/>
      <c r="J111" s="241"/>
      <c r="K111" s="241"/>
      <c r="L111" s="232"/>
    </row>
    <row r="112" spans="1:12">
      <c r="A112" s="2"/>
      <c r="B112" s="1181" t="s">
        <v>1503</v>
      </c>
      <c r="C112" s="241"/>
      <c r="D112" s="241"/>
      <c r="E112" s="241"/>
      <c r="F112" s="241"/>
      <c r="G112" s="241"/>
      <c r="H112" s="241"/>
      <c r="I112" s="241"/>
      <c r="J112" s="241"/>
      <c r="K112" s="241"/>
      <c r="L112" s="232"/>
    </row>
    <row r="113" spans="1:12">
      <c r="A113" s="2"/>
      <c r="B113" s="1179"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41"/>
      <c r="D113" s="241"/>
      <c r="E113" s="241"/>
      <c r="F113" s="241"/>
      <c r="G113" s="241"/>
      <c r="H113" s="241"/>
      <c r="I113" s="241"/>
      <c r="J113" s="241"/>
      <c r="K113" s="241"/>
      <c r="L113" s="232"/>
    </row>
    <row r="114" spans="1:12">
      <c r="A114" s="513"/>
      <c r="B114" s="1179" t="str">
        <f>"Only enter in the Prior Year, Lines "&amp;A25&amp;" to "&amp;A36&amp;", or portion of year formula was in effect in case of Partial Year True Up."</f>
        <v>Only enter in the Prior Year, Lines 12 to 23, or portion of year formula was in effect in case of Partial Year True Up.</v>
      </c>
      <c r="C114" s="241"/>
      <c r="D114" s="241"/>
      <c r="E114" s="241"/>
      <c r="F114" s="241"/>
      <c r="G114" s="241"/>
      <c r="H114" s="241"/>
      <c r="I114" s="241"/>
      <c r="J114" s="241"/>
      <c r="K114" s="241"/>
      <c r="L114" s="232"/>
    </row>
    <row r="115" spans="1:12">
      <c r="A115" s="580"/>
      <c r="B115" s="1179" t="s">
        <v>1844</v>
      </c>
      <c r="C115" s="241"/>
      <c r="D115" s="241"/>
      <c r="E115" s="241"/>
      <c r="F115" s="241"/>
      <c r="G115" s="241"/>
      <c r="H115" s="241"/>
      <c r="I115" s="241"/>
      <c r="J115" s="241"/>
      <c r="K115" s="241"/>
      <c r="L115" s="232"/>
    </row>
    <row r="116" spans="1:12">
      <c r="A116" s="2"/>
      <c r="B116" s="1181" t="s">
        <v>1072</v>
      </c>
      <c r="C116" s="241"/>
      <c r="D116" s="241"/>
      <c r="E116" s="241"/>
      <c r="F116" s="241"/>
      <c r="G116" s="241"/>
      <c r="H116" s="241"/>
      <c r="I116" s="241"/>
      <c r="J116" s="241"/>
      <c r="K116" s="241"/>
      <c r="L116" s="232"/>
    </row>
    <row r="117" spans="1:12">
      <c r="A117" s="2"/>
      <c r="B117" s="1179" t="str">
        <f>"as shown on Lines "&amp;A77&amp;" to "&amp;A88&amp;", Column 1."</f>
        <v>as shown on Lines 63 to 74, Column 1.</v>
      </c>
      <c r="C117" s="241"/>
      <c r="D117" s="241"/>
      <c r="E117" s="241"/>
      <c r="F117" s="241"/>
      <c r="G117" s="241"/>
      <c r="H117" s="241"/>
      <c r="I117" s="241"/>
      <c r="J117" s="241"/>
      <c r="K117" s="241"/>
      <c r="L117" s="232"/>
    </row>
    <row r="118" spans="1:12">
      <c r="A118" s="2"/>
      <c r="B118" s="1181" t="s">
        <v>2486</v>
      </c>
      <c r="C118" s="241"/>
      <c r="D118" s="241"/>
      <c r="E118" s="241"/>
      <c r="F118" s="241"/>
      <c r="G118" s="241"/>
      <c r="H118" s="241"/>
      <c r="I118" s="241"/>
      <c r="J118" s="241"/>
      <c r="K118" s="241"/>
      <c r="L118" s="232"/>
    </row>
    <row r="119" spans="1:12">
      <c r="A119" s="2"/>
      <c r="B119" s="1181" t="s">
        <v>1630</v>
      </c>
      <c r="C119" s="241"/>
      <c r="D119" s="241"/>
      <c r="E119" s="241"/>
      <c r="F119" s="241"/>
      <c r="G119" s="241"/>
      <c r="H119" s="241"/>
      <c r="I119" s="241"/>
      <c r="J119" s="241"/>
      <c r="K119" s="241"/>
      <c r="L119" s="232"/>
    </row>
    <row r="120" spans="1:12">
      <c r="A120" s="2"/>
      <c r="B120" s="482" t="s">
        <v>2335</v>
      </c>
      <c r="C120" s="241"/>
      <c r="D120" s="241"/>
      <c r="E120" s="241"/>
      <c r="F120" s="241"/>
      <c r="G120" s="241"/>
      <c r="H120" s="241"/>
      <c r="I120" s="241"/>
      <c r="J120" s="241"/>
      <c r="K120" s="241"/>
      <c r="L120" s="232"/>
    </row>
    <row r="121" spans="1:12">
      <c r="A121" s="580"/>
      <c r="B121" s="944" t="s">
        <v>2336</v>
      </c>
      <c r="C121" s="241"/>
      <c r="D121" s="241"/>
      <c r="E121" s="241"/>
      <c r="F121" s="241"/>
      <c r="G121" s="241"/>
      <c r="H121" s="241"/>
      <c r="I121" s="241"/>
      <c r="J121" s="241"/>
      <c r="K121" s="241"/>
      <c r="L121" s="232"/>
    </row>
    <row r="122" spans="1:12">
      <c r="A122" s="580"/>
      <c r="B122" s="482" t="s">
        <v>1073</v>
      </c>
      <c r="C122" s="241"/>
      <c r="D122" s="241"/>
      <c r="E122" s="241"/>
      <c r="F122" s="241"/>
      <c r="G122" s="241"/>
      <c r="H122" s="241"/>
      <c r="I122" s="241"/>
      <c r="J122" s="241"/>
      <c r="K122" s="241"/>
      <c r="L122" s="241"/>
    </row>
    <row r="123" spans="1:12">
      <c r="A123" s="2"/>
      <c r="B123" s="945" t="s">
        <v>2337</v>
      </c>
      <c r="C123" s="241"/>
      <c r="D123" s="241"/>
      <c r="E123" s="241"/>
      <c r="F123" s="241"/>
      <c r="G123" s="241"/>
      <c r="H123" s="241"/>
      <c r="I123" s="241"/>
      <c r="J123" s="241"/>
      <c r="K123" s="241"/>
      <c r="L123" s="241"/>
    </row>
    <row r="124" spans="1:12">
      <c r="A124" s="2"/>
      <c r="B124" s="482" t="s">
        <v>2338</v>
      </c>
      <c r="C124" s="241"/>
      <c r="D124" s="241"/>
      <c r="E124" s="241"/>
      <c r="F124" s="241"/>
      <c r="G124" s="241"/>
      <c r="H124" s="241"/>
      <c r="I124" s="241"/>
      <c r="J124" s="241"/>
      <c r="K124" s="241"/>
      <c r="L124" s="232"/>
    </row>
    <row r="125" spans="1:12">
      <c r="A125" s="2"/>
      <c r="B125" s="482" t="s">
        <v>2339</v>
      </c>
      <c r="C125" s="241"/>
      <c r="D125" s="241"/>
      <c r="E125" s="241"/>
      <c r="F125" s="241"/>
      <c r="G125" s="241"/>
      <c r="H125" s="241"/>
      <c r="I125" s="241"/>
      <c r="J125" s="241"/>
      <c r="K125" s="241"/>
      <c r="L125" s="232"/>
    </row>
    <row r="126" spans="1:12">
      <c r="A126" s="2"/>
      <c r="B126" s="944" t="s">
        <v>534</v>
      </c>
      <c r="C126" s="241"/>
      <c r="D126" s="241"/>
      <c r="E126" s="241"/>
      <c r="F126" s="241"/>
      <c r="G126" s="241"/>
      <c r="H126" s="241"/>
      <c r="I126" s="241"/>
      <c r="J126" s="241"/>
      <c r="K126" s="241"/>
      <c r="L126" s="232"/>
    </row>
    <row r="127" spans="1:12">
      <c r="A127" s="2"/>
      <c r="B127" s="944" t="s">
        <v>1897</v>
      </c>
      <c r="C127" s="241"/>
      <c r="D127" s="241"/>
      <c r="E127" s="241"/>
      <c r="F127" s="241"/>
      <c r="G127" s="241"/>
      <c r="H127" s="241"/>
      <c r="I127" s="241"/>
      <c r="J127" s="241"/>
      <c r="K127" s="241"/>
      <c r="L127" s="232"/>
    </row>
    <row r="128" spans="1:12">
      <c r="A128" s="2"/>
      <c r="B128" s="944" t="s">
        <v>1898</v>
      </c>
      <c r="C128" s="241"/>
      <c r="D128" s="241"/>
      <c r="E128" s="241"/>
      <c r="F128" s="241"/>
      <c r="G128" s="241"/>
      <c r="H128" s="241"/>
      <c r="I128" s="241"/>
      <c r="J128" s="241"/>
      <c r="K128" s="241"/>
      <c r="L128" s="232"/>
    </row>
    <row r="129" spans="1:12">
      <c r="A129" s="2"/>
      <c r="B129" s="482" t="s">
        <v>2340</v>
      </c>
      <c r="C129" s="241"/>
      <c r="D129" s="241"/>
      <c r="E129" s="241"/>
      <c r="F129" s="241"/>
      <c r="G129" s="241"/>
      <c r="H129" s="241"/>
      <c r="I129" s="241"/>
      <c r="J129" s="241"/>
      <c r="K129" s="241"/>
      <c r="L129" s="232"/>
    </row>
    <row r="130" spans="1:12">
      <c r="A130" s="2"/>
      <c r="B130" s="944" t="s">
        <v>2066</v>
      </c>
      <c r="C130" s="241"/>
      <c r="D130" s="241"/>
      <c r="E130" s="241"/>
      <c r="F130" s="241"/>
      <c r="G130" s="241"/>
      <c r="H130" s="241"/>
      <c r="I130" s="241"/>
      <c r="J130" s="241"/>
      <c r="K130" s="241"/>
      <c r="L130" s="232"/>
    </row>
    <row r="131" spans="1:12">
      <c r="A131" s="2"/>
      <c r="B131" s="944" t="s">
        <v>2065</v>
      </c>
      <c r="C131" s="241"/>
      <c r="D131" s="241"/>
      <c r="E131" s="241"/>
      <c r="F131" s="241"/>
      <c r="G131" s="241"/>
      <c r="H131" s="241"/>
      <c r="I131" s="241"/>
      <c r="J131" s="241"/>
      <c r="K131" s="241"/>
      <c r="L131" s="232"/>
    </row>
    <row r="132" spans="1:12">
      <c r="A132" s="232"/>
      <c r="B132" s="944" t="s">
        <v>2064</v>
      </c>
      <c r="C132" s="241"/>
      <c r="D132" s="241"/>
      <c r="E132" s="241"/>
      <c r="F132" s="241"/>
      <c r="G132" s="241"/>
      <c r="H132" s="241"/>
      <c r="I132" s="241"/>
      <c r="J132" s="241"/>
      <c r="K132" s="241"/>
      <c r="L132" s="232"/>
    </row>
    <row r="133" spans="1:12">
      <c r="A133" s="232"/>
      <c r="B133" s="944" t="s">
        <v>972</v>
      </c>
      <c r="C133" s="241"/>
      <c r="D133" s="241"/>
      <c r="E133" s="241"/>
      <c r="F133" s="241"/>
      <c r="G133" s="241"/>
      <c r="H133" s="241"/>
      <c r="I133" s="241"/>
      <c r="J133" s="241"/>
      <c r="K133" s="241"/>
      <c r="L133" s="232"/>
    </row>
    <row r="134" spans="1:12">
      <c r="A134" s="232"/>
      <c r="B134" s="46"/>
      <c r="C134" s="241"/>
      <c r="D134" s="241"/>
      <c r="E134" s="241"/>
      <c r="F134" s="241"/>
      <c r="G134" s="241"/>
      <c r="H134" s="241"/>
      <c r="I134" s="241"/>
      <c r="J134" s="241"/>
      <c r="K134" s="241"/>
      <c r="L134" s="232"/>
    </row>
    <row r="135" spans="1:12">
      <c r="A135" s="232"/>
      <c r="B135" s="377"/>
      <c r="C135" s="241"/>
      <c r="D135" s="241"/>
      <c r="E135" s="241"/>
      <c r="F135" s="241"/>
      <c r="G135" s="241"/>
      <c r="H135" s="241"/>
      <c r="I135" s="241"/>
      <c r="J135" s="241"/>
      <c r="K135" s="241"/>
      <c r="L135" s="232"/>
    </row>
    <row r="136" spans="1:12">
      <c r="A136" s="232"/>
      <c r="B136" s="944"/>
      <c r="C136" s="241"/>
      <c r="D136" s="241"/>
      <c r="E136" s="241"/>
      <c r="F136" s="241"/>
      <c r="G136" s="241"/>
      <c r="H136" s="241"/>
      <c r="I136" s="241"/>
      <c r="J136" s="241"/>
      <c r="K136" s="241"/>
      <c r="L136" s="232"/>
    </row>
    <row r="137" spans="1:12">
      <c r="A137" s="232"/>
      <c r="B137" s="944"/>
      <c r="C137" s="241"/>
      <c r="D137" s="241"/>
      <c r="E137" s="241"/>
      <c r="F137" s="241"/>
      <c r="G137" s="241"/>
      <c r="H137" s="241"/>
      <c r="I137" s="241"/>
      <c r="J137" s="241"/>
      <c r="K137" s="241"/>
      <c r="L137" s="232"/>
    </row>
    <row r="138" spans="1:12">
      <c r="A138" s="232"/>
      <c r="B138" s="46"/>
      <c r="C138" s="241"/>
      <c r="D138" s="241"/>
      <c r="E138" s="241"/>
      <c r="F138" s="241"/>
      <c r="G138" s="241"/>
      <c r="H138" s="241"/>
      <c r="I138" s="241"/>
      <c r="J138" s="241"/>
      <c r="K138" s="241"/>
      <c r="L138" s="232"/>
    </row>
    <row r="139" spans="1:12">
      <c r="A139" s="232"/>
      <c r="B139" s="944"/>
      <c r="C139" s="241"/>
      <c r="D139" s="241"/>
      <c r="E139" s="241"/>
      <c r="F139" s="241"/>
      <c r="G139" s="241"/>
      <c r="H139" s="241"/>
      <c r="I139" s="241"/>
      <c r="J139" s="241"/>
      <c r="K139" s="241"/>
      <c r="L139" s="232"/>
    </row>
    <row r="140" spans="1:12">
      <c r="A140" s="232"/>
      <c r="B140" s="944"/>
      <c r="C140" s="241"/>
      <c r="D140" s="241"/>
      <c r="E140" s="241"/>
      <c r="F140" s="241"/>
      <c r="G140" s="241"/>
      <c r="H140" s="241"/>
      <c r="I140" s="241"/>
      <c r="J140" s="241"/>
      <c r="K140" s="241"/>
      <c r="L140" s="232"/>
    </row>
    <row r="141" spans="1:12">
      <c r="A141" s="232"/>
      <c r="B141" s="944"/>
      <c r="C141" s="241"/>
      <c r="D141" s="241"/>
      <c r="E141" s="241"/>
      <c r="F141" s="241"/>
      <c r="G141" s="241"/>
      <c r="H141" s="241"/>
      <c r="I141" s="241"/>
      <c r="J141" s="241"/>
      <c r="K141" s="241"/>
      <c r="L141" s="232"/>
    </row>
    <row r="142" spans="1:12">
      <c r="A142" s="232"/>
      <c r="B142" s="377"/>
      <c r="C142" s="241"/>
      <c r="D142" s="241"/>
      <c r="E142" s="241"/>
      <c r="F142" s="241"/>
      <c r="G142" s="241"/>
      <c r="H142" s="241"/>
      <c r="I142" s="241"/>
      <c r="J142" s="241"/>
      <c r="K142" s="241"/>
      <c r="L142" s="232"/>
    </row>
    <row r="143" spans="1:12">
      <c r="A143" s="232"/>
      <c r="C143" s="232"/>
      <c r="D143" s="232"/>
      <c r="E143" s="232"/>
      <c r="F143" s="232"/>
      <c r="G143" s="232"/>
      <c r="H143" s="232"/>
      <c r="I143" s="232"/>
      <c r="J143" s="232"/>
      <c r="K143" s="232"/>
      <c r="L143" s="232"/>
    </row>
    <row r="144" spans="1:12">
      <c r="A144" s="232"/>
      <c r="B144" s="232"/>
      <c r="C144" s="232"/>
      <c r="D144" s="232"/>
      <c r="E144" s="232"/>
      <c r="F144" s="232"/>
      <c r="G144" s="232"/>
      <c r="H144" s="232"/>
      <c r="I144" s="232"/>
      <c r="J144" s="232"/>
      <c r="K144" s="232"/>
      <c r="L144" s="232"/>
    </row>
    <row r="145" spans="1:12">
      <c r="A145" s="232"/>
      <c r="B145" s="232"/>
      <c r="C145" s="232"/>
      <c r="D145" s="232"/>
      <c r="E145" s="232"/>
      <c r="F145" s="232"/>
      <c r="G145" s="232"/>
      <c r="H145" s="232"/>
      <c r="I145" s="232"/>
      <c r="J145" s="232"/>
      <c r="K145" s="232"/>
      <c r="L145" s="232"/>
    </row>
    <row r="146" spans="1:12">
      <c r="A146" s="232"/>
      <c r="B146" s="232"/>
      <c r="C146" s="232"/>
      <c r="D146" s="232"/>
      <c r="E146" s="232"/>
      <c r="F146" s="232"/>
      <c r="G146" s="232"/>
      <c r="H146" s="232"/>
      <c r="I146" s="232"/>
      <c r="J146" s="232"/>
      <c r="K146" s="232"/>
      <c r="L146" s="232"/>
    </row>
    <row r="147" spans="1:12">
      <c r="A147" s="232"/>
      <c r="B147" s="232"/>
      <c r="C147" s="232"/>
      <c r="D147" s="232"/>
      <c r="E147" s="232"/>
      <c r="F147" s="232"/>
      <c r="G147" s="232"/>
      <c r="H147" s="232"/>
      <c r="I147" s="232"/>
      <c r="J147" s="232"/>
      <c r="K147" s="232"/>
      <c r="L147" s="232"/>
    </row>
    <row r="148" spans="1:12">
      <c r="A148" s="232"/>
      <c r="B148" s="232"/>
      <c r="C148" s="232"/>
      <c r="D148" s="232"/>
      <c r="E148" s="232"/>
      <c r="F148" s="232"/>
      <c r="G148" s="232"/>
      <c r="H148" s="232"/>
      <c r="I148" s="232"/>
      <c r="J148" s="232"/>
      <c r="K148" s="232"/>
      <c r="L148" s="232"/>
    </row>
    <row r="149" spans="1:12">
      <c r="A149" s="232"/>
      <c r="B149" s="232"/>
      <c r="C149" s="232"/>
      <c r="D149" s="232"/>
      <c r="E149" s="232"/>
      <c r="F149" s="232"/>
      <c r="G149" s="232"/>
      <c r="H149" s="232"/>
      <c r="I149" s="232"/>
      <c r="J149" s="232"/>
      <c r="K149" s="232"/>
      <c r="L149" s="232"/>
    </row>
    <row r="150" spans="1:12">
      <c r="A150" s="232"/>
      <c r="B150" s="232"/>
      <c r="C150" s="232"/>
      <c r="D150" s="232"/>
      <c r="E150" s="232"/>
      <c r="F150" s="232"/>
      <c r="G150" s="232"/>
      <c r="H150" s="232"/>
      <c r="I150" s="232"/>
      <c r="J150" s="232"/>
      <c r="K150" s="232"/>
      <c r="L150" s="232"/>
    </row>
    <row r="151" spans="1:12">
      <c r="A151" s="232"/>
      <c r="B151" s="232"/>
      <c r="C151" s="232"/>
      <c r="D151" s="232"/>
      <c r="E151" s="232"/>
      <c r="F151" s="232"/>
      <c r="G151" s="232"/>
      <c r="H151" s="232"/>
      <c r="I151" s="232"/>
      <c r="J151" s="232"/>
      <c r="K151" s="232"/>
      <c r="L151" s="232"/>
    </row>
    <row r="152" spans="1:12">
      <c r="A152" s="232"/>
      <c r="B152" s="232"/>
      <c r="C152" s="232"/>
      <c r="D152" s="232"/>
      <c r="E152" s="232"/>
      <c r="F152" s="232"/>
      <c r="G152" s="232"/>
      <c r="H152" s="232"/>
      <c r="I152" s="232"/>
      <c r="J152" s="232"/>
      <c r="K152" s="232"/>
      <c r="L152" s="232"/>
    </row>
    <row r="153" spans="1:12">
      <c r="A153" s="232"/>
      <c r="B153" s="232"/>
      <c r="C153" s="232"/>
      <c r="D153" s="232"/>
      <c r="E153" s="232"/>
      <c r="F153" s="232"/>
      <c r="G153" s="232"/>
      <c r="H153" s="232"/>
      <c r="I153" s="232"/>
      <c r="J153" s="232"/>
      <c r="K153" s="232"/>
      <c r="L153" s="232"/>
    </row>
    <row r="154" spans="1:12">
      <c r="A154" s="232"/>
      <c r="B154" s="232"/>
      <c r="C154" s="232"/>
      <c r="D154" s="232"/>
      <c r="E154" s="232"/>
      <c r="F154" s="232"/>
      <c r="G154" s="232"/>
      <c r="H154" s="232"/>
      <c r="I154" s="232"/>
      <c r="J154" s="232"/>
      <c r="K154" s="232"/>
      <c r="L154" s="232"/>
    </row>
    <row r="155" spans="1:12">
      <c r="A155" s="232"/>
      <c r="B155" s="232"/>
      <c r="C155" s="232"/>
      <c r="D155" s="232"/>
      <c r="E155" s="232"/>
      <c r="F155" s="232"/>
      <c r="G155" s="232"/>
      <c r="H155" s="232"/>
      <c r="I155" s="232"/>
      <c r="J155" s="232"/>
      <c r="K155" s="232"/>
      <c r="L155" s="232"/>
    </row>
    <row r="156" spans="1:12">
      <c r="A156" s="232"/>
      <c r="B156" s="232"/>
      <c r="C156" s="232"/>
      <c r="D156" s="232"/>
      <c r="E156" s="232"/>
      <c r="F156" s="232"/>
      <c r="G156" s="232"/>
      <c r="H156" s="232"/>
      <c r="I156" s="232"/>
      <c r="J156" s="232"/>
      <c r="K156" s="232"/>
      <c r="L156" s="232"/>
    </row>
    <row r="157" spans="1:12">
      <c r="A157" s="232"/>
      <c r="B157" s="232"/>
      <c r="C157" s="232"/>
      <c r="D157" s="232"/>
      <c r="E157" s="232"/>
      <c r="F157" s="232"/>
      <c r="G157" s="232"/>
      <c r="H157" s="232"/>
      <c r="I157" s="232"/>
      <c r="J157" s="232"/>
      <c r="K157" s="232"/>
      <c r="L157" s="232"/>
    </row>
    <row r="158" spans="1:12">
      <c r="A158" s="232"/>
      <c r="B158" s="232"/>
      <c r="C158" s="232"/>
      <c r="D158" s="232"/>
      <c r="E158" s="232"/>
      <c r="F158" s="232"/>
      <c r="G158" s="232"/>
      <c r="H158" s="232"/>
      <c r="I158" s="232"/>
      <c r="J158" s="232"/>
      <c r="K158" s="232"/>
      <c r="L158" s="232"/>
    </row>
    <row r="159" spans="1:12">
      <c r="A159" s="232"/>
      <c r="B159" s="232"/>
      <c r="C159" s="232"/>
      <c r="D159" s="232"/>
      <c r="E159" s="232"/>
      <c r="F159" s="232"/>
      <c r="G159" s="232"/>
      <c r="H159" s="232"/>
      <c r="I159" s="232"/>
      <c r="J159" s="232"/>
      <c r="K159" s="232"/>
      <c r="L159" s="232"/>
    </row>
    <row r="160" spans="1:12">
      <c r="A160" s="232"/>
      <c r="B160" s="232"/>
      <c r="C160" s="232"/>
      <c r="D160" s="232"/>
      <c r="E160" s="232"/>
      <c r="F160" s="232"/>
      <c r="G160" s="232"/>
      <c r="H160" s="232"/>
      <c r="I160" s="232"/>
      <c r="J160" s="232"/>
      <c r="K160" s="232"/>
      <c r="L160" s="232"/>
    </row>
    <row r="161" spans="1:12">
      <c r="A161" s="232"/>
      <c r="B161" s="232"/>
      <c r="C161" s="232"/>
      <c r="D161" s="232"/>
      <c r="E161" s="232"/>
      <c r="F161" s="232"/>
      <c r="G161" s="232"/>
      <c r="H161" s="232"/>
      <c r="I161" s="232"/>
      <c r="J161" s="232"/>
      <c r="K161" s="232"/>
      <c r="L161" s="232"/>
    </row>
    <row r="162" spans="1:12">
      <c r="A162" s="232"/>
      <c r="B162" s="232"/>
      <c r="C162" s="232"/>
      <c r="D162" s="232"/>
      <c r="E162" s="232"/>
      <c r="F162" s="232"/>
      <c r="G162" s="232"/>
      <c r="H162" s="232"/>
      <c r="I162" s="232"/>
      <c r="J162" s="232"/>
      <c r="K162" s="232"/>
      <c r="L162" s="232"/>
    </row>
    <row r="163" spans="1:12">
      <c r="A163" s="232"/>
      <c r="B163" s="232"/>
      <c r="C163" s="232"/>
      <c r="D163" s="232"/>
      <c r="E163" s="232"/>
      <c r="F163" s="232"/>
      <c r="G163" s="232"/>
      <c r="H163" s="232"/>
      <c r="I163" s="232"/>
      <c r="J163" s="232"/>
      <c r="K163" s="232"/>
      <c r="L163" s="232"/>
    </row>
    <row r="164" spans="1:12">
      <c r="A164" s="232"/>
      <c r="B164" s="232"/>
      <c r="C164" s="232"/>
      <c r="D164" s="232"/>
      <c r="E164" s="232"/>
      <c r="F164" s="232"/>
      <c r="G164" s="232"/>
      <c r="H164" s="232"/>
      <c r="I164" s="232"/>
      <c r="J164" s="232"/>
      <c r="K164" s="232"/>
      <c r="L164" s="232"/>
    </row>
    <row r="165" spans="1:12">
      <c r="A165" s="232"/>
      <c r="B165" s="232"/>
      <c r="C165" s="232"/>
      <c r="D165" s="232"/>
      <c r="E165" s="232"/>
      <c r="F165" s="232"/>
      <c r="G165" s="232"/>
      <c r="H165" s="232"/>
      <c r="I165" s="232"/>
      <c r="J165" s="232"/>
      <c r="K165" s="232"/>
      <c r="L165" s="232"/>
    </row>
    <row r="166" spans="1:12">
      <c r="A166" s="232"/>
      <c r="B166" s="232"/>
      <c r="C166" s="232"/>
      <c r="D166" s="232"/>
      <c r="E166" s="232"/>
      <c r="F166" s="232"/>
      <c r="G166" s="232"/>
      <c r="H166" s="232"/>
      <c r="I166" s="232"/>
      <c r="J166" s="232"/>
      <c r="K166" s="232"/>
      <c r="L166" s="232"/>
    </row>
    <row r="167" spans="1:12">
      <c r="A167" s="232"/>
      <c r="B167" s="232"/>
      <c r="C167" s="232"/>
      <c r="D167" s="232"/>
      <c r="E167" s="232"/>
      <c r="F167" s="232"/>
      <c r="G167" s="232"/>
      <c r="H167" s="232"/>
      <c r="I167" s="232"/>
      <c r="J167" s="232"/>
      <c r="K167" s="232"/>
      <c r="L167" s="232"/>
    </row>
  </sheetData>
  <pageMargins left="0.7" right="0.7" top="0.75" bottom="0.75" header="0.3" footer="0.3"/>
  <pageSetup scale="72" orientation="landscape" cellComments="asDisplayed" r:id="rId1"/>
  <headerFooter>
    <oddHeader>&amp;CSchedule 3
True Up Adjustment
&amp;RTO2019 Draft Annual Update 
Attachment1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1"/>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 min="11" max="11" width="2.85546875" customWidth="1"/>
    <col min="12" max="12" width="14.140625" customWidth="1"/>
    <col min="13" max="13" width="4.42578125" customWidth="1"/>
    <col min="14" max="14" width="15.28515625" customWidth="1"/>
  </cols>
  <sheetData>
    <row r="1" spans="1:14">
      <c r="A1" s="1" t="s">
        <v>1696</v>
      </c>
    </row>
    <row r="2" spans="1:14">
      <c r="H2" s="14"/>
    </row>
    <row r="3" spans="1:14">
      <c r="B3" s="83" t="s">
        <v>1496</v>
      </c>
      <c r="L3" s="580"/>
      <c r="M3" s="1075"/>
      <c r="N3" s="1075"/>
    </row>
    <row r="4" spans="1:14">
      <c r="B4" s="70"/>
      <c r="F4" s="2" t="s">
        <v>154</v>
      </c>
      <c r="G4" s="2"/>
      <c r="H4" s="2" t="s">
        <v>169</v>
      </c>
      <c r="L4" s="580"/>
      <c r="M4" s="1075"/>
      <c r="N4" s="580"/>
    </row>
    <row r="5" spans="1:14">
      <c r="A5" s="53" t="s">
        <v>322</v>
      </c>
      <c r="B5" s="16"/>
      <c r="C5" s="51" t="s">
        <v>152</v>
      </c>
      <c r="F5" s="3" t="s">
        <v>153</v>
      </c>
      <c r="G5" s="3" t="s">
        <v>168</v>
      </c>
      <c r="H5" s="3" t="s">
        <v>170</v>
      </c>
      <c r="J5" s="3" t="s">
        <v>175</v>
      </c>
      <c r="L5" s="3"/>
      <c r="M5" s="1075"/>
      <c r="N5" s="3"/>
    </row>
    <row r="6" spans="1:14">
      <c r="A6" s="111">
        <v>1</v>
      </c>
      <c r="B6" s="14"/>
      <c r="C6" s="110" t="s">
        <v>1056</v>
      </c>
      <c r="D6" s="14"/>
      <c r="E6" s="14"/>
      <c r="F6" s="14" t="s">
        <v>10</v>
      </c>
      <c r="G6" s="14"/>
      <c r="H6" s="110" t="str">
        <f>"6-PlantInService, Line "&amp;'6-PlantInService'!A42&amp;""</f>
        <v>6-PlantInService, Line 18</v>
      </c>
      <c r="I6" s="14"/>
      <c r="J6" s="63">
        <f>'6-PlantInService'!D42</f>
        <v>8389794318.2680359</v>
      </c>
      <c r="L6" s="7"/>
      <c r="N6" s="7"/>
    </row>
    <row r="7" spans="1:14">
      <c r="A7" s="111">
        <f>A6+1</f>
        <v>2</v>
      </c>
      <c r="B7" s="14"/>
      <c r="C7" s="110" t="s">
        <v>1211</v>
      </c>
      <c r="D7" s="14"/>
      <c r="E7" s="14"/>
      <c r="F7" s="14" t="s">
        <v>155</v>
      </c>
      <c r="G7" s="14"/>
      <c r="H7" s="110" t="str">
        <f>"6-PlantInService, Line "&amp;'6-PlantInService'!A58&amp;""</f>
        <v>6-PlantInService, Line 24</v>
      </c>
      <c r="I7" s="14"/>
      <c r="J7" s="63">
        <f>'6-PlantInService'!F58</f>
        <v>269354227.83580166</v>
      </c>
      <c r="L7" s="7"/>
      <c r="N7" s="7"/>
    </row>
    <row r="8" spans="1:14">
      <c r="A8" s="111">
        <f>A7+1</f>
        <v>3</v>
      </c>
      <c r="B8" s="14"/>
      <c r="C8" s="110" t="s">
        <v>157</v>
      </c>
      <c r="D8" s="14"/>
      <c r="E8" s="14"/>
      <c r="F8" s="14" t="s">
        <v>155</v>
      </c>
      <c r="G8" s="14"/>
      <c r="H8" s="14" t="str">
        <f>"11-PHFU, Line "&amp;'11-PHFU'!A41&amp;""</f>
        <v>11-PHFU, Line 9</v>
      </c>
      <c r="I8" s="14"/>
      <c r="J8" s="63">
        <f>'11-PHFU'!D41</f>
        <v>9942155</v>
      </c>
      <c r="L8" s="7"/>
      <c r="N8" s="7"/>
    </row>
    <row r="9" spans="1:14">
      <c r="A9" s="111">
        <f>A8+1</f>
        <v>4</v>
      </c>
      <c r="B9" s="14"/>
      <c r="C9" s="110" t="s">
        <v>315</v>
      </c>
      <c r="D9" s="14"/>
      <c r="E9" s="14"/>
      <c r="F9" s="14" t="s">
        <v>155</v>
      </c>
      <c r="G9" s="14"/>
      <c r="H9" s="15" t="str">
        <f>"12-AbandonedPlant Line "&amp;'12-AbandonedPlant'!A21&amp;""</f>
        <v>12-AbandonedPlant Line 4</v>
      </c>
      <c r="I9" s="14"/>
      <c r="J9" s="63">
        <f>'12-AbandonedPlant'!G21</f>
        <v>0</v>
      </c>
      <c r="L9" s="7"/>
      <c r="N9" s="7"/>
    </row>
    <row r="10" spans="1:14">
      <c r="A10" s="111"/>
      <c r="B10" s="14"/>
      <c r="C10" s="110"/>
      <c r="D10" s="14"/>
      <c r="E10" s="14"/>
      <c r="F10" s="14"/>
      <c r="G10" s="14"/>
      <c r="H10" s="14"/>
      <c r="I10" s="14"/>
      <c r="J10" s="63"/>
      <c r="L10" s="7"/>
      <c r="N10" s="7"/>
    </row>
    <row r="11" spans="1:14">
      <c r="A11" s="111"/>
      <c r="B11" s="14"/>
      <c r="C11" s="45" t="s">
        <v>279</v>
      </c>
      <c r="D11" s="14"/>
      <c r="E11" s="14"/>
      <c r="F11" s="14"/>
      <c r="G11" s="14"/>
      <c r="H11" s="14"/>
      <c r="I11" s="14"/>
      <c r="J11" s="63"/>
      <c r="L11" s="7"/>
      <c r="N11" s="7"/>
    </row>
    <row r="12" spans="1:14">
      <c r="A12" s="111">
        <f>A9+1</f>
        <v>5</v>
      </c>
      <c r="B12" s="14"/>
      <c r="C12" s="46" t="s">
        <v>91</v>
      </c>
      <c r="D12" s="14"/>
      <c r="E12" s="14"/>
      <c r="F12" s="14" t="s">
        <v>10</v>
      </c>
      <c r="G12" s="14"/>
      <c r="H12" s="110" t="str">
        <f>"13-WorkCap, Line "&amp;'13-WorkCap'!A27&amp;""</f>
        <v>13-WorkCap, Line 17</v>
      </c>
      <c r="I12" s="14"/>
      <c r="J12" s="63">
        <f>'13-WorkCap'!F27</f>
        <v>13950874.771301556</v>
      </c>
      <c r="L12" s="7"/>
      <c r="N12" s="7"/>
    </row>
    <row r="13" spans="1:14">
      <c r="A13" s="111">
        <f>A12+1</f>
        <v>6</v>
      </c>
      <c r="B13" s="14"/>
      <c r="C13" s="114" t="s">
        <v>92</v>
      </c>
      <c r="D13" s="14"/>
      <c r="E13" s="14"/>
      <c r="F13" s="14" t="s">
        <v>10</v>
      </c>
      <c r="G13" s="14"/>
      <c r="H13" s="110" t="str">
        <f>"13-WorkCap, Line "&amp;'13-WorkCap'!A51&amp;""</f>
        <v>13-WorkCap, Line 33</v>
      </c>
      <c r="I13" s="14"/>
      <c r="J13" s="63">
        <f>'13-WorkCap'!F51</f>
        <v>11375902.439137101</v>
      </c>
      <c r="L13" s="7"/>
      <c r="N13" s="7"/>
    </row>
    <row r="14" spans="1:14">
      <c r="A14" s="111">
        <f>A13+1</f>
        <v>7</v>
      </c>
      <c r="B14" s="14"/>
      <c r="C14" s="46" t="s">
        <v>172</v>
      </c>
      <c r="D14" s="14"/>
      <c r="E14" s="14"/>
      <c r="F14" s="485" t="s">
        <v>2655</v>
      </c>
      <c r="G14" s="14"/>
      <c r="H14" s="14" t="str">
        <f>"1-Base TRR Line "&amp;'1-BaseTRR'!A17&amp;""</f>
        <v>1-Base TRR Line 7</v>
      </c>
      <c r="I14" s="14"/>
      <c r="J14" s="102">
        <f>'1-BaseTRR'!K17</f>
        <v>16239767.973393589</v>
      </c>
      <c r="L14" s="91"/>
      <c r="N14" s="7"/>
    </row>
    <row r="15" spans="1:14">
      <c r="A15" s="111">
        <f>A14+1</f>
        <v>8</v>
      </c>
      <c r="B15" s="14"/>
      <c r="C15" s="46" t="s">
        <v>90</v>
      </c>
      <c r="D15" s="14"/>
      <c r="E15" s="14"/>
      <c r="F15" s="14"/>
      <c r="G15" s="14"/>
      <c r="H15" s="14" t="str">
        <f>"Line "&amp;A12&amp;" + Line "&amp;A13&amp;" + Line "&amp;A14&amp;""</f>
        <v>Line 5 + Line 6 + Line 7</v>
      </c>
      <c r="I15" s="14"/>
      <c r="J15" s="63">
        <f>SUM(J12:J14)</f>
        <v>41566545.183832243</v>
      </c>
      <c r="L15" s="7"/>
      <c r="N15" s="7"/>
    </row>
    <row r="16" spans="1:14">
      <c r="A16" s="111"/>
      <c r="B16" s="14"/>
      <c r="C16" s="46"/>
      <c r="D16" s="14"/>
      <c r="E16" s="14"/>
      <c r="F16" s="14"/>
      <c r="G16" s="14"/>
      <c r="H16" s="14"/>
      <c r="I16" s="14"/>
      <c r="J16" s="63"/>
      <c r="L16" s="7"/>
      <c r="N16" s="7"/>
    </row>
    <row r="17" spans="1:14">
      <c r="A17" s="111"/>
      <c r="B17" s="14"/>
      <c r="C17" s="949" t="s">
        <v>280</v>
      </c>
      <c r="D17" s="14"/>
      <c r="E17" s="14"/>
      <c r="F17" s="14"/>
      <c r="G17" s="14"/>
      <c r="H17" s="14"/>
      <c r="I17" s="14"/>
      <c r="J17" s="63"/>
      <c r="L17" s="7"/>
      <c r="N17" s="7"/>
    </row>
    <row r="18" spans="1:14">
      <c r="A18" s="111">
        <f>A15+1</f>
        <v>9</v>
      </c>
      <c r="B18" s="14"/>
      <c r="C18" s="482" t="s">
        <v>1667</v>
      </c>
      <c r="D18" s="14"/>
      <c r="E18" s="14"/>
      <c r="F18" s="14" t="s">
        <v>10</v>
      </c>
      <c r="G18" s="14" t="s">
        <v>151</v>
      </c>
      <c r="H18" s="110" t="str">
        <f>"8-AccDep, Line "&amp;'8-AccDep'!A25&amp;", Col. 12"</f>
        <v>8-AccDep, Line 14, Col. 12</v>
      </c>
      <c r="I18" s="14"/>
      <c r="J18" s="63">
        <f>-'8-AccDep'!N25</f>
        <v>-1551618145.4736667</v>
      </c>
      <c r="L18" s="7"/>
      <c r="N18" s="7"/>
    </row>
    <row r="19" spans="1:14">
      <c r="A19" s="111">
        <f>A18+1</f>
        <v>10</v>
      </c>
      <c r="B19" s="14"/>
      <c r="C19" s="482" t="s">
        <v>1668</v>
      </c>
      <c r="D19" s="14"/>
      <c r="E19" s="14"/>
      <c r="F19" s="14" t="s">
        <v>155</v>
      </c>
      <c r="G19" s="14" t="s">
        <v>151</v>
      </c>
      <c r="H19" s="110" t="str">
        <f>"8-AccDep, Line "&amp;'8-AccDep'!A35&amp;", Col. 5"</f>
        <v>8-AccDep, Line 17, Col. 5</v>
      </c>
      <c r="I19" s="14"/>
      <c r="J19" s="63">
        <f>-'8-AccDep'!G35</f>
        <v>0</v>
      </c>
      <c r="L19" s="7"/>
      <c r="N19" s="7"/>
    </row>
    <row r="20" spans="1:14">
      <c r="A20" s="111">
        <f>A19+1</f>
        <v>11</v>
      </c>
      <c r="B20" s="14"/>
      <c r="C20" s="46" t="s">
        <v>310</v>
      </c>
      <c r="D20" s="22"/>
      <c r="E20" s="14"/>
      <c r="F20" s="14" t="s">
        <v>155</v>
      </c>
      <c r="G20" s="14" t="s">
        <v>151</v>
      </c>
      <c r="H20" s="110" t="str">
        <f>"8-AccDep, Line "&amp;'8-AccDep'!A53&amp;""</f>
        <v>8-AccDep, Line 23</v>
      </c>
      <c r="I20" s="14"/>
      <c r="J20" s="102">
        <f>-'8-AccDep'!F53</f>
        <v>-109889266.84636427</v>
      </c>
      <c r="L20" s="7"/>
      <c r="N20" s="7"/>
    </row>
    <row r="21" spans="1:14">
      <c r="A21" s="111">
        <f>A20+1</f>
        <v>12</v>
      </c>
      <c r="B21" s="14"/>
      <c r="C21" s="950" t="s">
        <v>163</v>
      </c>
      <c r="D21" s="22"/>
      <c r="E21" s="14"/>
      <c r="F21" s="14"/>
      <c r="G21" s="14"/>
      <c r="H21" s="14" t="str">
        <f>"Line "&amp;A18&amp;" + Line "&amp;A19&amp;" + Line "&amp;A20&amp;""</f>
        <v>Line 9 + Line 10 + Line 11</v>
      </c>
      <c r="I21" s="14"/>
      <c r="J21" s="63">
        <f>SUM(J18:J20)</f>
        <v>-1661507412.3200309</v>
      </c>
      <c r="L21" s="7"/>
      <c r="N21" s="7"/>
    </row>
    <row r="22" spans="1:14">
      <c r="A22" s="111"/>
      <c r="B22" s="14"/>
      <c r="C22" s="15"/>
      <c r="D22" s="14"/>
      <c r="E22" s="14"/>
      <c r="F22" s="14"/>
      <c r="G22" s="14"/>
      <c r="H22" s="14"/>
      <c r="I22" s="14"/>
      <c r="J22" s="63"/>
      <c r="L22" s="7"/>
      <c r="N22" s="7"/>
    </row>
    <row r="23" spans="1:14">
      <c r="A23" s="111">
        <f>A21+1</f>
        <v>13</v>
      </c>
      <c r="B23" s="14"/>
      <c r="C23" s="938" t="s">
        <v>164</v>
      </c>
      <c r="D23" s="14"/>
      <c r="E23" s="14"/>
      <c r="F23" s="14" t="s">
        <v>155</v>
      </c>
      <c r="G23" s="14"/>
      <c r="H23" s="110" t="str">
        <f>"9-ADIT, Line "&amp;'9-ADIT'!A24&amp;""</f>
        <v>9-ADIT, Line 15</v>
      </c>
      <c r="I23" s="14"/>
      <c r="J23" s="63">
        <f>'9-ADIT'!D24</f>
        <v>-1580823717.2033207</v>
      </c>
      <c r="L23" s="7"/>
      <c r="N23" s="7"/>
    </row>
    <row r="24" spans="1:14">
      <c r="A24" s="111">
        <f>A23+1</f>
        <v>14</v>
      </c>
      <c r="B24" s="14"/>
      <c r="C24" s="110" t="s">
        <v>242</v>
      </c>
      <c r="D24" s="14"/>
      <c r="E24" s="14"/>
      <c r="F24" s="14" t="s">
        <v>10</v>
      </c>
      <c r="G24" s="14"/>
      <c r="H24" s="110" t="str">
        <f>"14-IncentivePlant, L "&amp;'14-IncentivePlant'!A37&amp;", C2"</f>
        <v>14-IncentivePlant, L 12, C2</v>
      </c>
      <c r="I24" s="14"/>
      <c r="J24" s="63">
        <f>'14-IncentivePlant'!F37</f>
        <v>111914471.08153847</v>
      </c>
      <c r="L24" s="7"/>
      <c r="N24" s="7"/>
    </row>
    <row r="25" spans="1:14">
      <c r="A25" s="111">
        <f>A24+1</f>
        <v>15</v>
      </c>
      <c r="B25" s="14"/>
      <c r="C25" s="938" t="s">
        <v>55</v>
      </c>
      <c r="D25" s="14"/>
      <c r="E25" s="14"/>
      <c r="F25" s="14" t="s">
        <v>155</v>
      </c>
      <c r="G25" s="14" t="s">
        <v>151</v>
      </c>
      <c r="H25" s="110" t="str">
        <f>"22-NUCs, Line "&amp;'22-NUCs'!A15&amp;""</f>
        <v>22-NUCs, Line 7</v>
      </c>
      <c r="I25" s="14"/>
      <c r="J25" s="63">
        <f>-'22-NUCs'!E15</f>
        <v>-106562330.36</v>
      </c>
      <c r="L25" s="7"/>
      <c r="N25" s="7"/>
    </row>
    <row r="26" spans="1:14">
      <c r="A26" s="111">
        <f t="shared" ref="A26:A27" si="0">A25+1</f>
        <v>16</v>
      </c>
      <c r="B26" s="14"/>
      <c r="C26" s="940" t="s">
        <v>1992</v>
      </c>
      <c r="D26" s="14"/>
      <c r="E26" s="14"/>
      <c r="F26" s="14"/>
      <c r="G26" s="14"/>
      <c r="H26" s="15" t="str">
        <f>"34-UnfundedReserves, Line "&amp;'34-UnfundedReserves'!A10&amp;""</f>
        <v>34-UnfundedReserves, Line 7</v>
      </c>
      <c r="I26" s="14"/>
      <c r="J26" s="63">
        <f>'34-UnfundedReserves'!K10</f>
        <v>-10860906.583258362</v>
      </c>
      <c r="L26" s="7"/>
      <c r="N26" s="7"/>
    </row>
    <row r="27" spans="1:14">
      <c r="A27" s="111">
        <f t="shared" si="0"/>
        <v>17</v>
      </c>
      <c r="B27" s="14"/>
      <c r="C27" s="938" t="s">
        <v>367</v>
      </c>
      <c r="D27" s="14"/>
      <c r="E27" s="14"/>
      <c r="F27" s="14" t="s">
        <v>155</v>
      </c>
      <c r="G27" s="14"/>
      <c r="H27" s="110" t="str">
        <f>"23-RegAssets, Line "&amp;'23-RegAssets'!A18&amp;""</f>
        <v>23-RegAssets, Line 15</v>
      </c>
      <c r="I27" s="14"/>
      <c r="J27" s="63">
        <f>'23-RegAssets'!E18</f>
        <v>0</v>
      </c>
      <c r="L27" s="7"/>
      <c r="N27" s="7"/>
    </row>
    <row r="28" spans="1:14">
      <c r="A28" s="111"/>
      <c r="B28" s="14"/>
      <c r="C28" s="938"/>
      <c r="D28" s="14"/>
      <c r="E28" s="14"/>
      <c r="F28" s="14"/>
      <c r="G28" s="14"/>
      <c r="H28" s="14"/>
      <c r="I28" s="14"/>
      <c r="J28" s="14"/>
      <c r="L28" s="7"/>
      <c r="N28" s="7"/>
    </row>
    <row r="29" spans="1:14">
      <c r="A29" s="111">
        <f>A27+1</f>
        <v>18</v>
      </c>
      <c r="B29" s="14"/>
      <c r="C29" s="14" t="s">
        <v>173</v>
      </c>
      <c r="D29" s="14"/>
      <c r="E29" s="14"/>
      <c r="F29" s="14"/>
      <c r="G29" s="14"/>
      <c r="H29" s="14" t="str">
        <f>"L"&amp;A6&amp;"+L"&amp;A7&amp;"+L"&amp;A8&amp;"+L"&amp;A9&amp;"+L"&amp;A15&amp;"+L"&amp;A21&amp;"+"</f>
        <v>L1+L2+L3+L4+L8+L12+</v>
      </c>
      <c r="I29" s="14"/>
      <c r="J29" s="63">
        <f>J6+ J7+J8+J9+J15+J21+J23+J24+J25+J26+J27</f>
        <v>5462817350.9025984</v>
      </c>
      <c r="L29" s="7"/>
      <c r="N29" s="7"/>
    </row>
    <row r="30" spans="1:14">
      <c r="A30" s="111"/>
      <c r="B30" s="14"/>
      <c r="C30" s="14"/>
      <c r="D30" s="14"/>
      <c r="E30" s="14"/>
      <c r="F30" s="14"/>
      <c r="G30" s="14"/>
      <c r="H30" s="14" t="str">
        <f>"L"&amp;A23&amp;"+L"&amp;A24&amp;"+L"&amp;A25&amp;"+L"&amp;A26&amp;"+L"&amp;A27&amp;""</f>
        <v>L13+L14+L15+L16+L17</v>
      </c>
      <c r="I30" s="14"/>
      <c r="J30" s="63"/>
      <c r="L30" s="7"/>
      <c r="N30" s="7"/>
    </row>
    <row r="31" spans="1:14">
      <c r="A31" s="111"/>
      <c r="B31" s="44" t="s">
        <v>2215</v>
      </c>
      <c r="D31" s="14"/>
      <c r="E31" s="14"/>
      <c r="F31" s="14"/>
      <c r="G31" s="14"/>
      <c r="H31" s="14"/>
      <c r="I31" s="14"/>
      <c r="J31" s="63"/>
      <c r="L31" s="7"/>
      <c r="N31" s="7"/>
    </row>
    <row r="32" spans="1:14">
      <c r="A32" s="566" t="s">
        <v>322</v>
      </c>
      <c r="B32" s="14"/>
      <c r="C32" s="44"/>
      <c r="D32" s="14"/>
      <c r="E32" s="14"/>
      <c r="F32" s="14"/>
      <c r="G32" s="14"/>
      <c r="H32" s="14"/>
      <c r="I32" s="14"/>
      <c r="J32" s="63"/>
      <c r="L32" s="7"/>
      <c r="N32" s="7"/>
    </row>
    <row r="33" spans="1:14">
      <c r="A33" s="111">
        <f>A29+1</f>
        <v>19</v>
      </c>
      <c r="B33" s="485"/>
      <c r="C33" s="485" t="s">
        <v>53</v>
      </c>
      <c r="D33" s="485"/>
      <c r="E33" s="485"/>
      <c r="F33" s="485"/>
      <c r="G33" s="485" t="s">
        <v>1861</v>
      </c>
      <c r="H33" s="485" t="str">
        <f>"Instruction 1, Line "&amp;B97&amp;""</f>
        <v>Instruction 1, Line j</v>
      </c>
      <c r="I33" s="485"/>
      <c r="J33" s="405">
        <f>E97</f>
        <v>7.4385210189344381E-2</v>
      </c>
      <c r="L33" s="8"/>
      <c r="M33" s="8"/>
      <c r="N33" s="8"/>
    </row>
    <row r="34" spans="1:14">
      <c r="A34" s="2">
        <f>A33+1</f>
        <v>20</v>
      </c>
      <c r="C34" s="15" t="s">
        <v>54</v>
      </c>
      <c r="D34" s="15"/>
      <c r="E34" s="15"/>
      <c r="F34" s="15"/>
      <c r="G34" s="15"/>
      <c r="H34" t="str">
        <f>"Line "&amp;A29&amp;" * Line "&amp;A33&amp;""</f>
        <v>Line 18 * Line 19</v>
      </c>
      <c r="J34" s="47">
        <f>J29*J33</f>
        <v>406352816.87288725</v>
      </c>
      <c r="L34" s="7"/>
      <c r="N34" s="7"/>
    </row>
    <row r="35" spans="1:14">
      <c r="A35" s="2"/>
      <c r="B35" s="16"/>
      <c r="L35" s="7"/>
      <c r="N35" s="7"/>
    </row>
    <row r="36" spans="1:14">
      <c r="A36" s="2"/>
      <c r="B36" s="1" t="s">
        <v>2216</v>
      </c>
      <c r="L36" s="7"/>
      <c r="N36" s="7"/>
    </row>
    <row r="37" spans="1:14">
      <c r="A37" s="111"/>
      <c r="B37" s="114"/>
      <c r="C37" s="14"/>
      <c r="D37" s="14"/>
      <c r="E37" s="14"/>
      <c r="F37" s="14"/>
      <c r="G37" s="14"/>
      <c r="H37" s="14"/>
      <c r="I37" s="14"/>
      <c r="J37" s="14"/>
      <c r="L37" s="7"/>
      <c r="N37" s="7"/>
    </row>
    <row r="38" spans="1:14">
      <c r="A38" s="111">
        <f>A34+1</f>
        <v>21</v>
      </c>
      <c r="B38" s="14"/>
      <c r="C38" s="485" t="s">
        <v>2202</v>
      </c>
      <c r="D38" s="14"/>
      <c r="E38" s="14"/>
      <c r="F38" s="14"/>
      <c r="G38" s="14"/>
      <c r="H38" s="14"/>
      <c r="I38" s="14"/>
      <c r="J38" s="63">
        <f>(((J29*J42) + J45) *(J43/(1-J43)))+(J44/(1-J43))</f>
        <v>119434835.22796218</v>
      </c>
      <c r="L38" s="7"/>
      <c r="N38" s="7"/>
    </row>
    <row r="39" spans="1:14">
      <c r="A39" s="111"/>
      <c r="B39" s="14"/>
      <c r="C39" s="14"/>
      <c r="D39" s="14"/>
      <c r="E39" s="14"/>
      <c r="F39" s="14"/>
      <c r="G39" s="14"/>
      <c r="H39" s="14"/>
      <c r="I39" s="14"/>
      <c r="J39" s="15"/>
      <c r="L39" s="7"/>
      <c r="N39" s="7"/>
    </row>
    <row r="40" spans="1:14">
      <c r="A40" s="111"/>
      <c r="B40" s="14"/>
      <c r="C40" s="14"/>
      <c r="D40" s="14" t="s">
        <v>216</v>
      </c>
      <c r="E40" s="14"/>
      <c r="F40" s="14"/>
      <c r="G40" s="14"/>
      <c r="H40" s="14"/>
      <c r="I40" s="14"/>
      <c r="J40" s="14"/>
      <c r="L40" s="7"/>
      <c r="N40" s="7"/>
    </row>
    <row r="41" spans="1:14">
      <c r="A41" s="111">
        <f>A38+1</f>
        <v>22</v>
      </c>
      <c r="B41" s="14"/>
      <c r="C41" s="14"/>
      <c r="D41" s="114" t="s">
        <v>217</v>
      </c>
      <c r="E41" s="14"/>
      <c r="F41" s="14"/>
      <c r="G41" s="14"/>
      <c r="H41" s="14" t="str">
        <f>"Line "&amp;A29&amp;""</f>
        <v>Line 18</v>
      </c>
      <c r="I41" s="14"/>
      <c r="J41" s="63">
        <f>J29</f>
        <v>5462817350.9025984</v>
      </c>
      <c r="L41" s="7"/>
      <c r="N41" s="7"/>
    </row>
    <row r="42" spans="1:14">
      <c r="A42" s="111">
        <f>A41+1</f>
        <v>23</v>
      </c>
      <c r="B42" s="14"/>
      <c r="C42" s="14"/>
      <c r="D42" s="482" t="s">
        <v>1743</v>
      </c>
      <c r="E42" s="14"/>
      <c r="F42" s="14"/>
      <c r="G42" s="485" t="s">
        <v>1712</v>
      </c>
      <c r="H42" s="485" t="str">
        <f>"Instruction 1, Line "&amp;B102&amp;""</f>
        <v>Instruction 1, Line k</v>
      </c>
      <c r="I42" s="14"/>
      <c r="J42" s="48">
        <f>E102</f>
        <v>5.4253606052250256E-2</v>
      </c>
      <c r="L42" s="8"/>
      <c r="M42" s="8"/>
      <c r="N42" s="8"/>
    </row>
    <row r="43" spans="1:14">
      <c r="A43" s="111">
        <f>A42+1</f>
        <v>24</v>
      </c>
      <c r="B43" s="14"/>
      <c r="C43" s="14"/>
      <c r="D43" s="114" t="s">
        <v>218</v>
      </c>
      <c r="E43" s="14"/>
      <c r="F43" s="14"/>
      <c r="G43" s="14"/>
      <c r="H43" s="14" t="str">
        <f>"1-Base TRR L "&amp;'1-BaseTRR'!A102&amp;""</f>
        <v>1-Base TRR L 59</v>
      </c>
      <c r="I43" s="14"/>
      <c r="J43" s="67">
        <f>'1-BaseTRR'!K102</f>
        <v>0.27983599999999997</v>
      </c>
      <c r="L43" s="8"/>
      <c r="M43" s="8"/>
      <c r="N43" s="8"/>
    </row>
    <row r="44" spans="1:14">
      <c r="A44" s="111">
        <f>A43+1</f>
        <v>25</v>
      </c>
      <c r="B44" s="14"/>
      <c r="C44" s="14"/>
      <c r="D44" s="114" t="s">
        <v>219</v>
      </c>
      <c r="E44" s="14"/>
      <c r="F44" s="14"/>
      <c r="G44" s="14"/>
      <c r="H44" s="14" t="str">
        <f>"1-Base TRR L "&amp;'1-BaseTRR'!A108&amp;""</f>
        <v>1-Base TRR L 63</v>
      </c>
      <c r="I44" s="14"/>
      <c r="J44" s="63">
        <f>'1-BaseTRR'!K108</f>
        <v>2086200</v>
      </c>
      <c r="L44" s="7"/>
      <c r="N44" s="7"/>
    </row>
    <row r="45" spans="1:14">
      <c r="A45" s="111">
        <f>A44+1</f>
        <v>26</v>
      </c>
      <c r="B45" s="14"/>
      <c r="C45" s="14"/>
      <c r="D45" s="114" t="s">
        <v>1739</v>
      </c>
      <c r="E45" s="14"/>
      <c r="F45" s="14"/>
      <c r="G45" s="14"/>
      <c r="H45" s="14" t="str">
        <f>"1-Base TRR L "&amp;'1-BaseTRR'!A112&amp;""</f>
        <v>1-Base TRR L 65</v>
      </c>
      <c r="I45" s="14"/>
      <c r="J45" s="497">
        <f>'1-BaseTRR'!K119</f>
        <v>3535511</v>
      </c>
      <c r="L45" s="7"/>
      <c r="N45" s="7"/>
    </row>
    <row r="46" spans="1:14">
      <c r="A46" s="111"/>
      <c r="B46" s="114"/>
      <c r="C46" s="14"/>
      <c r="D46" s="14"/>
      <c r="E46" s="14"/>
      <c r="F46" s="14"/>
      <c r="G46" s="14"/>
      <c r="H46" s="14"/>
      <c r="I46" s="14"/>
      <c r="J46" s="14"/>
      <c r="L46" s="7"/>
      <c r="N46" s="7"/>
    </row>
    <row r="47" spans="1:14">
      <c r="A47" s="111"/>
      <c r="B47" s="44" t="s">
        <v>2217</v>
      </c>
      <c r="D47" s="14"/>
      <c r="E47" s="14"/>
      <c r="F47" s="14"/>
      <c r="G47" s="14"/>
      <c r="H47" s="14"/>
      <c r="I47" s="14"/>
      <c r="J47" s="14"/>
      <c r="L47" s="7"/>
      <c r="N47" s="7"/>
    </row>
    <row r="48" spans="1:14">
      <c r="A48" s="111">
        <f>A45+1</f>
        <v>27</v>
      </c>
      <c r="B48" s="114"/>
      <c r="C48" s="14" t="s">
        <v>101</v>
      </c>
      <c r="D48" s="14"/>
      <c r="E48" s="14"/>
      <c r="F48" s="14"/>
      <c r="G48" s="14"/>
      <c r="H48" s="14" t="str">
        <f>"1-Base TRR L "&amp;'1-BaseTRR'!A124&amp;""</f>
        <v>1-Base TRR L 66</v>
      </c>
      <c r="I48" s="14"/>
      <c r="J48" s="63">
        <f>'1-BaseTRR'!K124</f>
        <v>77531619.044176161</v>
      </c>
      <c r="L48" s="7"/>
      <c r="N48" s="7"/>
    </row>
    <row r="49" spans="1:14">
      <c r="A49" s="111">
        <f t="shared" ref="A49:A59" si="1">A48+1</f>
        <v>28</v>
      </c>
      <c r="B49" s="114"/>
      <c r="C49" s="15" t="s">
        <v>266</v>
      </c>
      <c r="D49" s="14"/>
      <c r="E49" s="14"/>
      <c r="F49" s="14"/>
      <c r="G49" s="14"/>
      <c r="H49" s="14" t="str">
        <f>"1-Base TRR L "&amp;'1-BaseTRR'!A125&amp;""</f>
        <v>1-Base TRR L 67</v>
      </c>
      <c r="I49" s="14"/>
      <c r="J49" s="63">
        <f>'1-BaseTRR'!K125</f>
        <v>52386524.742972553</v>
      </c>
      <c r="L49" s="7"/>
      <c r="N49" s="7"/>
    </row>
    <row r="50" spans="1:14">
      <c r="A50" s="111">
        <f>A49+1</f>
        <v>29</v>
      </c>
      <c r="B50" s="114"/>
      <c r="C50" s="14" t="s">
        <v>56</v>
      </c>
      <c r="D50" s="14"/>
      <c r="E50" s="14"/>
      <c r="F50" s="14"/>
      <c r="G50" s="14"/>
      <c r="H50" s="14" t="str">
        <f>"1-Base TRR L "&amp;'1-BaseTRR'!A126&amp;""</f>
        <v>1-Base TRR L 68</v>
      </c>
      <c r="I50" s="14"/>
      <c r="J50" s="63">
        <f>'1-BaseTRR'!K126</f>
        <v>6116850.9299999997</v>
      </c>
      <c r="L50" s="7"/>
      <c r="N50" s="7"/>
    </row>
    <row r="51" spans="1:14">
      <c r="A51" s="111">
        <f t="shared" si="1"/>
        <v>30</v>
      </c>
      <c r="B51" s="114"/>
      <c r="C51" s="15" t="s">
        <v>252</v>
      </c>
      <c r="D51" s="14"/>
      <c r="E51" s="14"/>
      <c r="F51" s="14"/>
      <c r="G51" s="14"/>
      <c r="H51" s="14" t="str">
        <f>"1-Base TRR L "&amp;'1-BaseTRR'!A127&amp;""</f>
        <v>1-Base TRR L 69</v>
      </c>
      <c r="I51" s="14"/>
      <c r="J51" s="63">
        <f>'1-BaseTRR'!K127</f>
        <v>241415720.66978657</v>
      </c>
      <c r="L51" s="7"/>
      <c r="N51" s="7"/>
    </row>
    <row r="52" spans="1:14">
      <c r="A52" s="111">
        <f t="shared" si="1"/>
        <v>31</v>
      </c>
      <c r="B52" s="114"/>
      <c r="C52" s="15" t="s">
        <v>294</v>
      </c>
      <c r="D52" s="14"/>
      <c r="E52" s="14"/>
      <c r="F52" s="14"/>
      <c r="G52" s="14"/>
      <c r="H52" s="14" t="str">
        <f>"1-Base TRR L "&amp;'1-BaseTRR'!A128&amp;""</f>
        <v>1-Base TRR L 70</v>
      </c>
      <c r="I52" s="14"/>
      <c r="J52" s="63">
        <f>'1-BaseTRR'!K128</f>
        <v>0</v>
      </c>
      <c r="L52" s="7"/>
      <c r="N52" s="7"/>
    </row>
    <row r="53" spans="1:14">
      <c r="A53" s="111">
        <f t="shared" si="1"/>
        <v>32</v>
      </c>
      <c r="B53" s="114"/>
      <c r="C53" s="15" t="s">
        <v>79</v>
      </c>
      <c r="D53" s="14"/>
      <c r="E53" s="14"/>
      <c r="F53" s="14"/>
      <c r="G53" s="14"/>
      <c r="H53" s="14" t="str">
        <f>"1-Base TRR L "&amp;'1-BaseTRR'!A129&amp;""</f>
        <v>1-Base TRR L 71</v>
      </c>
      <c r="I53" s="14"/>
      <c r="J53" s="63">
        <f>'1-BaseTRR'!K129</f>
        <v>61372286.951414451</v>
      </c>
      <c r="L53" s="7"/>
      <c r="N53" s="7"/>
    </row>
    <row r="54" spans="1:14">
      <c r="A54" s="111">
        <f t="shared" si="1"/>
        <v>33</v>
      </c>
      <c r="B54" s="114"/>
      <c r="C54" s="14" t="s">
        <v>11</v>
      </c>
      <c r="D54" s="14"/>
      <c r="E54" s="14"/>
      <c r="F54" s="14"/>
      <c r="G54" s="15"/>
      <c r="H54" s="14" t="str">
        <f>"1-Base TRR L "&amp;'1-BaseTRR'!A130&amp;""</f>
        <v>1-Base TRR L 72</v>
      </c>
      <c r="I54" s="14"/>
      <c r="J54" s="63">
        <f>'1-BaseTRR'!K130</f>
        <v>-58832605.54180719</v>
      </c>
      <c r="L54" s="7"/>
      <c r="N54" s="7"/>
    </row>
    <row r="55" spans="1:14">
      <c r="A55" s="111">
        <f t="shared" si="1"/>
        <v>34</v>
      </c>
      <c r="B55" s="114"/>
      <c r="C55" s="14" t="s">
        <v>87</v>
      </c>
      <c r="D55" s="14"/>
      <c r="E55" s="14"/>
      <c r="F55" s="14"/>
      <c r="G55" s="14"/>
      <c r="H55" s="14" t="str">
        <f>"Line "&amp;A34&amp;""</f>
        <v>Line 20</v>
      </c>
      <c r="I55" s="14"/>
      <c r="J55" s="63">
        <f>J34</f>
        <v>406352816.87288725</v>
      </c>
      <c r="L55" s="7"/>
      <c r="N55" s="7"/>
    </row>
    <row r="56" spans="1:14">
      <c r="A56" s="111">
        <f t="shared" si="1"/>
        <v>35</v>
      </c>
      <c r="B56" s="114"/>
      <c r="C56" s="14" t="s">
        <v>5</v>
      </c>
      <c r="D56" s="14"/>
      <c r="E56" s="14"/>
      <c r="F56" s="14"/>
      <c r="G56" s="14"/>
      <c r="H56" s="14" t="str">
        <f>"Line "&amp;A38&amp;""</f>
        <v>Line 21</v>
      </c>
      <c r="I56" s="14"/>
      <c r="J56" s="47">
        <f>J38</f>
        <v>119434835.22796218</v>
      </c>
      <c r="L56" s="7"/>
      <c r="N56" s="7"/>
    </row>
    <row r="57" spans="1:14">
      <c r="A57" s="111">
        <f t="shared" si="1"/>
        <v>36</v>
      </c>
      <c r="B57" s="114"/>
      <c r="C57" s="15" t="s">
        <v>362</v>
      </c>
      <c r="D57" s="14"/>
      <c r="E57" s="14"/>
      <c r="F57" s="14"/>
      <c r="G57" s="14"/>
      <c r="H57" s="14" t="str">
        <f>"1-Base TRR L "&amp;'1-BaseTRR'!A133&amp;""</f>
        <v>1-Base TRR L 75</v>
      </c>
      <c r="I57" s="14"/>
      <c r="J57" s="47">
        <f>'1-BaseTRR'!K133</f>
        <v>0</v>
      </c>
      <c r="L57" s="7"/>
      <c r="N57" s="7"/>
    </row>
    <row r="58" spans="1:14">
      <c r="A58" s="111">
        <f t="shared" si="1"/>
        <v>37</v>
      </c>
      <c r="B58" s="114"/>
      <c r="C58" s="596" t="s">
        <v>1728</v>
      </c>
      <c r="D58" s="709"/>
      <c r="E58" s="14"/>
      <c r="F58" s="14"/>
      <c r="G58" s="14"/>
      <c r="H58" s="14" t="str">
        <f>"1-Base TRR L "&amp;'1-BaseTRR'!A134&amp;""</f>
        <v>1-Base TRR L 76</v>
      </c>
      <c r="I58" s="14"/>
      <c r="J58" s="102">
        <f>'1-BaseTRR'!K134</f>
        <v>0</v>
      </c>
      <c r="L58" s="7"/>
      <c r="N58" s="7"/>
    </row>
    <row r="59" spans="1:14">
      <c r="A59" s="111">
        <f t="shared" si="1"/>
        <v>38</v>
      </c>
      <c r="B59" s="114"/>
      <c r="C59" s="485" t="s">
        <v>1497</v>
      </c>
      <c r="D59" s="14"/>
      <c r="E59" s="14"/>
      <c r="F59" s="14"/>
      <c r="G59" s="14"/>
      <c r="H59" s="14" t="str">
        <f>"Sum Line "&amp;A48&amp;" to Line "&amp;A58&amp;""</f>
        <v>Sum Line 27 to Line 37</v>
      </c>
      <c r="I59" s="14"/>
      <c r="J59" s="739">
        <f>SUM(J48:J58)</f>
        <v>905778048.89739192</v>
      </c>
      <c r="L59" s="7"/>
      <c r="N59" s="7"/>
    </row>
    <row r="60" spans="1:14">
      <c r="A60" s="111"/>
      <c r="B60" s="114"/>
      <c r="C60" s="14"/>
      <c r="D60" s="14"/>
      <c r="E60" s="14"/>
      <c r="F60" s="14"/>
      <c r="G60" s="14"/>
      <c r="H60" s="14"/>
      <c r="I60" s="14"/>
      <c r="J60" s="63"/>
      <c r="L60" s="7"/>
      <c r="N60" s="7"/>
    </row>
    <row r="61" spans="1:14" ht="12.75" customHeight="1">
      <c r="A61" s="111">
        <f>A59+1</f>
        <v>39</v>
      </c>
      <c r="B61" s="114"/>
      <c r="C61" s="485" t="s">
        <v>1474</v>
      </c>
      <c r="D61" s="14"/>
      <c r="E61" s="14"/>
      <c r="F61" s="14"/>
      <c r="G61" s="14"/>
      <c r="H61" s="14" t="str">
        <f>"15-IncentiveAdder L "&amp;'15-IncentiveAdder'!A59&amp;""</f>
        <v>15-IncentiveAdder L 20</v>
      </c>
      <c r="I61" s="14"/>
      <c r="J61" s="63">
        <f>'15-IncentiveAdder'!G59</f>
        <v>29673577.226156663</v>
      </c>
      <c r="L61" s="7"/>
      <c r="N61" s="7"/>
    </row>
    <row r="62" spans="1:14">
      <c r="A62" s="111"/>
      <c r="B62" s="114"/>
      <c r="C62" s="15"/>
      <c r="D62" s="14"/>
      <c r="E62" s="14"/>
      <c r="F62" s="14"/>
      <c r="G62" s="14"/>
      <c r="H62" s="14"/>
      <c r="I62" s="14"/>
      <c r="J62" s="63"/>
      <c r="L62" s="7"/>
      <c r="N62" s="7"/>
    </row>
    <row r="63" spans="1:14">
      <c r="A63" s="111">
        <f>A61+1</f>
        <v>40</v>
      </c>
      <c r="B63" s="114"/>
      <c r="C63" s="485" t="s">
        <v>2208</v>
      </c>
      <c r="D63" s="14"/>
      <c r="E63" s="14"/>
      <c r="F63" s="14"/>
      <c r="G63" s="14"/>
      <c r="H63" s="14" t="str">
        <f>"Line "&amp;A59&amp;" + Line "&amp;A61&amp;""</f>
        <v>Line 38 + Line 39</v>
      </c>
      <c r="I63" s="14"/>
      <c r="J63" s="63">
        <f>J59+J61</f>
        <v>935451626.12354863</v>
      </c>
      <c r="L63" s="7"/>
      <c r="N63" s="7"/>
    </row>
    <row r="64" spans="1:14">
      <c r="A64" s="111"/>
      <c r="B64" s="114"/>
      <c r="C64" s="15"/>
      <c r="D64" s="14"/>
      <c r="E64" s="14"/>
      <c r="F64" s="14"/>
      <c r="G64" s="14"/>
      <c r="H64" s="14"/>
      <c r="I64" s="14"/>
      <c r="J64" s="63"/>
    </row>
    <row r="65" spans="1:14">
      <c r="A65" s="111"/>
      <c r="B65" s="390" t="s">
        <v>2218</v>
      </c>
      <c r="C65" s="15"/>
      <c r="D65" s="14"/>
      <c r="E65" s="14"/>
      <c r="F65" s="14"/>
      <c r="G65" s="14"/>
      <c r="H65" s="14"/>
      <c r="I65" s="14"/>
      <c r="J65" s="63"/>
      <c r="N65" s="580"/>
    </row>
    <row r="66" spans="1:14">
      <c r="A66" s="53" t="s">
        <v>322</v>
      </c>
      <c r="B66" s="65"/>
      <c r="G66" s="51" t="s">
        <v>1144</v>
      </c>
      <c r="N66" s="3"/>
    </row>
    <row r="67" spans="1:14">
      <c r="A67" s="111">
        <f>A63+1</f>
        <v>41</v>
      </c>
      <c r="B67" s="938"/>
      <c r="C67" s="14"/>
      <c r="D67" s="941" t="s">
        <v>1498</v>
      </c>
      <c r="E67" s="63">
        <f>J63</f>
        <v>935451626.12354863</v>
      </c>
      <c r="F67" s="14"/>
      <c r="G67" s="14" t="str">
        <f>"Line "&amp;A63&amp;""</f>
        <v>Line 40</v>
      </c>
      <c r="H67" s="14"/>
      <c r="I67" s="14"/>
      <c r="J67" s="14"/>
      <c r="L67" s="7"/>
      <c r="N67" s="7"/>
    </row>
    <row r="68" spans="1:14">
      <c r="A68" s="111">
        <f>A67+1</f>
        <v>42</v>
      </c>
      <c r="B68" s="938"/>
      <c r="C68" s="14"/>
      <c r="D68" s="365" t="s">
        <v>1143</v>
      </c>
      <c r="E68" s="943">
        <f>'28-FFU'!D22</f>
        <v>9.2057000000000007E-3</v>
      </c>
      <c r="F68" s="14"/>
      <c r="G68" s="14" t="str">
        <f>"28-FFU, L "&amp;'28-FFU'!A22&amp;""</f>
        <v>28-FFU, L 5</v>
      </c>
      <c r="H68" s="14"/>
      <c r="I68" s="14"/>
      <c r="J68" s="14"/>
      <c r="L68" s="8"/>
      <c r="N68" s="8"/>
    </row>
    <row r="69" spans="1:14">
      <c r="A69" s="111">
        <f>A68+1</f>
        <v>43</v>
      </c>
      <c r="B69" s="938"/>
      <c r="C69" s="14"/>
      <c r="D69" s="79" t="s">
        <v>233</v>
      </c>
      <c r="E69" s="63">
        <f>E67*'28-FFU'!D22</f>
        <v>8611487.0346055515</v>
      </c>
      <c r="F69" s="14"/>
      <c r="G69" s="14" t="str">
        <f>"Line "&amp;A67&amp;" * Line "&amp;A68&amp;""</f>
        <v>Line 41 * Line 42</v>
      </c>
      <c r="H69" s="14"/>
      <c r="I69" s="14"/>
      <c r="J69" s="14"/>
      <c r="L69" s="7"/>
      <c r="N69" s="7"/>
    </row>
    <row r="70" spans="1:14">
      <c r="A70" s="111">
        <f>A69+1</f>
        <v>44</v>
      </c>
      <c r="B70" s="938"/>
      <c r="C70" s="14"/>
      <c r="D70" s="941" t="s">
        <v>1736</v>
      </c>
      <c r="E70" s="943">
        <f>'28-FFU'!E22</f>
        <v>2.4076000000000002E-3</v>
      </c>
      <c r="F70" s="14"/>
      <c r="G70" s="14" t="str">
        <f>"28-FFU, L "&amp;'28-FFU'!A22&amp;""</f>
        <v>28-FFU, L 5</v>
      </c>
      <c r="H70" s="14"/>
      <c r="I70" s="14"/>
      <c r="J70" s="14"/>
      <c r="L70" s="8"/>
      <c r="N70" s="8"/>
    </row>
    <row r="71" spans="1:14">
      <c r="A71" s="111">
        <f>A70+1</f>
        <v>45</v>
      </c>
      <c r="B71" s="938"/>
      <c r="C71" s="14"/>
      <c r="D71" s="941" t="s">
        <v>1455</v>
      </c>
      <c r="E71" s="63">
        <f>E67*'28-FFU'!E22</f>
        <v>2252193.335055056</v>
      </c>
      <c r="F71" s="14"/>
      <c r="G71" s="14" t="str">
        <f>"Line "&amp;A69&amp;" * Line "&amp;A70&amp;""</f>
        <v>Line 43 * Line 44</v>
      </c>
      <c r="H71" s="14"/>
      <c r="I71" s="14"/>
      <c r="J71" s="14"/>
      <c r="L71" s="7"/>
      <c r="N71" s="7"/>
    </row>
    <row r="72" spans="1:14">
      <c r="A72" s="111">
        <f>A71+1</f>
        <v>46</v>
      </c>
      <c r="B72" s="938"/>
      <c r="C72" s="14"/>
      <c r="D72" s="941" t="s">
        <v>1499</v>
      </c>
      <c r="E72" s="63">
        <f>E67+E69+E71</f>
        <v>946315306.49320924</v>
      </c>
      <c r="F72" s="14"/>
      <c r="G72" s="14" t="str">
        <f>"L "&amp;A67&amp;" + L "&amp;A69&amp;" + L "&amp;A71&amp;""</f>
        <v>L 41 + L 43 + L 45</v>
      </c>
      <c r="H72" s="14"/>
      <c r="I72" s="14"/>
      <c r="J72" s="14"/>
      <c r="L72" s="7"/>
      <c r="N72" s="7"/>
    </row>
    <row r="73" spans="1:14">
      <c r="A73" s="14"/>
      <c r="B73" s="951" t="s">
        <v>382</v>
      </c>
      <c r="C73" s="14"/>
      <c r="D73" s="79"/>
      <c r="E73" s="63"/>
      <c r="F73" s="14"/>
      <c r="G73" s="14"/>
      <c r="H73" s="607"/>
      <c r="I73" s="14"/>
      <c r="J73" s="14"/>
    </row>
    <row r="74" spans="1:14">
      <c r="A74" s="111"/>
      <c r="B74" s="485" t="s">
        <v>2487</v>
      </c>
      <c r="C74" s="390"/>
      <c r="D74" s="79"/>
      <c r="E74" s="63"/>
      <c r="F74" s="14"/>
      <c r="G74" s="14"/>
      <c r="H74" s="14"/>
      <c r="I74" s="14"/>
      <c r="J74" s="14"/>
    </row>
    <row r="75" spans="1:14">
      <c r="A75" s="111"/>
      <c r="B75" s="485" t="s">
        <v>2365</v>
      </c>
      <c r="C75" s="390"/>
      <c r="D75" s="79"/>
      <c r="E75" s="63"/>
      <c r="F75" s="14"/>
      <c r="G75" s="14"/>
      <c r="H75" s="14"/>
      <c r="I75" s="14"/>
      <c r="J75" s="14"/>
    </row>
    <row r="76" spans="1:14">
      <c r="A76" s="111"/>
      <c r="B76" s="940" t="s">
        <v>1713</v>
      </c>
      <c r="C76" s="15"/>
      <c r="D76" s="79"/>
      <c r="E76" s="63"/>
      <c r="F76" s="14"/>
      <c r="G76" s="14"/>
      <c r="H76" s="14"/>
      <c r="I76" s="14"/>
      <c r="J76" s="14"/>
    </row>
    <row r="77" spans="1:14">
      <c r="A77" s="111"/>
      <c r="B77" s="940" t="s">
        <v>1768</v>
      </c>
      <c r="C77" s="14"/>
      <c r="D77" s="79"/>
      <c r="E77" s="63"/>
      <c r="F77" s="14"/>
      <c r="G77" s="14"/>
      <c r="H77" s="14"/>
      <c r="I77" s="14"/>
      <c r="J77" s="14"/>
    </row>
    <row r="78" spans="1:14">
      <c r="A78" s="111"/>
      <c r="B78" s="14"/>
      <c r="C78" s="14"/>
      <c r="D78" s="14"/>
      <c r="E78" s="14"/>
      <c r="F78" s="14"/>
      <c r="G78" s="14"/>
      <c r="H78" s="14"/>
      <c r="I78" s="14"/>
      <c r="J78" s="14"/>
    </row>
    <row r="79" spans="1:14">
      <c r="A79" s="111"/>
      <c r="B79" s="485" t="s">
        <v>1856</v>
      </c>
      <c r="C79" s="14"/>
      <c r="D79" s="14"/>
      <c r="E79" s="14"/>
      <c r="F79" s="14"/>
      <c r="G79" s="14"/>
      <c r="H79" s="14"/>
      <c r="I79" s="14"/>
      <c r="J79" s="14"/>
    </row>
    <row r="80" spans="1:14">
      <c r="A80" s="111"/>
      <c r="B80" s="485"/>
      <c r="C80" s="485" t="s">
        <v>1862</v>
      </c>
      <c r="D80" s="14"/>
      <c r="E80" s="14"/>
      <c r="F80" s="14"/>
      <c r="G80" s="14"/>
      <c r="H80" s="14"/>
      <c r="I80" s="14"/>
      <c r="J80" s="14"/>
    </row>
    <row r="81" spans="1:12">
      <c r="A81" s="111"/>
      <c r="B81" s="485"/>
      <c r="C81" s="14"/>
      <c r="D81" s="14"/>
      <c r="E81" s="14"/>
      <c r="F81" s="14"/>
      <c r="G81" s="14"/>
      <c r="H81" s="14"/>
      <c r="I81" s="14"/>
      <c r="J81" s="111" t="s">
        <v>1853</v>
      </c>
    </row>
    <row r="82" spans="1:12">
      <c r="A82" s="111"/>
      <c r="B82" s="14"/>
      <c r="C82" s="14"/>
      <c r="D82" s="14"/>
      <c r="E82" s="125" t="s">
        <v>1450</v>
      </c>
      <c r="F82" s="932" t="s">
        <v>1144</v>
      </c>
      <c r="G82" s="125" t="s">
        <v>234</v>
      </c>
      <c r="H82" s="125" t="s">
        <v>235</v>
      </c>
      <c r="I82" s="14"/>
      <c r="J82" s="125" t="s">
        <v>1852</v>
      </c>
    </row>
    <row r="83" spans="1:12">
      <c r="B83" s="953" t="s">
        <v>1698</v>
      </c>
      <c r="C83" s="485" t="s">
        <v>1851</v>
      </c>
      <c r="D83" s="14"/>
      <c r="E83" s="1244">
        <v>9.8000000000000004E-2</v>
      </c>
      <c r="F83" s="952" t="s">
        <v>1855</v>
      </c>
      <c r="G83" s="1371">
        <v>42736</v>
      </c>
      <c r="H83" s="1371">
        <v>43100</v>
      </c>
      <c r="I83" s="15"/>
      <c r="J83" s="116">
        <v>365</v>
      </c>
      <c r="K83" s="15"/>
      <c r="L83" s="15"/>
    </row>
    <row r="84" spans="1:12">
      <c r="B84" s="953" t="s">
        <v>1699</v>
      </c>
      <c r="C84" s="485" t="s">
        <v>1875</v>
      </c>
      <c r="D84" s="14"/>
      <c r="E84" s="1244">
        <v>9.8000000000000004E-2</v>
      </c>
      <c r="F84" s="952" t="s">
        <v>2488</v>
      </c>
      <c r="G84" s="604"/>
      <c r="H84" s="548"/>
      <c r="I84" s="15"/>
      <c r="J84" s="116"/>
      <c r="K84" s="15"/>
      <c r="L84" s="15"/>
    </row>
    <row r="85" spans="1:12">
      <c r="B85" s="953" t="s">
        <v>1700</v>
      </c>
      <c r="C85" s="485"/>
      <c r="D85" s="14"/>
      <c r="E85" s="954"/>
      <c r="F85" s="952"/>
      <c r="G85" s="549"/>
      <c r="H85" s="549"/>
      <c r="I85" s="941" t="s">
        <v>2019</v>
      </c>
      <c r="J85" s="15">
        <f>SUM(J83:J84)</f>
        <v>365</v>
      </c>
      <c r="K85" s="15"/>
      <c r="L85" s="15"/>
    </row>
    <row r="86" spans="1:12">
      <c r="A86" s="14"/>
      <c r="B86" s="953" t="s">
        <v>1701</v>
      </c>
      <c r="C86" s="485" t="s">
        <v>1864</v>
      </c>
      <c r="D86" s="14"/>
      <c r="E86" s="78">
        <f>((E83*J83) + (E84* J84)) / J85</f>
        <v>9.8000000000000004E-2</v>
      </c>
      <c r="F86" s="485" t="s">
        <v>2020</v>
      </c>
      <c r="G86" s="14"/>
      <c r="H86" s="15"/>
      <c r="I86" s="15"/>
      <c r="J86" s="15"/>
      <c r="K86" s="15"/>
      <c r="L86" s="15"/>
    </row>
    <row r="87" spans="1:12">
      <c r="A87" s="111"/>
      <c r="B87" s="485"/>
      <c r="C87" s="14"/>
      <c r="D87" s="14"/>
      <c r="E87" s="14"/>
      <c r="F87" s="14"/>
      <c r="G87" s="14"/>
      <c r="H87" s="15"/>
      <c r="I87" s="15"/>
      <c r="J87" s="15"/>
      <c r="K87" s="15"/>
      <c r="L87" s="15"/>
    </row>
    <row r="88" spans="1:12">
      <c r="A88" s="111"/>
      <c r="B88" s="485" t="s">
        <v>1854</v>
      </c>
      <c r="C88" s="14"/>
      <c r="D88" s="14"/>
      <c r="E88" s="14"/>
      <c r="F88" s="14"/>
      <c r="G88" s="14"/>
      <c r="H88" s="15"/>
      <c r="I88" s="15"/>
      <c r="J88" s="15"/>
      <c r="K88" s="15"/>
      <c r="L88" s="15"/>
    </row>
    <row r="89" spans="1:12">
      <c r="A89" s="111"/>
      <c r="B89" s="485"/>
      <c r="C89" s="14"/>
      <c r="D89" s="14"/>
      <c r="E89" s="932" t="s">
        <v>1144</v>
      </c>
      <c r="F89" s="14"/>
      <c r="G89" s="14"/>
      <c r="H89" s="15"/>
      <c r="I89" s="15"/>
      <c r="J89" s="15"/>
      <c r="K89" s="15"/>
      <c r="L89" s="15"/>
    </row>
    <row r="90" spans="1:12">
      <c r="A90" s="14"/>
      <c r="B90" s="953" t="s">
        <v>1702</v>
      </c>
      <c r="C90" s="485" t="s">
        <v>1877</v>
      </c>
      <c r="D90" s="14"/>
      <c r="E90" s="1081" t="s">
        <v>2895</v>
      </c>
      <c r="F90" s="97"/>
      <c r="G90" s="97"/>
      <c r="H90" s="116"/>
      <c r="I90" s="116"/>
      <c r="J90" s="116"/>
      <c r="K90" s="15"/>
      <c r="L90" s="15"/>
    </row>
    <row r="91" spans="1:12">
      <c r="B91" s="953" t="s">
        <v>1703</v>
      </c>
      <c r="C91" s="485" t="s">
        <v>1876</v>
      </c>
      <c r="D91" s="14"/>
      <c r="E91" s="1081" t="s">
        <v>2895</v>
      </c>
      <c r="F91" s="97"/>
      <c r="G91" s="97"/>
      <c r="H91" s="116"/>
      <c r="I91" s="116"/>
      <c r="J91" s="116"/>
      <c r="K91" s="15"/>
      <c r="L91" s="15"/>
    </row>
    <row r="92" spans="1:12">
      <c r="B92" s="14"/>
      <c r="C92" s="485"/>
      <c r="D92" s="14"/>
      <c r="E92" s="549"/>
      <c r="F92" s="14"/>
      <c r="G92" s="14"/>
      <c r="H92" s="14"/>
      <c r="I92" s="15"/>
      <c r="J92" s="15"/>
      <c r="K92" s="15"/>
      <c r="L92" s="15"/>
    </row>
    <row r="93" spans="1:12">
      <c r="B93" s="14"/>
      <c r="C93" s="14"/>
      <c r="D93" s="14"/>
      <c r="E93" s="125" t="s">
        <v>1450</v>
      </c>
      <c r="F93" s="932" t="s">
        <v>1144</v>
      </c>
      <c r="G93" s="14"/>
      <c r="H93" s="15"/>
      <c r="I93" s="15"/>
      <c r="J93" s="14"/>
    </row>
    <row r="94" spans="1:12">
      <c r="B94" s="953" t="s">
        <v>1705</v>
      </c>
      <c r="C94" s="485" t="s">
        <v>1865</v>
      </c>
      <c r="D94" s="15"/>
      <c r="E94" s="67">
        <f>'1-BaseTRR'!K88</f>
        <v>2.0131604137094125E-2</v>
      </c>
      <c r="F94" s="14" t="str">
        <f>"1-Base TRR L "&amp;'1-BaseTRR'!A88&amp;""</f>
        <v>1-Base TRR L 51</v>
      </c>
      <c r="G94" s="14"/>
      <c r="H94" s="15"/>
      <c r="I94" s="15"/>
      <c r="J94" s="14"/>
    </row>
    <row r="95" spans="1:12">
      <c r="B95" s="953" t="s">
        <v>1857</v>
      </c>
      <c r="C95" s="485" t="s">
        <v>1866</v>
      </c>
      <c r="D95" s="14"/>
      <c r="E95" s="67">
        <f>'1-BaseTRR'!K89</f>
        <v>5.0681588762378632E-3</v>
      </c>
      <c r="F95" s="14" t="str">
        <f>"1-Base TRR L "&amp;'1-BaseTRR'!A89&amp;""</f>
        <v>1-Base TRR L 52</v>
      </c>
      <c r="G95" s="14"/>
      <c r="H95" s="15"/>
      <c r="I95" s="15"/>
      <c r="J95" s="14"/>
    </row>
    <row r="96" spans="1:12">
      <c r="B96" s="953" t="s">
        <v>1858</v>
      </c>
      <c r="C96" s="485" t="s">
        <v>1867</v>
      </c>
      <c r="D96" s="14"/>
      <c r="E96" s="49">
        <f>('1-BaseTRR'!K80) * E86</f>
        <v>4.9185447176012392E-2</v>
      </c>
      <c r="F96" s="14" t="str">
        <f>"1-Base TRR L "&amp;'1-BaseTRR'!A80&amp;" * Line d"</f>
        <v>1-Base TRR L 47 * Line d</v>
      </c>
      <c r="G96" s="15"/>
      <c r="H96" s="15"/>
      <c r="I96" s="14"/>
      <c r="J96" s="14"/>
    </row>
    <row r="97" spans="1:10">
      <c r="A97" s="14"/>
      <c r="B97" s="111" t="s">
        <v>1859</v>
      </c>
      <c r="C97" s="46" t="s">
        <v>53</v>
      </c>
      <c r="D97" s="14"/>
      <c r="E97" s="48">
        <f>SUM(E94:E96)</f>
        <v>7.4385210189344381E-2</v>
      </c>
      <c r="F97" s="63" t="str">
        <f>"Sum of Lines "&amp;B94&amp;" to "&amp;B96&amp;""</f>
        <v>Sum of Lines g to i</v>
      </c>
      <c r="G97" s="106"/>
      <c r="H97" s="14"/>
      <c r="I97" s="14"/>
      <c r="J97" s="955"/>
    </row>
    <row r="98" spans="1:10">
      <c r="A98" s="111"/>
      <c r="B98" s="14"/>
      <c r="C98" s="21"/>
      <c r="D98" s="24"/>
      <c r="E98" s="63"/>
      <c r="F98" s="63"/>
      <c r="G98" s="106"/>
      <c r="H98" s="63"/>
      <c r="I98" s="14"/>
      <c r="J98" s="955"/>
    </row>
    <row r="99" spans="1:10">
      <c r="A99" s="111"/>
      <c r="B99" s="485" t="s">
        <v>1860</v>
      </c>
      <c r="C99" s="14"/>
      <c r="D99" s="14"/>
      <c r="E99" s="14"/>
      <c r="F99" s="14"/>
      <c r="G99" s="14"/>
      <c r="H99" s="14"/>
      <c r="I99" s="14"/>
      <c r="J99" s="14"/>
    </row>
    <row r="100" spans="1:10">
      <c r="A100" s="111"/>
      <c r="B100" s="14"/>
      <c r="C100" s="14"/>
      <c r="D100" s="14"/>
      <c r="E100" s="14"/>
      <c r="F100" s="14"/>
      <c r="G100" s="14"/>
      <c r="H100" s="14"/>
      <c r="I100" s="14"/>
      <c r="J100" s="14"/>
    </row>
    <row r="101" spans="1:10">
      <c r="A101" s="111"/>
      <c r="B101" s="14"/>
      <c r="C101" s="14"/>
      <c r="D101" s="14"/>
      <c r="E101" s="125" t="s">
        <v>1450</v>
      </c>
      <c r="F101" s="932" t="s">
        <v>1144</v>
      </c>
      <c r="G101" s="14"/>
      <c r="H101" s="14"/>
      <c r="I101" s="14"/>
      <c r="J101" s="14"/>
    </row>
    <row r="102" spans="1:10">
      <c r="A102" s="14"/>
      <c r="B102" s="953" t="s">
        <v>2209</v>
      </c>
      <c r="C102" s="14"/>
      <c r="D102" s="14"/>
      <c r="E102" s="67">
        <f>E95+E96</f>
        <v>5.4253606052250256E-2</v>
      </c>
      <c r="F102" s="63" t="str">
        <f>"Sum of Lines "&amp;B95&amp;" to "&amp;B96&amp;""</f>
        <v>Sum of Lines h to i</v>
      </c>
      <c r="G102" s="14"/>
      <c r="H102" s="14"/>
      <c r="I102" s="14"/>
      <c r="J102" s="14"/>
    </row>
    <row r="103" spans="1:10">
      <c r="A103" s="111"/>
      <c r="B103" s="14"/>
      <c r="C103" s="14"/>
      <c r="D103" s="14"/>
      <c r="E103" s="67"/>
      <c r="F103" s="63"/>
      <c r="G103" s="14"/>
      <c r="H103" s="14"/>
      <c r="I103" s="14"/>
      <c r="J103" s="14"/>
    </row>
    <row r="104" spans="1:10">
      <c r="A104" s="111"/>
      <c r="B104" s="940"/>
      <c r="C104" s="14"/>
      <c r="D104" s="14"/>
      <c r="E104" s="106"/>
      <c r="F104" s="106"/>
      <c r="G104" s="106"/>
      <c r="H104" s="63"/>
      <c r="I104" s="14"/>
      <c r="J104" s="14"/>
    </row>
    <row r="105" spans="1:10">
      <c r="A105" s="111"/>
      <c r="B105" s="952"/>
      <c r="C105" s="14"/>
      <c r="D105" s="14"/>
      <c r="E105" s="14"/>
      <c r="F105" s="14"/>
      <c r="G105" s="14"/>
      <c r="H105" s="14"/>
      <c r="I105" s="14"/>
      <c r="J105" s="14"/>
    </row>
    <row r="106" spans="1:10">
      <c r="A106" s="2"/>
      <c r="B106" s="952"/>
      <c r="C106" s="14"/>
      <c r="D106" s="111"/>
      <c r="E106" s="111"/>
      <c r="F106" s="111"/>
      <c r="G106" s="111"/>
      <c r="H106" s="111"/>
      <c r="I106" s="14"/>
      <c r="J106" s="14"/>
    </row>
    <row r="107" spans="1:10">
      <c r="A107" s="2"/>
      <c r="B107" s="940"/>
      <c r="C107" s="14"/>
      <c r="D107" s="111"/>
      <c r="E107" s="111"/>
      <c r="F107" s="111"/>
      <c r="G107" s="111"/>
      <c r="H107" s="111"/>
      <c r="I107" s="14"/>
      <c r="J107" s="14"/>
    </row>
    <row r="108" spans="1:10">
      <c r="A108" s="2"/>
      <c r="B108" s="14"/>
      <c r="C108" s="29"/>
      <c r="D108" s="29"/>
      <c r="E108" s="125"/>
      <c r="F108" s="125"/>
      <c r="G108" s="125"/>
      <c r="H108" s="125"/>
      <c r="I108" s="14"/>
      <c r="J108" s="14"/>
    </row>
    <row r="109" spans="1:10">
      <c r="A109" s="2"/>
    </row>
    <row r="110" spans="1:10">
      <c r="A110" s="2"/>
    </row>
    <row r="111" spans="1:10">
      <c r="A111" s="2"/>
    </row>
    <row r="112" spans="1:10">
      <c r="A112" s="2"/>
      <c r="C112" s="21"/>
      <c r="E112" s="63"/>
      <c r="F112" s="63"/>
      <c r="H112" s="7"/>
      <c r="J112" s="82"/>
    </row>
    <row r="113" spans="1:10">
      <c r="A113" s="2"/>
      <c r="C113" s="21"/>
      <c r="E113" s="63"/>
      <c r="F113" s="63"/>
      <c r="H113" s="7"/>
      <c r="J113" s="82"/>
    </row>
    <row r="114" spans="1:10">
      <c r="A114" s="53"/>
      <c r="C114" s="21"/>
      <c r="E114" s="63"/>
      <c r="F114" s="63"/>
      <c r="H114" s="7"/>
      <c r="J114" s="82"/>
    </row>
    <row r="115" spans="1:10">
      <c r="A115" s="2"/>
      <c r="D115" s="34"/>
      <c r="E115" s="63"/>
      <c r="F115" s="63"/>
      <c r="G115" s="12"/>
      <c r="H115" s="7"/>
      <c r="J115" s="82"/>
    </row>
    <row r="116" spans="1:10">
      <c r="A116" s="2"/>
      <c r="C116" s="21"/>
      <c r="D116" s="94"/>
      <c r="E116" s="91"/>
      <c r="F116" s="7"/>
      <c r="G116" s="12"/>
      <c r="H116" s="7"/>
      <c r="J116" s="82"/>
    </row>
    <row r="117" spans="1:10">
      <c r="A117" s="2"/>
      <c r="C117" s="21"/>
      <c r="D117" s="94"/>
      <c r="E117" s="7"/>
      <c r="F117" s="7"/>
      <c r="G117" s="12"/>
      <c r="H117" s="7"/>
      <c r="J117" s="82"/>
    </row>
    <row r="118" spans="1:10">
      <c r="A118" s="2"/>
    </row>
    <row r="119" spans="1:10">
      <c r="A119" s="2"/>
      <c r="B119" s="1"/>
    </row>
    <row r="120" spans="1:10">
      <c r="A120" s="2"/>
    </row>
    <row r="121" spans="1:10">
      <c r="A121" s="2"/>
    </row>
    <row r="122" spans="1:10">
      <c r="A122" s="2"/>
      <c r="F122" s="2"/>
    </row>
    <row r="123" spans="1:10">
      <c r="A123" s="2"/>
      <c r="F123" s="2"/>
    </row>
    <row r="124" spans="1:10">
      <c r="A124" s="2"/>
      <c r="D124" s="2"/>
      <c r="E124" s="2"/>
      <c r="F124" s="2"/>
      <c r="H124" s="2"/>
    </row>
    <row r="125" spans="1:10">
      <c r="A125" s="2"/>
      <c r="D125" s="2"/>
      <c r="E125" s="2"/>
      <c r="F125" s="2"/>
      <c r="G125" s="2"/>
      <c r="H125" s="4"/>
    </row>
    <row r="126" spans="1:10">
      <c r="A126" s="53"/>
      <c r="C126" s="25"/>
      <c r="D126" s="25"/>
      <c r="E126" s="3"/>
      <c r="F126" s="84"/>
      <c r="G126" s="3"/>
      <c r="H126" s="4"/>
    </row>
    <row r="127" spans="1:10">
      <c r="A127" s="2"/>
      <c r="C127" s="20"/>
      <c r="D127" s="24"/>
      <c r="E127" s="63"/>
      <c r="F127" s="63"/>
      <c r="G127" s="78"/>
      <c r="H127" s="7"/>
    </row>
    <row r="128" spans="1:10">
      <c r="A128" s="2"/>
      <c r="C128" s="21"/>
      <c r="D128" s="24"/>
      <c r="E128" s="63"/>
      <c r="F128" s="63"/>
      <c r="G128" s="78"/>
      <c r="H128" s="7"/>
    </row>
    <row r="129" spans="1:8">
      <c r="A129" s="2"/>
      <c r="C129" s="21"/>
      <c r="D129" s="24"/>
      <c r="E129" s="63"/>
      <c r="F129" s="63"/>
      <c r="G129" s="78"/>
      <c r="H129" s="7"/>
    </row>
    <row r="130" spans="1:8">
      <c r="A130" s="2"/>
      <c r="C130" s="20"/>
      <c r="D130" s="24"/>
      <c r="E130" s="63"/>
      <c r="F130" s="63"/>
      <c r="G130" s="78"/>
      <c r="H130" s="7"/>
    </row>
    <row r="131" spans="1:8">
      <c r="A131" s="2"/>
      <c r="C131" s="21"/>
      <c r="D131" s="24"/>
      <c r="E131" s="63"/>
      <c r="F131" s="63"/>
      <c r="G131" s="78"/>
      <c r="H131" s="7"/>
    </row>
    <row r="132" spans="1:8">
      <c r="A132" s="2"/>
      <c r="C132" s="21"/>
      <c r="D132" s="24"/>
      <c r="E132" s="63"/>
      <c r="F132" s="63"/>
      <c r="G132" s="78"/>
      <c r="H132" s="7"/>
    </row>
    <row r="133" spans="1:8">
      <c r="A133" s="2"/>
      <c r="C133" s="20"/>
      <c r="D133" s="24"/>
      <c r="E133" s="63"/>
      <c r="F133" s="63"/>
      <c r="G133" s="78"/>
      <c r="H133" s="7"/>
    </row>
    <row r="134" spans="1:8">
      <c r="A134" s="2"/>
      <c r="C134" s="21"/>
      <c r="D134" s="24"/>
      <c r="E134" s="63"/>
      <c r="F134" s="63"/>
      <c r="G134" s="78"/>
      <c r="H134" s="7"/>
    </row>
    <row r="135" spans="1:8">
      <c r="A135" s="2"/>
      <c r="C135" s="21"/>
      <c r="D135" s="24"/>
      <c r="E135" s="63"/>
      <c r="F135" s="63"/>
      <c r="G135" s="78"/>
      <c r="H135" s="7"/>
    </row>
    <row r="136" spans="1:8">
      <c r="A136" s="2"/>
      <c r="C136" s="20"/>
      <c r="D136" s="24"/>
      <c r="E136" s="63"/>
      <c r="F136" s="63"/>
      <c r="G136" s="78"/>
      <c r="H136" s="7"/>
    </row>
    <row r="137" spans="1:8">
      <c r="A137" s="2"/>
      <c r="C137" s="20"/>
      <c r="D137" s="24"/>
      <c r="E137" s="63"/>
      <c r="F137" s="63"/>
      <c r="G137" s="78"/>
      <c r="H137" s="7"/>
    </row>
    <row r="138" spans="1:8">
      <c r="A138" s="2"/>
      <c r="C138" s="21"/>
      <c r="D138" s="24"/>
      <c r="E138" s="63"/>
      <c r="F138" s="63"/>
      <c r="G138" s="78"/>
      <c r="H138" s="57"/>
    </row>
    <row r="139" spans="1:8">
      <c r="A139" s="2"/>
      <c r="E139" s="14"/>
      <c r="F139" s="14"/>
      <c r="G139" s="14"/>
      <c r="H139" s="7"/>
    </row>
    <row r="140" spans="1:8">
      <c r="A140" s="2"/>
      <c r="C140" s="21"/>
      <c r="D140" s="24"/>
      <c r="E140" s="14"/>
      <c r="F140" s="146"/>
      <c r="G140" s="78"/>
      <c r="H140" s="71"/>
    </row>
    <row r="141" spans="1:8">
      <c r="A141" s="2"/>
      <c r="B141" s="1"/>
      <c r="C141" s="21"/>
      <c r="D141" s="24"/>
      <c r="E141" s="14"/>
      <c r="F141" s="146"/>
      <c r="G141" s="78"/>
      <c r="H141" s="71"/>
    </row>
    <row r="142" spans="1:8">
      <c r="A142" s="53"/>
      <c r="B142" s="1"/>
      <c r="C142" s="21"/>
      <c r="D142" s="24"/>
      <c r="E142" s="14"/>
      <c r="F142" s="146"/>
      <c r="G142" s="78"/>
      <c r="H142" s="71"/>
    </row>
    <row r="143" spans="1:8">
      <c r="A143" s="2"/>
      <c r="C143" s="21"/>
      <c r="D143" s="85"/>
      <c r="E143" s="63"/>
      <c r="F143" s="147"/>
      <c r="G143" s="78"/>
      <c r="H143" s="71"/>
    </row>
    <row r="144" spans="1:8">
      <c r="A144" s="2"/>
      <c r="C144" s="21"/>
      <c r="D144" s="37"/>
      <c r="E144" s="63"/>
      <c r="F144" s="147"/>
      <c r="G144" s="78"/>
      <c r="H144" s="71"/>
    </row>
    <row r="145" spans="1:10">
      <c r="A145" s="2"/>
      <c r="C145" s="21"/>
      <c r="D145" s="37"/>
      <c r="E145" s="57"/>
      <c r="F145" s="118"/>
      <c r="G145" s="78"/>
      <c r="H145" s="71"/>
    </row>
    <row r="146" spans="1:10">
      <c r="A146" s="2"/>
      <c r="C146" s="21"/>
      <c r="D146" s="85"/>
      <c r="E146" s="7"/>
      <c r="F146" s="71"/>
      <c r="G146" s="78"/>
      <c r="H146" s="71"/>
    </row>
    <row r="147" spans="1:10">
      <c r="A147" s="2"/>
      <c r="C147" s="21"/>
      <c r="D147" s="24"/>
      <c r="F147" s="71"/>
      <c r="G147" s="78"/>
      <c r="H147" s="71"/>
    </row>
    <row r="148" spans="1:10">
      <c r="A148" s="2"/>
    </row>
    <row r="149" spans="1:10">
      <c r="A149" s="2"/>
    </row>
    <row r="150" spans="1:10">
      <c r="A150" s="2"/>
    </row>
    <row r="151" spans="1:10">
      <c r="A151" s="2"/>
      <c r="B151" s="1"/>
    </row>
    <row r="152" spans="1:10">
      <c r="A152" s="2"/>
      <c r="B152" s="12"/>
    </row>
    <row r="153" spans="1:10">
      <c r="A153" s="2"/>
      <c r="B153" s="12"/>
    </row>
    <row r="154" spans="1:10">
      <c r="A154" s="2"/>
      <c r="B154" s="12"/>
    </row>
    <row r="155" spans="1:10">
      <c r="A155" s="2"/>
    </row>
    <row r="156" spans="1:10">
      <c r="A156" s="2"/>
      <c r="B156" s="1"/>
    </row>
    <row r="157" spans="1:10">
      <c r="A157" s="2"/>
    </row>
    <row r="158" spans="1:10">
      <c r="A158" s="53"/>
      <c r="C158" s="25"/>
      <c r="D158" s="3"/>
      <c r="G158" s="14"/>
      <c r="H158" s="14"/>
      <c r="I158" s="14"/>
      <c r="J158" s="14"/>
    </row>
    <row r="159" spans="1:10">
      <c r="A159" s="2"/>
      <c r="C159" s="20"/>
      <c r="D159" s="144"/>
      <c r="F159" s="8"/>
      <c r="G159" s="14"/>
      <c r="H159" s="14"/>
      <c r="I159" s="14"/>
      <c r="J159" s="14"/>
    </row>
    <row r="160" spans="1:10">
      <c r="A160" s="2"/>
      <c r="C160" s="21"/>
      <c r="D160" s="144"/>
      <c r="F160" s="8"/>
      <c r="G160" s="14"/>
      <c r="H160" s="14"/>
      <c r="I160" s="14"/>
      <c r="J160" s="14"/>
    </row>
    <row r="161" spans="1:10">
      <c r="A161" s="2"/>
      <c r="C161" s="21"/>
      <c r="D161" s="144"/>
      <c r="F161" s="8"/>
      <c r="G161" s="14"/>
      <c r="H161" s="14"/>
      <c r="I161" s="14"/>
      <c r="J161" s="14"/>
    </row>
    <row r="162" spans="1:10">
      <c r="A162" s="2"/>
      <c r="C162" s="20"/>
      <c r="D162" s="144"/>
      <c r="F162" s="8"/>
      <c r="G162" s="14"/>
      <c r="H162" s="14"/>
      <c r="I162" s="14"/>
      <c r="J162" s="14"/>
    </row>
    <row r="163" spans="1:10">
      <c r="A163" s="2"/>
      <c r="C163" s="21"/>
      <c r="D163" s="144"/>
      <c r="F163" s="8"/>
      <c r="G163" s="14"/>
      <c r="H163" s="14"/>
      <c r="I163" s="14"/>
      <c r="J163" s="14"/>
    </row>
    <row r="164" spans="1:10">
      <c r="A164" s="2"/>
      <c r="C164" s="21"/>
      <c r="D164" s="144"/>
      <c r="F164" s="8"/>
      <c r="G164" s="14"/>
      <c r="H164" s="14"/>
      <c r="I164" s="14"/>
      <c r="J164" s="14"/>
    </row>
    <row r="165" spans="1:10">
      <c r="A165" s="2"/>
      <c r="C165" s="20"/>
      <c r="D165" s="144"/>
      <c r="F165" s="8"/>
      <c r="G165" s="14"/>
      <c r="H165" s="14"/>
      <c r="I165" s="14"/>
      <c r="J165" s="14"/>
    </row>
    <row r="166" spans="1:10">
      <c r="A166" s="2"/>
      <c r="C166" s="21"/>
      <c r="D166" s="144"/>
      <c r="F166" s="8"/>
      <c r="G166" s="14"/>
      <c r="H166" s="14"/>
      <c r="I166" s="14"/>
      <c r="J166" s="14"/>
    </row>
    <row r="167" spans="1:10">
      <c r="A167" s="2"/>
      <c r="C167" s="21"/>
      <c r="D167" s="144"/>
      <c r="F167" s="8"/>
      <c r="G167" s="14"/>
      <c r="H167" s="14"/>
      <c r="I167" s="14"/>
      <c r="J167" s="14"/>
    </row>
    <row r="168" spans="1:10">
      <c r="A168" s="2"/>
      <c r="C168" s="20"/>
      <c r="D168" s="144"/>
      <c r="F168" s="8"/>
      <c r="G168" s="14"/>
      <c r="H168" s="14"/>
      <c r="I168" s="14"/>
      <c r="J168" s="14"/>
    </row>
    <row r="169" spans="1:10">
      <c r="A169" s="2"/>
      <c r="C169" s="20"/>
      <c r="D169" s="144"/>
      <c r="F169" s="8"/>
    </row>
    <row r="170" spans="1:10">
      <c r="A170" s="2"/>
      <c r="C170" s="21"/>
      <c r="D170" s="145"/>
      <c r="F170" s="81"/>
    </row>
    <row r="171" spans="1:10">
      <c r="A171" s="2"/>
      <c r="C171" s="34"/>
      <c r="D171" s="144"/>
    </row>
  </sheetData>
  <phoneticPr fontId="22" type="noConversion"/>
  <pageMargins left="0.75" right="0.75" top="1" bottom="1" header="0.5" footer="0.5"/>
  <pageSetup scale="80" orientation="landscape" cellComments="asDisplayed" r:id="rId1"/>
  <headerFooter alignWithMargins="0">
    <oddHeader>&amp;CSchedule 4
True Up TRR
&amp;RTO2019 Draft Annual Update 
Attachment1</oddHeader>
    <oddFooter>&amp;R&amp;A</oddFooter>
  </headerFooter>
  <rowBreaks count="4" manualBreakCount="4">
    <brk id="46" max="9" man="1"/>
    <brk id="72" max="16383" man="1"/>
    <brk id="118" max="9" man="1"/>
    <brk id="15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3"/>
  <sheetViews>
    <sheetView zoomScaleNormal="100" zoomScalePageLayoutView="90" workbookViewId="0"/>
  </sheetViews>
  <sheetFormatPr defaultColWidth="8.85546875" defaultRowHeight="12.75"/>
  <cols>
    <col min="1" max="1" width="4.7109375" style="1075" customWidth="1"/>
    <col min="2" max="2" width="3.7109375" style="1075" customWidth="1"/>
    <col min="3" max="3" width="8.85546875" style="1075"/>
    <col min="4" max="4" width="13.7109375" style="1075" customWidth="1"/>
    <col min="5" max="5" width="8.85546875" style="1075"/>
    <col min="6" max="7" width="10.7109375" style="1075" customWidth="1"/>
    <col min="8" max="8" width="8.85546875" style="1075"/>
    <col min="9" max="9" width="27.7109375" style="1075" customWidth="1"/>
    <col min="10" max="10" width="30.7109375" style="1075" customWidth="1"/>
    <col min="11" max="11" width="2.7109375" style="1075" customWidth="1"/>
    <col min="12" max="12" width="16.7109375" style="1075" customWidth="1"/>
    <col min="13" max="13" width="1.7109375" style="1075" customWidth="1"/>
    <col min="14" max="14" width="4.7109375" style="14" customWidth="1"/>
    <col min="15" max="28" width="14.7109375" style="14" customWidth="1"/>
    <col min="29" max="16384" width="8.85546875" style="1075"/>
  </cols>
  <sheetData>
    <row r="1" spans="1:28">
      <c r="A1" s="1" t="s">
        <v>24</v>
      </c>
      <c r="J1" s="97" t="s">
        <v>304</v>
      </c>
      <c r="K1" s="14"/>
      <c r="L1" s="14"/>
    </row>
    <row r="2" spans="1:28">
      <c r="B2" s="1"/>
      <c r="I2" s="580"/>
      <c r="J2" s="580" t="s">
        <v>169</v>
      </c>
      <c r="L2" s="250">
        <v>2017</v>
      </c>
    </row>
    <row r="3" spans="1:28">
      <c r="I3" s="3" t="s">
        <v>168</v>
      </c>
      <c r="J3" s="3" t="s">
        <v>170</v>
      </c>
      <c r="L3" s="3" t="s">
        <v>171</v>
      </c>
    </row>
    <row r="5" spans="1:28">
      <c r="A5" s="10" t="s">
        <v>177</v>
      </c>
      <c r="B5" s="121"/>
      <c r="C5" s="11"/>
      <c r="D5" s="11"/>
      <c r="E5" s="11"/>
      <c r="F5" s="11"/>
      <c r="G5" s="11"/>
      <c r="H5" s="11"/>
      <c r="I5" s="9"/>
      <c r="J5" s="9"/>
      <c r="K5" s="9"/>
      <c r="L5" s="9"/>
      <c r="N5" s="564"/>
      <c r="O5" s="565"/>
      <c r="P5" s="565"/>
      <c r="Q5" s="565"/>
      <c r="R5" s="565"/>
      <c r="S5" s="565"/>
      <c r="T5" s="565"/>
    </row>
    <row r="6" spans="1:28">
      <c r="B6" s="44"/>
      <c r="C6" s="485"/>
      <c r="D6" s="485"/>
      <c r="E6" s="485"/>
      <c r="F6" s="485"/>
      <c r="G6" s="485"/>
      <c r="H6" s="485"/>
      <c r="I6" s="485"/>
      <c r="J6" s="485"/>
      <c r="K6" s="485"/>
      <c r="L6" s="485"/>
      <c r="O6" s="360"/>
      <c r="P6" s="360"/>
      <c r="Q6" s="360"/>
      <c r="R6" s="360"/>
      <c r="S6" s="360"/>
      <c r="T6" s="360"/>
      <c r="U6" s="360"/>
      <c r="V6" s="360"/>
      <c r="W6" s="360"/>
      <c r="X6" s="360"/>
      <c r="Y6" s="360"/>
      <c r="Z6" s="360"/>
      <c r="AA6" s="360"/>
      <c r="AB6" s="360"/>
    </row>
    <row r="7" spans="1:28">
      <c r="A7" s="53" t="s">
        <v>322</v>
      </c>
      <c r="B7" s="44"/>
      <c r="C7" s="45" t="s">
        <v>270</v>
      </c>
      <c r="D7" s="485"/>
      <c r="E7" s="485"/>
      <c r="F7" s="485"/>
      <c r="G7" s="485"/>
      <c r="H7" s="485"/>
      <c r="I7" s="485"/>
      <c r="J7" s="483"/>
      <c r="K7" s="485"/>
      <c r="L7" s="485"/>
      <c r="N7" s="566"/>
      <c r="O7" s="79"/>
      <c r="P7" s="567"/>
      <c r="Q7" s="549"/>
      <c r="R7" s="549"/>
      <c r="S7" s="549"/>
      <c r="T7" s="549"/>
      <c r="U7" s="549"/>
      <c r="V7" s="549"/>
      <c r="W7" s="549"/>
      <c r="X7" s="549"/>
      <c r="Y7" s="549"/>
      <c r="Z7" s="549"/>
      <c r="AA7" s="549"/>
      <c r="AB7" s="549"/>
    </row>
    <row r="8" spans="1:28">
      <c r="A8" s="111">
        <v>1</v>
      </c>
      <c r="B8" s="44"/>
      <c r="C8" s="485" t="s">
        <v>206</v>
      </c>
      <c r="D8" s="485"/>
      <c r="E8" s="485"/>
      <c r="F8" s="485"/>
      <c r="G8" s="485"/>
      <c r="H8" s="485"/>
      <c r="I8" s="485" t="s">
        <v>1635</v>
      </c>
      <c r="J8" s="482" t="str">
        <f>"5-ROR-2, Line "&amp;'5-ROR-2'!A8&amp;""</f>
        <v>5-ROR-2, Line 1</v>
      </c>
      <c r="K8" s="485"/>
      <c r="L8" s="497">
        <f>'5-ROR-2'!C8</f>
        <v>10684345054.951538</v>
      </c>
      <c r="N8" s="111"/>
      <c r="O8" s="497"/>
      <c r="P8" s="497"/>
      <c r="Q8" s="497"/>
      <c r="R8" s="497"/>
      <c r="S8" s="497"/>
      <c r="T8" s="497"/>
      <c r="U8" s="497"/>
      <c r="V8" s="497"/>
      <c r="W8" s="497"/>
      <c r="X8" s="497"/>
      <c r="Y8" s="497"/>
      <c r="Z8" s="497"/>
      <c r="AA8" s="497"/>
      <c r="AB8" s="497"/>
    </row>
    <row r="9" spans="1:28">
      <c r="A9" s="111">
        <f>A8+1</f>
        <v>2</v>
      </c>
      <c r="B9" s="44"/>
      <c r="C9" s="485" t="s">
        <v>207</v>
      </c>
      <c r="D9" s="485"/>
      <c r="E9" s="485"/>
      <c r="F9" s="485"/>
      <c r="G9" s="485"/>
      <c r="H9" s="485"/>
      <c r="I9" s="485" t="s">
        <v>1635</v>
      </c>
      <c r="J9" s="482" t="str">
        <f>"5-ROR-2, Line "&amp;'5-ROR-2'!A10&amp;""</f>
        <v>5-ROR-2, Line 2</v>
      </c>
      <c r="K9" s="485"/>
      <c r="L9" s="497">
        <f>'5-ROR-2'!C10</f>
        <v>-40384615.384615384</v>
      </c>
      <c r="N9" s="111"/>
      <c r="O9" s="497"/>
      <c r="P9" s="497"/>
      <c r="Q9" s="497"/>
      <c r="R9" s="497"/>
      <c r="S9" s="497"/>
      <c r="T9" s="497"/>
      <c r="U9" s="497"/>
      <c r="V9" s="497"/>
      <c r="W9" s="497"/>
      <c r="X9" s="497"/>
      <c r="Y9" s="497"/>
      <c r="Z9" s="497"/>
      <c r="AA9" s="497"/>
      <c r="AB9" s="497"/>
    </row>
    <row r="10" spans="1:28">
      <c r="A10" s="111">
        <f t="shared" ref="A10:A19" si="0">A9+1</f>
        <v>3</v>
      </c>
      <c r="B10" s="44"/>
      <c r="C10" s="485" t="s">
        <v>1848</v>
      </c>
      <c r="D10" s="956"/>
      <c r="E10" s="956"/>
      <c r="F10" s="956"/>
      <c r="G10" s="956"/>
      <c r="H10" s="956"/>
      <c r="I10" s="485" t="s">
        <v>1635</v>
      </c>
      <c r="J10" s="482" t="str">
        <f>"5-ROR-2, Line "&amp;'5-ROR-2'!A12&amp;""</f>
        <v>5-ROR-2, Line 3</v>
      </c>
      <c r="K10" s="485"/>
      <c r="L10" s="497">
        <f>'5-ROR-2'!C12</f>
        <v>0</v>
      </c>
      <c r="N10" s="111"/>
      <c r="O10" s="497"/>
      <c r="P10" s="497"/>
      <c r="Q10" s="497"/>
      <c r="R10" s="497"/>
      <c r="S10" s="497"/>
      <c r="T10" s="497"/>
      <c r="U10" s="497"/>
      <c r="V10" s="497"/>
      <c r="W10" s="497"/>
      <c r="X10" s="497"/>
      <c r="Y10" s="497"/>
      <c r="Z10" s="497"/>
      <c r="AA10" s="497"/>
      <c r="AB10" s="497"/>
    </row>
    <row r="11" spans="1:28">
      <c r="A11" s="111">
        <f t="shared" si="0"/>
        <v>4</v>
      </c>
      <c r="B11" s="44"/>
      <c r="C11" s="485" t="s">
        <v>208</v>
      </c>
      <c r="D11" s="485"/>
      <c r="E11" s="485"/>
      <c r="F11" s="485"/>
      <c r="G11" s="485"/>
      <c r="H11" s="485"/>
      <c r="I11" s="485" t="s">
        <v>1635</v>
      </c>
      <c r="J11" s="482" t="str">
        <f>"5-ROR-2, Line "&amp;'5-ROR-2'!A14&amp;""</f>
        <v>5-ROR-2, Line 4</v>
      </c>
      <c r="K11" s="485"/>
      <c r="L11" s="497">
        <f>'5-ROR-2'!C14</f>
        <v>424282123.68538463</v>
      </c>
      <c r="N11" s="111"/>
      <c r="O11" s="497"/>
      <c r="P11" s="497"/>
      <c r="Q11" s="497"/>
      <c r="R11" s="497"/>
      <c r="S11" s="497"/>
      <c r="T11" s="497"/>
      <c r="U11" s="497"/>
      <c r="V11" s="497"/>
      <c r="W11" s="497"/>
      <c r="X11" s="497"/>
      <c r="Y11" s="497"/>
      <c r="Z11" s="497"/>
      <c r="AA11" s="497"/>
      <c r="AB11" s="497"/>
    </row>
    <row r="12" spans="1:28">
      <c r="A12" s="111">
        <f t="shared" si="0"/>
        <v>5</v>
      </c>
      <c r="B12" s="44"/>
      <c r="C12" s="485" t="s">
        <v>2604</v>
      </c>
      <c r="D12" s="485"/>
      <c r="E12" s="485"/>
      <c r="F12" s="485"/>
      <c r="G12" s="485"/>
      <c r="H12" s="485"/>
      <c r="I12" s="485" t="s">
        <v>2609</v>
      </c>
      <c r="J12" s="482" t="str">
        <f>"5-ROR-2, Line "&amp;'5-ROR-2'!A18&amp;""</f>
        <v>5-ROR-2, Line 6</v>
      </c>
      <c r="K12" s="485"/>
      <c r="L12" s="497">
        <f>'5-ROR-2'!C18</f>
        <v>-33623700.153846152</v>
      </c>
      <c r="N12" s="111"/>
      <c r="O12" s="497"/>
      <c r="P12" s="497"/>
      <c r="Q12" s="497"/>
      <c r="R12" s="497"/>
      <c r="S12" s="497"/>
      <c r="T12" s="497"/>
      <c r="U12" s="497"/>
      <c r="V12" s="497"/>
      <c r="W12" s="497"/>
      <c r="X12" s="497"/>
      <c r="Y12" s="497"/>
      <c r="Z12" s="497"/>
      <c r="AA12" s="497"/>
      <c r="AB12" s="497"/>
    </row>
    <row r="13" spans="1:28">
      <c r="A13" s="111">
        <f t="shared" si="0"/>
        <v>6</v>
      </c>
      <c r="B13" s="44"/>
      <c r="C13" s="485" t="s">
        <v>2605</v>
      </c>
      <c r="D13" s="485"/>
      <c r="E13" s="485"/>
      <c r="F13" s="485"/>
      <c r="G13" s="485"/>
      <c r="H13" s="485"/>
      <c r="I13" s="485" t="s">
        <v>2609</v>
      </c>
      <c r="J13" s="482" t="str">
        <f>"5-ROR-2, Line "&amp;'5-ROR-2'!A20&amp;""</f>
        <v>5-ROR-2, Line 7</v>
      </c>
      <c r="K13" s="485"/>
      <c r="L13" s="497">
        <f>'5-ROR-2'!C20</f>
        <v>-83307522.246153846</v>
      </c>
      <c r="N13" s="111"/>
      <c r="O13" s="497"/>
      <c r="P13" s="497"/>
      <c r="Q13" s="497"/>
      <c r="R13" s="497"/>
      <c r="S13" s="497"/>
      <c r="T13" s="497"/>
      <c r="U13" s="497"/>
      <c r="V13" s="497"/>
      <c r="W13" s="497"/>
      <c r="X13" s="497"/>
      <c r="Y13" s="497"/>
      <c r="Z13" s="497"/>
      <c r="AA13" s="497"/>
      <c r="AB13" s="497"/>
    </row>
    <row r="14" spans="1:28">
      <c r="A14" s="111">
        <f t="shared" si="0"/>
        <v>7</v>
      </c>
      <c r="B14" s="44"/>
      <c r="C14" s="485" t="s">
        <v>2606</v>
      </c>
      <c r="D14" s="485"/>
      <c r="E14" s="485"/>
      <c r="F14" s="485"/>
      <c r="G14" s="485"/>
      <c r="H14" s="485"/>
      <c r="I14" s="485" t="s">
        <v>2609</v>
      </c>
      <c r="J14" s="482" t="str">
        <f>"5-ROR-2, Line "&amp;'5-ROR-2'!A22&amp;""</f>
        <v>5-ROR-2, Line 8</v>
      </c>
      <c r="K14" s="485"/>
      <c r="L14" s="497">
        <f>'5-ROR-2'!C22</f>
        <v>-176083211.33615384</v>
      </c>
      <c r="N14" s="111"/>
      <c r="O14" s="497"/>
      <c r="P14" s="497"/>
      <c r="Q14" s="497"/>
      <c r="R14" s="497"/>
      <c r="S14" s="497"/>
      <c r="T14" s="497"/>
      <c r="U14" s="497"/>
      <c r="V14" s="497"/>
      <c r="W14" s="497"/>
      <c r="X14" s="497"/>
      <c r="Y14" s="497"/>
      <c r="Z14" s="497"/>
      <c r="AA14" s="497"/>
      <c r="AB14" s="497"/>
    </row>
    <row r="15" spans="1:28">
      <c r="A15" s="111">
        <f t="shared" si="0"/>
        <v>8</v>
      </c>
      <c r="B15" s="44"/>
      <c r="C15" s="485" t="s">
        <v>259</v>
      </c>
      <c r="D15" s="485"/>
      <c r="E15" s="485"/>
      <c r="F15" s="485"/>
      <c r="G15" s="485"/>
      <c r="H15" s="485"/>
      <c r="I15" s="485"/>
      <c r="J15" s="482" t="str">
        <f>"1-BaseTRR, Line "&amp;'1-BaseTRR'!A102&amp;""</f>
        <v>1-BaseTRR, Line 59</v>
      </c>
      <c r="K15" s="485"/>
      <c r="L15" s="1310">
        <f>'1-BaseTRR'!K102</f>
        <v>0.27983599999999997</v>
      </c>
      <c r="N15" s="111"/>
      <c r="O15" s="497"/>
      <c r="P15" s="497"/>
      <c r="Q15" s="497"/>
      <c r="R15" s="497"/>
      <c r="S15" s="497"/>
      <c r="T15" s="497"/>
      <c r="U15" s="497"/>
      <c r="V15" s="497"/>
      <c r="W15" s="497"/>
      <c r="X15" s="497"/>
      <c r="Y15" s="497"/>
      <c r="Z15" s="497"/>
      <c r="AA15" s="497"/>
      <c r="AB15" s="497"/>
    </row>
    <row r="16" spans="1:28">
      <c r="A16" s="111">
        <f t="shared" si="0"/>
        <v>9</v>
      </c>
      <c r="B16" s="44"/>
      <c r="C16" s="485" t="s">
        <v>2610</v>
      </c>
      <c r="D16" s="485"/>
      <c r="E16" s="485"/>
      <c r="F16" s="485"/>
      <c r="G16" s="485"/>
      <c r="H16" s="485"/>
      <c r="I16" s="485"/>
      <c r="J16" s="482" t="str">
        <f>"Line "&amp;A14&amp;" * (1- Line "&amp;A15&amp;")"</f>
        <v>Line 7 * (1- Line 8)</v>
      </c>
      <c r="K16" s="485"/>
      <c r="L16" s="497">
        <f>+L14*(1-L15)</f>
        <v>-126808789.80868989</v>
      </c>
      <c r="N16" s="111"/>
      <c r="O16" s="497"/>
      <c r="P16" s="497"/>
      <c r="Q16" s="497"/>
      <c r="R16" s="497"/>
      <c r="S16" s="497"/>
      <c r="T16" s="497"/>
      <c r="U16" s="497"/>
      <c r="V16" s="497"/>
      <c r="W16" s="497"/>
      <c r="X16" s="497"/>
      <c r="Y16" s="497"/>
      <c r="Z16" s="497"/>
      <c r="AA16" s="497"/>
      <c r="AB16" s="497"/>
    </row>
    <row r="17" spans="1:28">
      <c r="A17" s="111">
        <f t="shared" si="0"/>
        <v>10</v>
      </c>
      <c r="B17" s="44"/>
      <c r="C17" s="485" t="s">
        <v>2607</v>
      </c>
      <c r="D17" s="485"/>
      <c r="E17" s="485"/>
      <c r="F17" s="485"/>
      <c r="G17" s="485"/>
      <c r="H17" s="485"/>
      <c r="I17" s="485" t="s">
        <v>2609</v>
      </c>
      <c r="J17" s="482" t="str">
        <f>"5-ROR-2, Line "&amp;'5-ROR-2'!A24&amp;""</f>
        <v>5-ROR-2, Line 9</v>
      </c>
      <c r="K17" s="485"/>
      <c r="L17" s="497">
        <f>'5-ROR-2'!C24</f>
        <v>-572623814.34496248</v>
      </c>
      <c r="N17" s="111"/>
      <c r="O17" s="497"/>
      <c r="P17" s="497"/>
      <c r="Q17" s="497"/>
      <c r="R17" s="497"/>
      <c r="S17" s="497"/>
      <c r="T17" s="497"/>
      <c r="U17" s="497"/>
      <c r="V17" s="497"/>
      <c r="W17" s="497"/>
      <c r="X17" s="497"/>
      <c r="Y17" s="497"/>
      <c r="Z17" s="497"/>
      <c r="AA17" s="497"/>
      <c r="AB17" s="497"/>
    </row>
    <row r="18" spans="1:28">
      <c r="A18" s="111">
        <f t="shared" si="0"/>
        <v>11</v>
      </c>
      <c r="B18" s="44"/>
      <c r="C18" s="485" t="s">
        <v>2608</v>
      </c>
      <c r="D18" s="485"/>
      <c r="E18" s="485"/>
      <c r="F18" s="485"/>
      <c r="G18" s="485"/>
      <c r="H18" s="485"/>
      <c r="I18" s="485"/>
      <c r="J18" s="482" t="str">
        <f>"5-ROR-2, Line "&amp;'5-ROR-2'!A26&amp;""</f>
        <v>5-ROR-2, Line 10</v>
      </c>
      <c r="K18" s="485"/>
      <c r="L18" s="497">
        <f>'5-ROR-2'!C26</f>
        <v>3896809.3490093467</v>
      </c>
      <c r="N18" s="111"/>
      <c r="O18" s="497"/>
      <c r="P18" s="497"/>
      <c r="Q18" s="497"/>
      <c r="R18" s="497"/>
      <c r="S18" s="497"/>
      <c r="T18" s="497"/>
      <c r="U18" s="497"/>
      <c r="V18" s="497"/>
      <c r="W18" s="497"/>
      <c r="X18" s="497"/>
      <c r="Y18" s="497"/>
      <c r="Z18" s="497"/>
      <c r="AA18" s="497"/>
      <c r="AB18" s="497"/>
    </row>
    <row r="19" spans="1:28">
      <c r="A19" s="111">
        <f t="shared" si="0"/>
        <v>12</v>
      </c>
      <c r="B19" s="44"/>
      <c r="C19" s="482" t="s">
        <v>209</v>
      </c>
      <c r="D19" s="485"/>
      <c r="E19" s="485"/>
      <c r="F19" s="485"/>
      <c r="G19" s="485"/>
      <c r="H19" s="485"/>
      <c r="I19" s="485"/>
      <c r="J19" s="482" t="str">
        <f>"Sum of Lines "&amp;A8&amp;" to "&amp;A13&amp;" and "&amp;A16&amp;" to "&amp;A18&amp;""</f>
        <v>Sum of Lines 1 to 6 and 9 to 11</v>
      </c>
      <c r="K19" s="485"/>
      <c r="L19" s="498">
        <f>+SUM(L8:L13,L16:L18)</f>
        <v>10255775546.047663</v>
      </c>
    </row>
    <row r="20" spans="1:28">
      <c r="A20" s="14"/>
      <c r="B20" s="44"/>
      <c r="C20" s="485"/>
      <c r="D20" s="485"/>
      <c r="E20" s="485"/>
      <c r="F20" s="485"/>
      <c r="G20" s="485" t="s">
        <v>331</v>
      </c>
      <c r="H20" s="485"/>
      <c r="I20" s="485"/>
      <c r="J20" s="482"/>
      <c r="K20" s="485"/>
      <c r="L20" s="485"/>
    </row>
    <row r="21" spans="1:28">
      <c r="A21" s="14"/>
      <c r="B21" s="44"/>
      <c r="C21" s="45" t="s">
        <v>1480</v>
      </c>
      <c r="D21" s="485"/>
      <c r="E21" s="485"/>
      <c r="F21" s="485"/>
      <c r="G21" s="485"/>
      <c r="H21" s="485"/>
      <c r="I21" s="485"/>
      <c r="J21" s="482"/>
      <c r="K21" s="485"/>
      <c r="L21" s="485"/>
    </row>
    <row r="22" spans="1:28">
      <c r="A22" s="111">
        <f>+A19+1</f>
        <v>13</v>
      </c>
      <c r="B22" s="44"/>
      <c r="C22" s="485" t="s">
        <v>42</v>
      </c>
      <c r="D22" s="485"/>
      <c r="E22" s="485"/>
      <c r="F22" s="485"/>
      <c r="G22" s="485"/>
      <c r="H22" s="485"/>
      <c r="I22" s="485" t="s">
        <v>1635</v>
      </c>
      <c r="J22" s="482" t="str">
        <f>"5-ROR-2, Line "&amp;'5-ROR-2'!A28&amp;""</f>
        <v>5-ROR-2, Line 11</v>
      </c>
      <c r="K22" s="485"/>
      <c r="L22" s="497">
        <f>'5-ROR-2'!C28</f>
        <v>2281594180.7692308</v>
      </c>
      <c r="N22" s="111"/>
      <c r="O22" s="497"/>
      <c r="Q22" s="497"/>
      <c r="R22" s="497"/>
      <c r="S22" s="497"/>
      <c r="T22" s="497"/>
      <c r="U22" s="497"/>
      <c r="V22" s="497"/>
      <c r="W22" s="497"/>
      <c r="X22" s="497"/>
      <c r="Y22" s="497"/>
      <c r="Z22" s="497"/>
      <c r="AA22" s="497"/>
      <c r="AB22" s="497"/>
    </row>
    <row r="23" spans="1:28">
      <c r="A23" s="111">
        <f t="shared" ref="A23:A24" si="1">A22+1</f>
        <v>14</v>
      </c>
      <c r="B23" s="44"/>
      <c r="C23" s="485" t="s">
        <v>1476</v>
      </c>
      <c r="D23" s="485"/>
      <c r="E23" s="485"/>
      <c r="F23" s="485"/>
      <c r="G23" s="485"/>
      <c r="H23" s="485"/>
      <c r="I23" s="485" t="s">
        <v>1635</v>
      </c>
      <c r="J23" s="482" t="str">
        <f>"5-ROR-2, Line "&amp;'5-ROR-2'!A30&amp;""</f>
        <v>5-ROR-2, Line 12</v>
      </c>
      <c r="K23" s="485"/>
      <c r="L23" s="497">
        <f>'5-ROR-2'!C30</f>
        <v>-44042735.923824795</v>
      </c>
      <c r="N23" s="111"/>
      <c r="O23" s="497"/>
      <c r="Q23" s="497"/>
      <c r="R23" s="497"/>
      <c r="S23" s="497"/>
      <c r="T23" s="497"/>
      <c r="U23" s="497"/>
      <c r="V23" s="497"/>
      <c r="W23" s="497"/>
      <c r="X23" s="497"/>
      <c r="Y23" s="497"/>
      <c r="Z23" s="497"/>
      <c r="AA23" s="497"/>
      <c r="AB23" s="497"/>
    </row>
    <row r="24" spans="1:28">
      <c r="A24" s="111">
        <f t="shared" si="1"/>
        <v>15</v>
      </c>
      <c r="B24" s="44"/>
      <c r="C24" s="485" t="s">
        <v>1170</v>
      </c>
      <c r="D24" s="485"/>
      <c r="E24" s="485"/>
      <c r="F24" s="485"/>
      <c r="G24" s="485"/>
      <c r="H24" s="485"/>
      <c r="I24" s="485" t="s">
        <v>1635</v>
      </c>
      <c r="J24" s="482" t="str">
        <f>"5-ROR-2, Line "&amp;'5-ROR-2'!A32&amp;""</f>
        <v>5-ROR-2, Line 13</v>
      </c>
      <c r="K24" s="485"/>
      <c r="L24" s="499">
        <f>'5-ROR-2'!C32</f>
        <v>-12930516.057100974</v>
      </c>
      <c r="N24" s="111"/>
      <c r="O24" s="497"/>
      <c r="Q24" s="497"/>
      <c r="R24" s="497"/>
      <c r="S24" s="497"/>
      <c r="T24" s="497"/>
      <c r="U24" s="497"/>
      <c r="V24" s="497"/>
      <c r="W24" s="497"/>
      <c r="X24" s="497"/>
      <c r="Y24" s="497"/>
      <c r="Z24" s="497"/>
      <c r="AA24" s="497"/>
      <c r="AB24" s="497"/>
    </row>
    <row r="25" spans="1:28">
      <c r="A25" s="111">
        <f>A24+1</f>
        <v>16</v>
      </c>
      <c r="B25" s="44"/>
      <c r="C25" s="482" t="s">
        <v>47</v>
      </c>
      <c r="D25" s="485"/>
      <c r="E25" s="485"/>
      <c r="F25" s="485"/>
      <c r="G25" s="485"/>
      <c r="H25" s="485"/>
      <c r="I25" s="485"/>
      <c r="J25" s="482" t="str">
        <f>"Sum of Lines "&amp;A22&amp;" to "&amp;A24&amp;""</f>
        <v>Sum of Lines 13 to 15</v>
      </c>
      <c r="K25" s="485"/>
      <c r="L25" s="497">
        <f>SUM(L22:L24)</f>
        <v>2224620928.7883053</v>
      </c>
    </row>
    <row r="26" spans="1:28">
      <c r="A26" s="111"/>
      <c r="B26" s="44"/>
      <c r="C26" s="485"/>
      <c r="D26" s="485"/>
      <c r="E26" s="485"/>
      <c r="F26" s="485"/>
      <c r="G26" s="485"/>
      <c r="H26" s="485"/>
      <c r="I26" s="485"/>
      <c r="J26" s="482"/>
      <c r="K26" s="485"/>
      <c r="L26" s="497"/>
    </row>
    <row r="27" spans="1:28">
      <c r="A27" s="14"/>
      <c r="B27" s="44"/>
      <c r="C27" s="45" t="s">
        <v>271</v>
      </c>
      <c r="D27" s="485"/>
      <c r="E27" s="485"/>
      <c r="F27" s="485"/>
      <c r="G27" s="485"/>
      <c r="H27" s="485"/>
      <c r="I27" s="500"/>
      <c r="J27" s="482"/>
      <c r="K27" s="485"/>
      <c r="L27" s="485"/>
    </row>
    <row r="28" spans="1:28">
      <c r="A28" s="111">
        <f>+A25+1</f>
        <v>17</v>
      </c>
      <c r="B28" s="44"/>
      <c r="C28" s="485" t="s">
        <v>210</v>
      </c>
      <c r="D28" s="485"/>
      <c r="E28" s="485"/>
      <c r="F28" s="485"/>
      <c r="G28" s="485"/>
      <c r="H28" s="485"/>
      <c r="I28" s="485" t="s">
        <v>1635</v>
      </c>
      <c r="J28" s="482" t="str">
        <f>"5-ROR-2, Line "&amp;'5-ROR-2'!A34&amp;""</f>
        <v>5-ROR-2, Line 14</v>
      </c>
      <c r="K28" s="485"/>
      <c r="L28" s="497">
        <f>'5-ROR-2'!C34</f>
        <v>14822803187.622307</v>
      </c>
      <c r="N28" s="111"/>
      <c r="O28" s="497"/>
      <c r="P28" s="497"/>
      <c r="Q28" s="497"/>
      <c r="R28" s="497"/>
      <c r="S28" s="497"/>
      <c r="T28" s="497"/>
      <c r="U28" s="497"/>
      <c r="V28" s="497"/>
      <c r="W28" s="497"/>
      <c r="X28" s="497"/>
      <c r="Y28" s="497"/>
      <c r="Z28" s="497"/>
      <c r="AA28" s="497"/>
      <c r="AB28" s="497"/>
    </row>
    <row r="29" spans="1:28">
      <c r="A29" s="111">
        <f>A28+1</f>
        <v>18</v>
      </c>
      <c r="B29" s="44"/>
      <c r="C29" s="485" t="s">
        <v>45</v>
      </c>
      <c r="D29" s="485"/>
      <c r="E29" s="485"/>
      <c r="F29" s="485"/>
      <c r="G29" s="485"/>
      <c r="H29" s="485"/>
      <c r="I29" s="485" t="str">
        <f>"Same as L "&amp;A22&amp;", but negative"</f>
        <v>Same as L 13, but negative</v>
      </c>
      <c r="J29" s="482" t="str">
        <f>"5-ROR-2, Line "&amp;'5-ROR-2'!A28&amp;""</f>
        <v>5-ROR-2, Line 11</v>
      </c>
      <c r="K29" s="485"/>
      <c r="L29" s="497">
        <f>-'5-ROR-2'!C28</f>
        <v>-2281594180.7692308</v>
      </c>
      <c r="N29" s="111"/>
      <c r="O29" s="497"/>
      <c r="P29" s="497"/>
      <c r="Q29" s="497"/>
      <c r="R29" s="497"/>
      <c r="S29" s="497"/>
      <c r="T29" s="497"/>
      <c r="U29" s="497"/>
      <c r="V29" s="497"/>
      <c r="W29" s="497"/>
      <c r="X29" s="497"/>
      <c r="Y29" s="497"/>
      <c r="Z29" s="497"/>
      <c r="AA29" s="497"/>
      <c r="AB29" s="497"/>
    </row>
    <row r="30" spans="1:28">
      <c r="A30" s="111">
        <f t="shared" ref="A30:A32" si="2">A29+1</f>
        <v>19</v>
      </c>
      <c r="B30" s="44"/>
      <c r="C30" s="485" t="s">
        <v>1477</v>
      </c>
      <c r="D30" s="485"/>
      <c r="E30" s="485"/>
      <c r="F30" s="485"/>
      <c r="G30" s="485"/>
      <c r="H30" s="485"/>
      <c r="I30" s="485" t="str">
        <f>"Same as L "&amp;A24&amp;", but reverse sign"</f>
        <v>Same as L 15, but reverse sign</v>
      </c>
      <c r="J30" s="482" t="str">
        <f>"5-ROR-2, Line "&amp;'5-ROR-2'!A32&amp;""</f>
        <v>5-ROR-2, Line 13</v>
      </c>
      <c r="K30" s="485"/>
      <c r="L30" s="497">
        <f>-L24</f>
        <v>12930516.057100974</v>
      </c>
      <c r="N30" s="111"/>
      <c r="O30" s="497"/>
      <c r="P30" s="497"/>
      <c r="Q30" s="497"/>
      <c r="R30" s="497"/>
      <c r="S30" s="497"/>
      <c r="T30" s="497"/>
      <c r="U30" s="497"/>
      <c r="V30" s="497"/>
      <c r="W30" s="497"/>
      <c r="X30" s="497"/>
      <c r="Y30" s="497"/>
      <c r="Z30" s="497"/>
      <c r="AA30" s="497"/>
      <c r="AB30" s="497"/>
    </row>
    <row r="31" spans="1:28">
      <c r="A31" s="111">
        <f t="shared" si="2"/>
        <v>20</v>
      </c>
      <c r="B31" s="44"/>
      <c r="C31" s="485" t="s">
        <v>1478</v>
      </c>
      <c r="D31" s="485"/>
      <c r="E31" s="485"/>
      <c r="F31" s="485"/>
      <c r="G31" s="485"/>
      <c r="H31" s="485"/>
      <c r="I31" s="485" t="s">
        <v>1635</v>
      </c>
      <c r="J31" s="482" t="str">
        <f>"5-ROR-2, Line "&amp;'5-ROR-2'!A36&amp;""</f>
        <v>5-ROR-2, Line 15</v>
      </c>
      <c r="K31" s="485"/>
      <c r="L31" s="497">
        <f>'5-ROR-2'!C36</f>
        <v>2603770.0107692298</v>
      </c>
      <c r="N31" s="111"/>
      <c r="O31" s="497"/>
      <c r="P31" s="497"/>
      <c r="Q31" s="497"/>
      <c r="R31" s="497"/>
      <c r="S31" s="497"/>
      <c r="T31" s="497"/>
      <c r="U31" s="497"/>
      <c r="V31" s="497"/>
      <c r="W31" s="497"/>
      <c r="X31" s="497"/>
      <c r="Y31" s="497"/>
      <c r="Z31" s="497"/>
      <c r="AA31" s="497"/>
      <c r="AB31" s="497"/>
    </row>
    <row r="32" spans="1:28">
      <c r="A32" s="111">
        <f t="shared" si="2"/>
        <v>21</v>
      </c>
      <c r="B32" s="44"/>
      <c r="C32" s="485" t="s">
        <v>1479</v>
      </c>
      <c r="D32" s="485"/>
      <c r="E32" s="485"/>
      <c r="F32" s="485"/>
      <c r="G32" s="485"/>
      <c r="H32" s="485"/>
      <c r="I32" s="485" t="s">
        <v>1635</v>
      </c>
      <c r="J32" s="482" t="str">
        <f>"5-ROR-2, Line "&amp;'5-ROR-2'!A38&amp;""</f>
        <v>5-ROR-2, Line 16</v>
      </c>
      <c r="K32" s="485"/>
      <c r="L32" s="497">
        <f>'5-ROR-2'!C38</f>
        <v>18479587.07</v>
      </c>
      <c r="N32" s="111"/>
      <c r="O32" s="497"/>
      <c r="P32" s="497"/>
      <c r="Q32" s="497"/>
      <c r="R32" s="497"/>
      <c r="S32" s="497"/>
      <c r="T32" s="497"/>
      <c r="U32" s="497"/>
      <c r="V32" s="497"/>
      <c r="W32" s="497"/>
      <c r="X32" s="497"/>
      <c r="Y32" s="497"/>
      <c r="Z32" s="497"/>
      <c r="AA32" s="497"/>
      <c r="AB32" s="497"/>
    </row>
    <row r="33" spans="1:12">
      <c r="A33" s="111">
        <f>A32+1</f>
        <v>22</v>
      </c>
      <c r="B33" s="44"/>
      <c r="C33" s="485" t="s">
        <v>44</v>
      </c>
      <c r="D33" s="485"/>
      <c r="E33" s="485"/>
      <c r="F33" s="485"/>
      <c r="G33" s="485"/>
      <c r="H33" s="485"/>
      <c r="I33" s="485"/>
      <c r="J33" s="482" t="str">
        <f>"Sum of Lines "&amp;A28&amp;" to "&amp;A32&amp;""</f>
        <v>Sum of Lines 17 to 21</v>
      </c>
      <c r="K33" s="485"/>
      <c r="L33" s="498">
        <f>SUM(L28:L32)</f>
        <v>12575222879.990946</v>
      </c>
    </row>
    <row r="34" spans="1:12">
      <c r="B34" s="51"/>
      <c r="C34" s="485"/>
      <c r="D34" s="485"/>
      <c r="E34" s="485"/>
      <c r="F34" s="485"/>
      <c r="G34" s="485"/>
      <c r="H34" s="485"/>
      <c r="I34" s="485"/>
      <c r="J34" s="485"/>
      <c r="K34" s="483"/>
      <c r="L34" s="483"/>
    </row>
    <row r="35" spans="1:12">
      <c r="B35" s="485"/>
      <c r="C35" s="14"/>
      <c r="D35" s="14"/>
      <c r="E35" s="14"/>
      <c r="F35" s="14"/>
      <c r="G35" s="14"/>
      <c r="H35" s="14"/>
      <c r="I35" s="14"/>
      <c r="J35" s="485"/>
    </row>
    <row r="36" spans="1:12">
      <c r="B36" s="485"/>
      <c r="C36" s="14"/>
      <c r="D36" s="14"/>
      <c r="E36" s="14"/>
      <c r="F36" s="14"/>
      <c r="G36" s="14"/>
      <c r="H36" s="14"/>
      <c r="I36" s="14"/>
      <c r="J36" s="485"/>
    </row>
    <row r="37" spans="1:12">
      <c r="B37" s="485"/>
      <c r="C37" s="14"/>
      <c r="D37" s="14"/>
      <c r="E37" s="14"/>
      <c r="F37" s="14"/>
      <c r="G37" s="14"/>
      <c r="H37" s="14"/>
      <c r="I37" s="14"/>
      <c r="J37" s="485"/>
    </row>
    <row r="38" spans="1:12">
      <c r="B38" s="485"/>
      <c r="C38" s="14"/>
      <c r="D38" s="14"/>
      <c r="E38" s="14"/>
      <c r="F38" s="14"/>
      <c r="G38" s="14"/>
      <c r="H38" s="14"/>
      <c r="I38" s="14"/>
      <c r="J38" s="14"/>
    </row>
    <row r="39" spans="1:12">
      <c r="B39" s="501"/>
      <c r="C39" s="14"/>
      <c r="D39" s="14"/>
      <c r="E39" s="14"/>
      <c r="F39" s="14"/>
      <c r="G39" s="14"/>
      <c r="H39" s="14"/>
      <c r="I39" s="14"/>
      <c r="J39" s="14"/>
    </row>
    <row r="40" spans="1:12">
      <c r="B40" s="483"/>
    </row>
    <row r="41" spans="1:12">
      <c r="B41" s="487"/>
    </row>
    <row r="42" spans="1:12">
      <c r="B42" s="483"/>
    </row>
    <row r="43" spans="1:12">
      <c r="B43" s="487"/>
    </row>
  </sheetData>
  <phoneticPr fontId="22" type="noConversion"/>
  <pageMargins left="0.75" right="0.75" top="1" bottom="1" header="0.5" footer="0.5"/>
  <pageSetup scale="55" orientation="landscape" cellComments="asDisplayed" r:id="rId1"/>
  <headerFooter alignWithMargins="0">
    <oddHeader>&amp;CSchedule 5 ROR-1
Return and Capitalization
&amp;RTO2019 Draft Annual Update 
Attachment1</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zoomScaleNormal="100" workbookViewId="0"/>
  </sheetViews>
  <sheetFormatPr defaultColWidth="8.85546875" defaultRowHeight="12.75"/>
  <cols>
    <col min="1" max="1" width="4.7109375" style="1075" customWidth="1"/>
    <col min="2" max="2" width="6.42578125" style="1075" customWidth="1"/>
    <col min="3" max="3" width="17.42578125" style="1075" customWidth="1"/>
    <col min="4" max="4" width="15.42578125" style="1075" bestFit="1" customWidth="1"/>
    <col min="5" max="5" width="16.140625" style="1075" customWidth="1"/>
    <col min="6" max="15" width="15.5703125" style="1075" customWidth="1"/>
    <col min="16" max="16" width="15.42578125" style="1075" bestFit="1" customWidth="1"/>
    <col min="17" max="17" width="14" style="1075" customWidth="1"/>
    <col min="18" max="16384" width="8.85546875" style="1075"/>
  </cols>
  <sheetData>
    <row r="1" spans="1:19">
      <c r="A1" s="1" t="s">
        <v>1655</v>
      </c>
      <c r="B1" s="1"/>
    </row>
    <row r="2" spans="1:19">
      <c r="A2" s="111" t="s">
        <v>2220</v>
      </c>
      <c r="B2" s="1115">
        <v>2017</v>
      </c>
    </row>
    <row r="3" spans="1:19">
      <c r="C3" s="84" t="s">
        <v>363</v>
      </c>
      <c r="D3" s="84" t="s">
        <v>347</v>
      </c>
      <c r="E3" s="84" t="s">
        <v>348</v>
      </c>
      <c r="F3" s="84" t="s">
        <v>349</v>
      </c>
      <c r="G3" s="84" t="s">
        <v>350</v>
      </c>
      <c r="H3" s="84" t="s">
        <v>351</v>
      </c>
      <c r="I3" s="84" t="s">
        <v>352</v>
      </c>
      <c r="J3" s="84" t="s">
        <v>544</v>
      </c>
      <c r="K3" s="84" t="s">
        <v>961</v>
      </c>
      <c r="L3" s="84" t="s">
        <v>974</v>
      </c>
      <c r="M3" s="84" t="s">
        <v>977</v>
      </c>
      <c r="N3" s="84" t="s">
        <v>995</v>
      </c>
      <c r="O3" s="84" t="s">
        <v>1482</v>
      </c>
      <c r="P3" s="84" t="s">
        <v>1483</v>
      </c>
    </row>
    <row r="4" spans="1:19">
      <c r="A4" s="3" t="s">
        <v>322</v>
      </c>
      <c r="B4" s="3" t="s">
        <v>1656</v>
      </c>
      <c r="C4" s="37" t="s">
        <v>10</v>
      </c>
      <c r="D4" s="502" t="s">
        <v>180</v>
      </c>
      <c r="E4" s="492" t="s">
        <v>181</v>
      </c>
      <c r="F4" s="492" t="s">
        <v>182</v>
      </c>
      <c r="G4" s="492" t="s">
        <v>195</v>
      </c>
      <c r="H4" s="492" t="s">
        <v>183</v>
      </c>
      <c r="I4" s="492" t="s">
        <v>184</v>
      </c>
      <c r="J4" s="492" t="s">
        <v>1481</v>
      </c>
      <c r="K4" s="492" t="s">
        <v>186</v>
      </c>
      <c r="L4" s="492" t="s">
        <v>187</v>
      </c>
      <c r="M4" s="492" t="s">
        <v>188</v>
      </c>
      <c r="N4" s="492" t="s">
        <v>191</v>
      </c>
      <c r="O4" s="492" t="s">
        <v>190</v>
      </c>
      <c r="P4" s="492" t="s">
        <v>180</v>
      </c>
      <c r="Q4" s="580"/>
    </row>
    <row r="5" spans="1:19">
      <c r="A5" s="3"/>
      <c r="B5" s="125"/>
      <c r="C5" s="549" t="s">
        <v>2221</v>
      </c>
      <c r="D5" s="567"/>
      <c r="E5" s="492"/>
      <c r="F5" s="492"/>
      <c r="G5" s="492"/>
      <c r="H5" s="492"/>
      <c r="I5" s="492"/>
      <c r="J5" s="492"/>
      <c r="K5" s="492"/>
      <c r="L5" s="492"/>
      <c r="M5" s="492"/>
      <c r="N5" s="492"/>
      <c r="O5" s="492"/>
      <c r="P5" s="492"/>
    </row>
    <row r="6" spans="1:19">
      <c r="A6" s="53"/>
      <c r="B6" s="53"/>
      <c r="C6" s="37"/>
      <c r="D6" s="502"/>
      <c r="E6" s="492"/>
      <c r="F6" s="492"/>
      <c r="G6" s="492"/>
      <c r="H6" s="492"/>
      <c r="I6" s="492"/>
      <c r="J6" s="492"/>
      <c r="K6" s="492"/>
      <c r="L6" s="492"/>
      <c r="M6" s="492"/>
      <c r="N6" s="492"/>
      <c r="O6" s="492"/>
      <c r="P6" s="492"/>
    </row>
    <row r="7" spans="1:19">
      <c r="B7" s="44" t="s">
        <v>1657</v>
      </c>
      <c r="D7" s="502"/>
      <c r="E7" s="1178"/>
      <c r="F7" s="1178"/>
      <c r="G7" s="1178"/>
      <c r="H7" s="1178"/>
      <c r="I7" s="1178"/>
      <c r="J7" s="1178"/>
      <c r="K7" s="1178"/>
      <c r="L7" s="1178"/>
      <c r="M7" s="1178"/>
      <c r="N7" s="1178"/>
      <c r="O7" s="1178"/>
      <c r="P7" s="1178"/>
    </row>
    <row r="8" spans="1:19">
      <c r="A8" s="111">
        <v>1</v>
      </c>
      <c r="B8" s="111"/>
      <c r="C8" s="497">
        <f>SUM(D8:P8)/13</f>
        <v>10684345054.951538</v>
      </c>
      <c r="D8" s="1100">
        <v>10296542857</v>
      </c>
      <c r="E8" s="1100">
        <v>10431542857.129999</v>
      </c>
      <c r="F8" s="1100">
        <v>10392257142.84</v>
      </c>
      <c r="G8" s="1100">
        <v>10957257142.84</v>
      </c>
      <c r="H8" s="1100">
        <v>10957257142.84</v>
      </c>
      <c r="I8" s="1100">
        <v>10557257142.84</v>
      </c>
      <c r="J8" s="1100">
        <v>10557257142.84</v>
      </c>
      <c r="K8" s="1100">
        <v>10857257142.84</v>
      </c>
      <c r="L8" s="1100">
        <v>10817971428.549999</v>
      </c>
      <c r="M8" s="1100">
        <v>10817971428.549999</v>
      </c>
      <c r="N8" s="1100">
        <v>10817971428.549999</v>
      </c>
      <c r="O8" s="1100">
        <v>10717971428.549999</v>
      </c>
      <c r="P8" s="1100">
        <v>10717971429</v>
      </c>
      <c r="Q8" s="483"/>
      <c r="S8" s="501"/>
    </row>
    <row r="9" spans="1:19">
      <c r="A9" s="111"/>
      <c r="B9" s="44" t="s">
        <v>2222</v>
      </c>
      <c r="C9" s="7"/>
      <c r="D9" s="497"/>
      <c r="E9" s="497"/>
      <c r="F9" s="497"/>
      <c r="G9" s="497"/>
      <c r="H9" s="497"/>
      <c r="I9" s="497"/>
      <c r="J9" s="497"/>
      <c r="K9" s="497"/>
      <c r="L9" s="497"/>
      <c r="M9" s="497"/>
      <c r="N9" s="497"/>
      <c r="O9" s="497"/>
      <c r="P9" s="497"/>
    </row>
    <row r="10" spans="1:19">
      <c r="A10" s="111">
        <f>A8+1</f>
        <v>2</v>
      </c>
      <c r="B10" s="111"/>
      <c r="C10" s="497">
        <f t="shared" ref="C10:C14" si="0">SUM(D10:P10)/13</f>
        <v>-40384615.384615384</v>
      </c>
      <c r="D10" s="1100">
        <v>-165000000</v>
      </c>
      <c r="E10" s="1100">
        <v>-30000000</v>
      </c>
      <c r="F10" s="1100">
        <v>-30000000</v>
      </c>
      <c r="G10" s="1100">
        <v>-30000000</v>
      </c>
      <c r="H10" s="1100">
        <v>-30000000</v>
      </c>
      <c r="I10" s="1100">
        <v>-30000000</v>
      </c>
      <c r="J10" s="1100">
        <v>-30000000</v>
      </c>
      <c r="K10" s="1100">
        <v>-30000000</v>
      </c>
      <c r="L10" s="1100">
        <v>-30000000</v>
      </c>
      <c r="M10" s="1100">
        <v>-30000000</v>
      </c>
      <c r="N10" s="1100">
        <v>-30000000</v>
      </c>
      <c r="O10" s="1100">
        <v>-30000000</v>
      </c>
      <c r="P10" s="1100">
        <v>-30000000</v>
      </c>
      <c r="Q10" s="483"/>
    </row>
    <row r="11" spans="1:19">
      <c r="A11" s="111"/>
      <c r="B11" s="44" t="s">
        <v>2612</v>
      </c>
      <c r="C11" s="14"/>
      <c r="D11" s="497"/>
      <c r="E11" s="497"/>
      <c r="F11" s="497"/>
      <c r="G11" s="497"/>
      <c r="H11" s="497"/>
      <c r="I11" s="497"/>
      <c r="J11" s="497"/>
      <c r="K11" s="497"/>
      <c r="L11" s="497"/>
      <c r="M11" s="497"/>
      <c r="N11" s="497"/>
      <c r="O11" s="497"/>
      <c r="P11" s="497"/>
    </row>
    <row r="12" spans="1:19">
      <c r="A12" s="111">
        <f>A10+1</f>
        <v>3</v>
      </c>
      <c r="B12" s="44"/>
      <c r="C12" s="497">
        <f>SUM(D12:P12)/13</f>
        <v>0</v>
      </c>
      <c r="D12" s="517">
        <v>0</v>
      </c>
      <c r="E12" s="517">
        <v>0</v>
      </c>
      <c r="F12" s="517">
        <v>0</v>
      </c>
      <c r="G12" s="517">
        <v>0</v>
      </c>
      <c r="H12" s="517">
        <v>0</v>
      </c>
      <c r="I12" s="517">
        <v>0</v>
      </c>
      <c r="J12" s="517">
        <v>0</v>
      </c>
      <c r="K12" s="517">
        <v>0</v>
      </c>
      <c r="L12" s="517">
        <v>0</v>
      </c>
      <c r="M12" s="517">
        <v>0</v>
      </c>
      <c r="N12" s="517">
        <v>0</v>
      </c>
      <c r="O12" s="517">
        <v>0</v>
      </c>
      <c r="P12" s="517">
        <v>0</v>
      </c>
      <c r="Q12" s="483"/>
    </row>
    <row r="13" spans="1:19">
      <c r="A13" s="111"/>
      <c r="B13" s="44" t="s">
        <v>2613</v>
      </c>
      <c r="D13" s="497"/>
      <c r="E13" s="497"/>
      <c r="F13" s="497"/>
      <c r="G13" s="497"/>
      <c r="H13" s="497"/>
      <c r="I13" s="497"/>
      <c r="J13" s="497"/>
      <c r="K13" s="497"/>
      <c r="L13" s="497"/>
      <c r="M13" s="497"/>
      <c r="N13" s="497"/>
      <c r="O13" s="497"/>
      <c r="P13" s="497"/>
    </row>
    <row r="14" spans="1:19">
      <c r="A14" s="111">
        <f>A12+1</f>
        <v>4</v>
      </c>
      <c r="B14" s="111"/>
      <c r="C14" s="497">
        <f t="shared" si="0"/>
        <v>424282123.68538463</v>
      </c>
      <c r="D14" s="1100">
        <v>306621506</v>
      </c>
      <c r="E14" s="1100">
        <v>471616305.64999998</v>
      </c>
      <c r="F14" s="1100">
        <v>471611083.31</v>
      </c>
      <c r="G14" s="1100">
        <v>606605838.94000006</v>
      </c>
      <c r="H14" s="1100">
        <v>606600572.46000004</v>
      </c>
      <c r="I14" s="1100">
        <v>606595283.76999998</v>
      </c>
      <c r="J14" s="1100">
        <v>606589972.77999997</v>
      </c>
      <c r="K14" s="1100">
        <v>306584639.39999998</v>
      </c>
      <c r="L14" s="1100">
        <v>306579283.52999997</v>
      </c>
      <c r="M14" s="1100">
        <v>306573905.07999998</v>
      </c>
      <c r="N14" s="1100">
        <v>306568503.94999999</v>
      </c>
      <c r="O14" s="1100">
        <v>306563080.04000002</v>
      </c>
      <c r="P14" s="1100">
        <v>306557633</v>
      </c>
      <c r="Q14" s="483"/>
    </row>
    <row r="15" spans="1:19">
      <c r="A15" s="111"/>
      <c r="B15" s="44" t="s">
        <v>2614</v>
      </c>
      <c r="C15" s="14"/>
      <c r="D15" s="497"/>
      <c r="E15" s="497"/>
      <c r="F15" s="497"/>
      <c r="G15" s="497"/>
      <c r="H15" s="497"/>
      <c r="I15" s="497"/>
      <c r="J15" s="497"/>
      <c r="K15" s="497"/>
      <c r="L15" s="497"/>
      <c r="M15" s="497"/>
      <c r="N15" s="497"/>
      <c r="O15" s="497"/>
      <c r="P15" s="497"/>
      <c r="S15" s="483"/>
    </row>
    <row r="16" spans="1:19">
      <c r="A16" s="111">
        <f>A14+1</f>
        <v>5</v>
      </c>
      <c r="C16" s="497">
        <f t="shared" ref="C16" si="1">SUM(D16:P16)/13</f>
        <v>6680026.6015384626</v>
      </c>
      <c r="D16" s="517">
        <v>0</v>
      </c>
      <c r="E16" s="517">
        <v>0</v>
      </c>
      <c r="F16" s="517">
        <v>0</v>
      </c>
      <c r="G16" s="517">
        <v>0</v>
      </c>
      <c r="H16" s="517">
        <v>0</v>
      </c>
      <c r="I16" s="517">
        <v>0</v>
      </c>
      <c r="J16" s="517">
        <v>0</v>
      </c>
      <c r="K16" s="517">
        <v>0</v>
      </c>
      <c r="L16" s="517">
        <v>0</v>
      </c>
      <c r="M16" s="517">
        <v>21802461.100000001</v>
      </c>
      <c r="N16" s="517">
        <v>21740877.940000001</v>
      </c>
      <c r="O16" s="517">
        <v>21679294.780000001</v>
      </c>
      <c r="P16" s="517">
        <v>21617712</v>
      </c>
      <c r="S16" s="483"/>
    </row>
    <row r="17" spans="1:19">
      <c r="A17" s="111"/>
      <c r="B17" s="44" t="s">
        <v>2645</v>
      </c>
      <c r="C17" s="14"/>
      <c r="D17" s="497"/>
      <c r="E17" s="497"/>
      <c r="F17" s="497"/>
      <c r="G17" s="497"/>
      <c r="H17" s="497"/>
      <c r="I17" s="497"/>
      <c r="J17" s="497"/>
      <c r="K17" s="497"/>
      <c r="L17" s="497"/>
      <c r="M17" s="497"/>
      <c r="N17" s="497"/>
      <c r="O17" s="497"/>
      <c r="P17" s="497"/>
      <c r="S17" s="483"/>
    </row>
    <row r="18" spans="1:19">
      <c r="A18" s="111">
        <f>A16+1</f>
        <v>6</v>
      </c>
      <c r="B18" s="390"/>
      <c r="C18" s="497">
        <f t="shared" ref="C18" si="2">SUM(D18:P18)/13</f>
        <v>-33623700.153846152</v>
      </c>
      <c r="D18" s="517">
        <v>-34304356</v>
      </c>
      <c r="E18" s="517">
        <v>-34124678.469999999</v>
      </c>
      <c r="F18" s="517">
        <v>-33976129.890000001</v>
      </c>
      <c r="G18" s="517">
        <v>-34268166.869999997</v>
      </c>
      <c r="H18" s="517">
        <v>-34093163.359999999</v>
      </c>
      <c r="I18" s="517">
        <v>-33909672.759999998</v>
      </c>
      <c r="J18" s="517">
        <v>-33738131.969999999</v>
      </c>
      <c r="K18" s="517">
        <v>-33554760.770000003</v>
      </c>
      <c r="L18" s="517">
        <v>-33377304.789999999</v>
      </c>
      <c r="M18" s="517">
        <v>-33205763.989999998</v>
      </c>
      <c r="N18" s="517">
        <v>-33022392.800000001</v>
      </c>
      <c r="O18" s="517">
        <v>-32855820.329999998</v>
      </c>
      <c r="P18" s="517">
        <v>-32677760</v>
      </c>
      <c r="Q18" s="483"/>
      <c r="S18" s="501"/>
    </row>
    <row r="19" spans="1:19">
      <c r="A19" s="14"/>
      <c r="B19" s="390" t="s">
        <v>2646</v>
      </c>
      <c r="C19" s="14"/>
      <c r="D19" s="497"/>
      <c r="E19" s="497"/>
      <c r="F19" s="497"/>
      <c r="G19" s="497"/>
      <c r="H19" s="497"/>
      <c r="I19" s="497"/>
      <c r="J19" s="497"/>
      <c r="K19" s="497"/>
      <c r="L19" s="497"/>
      <c r="M19" s="497"/>
      <c r="N19" s="497"/>
      <c r="O19" s="497"/>
      <c r="P19" s="497"/>
      <c r="S19" s="483"/>
    </row>
    <row r="20" spans="1:19">
      <c r="A20" s="111">
        <f>A18+1</f>
        <v>7</v>
      </c>
      <c r="B20" s="44"/>
      <c r="C20" s="497">
        <f t="shared" ref="C20" si="3">SUM(D20:P20)/13</f>
        <v>-83307522.246153846</v>
      </c>
      <c r="D20" s="517">
        <v>-78466386</v>
      </c>
      <c r="E20" s="517">
        <v>-79500130.969999999</v>
      </c>
      <c r="F20" s="517">
        <v>-78931113.359999999</v>
      </c>
      <c r="G20" s="517">
        <v>-85565223.140000001</v>
      </c>
      <c r="H20" s="517">
        <v>-84846359.980000004</v>
      </c>
      <c r="I20" s="517">
        <v>-84197370.620000005</v>
      </c>
      <c r="J20" s="517">
        <v>-83548381.260000005</v>
      </c>
      <c r="K20" s="517">
        <v>-84336532.849999994</v>
      </c>
      <c r="L20" s="517">
        <v>-83662293.459999993</v>
      </c>
      <c r="M20" s="517">
        <v>-85916772.989999995</v>
      </c>
      <c r="N20" s="517">
        <v>-85238764</v>
      </c>
      <c r="O20" s="517">
        <v>-84577794.569999993</v>
      </c>
      <c r="P20" s="517">
        <v>-84210666</v>
      </c>
      <c r="Q20" s="483"/>
    </row>
    <row r="21" spans="1:19">
      <c r="A21" s="111"/>
      <c r="B21" s="390" t="s">
        <v>2647</v>
      </c>
      <c r="C21" s="14"/>
      <c r="D21" s="497"/>
      <c r="E21" s="497"/>
      <c r="F21" s="497"/>
      <c r="G21" s="497"/>
      <c r="H21" s="497"/>
      <c r="I21" s="497"/>
      <c r="J21" s="497"/>
      <c r="K21" s="497"/>
      <c r="L21" s="497"/>
      <c r="M21" s="497"/>
      <c r="N21" s="497"/>
      <c r="O21" s="497"/>
      <c r="P21" s="497"/>
    </row>
    <row r="22" spans="1:19">
      <c r="A22" s="111">
        <f>A20+1</f>
        <v>8</v>
      </c>
      <c r="B22" s="390"/>
      <c r="C22" s="497">
        <f t="shared" ref="C22" si="4">SUM(D22:P22)/13</f>
        <v>-176083211.33615384</v>
      </c>
      <c r="D22" s="517">
        <v>-184457795</v>
      </c>
      <c r="E22" s="517">
        <v>-183057531.44999999</v>
      </c>
      <c r="F22" s="517">
        <v>-181657267.74000001</v>
      </c>
      <c r="G22" s="517">
        <v>-180257004.03</v>
      </c>
      <c r="H22" s="517">
        <v>-178856740.31999999</v>
      </c>
      <c r="I22" s="517">
        <v>-177456476.61000001</v>
      </c>
      <c r="J22" s="517">
        <v>-176056212.90000001</v>
      </c>
      <c r="K22" s="517">
        <v>-174655949.19</v>
      </c>
      <c r="L22" s="517">
        <v>-173255685.47999999</v>
      </c>
      <c r="M22" s="517">
        <v>-171920046.06999999</v>
      </c>
      <c r="N22" s="517">
        <v>-170519599.81999999</v>
      </c>
      <c r="O22" s="517">
        <v>-169119153.75999999</v>
      </c>
      <c r="P22" s="517">
        <v>-167812285</v>
      </c>
      <c r="Q22" s="483"/>
    </row>
    <row r="23" spans="1:19">
      <c r="A23" s="111"/>
      <c r="B23" s="390" t="s">
        <v>2615</v>
      </c>
      <c r="C23" s="497"/>
      <c r="D23" s="497"/>
      <c r="E23" s="497"/>
      <c r="F23" s="497"/>
      <c r="G23" s="497"/>
      <c r="H23" s="497"/>
      <c r="I23" s="497"/>
      <c r="J23" s="497"/>
      <c r="K23" s="497"/>
      <c r="L23" s="497"/>
      <c r="M23" s="497"/>
      <c r="N23" s="497"/>
      <c r="O23" s="497"/>
      <c r="P23" s="497" t="s">
        <v>331</v>
      </c>
    </row>
    <row r="24" spans="1:19">
      <c r="A24" s="111">
        <f>+A22+1</f>
        <v>9</v>
      </c>
      <c r="B24" s="390"/>
      <c r="C24" s="497">
        <f t="shared" ref="C24" si="5">SUM(D24:P24)/13</f>
        <v>-572623814.34496248</v>
      </c>
      <c r="D24" s="517">
        <v>-789264569.49612796</v>
      </c>
      <c r="E24" s="517">
        <v>-757352942.27889407</v>
      </c>
      <c r="F24" s="517">
        <v>-725441315.06165898</v>
      </c>
      <c r="G24" s="517">
        <v>-570307142.77512503</v>
      </c>
      <c r="H24" s="517">
        <v>-563918756.34077299</v>
      </c>
      <c r="I24" s="517">
        <v>-551717553.64811301</v>
      </c>
      <c r="J24" s="517">
        <v>-545434854.76764894</v>
      </c>
      <c r="K24" s="517">
        <v>-539152155.88718593</v>
      </c>
      <c r="L24" s="517">
        <v>-532869457.00672305</v>
      </c>
      <c r="M24" s="517">
        <v>-526586758.12626004</v>
      </c>
      <c r="N24" s="517">
        <v>-520304059.24579698</v>
      </c>
      <c r="O24" s="517">
        <v>-414021360.36533403</v>
      </c>
      <c r="P24" s="517">
        <v>-407738661.48487103</v>
      </c>
    </row>
    <row r="25" spans="1:19">
      <c r="A25" s="111"/>
      <c r="B25" s="390" t="s">
        <v>2616</v>
      </c>
      <c r="C25" s="497"/>
      <c r="D25" s="497"/>
      <c r="E25" s="497"/>
      <c r="F25" s="497"/>
      <c r="G25" s="497"/>
      <c r="H25" s="497"/>
      <c r="I25" s="497"/>
      <c r="J25" s="497"/>
      <c r="K25" s="497"/>
      <c r="L25" s="497"/>
      <c r="M25" s="497"/>
      <c r="N25" s="497"/>
      <c r="O25" s="497"/>
      <c r="P25" s="497"/>
    </row>
    <row r="26" spans="1:19">
      <c r="A26" s="111">
        <f>+A24+1</f>
        <v>10</v>
      </c>
      <c r="B26" s="390"/>
      <c r="C26" s="497">
        <f t="shared" ref="C26" si="6">SUM(D26:P26)/13</f>
        <v>3896809.3490093467</v>
      </c>
      <c r="D26" s="517">
        <v>5175529.580000001</v>
      </c>
      <c r="E26" s="517">
        <v>5090684.8400000017</v>
      </c>
      <c r="F26" s="517">
        <v>5005840.1000000015</v>
      </c>
      <c r="G26" s="517">
        <v>4920995.3600000013</v>
      </c>
      <c r="H26" s="517">
        <v>4836150.62</v>
      </c>
      <c r="I26" s="517">
        <v>4751305.8800000008</v>
      </c>
      <c r="J26" s="517">
        <v>4666461.1400000015</v>
      </c>
      <c r="K26" s="517">
        <v>2802823.2908570399</v>
      </c>
      <c r="L26" s="517">
        <v>2868548.5783646218</v>
      </c>
      <c r="M26" s="517">
        <v>2773576.2554209344</v>
      </c>
      <c r="N26" s="517">
        <v>2680175.0388650689</v>
      </c>
      <c r="O26" s="517">
        <v>2588344.9286970245</v>
      </c>
      <c r="P26" s="517">
        <v>2498085.9249168034</v>
      </c>
    </row>
    <row r="27" spans="1:19">
      <c r="A27" s="14"/>
      <c r="B27" s="44" t="s">
        <v>2617</v>
      </c>
    </row>
    <row r="28" spans="1:19">
      <c r="A28" s="111">
        <f>+A26+1</f>
        <v>11</v>
      </c>
      <c r="B28" s="111"/>
      <c r="C28" s="497">
        <f t="shared" ref="C28:C32" si="7">SUM(D28:P28)/13</f>
        <v>2281594180.7692308</v>
      </c>
      <c r="D28" s="1100">
        <v>2245054950</v>
      </c>
      <c r="E28" s="1100">
        <v>2245054950</v>
      </c>
      <c r="F28" s="1100">
        <v>2245054950</v>
      </c>
      <c r="G28" s="1100">
        <v>2245054950</v>
      </c>
      <c r="H28" s="1100">
        <v>2245054950</v>
      </c>
      <c r="I28" s="1100">
        <v>2245054950</v>
      </c>
      <c r="J28" s="1100">
        <v>2720064950</v>
      </c>
      <c r="K28" s="1100">
        <v>2245054950</v>
      </c>
      <c r="L28" s="1100">
        <v>2245054950</v>
      </c>
      <c r="M28" s="1100">
        <v>2245054950</v>
      </c>
      <c r="N28" s="1100">
        <v>2245054950</v>
      </c>
      <c r="O28" s="1100">
        <v>2245054950</v>
      </c>
      <c r="P28" s="1100">
        <v>2245054950</v>
      </c>
      <c r="Q28" s="483"/>
    </row>
    <row r="29" spans="1:19">
      <c r="A29" s="111"/>
      <c r="B29" s="44" t="s">
        <v>2648</v>
      </c>
      <c r="D29" s="497"/>
      <c r="E29" s="497"/>
      <c r="F29" s="497"/>
      <c r="G29" s="497"/>
      <c r="H29" s="497"/>
      <c r="I29" s="497"/>
      <c r="J29" s="497"/>
      <c r="K29" s="497"/>
      <c r="L29" s="497"/>
      <c r="M29" s="497"/>
      <c r="N29" s="497"/>
      <c r="O29" s="497"/>
      <c r="P29" s="497"/>
    </row>
    <row r="30" spans="1:19">
      <c r="A30" s="111">
        <f>A28+1</f>
        <v>12</v>
      </c>
      <c r="B30" s="111"/>
      <c r="C30" s="497">
        <f t="shared" si="7"/>
        <v>-44042735.923824795</v>
      </c>
      <c r="D30" s="1103">
        <v>-43904550.31111113</v>
      </c>
      <c r="E30" s="1103">
        <v>-43612325.06111113</v>
      </c>
      <c r="F30" s="1103">
        <v>-43320099.811111137</v>
      </c>
      <c r="G30" s="1103">
        <v>-43027874.56111113</v>
      </c>
      <c r="H30" s="1103">
        <v>-42735649.31111113</v>
      </c>
      <c r="I30" s="1103">
        <v>-42443424.061111137</v>
      </c>
      <c r="J30" s="1103">
        <v>-54784211.311111137</v>
      </c>
      <c r="K30" s="1103">
        <v>-54456894.359722249</v>
      </c>
      <c r="L30" s="1103">
        <v>-41423176.558333315</v>
      </c>
      <c r="M30" s="1103">
        <v>-41138642.101388872</v>
      </c>
      <c r="N30" s="1103">
        <v>-40854107.644444421</v>
      </c>
      <c r="O30" s="1103">
        <v>-40569573.187499985</v>
      </c>
      <c r="P30" s="1103">
        <v>-40285038.730555542</v>
      </c>
    </row>
    <row r="31" spans="1:19">
      <c r="A31" s="111"/>
      <c r="B31" s="44" t="s">
        <v>2618</v>
      </c>
      <c r="D31" s="497"/>
      <c r="E31" s="497"/>
      <c r="F31" s="497"/>
      <c r="G31" s="497"/>
      <c r="H31" s="497"/>
      <c r="I31" s="497"/>
      <c r="J31" s="497"/>
      <c r="K31" s="497"/>
      <c r="L31" s="497"/>
      <c r="M31" s="497"/>
      <c r="N31" s="497"/>
      <c r="O31" s="497"/>
      <c r="P31" s="497"/>
    </row>
    <row r="32" spans="1:19">
      <c r="A32" s="111">
        <f>A30+1</f>
        <v>13</v>
      </c>
      <c r="B32" s="111"/>
      <c r="C32" s="497">
        <f t="shared" si="7"/>
        <v>-12930516.057100974</v>
      </c>
      <c r="D32" s="1100">
        <v>-7396211.3637954099</v>
      </c>
      <c r="E32" s="517">
        <v>-7345987.3252827898</v>
      </c>
      <c r="F32" s="517">
        <v>-7295763.2867701696</v>
      </c>
      <c r="G32" s="517">
        <v>-7195315.2097449396</v>
      </c>
      <c r="H32" s="517">
        <v>-7145091.1712323204</v>
      </c>
      <c r="I32" s="517">
        <v>-7145091.1712323204</v>
      </c>
      <c r="J32" s="517">
        <v>-7094867.1327197002</v>
      </c>
      <c r="K32" s="517">
        <v>-19793826.438651599</v>
      </c>
      <c r="L32" s="517">
        <v>-19708188.001959901</v>
      </c>
      <c r="M32" s="517">
        <v>-19622549.5652683</v>
      </c>
      <c r="N32" s="517">
        <v>-19536911.1285767</v>
      </c>
      <c r="O32" s="517">
        <v>-19451272.691885099</v>
      </c>
      <c r="P32" s="517">
        <v>-19365634.255193401</v>
      </c>
    </row>
    <row r="33" spans="1:17">
      <c r="A33" s="14"/>
      <c r="B33" s="44" t="s">
        <v>2619</v>
      </c>
    </row>
    <row r="34" spans="1:17">
      <c r="A34" s="111">
        <f>+A32+1</f>
        <v>14</v>
      </c>
      <c r="B34" s="111"/>
      <c r="C34" s="497">
        <f>SUM(D34:P34)/13</f>
        <v>14822803187.622307</v>
      </c>
      <c r="D34" s="1100">
        <v>14482786817</v>
      </c>
      <c r="E34" s="517">
        <v>14615648031.959999</v>
      </c>
      <c r="F34" s="517">
        <v>14509372060.42</v>
      </c>
      <c r="G34" s="517">
        <v>14623685111.110001</v>
      </c>
      <c r="H34" s="517">
        <v>14705023359.23</v>
      </c>
      <c r="I34" s="517">
        <v>14808546333.91</v>
      </c>
      <c r="J34" s="517">
        <v>15195168410</v>
      </c>
      <c r="K34" s="517">
        <v>14852851254.559999</v>
      </c>
      <c r="L34" s="517">
        <v>14841775399.139999</v>
      </c>
      <c r="M34" s="517">
        <v>14993193819.790001</v>
      </c>
      <c r="N34" s="517">
        <v>15128682537.620001</v>
      </c>
      <c r="O34" s="517">
        <v>15267986011.35</v>
      </c>
      <c r="P34" s="517">
        <v>14671722293</v>
      </c>
      <c r="Q34" s="483"/>
    </row>
    <row r="35" spans="1:17">
      <c r="A35" s="111"/>
      <c r="B35" s="44" t="s">
        <v>2620</v>
      </c>
      <c r="D35" s="497"/>
      <c r="E35" s="497"/>
      <c r="F35" s="497"/>
      <c r="G35" s="497"/>
      <c r="H35" s="497"/>
      <c r="I35" s="497"/>
      <c r="J35" s="497"/>
      <c r="K35" s="497"/>
      <c r="L35" s="497"/>
      <c r="M35" s="497"/>
      <c r="N35" s="497"/>
      <c r="O35" s="497"/>
      <c r="P35" s="497"/>
    </row>
    <row r="36" spans="1:17">
      <c r="A36" s="111">
        <f>+A34+1</f>
        <v>15</v>
      </c>
      <c r="B36" s="111"/>
      <c r="C36" s="497">
        <f t="shared" ref="C36:C38" si="8">SUM(D36:P36)/13</f>
        <v>2603770.0107692298</v>
      </c>
      <c r="D36" s="1100">
        <v>2603436</v>
      </c>
      <c r="E36" s="1100">
        <v>2603436.5299999998</v>
      </c>
      <c r="F36" s="1100">
        <v>2603436.5299999998</v>
      </c>
      <c r="G36" s="1100">
        <v>2603436.5299999998</v>
      </c>
      <c r="H36" s="1100">
        <v>2603436.5299999998</v>
      </c>
      <c r="I36" s="1100">
        <v>2604191.2199999997</v>
      </c>
      <c r="J36" s="1100">
        <v>2604191.2199999997</v>
      </c>
      <c r="K36" s="1100">
        <v>2604191.2199999997</v>
      </c>
      <c r="L36" s="1100">
        <v>2604191.2199999997</v>
      </c>
      <c r="M36" s="1100">
        <v>2604050.4</v>
      </c>
      <c r="N36" s="1100">
        <v>2604050.4</v>
      </c>
      <c r="O36" s="1100">
        <v>2603481.34</v>
      </c>
      <c r="P36" s="1100">
        <v>2603481</v>
      </c>
      <c r="Q36" s="483"/>
    </row>
    <row r="37" spans="1:17">
      <c r="A37" s="111"/>
      <c r="B37" s="44" t="s">
        <v>2621</v>
      </c>
      <c r="D37" s="497"/>
      <c r="E37" s="497"/>
      <c r="F37" s="497"/>
      <c r="G37" s="497"/>
      <c r="H37" s="497"/>
      <c r="I37" s="497"/>
      <c r="J37" s="497"/>
      <c r="K37" s="497"/>
      <c r="L37" s="497"/>
      <c r="M37" s="497"/>
      <c r="N37" s="497"/>
      <c r="O37" s="497"/>
      <c r="P37" s="497"/>
    </row>
    <row r="38" spans="1:17">
      <c r="A38" s="111">
        <f>A36+1</f>
        <v>16</v>
      </c>
      <c r="B38" s="111"/>
      <c r="C38" s="497">
        <f t="shared" si="8"/>
        <v>18479587.07</v>
      </c>
      <c r="D38" s="1100">
        <v>20446907</v>
      </c>
      <c r="E38" s="1100">
        <v>19981023.739999998</v>
      </c>
      <c r="F38" s="1100">
        <v>19515140.41</v>
      </c>
      <c r="G38" s="1100">
        <v>17543913.98</v>
      </c>
      <c r="H38" s="1100">
        <v>18734451.899999999</v>
      </c>
      <c r="I38" s="1100">
        <v>18250526.899999999</v>
      </c>
      <c r="J38" s="1100">
        <v>18131535.48</v>
      </c>
      <c r="K38" s="1100">
        <v>17647610.48</v>
      </c>
      <c r="L38" s="1100">
        <v>18713013.039999999</v>
      </c>
      <c r="M38" s="1100">
        <v>18000213.66</v>
      </c>
      <c r="N38" s="1100">
        <v>17516288.66</v>
      </c>
      <c r="O38" s="1100">
        <v>17032363.66</v>
      </c>
      <c r="P38" s="1100">
        <v>18721643</v>
      </c>
      <c r="Q38" s="483"/>
    </row>
    <row r="39" spans="1:17">
      <c r="A39" s="111"/>
      <c r="B39" s="111"/>
      <c r="C39" s="497"/>
      <c r="D39" s="497"/>
      <c r="E39" s="497"/>
      <c r="F39" s="497"/>
      <c r="G39" s="497"/>
      <c r="H39" s="497"/>
      <c r="I39" s="497"/>
      <c r="J39" s="497"/>
      <c r="K39" s="497"/>
      <c r="L39" s="497"/>
      <c r="M39" s="497"/>
      <c r="N39" s="497"/>
      <c r="O39" s="497"/>
      <c r="P39" s="497"/>
    </row>
    <row r="40" spans="1:17">
      <c r="A40" s="111"/>
      <c r="B40" s="51" t="s">
        <v>382</v>
      </c>
      <c r="C40" s="497"/>
      <c r="D40" s="497"/>
      <c r="E40" s="497"/>
      <c r="F40" s="497"/>
      <c r="G40" s="497"/>
      <c r="H40" s="497"/>
      <c r="I40" s="497"/>
      <c r="J40" s="497"/>
      <c r="K40" s="497"/>
      <c r="L40" s="497"/>
      <c r="M40" s="497"/>
      <c r="N40" s="497"/>
      <c r="O40" s="497"/>
      <c r="P40" s="497"/>
    </row>
    <row r="41" spans="1:17">
      <c r="A41" s="111"/>
      <c r="B41" s="483" t="s">
        <v>1658</v>
      </c>
      <c r="C41" s="497"/>
      <c r="D41" s="497"/>
      <c r="E41" s="497"/>
      <c r="F41" s="497"/>
      <c r="G41" s="497"/>
      <c r="H41" s="497"/>
      <c r="I41" s="497"/>
      <c r="J41" s="497"/>
      <c r="K41" s="497"/>
      <c r="L41" s="497"/>
      <c r="M41" s="497"/>
      <c r="N41" s="497"/>
      <c r="O41" s="497"/>
      <c r="P41" s="497"/>
    </row>
    <row r="42" spans="1:17">
      <c r="A42" s="111"/>
      <c r="B42" s="487" t="s">
        <v>1669</v>
      </c>
      <c r="C42" s="497"/>
      <c r="D42" s="497"/>
      <c r="E42" s="497"/>
      <c r="F42" s="497"/>
      <c r="G42" s="497"/>
      <c r="H42" s="497"/>
      <c r="I42" s="497"/>
      <c r="J42" s="497"/>
      <c r="K42" s="497"/>
      <c r="L42" s="497"/>
      <c r="M42" s="497"/>
      <c r="N42" s="497"/>
      <c r="O42" s="497"/>
      <c r="P42" s="497"/>
    </row>
    <row r="43" spans="1:17">
      <c r="A43" s="14"/>
      <c r="B43" s="482"/>
      <c r="C43" s="14"/>
      <c r="D43" s="14"/>
      <c r="E43" s="14"/>
      <c r="F43" s="14"/>
      <c r="G43" s="14"/>
      <c r="H43" s="14"/>
      <c r="I43" s="14"/>
      <c r="J43" s="14"/>
      <c r="K43" s="14"/>
      <c r="L43" s="14"/>
    </row>
    <row r="44" spans="1:17">
      <c r="A44" s="14"/>
      <c r="B44" s="44" t="s">
        <v>232</v>
      </c>
      <c r="C44" s="14"/>
      <c r="D44" s="14"/>
      <c r="E44" s="14"/>
      <c r="F44" s="14"/>
      <c r="G44" s="14"/>
      <c r="H44" s="14"/>
      <c r="I44" s="14"/>
      <c r="J44" s="14"/>
      <c r="K44" s="14"/>
      <c r="L44" s="14"/>
    </row>
    <row r="45" spans="1:17">
      <c r="A45" s="14"/>
      <c r="B45" s="485" t="s">
        <v>1777</v>
      </c>
      <c r="C45" s="14"/>
      <c r="D45" s="14"/>
      <c r="E45" s="14"/>
      <c r="F45" s="14"/>
      <c r="G45" s="14"/>
      <c r="H45" s="14"/>
      <c r="I45" s="14"/>
      <c r="J45" s="14"/>
      <c r="K45" s="14"/>
      <c r="L45" s="14"/>
    </row>
    <row r="46" spans="1:17">
      <c r="A46" s="14"/>
      <c r="B46" s="485" t="s">
        <v>1778</v>
      </c>
      <c r="C46" s="14"/>
      <c r="D46" s="14"/>
      <c r="E46" s="14"/>
      <c r="F46" s="14"/>
      <c r="G46" s="14"/>
      <c r="H46" s="14"/>
      <c r="I46" s="14"/>
      <c r="J46" s="14"/>
      <c r="K46" s="14"/>
      <c r="L46" s="14"/>
    </row>
    <row r="47" spans="1:17">
      <c r="A47" s="14"/>
      <c r="B47" s="485" t="s">
        <v>2622</v>
      </c>
      <c r="C47" s="14"/>
      <c r="D47" s="14"/>
      <c r="E47" s="14"/>
      <c r="F47" s="14"/>
      <c r="G47" s="14"/>
      <c r="H47" s="14"/>
      <c r="I47" s="14"/>
      <c r="J47" s="14"/>
      <c r="K47" s="14"/>
      <c r="L47" s="14"/>
    </row>
    <row r="48" spans="1:17">
      <c r="A48" s="14"/>
      <c r="B48" s="485" t="s">
        <v>2623</v>
      </c>
      <c r="C48" s="14"/>
      <c r="D48" s="14"/>
      <c r="E48" s="14"/>
      <c r="F48" s="14"/>
      <c r="G48" s="14"/>
      <c r="H48" s="14"/>
      <c r="I48" s="14"/>
      <c r="J48" s="14"/>
      <c r="K48" s="14"/>
      <c r="L48" s="14"/>
    </row>
    <row r="49" spans="1:12">
      <c r="A49" s="14"/>
      <c r="B49" s="485" t="s">
        <v>2624</v>
      </c>
      <c r="C49" s="390"/>
      <c r="D49" s="14"/>
      <c r="E49" s="14"/>
      <c r="F49" s="14"/>
      <c r="G49" s="14"/>
      <c r="H49" s="14"/>
      <c r="I49" s="14"/>
      <c r="J49" s="14"/>
      <c r="K49" s="14"/>
      <c r="L49" s="14"/>
    </row>
    <row r="50" spans="1:12">
      <c r="A50" s="14"/>
      <c r="B50" s="485" t="s">
        <v>2625</v>
      </c>
      <c r="C50" s="390"/>
      <c r="D50" s="14"/>
      <c r="E50" s="14"/>
      <c r="F50" s="14"/>
      <c r="G50" s="14"/>
      <c r="H50" s="14"/>
      <c r="I50" s="14"/>
      <c r="J50" s="14"/>
      <c r="K50" s="14"/>
      <c r="L50" s="14"/>
    </row>
    <row r="51" spans="1:12">
      <c r="A51" s="14"/>
      <c r="B51" s="485" t="s">
        <v>2626</v>
      </c>
      <c r="C51" s="390"/>
      <c r="D51" s="14"/>
      <c r="E51" s="14"/>
      <c r="F51" s="14"/>
      <c r="G51" s="14"/>
      <c r="H51" s="14"/>
      <c r="I51" s="14"/>
      <c r="J51" s="14"/>
      <c r="K51" s="14"/>
      <c r="L51" s="14"/>
    </row>
    <row r="52" spans="1:12">
      <c r="A52" s="14"/>
      <c r="B52" s="485" t="s">
        <v>2627</v>
      </c>
      <c r="C52" s="390"/>
      <c r="D52" s="14"/>
      <c r="E52" s="14"/>
      <c r="F52" s="14"/>
      <c r="G52" s="14"/>
      <c r="H52" s="14"/>
      <c r="I52" s="14"/>
      <c r="J52" s="14"/>
      <c r="K52" s="14"/>
      <c r="L52" s="14"/>
    </row>
    <row r="53" spans="1:12">
      <c r="A53" s="14"/>
      <c r="B53" s="485" t="s">
        <v>2643</v>
      </c>
      <c r="C53" s="390"/>
      <c r="D53" s="14"/>
      <c r="E53" s="14"/>
      <c r="F53" s="14"/>
      <c r="G53" s="14"/>
      <c r="H53" s="14"/>
      <c r="I53" s="14"/>
      <c r="J53" s="14"/>
      <c r="K53" s="14"/>
      <c r="L53" s="14"/>
    </row>
    <row r="54" spans="1:12">
      <c r="A54" s="14"/>
      <c r="B54" s="485" t="s">
        <v>2640</v>
      </c>
      <c r="C54" s="390"/>
      <c r="D54" s="14"/>
      <c r="E54" s="14"/>
      <c r="F54" s="14"/>
      <c r="G54" s="14"/>
      <c r="H54" s="14"/>
      <c r="I54" s="14"/>
      <c r="J54" s="14"/>
      <c r="K54" s="14"/>
      <c r="L54" s="14"/>
    </row>
    <row r="55" spans="1:12">
      <c r="A55" s="14"/>
      <c r="B55" s="485" t="s">
        <v>2628</v>
      </c>
      <c r="C55" s="14"/>
      <c r="D55" s="14"/>
      <c r="E55" s="14"/>
      <c r="F55" s="14"/>
      <c r="G55" s="14"/>
      <c r="H55" s="14"/>
      <c r="I55" s="14"/>
      <c r="J55" s="14"/>
      <c r="K55" s="14"/>
      <c r="L55" s="14"/>
    </row>
    <row r="56" spans="1:12">
      <c r="A56" s="14"/>
      <c r="B56" s="485" t="s">
        <v>2641</v>
      </c>
      <c r="C56" s="14"/>
      <c r="D56" s="14"/>
      <c r="E56" s="14"/>
      <c r="F56" s="14"/>
      <c r="G56" s="14"/>
      <c r="H56" s="14"/>
      <c r="I56" s="14"/>
      <c r="J56" s="14"/>
      <c r="K56" s="14"/>
      <c r="L56" s="14"/>
    </row>
    <row r="57" spans="1:12">
      <c r="A57" s="14"/>
      <c r="B57" s="485" t="s">
        <v>2642</v>
      </c>
      <c r="D57" s="14"/>
      <c r="E57" s="14"/>
      <c r="F57" s="14"/>
      <c r="G57" s="14"/>
      <c r="H57" s="111"/>
      <c r="I57" s="14"/>
      <c r="J57" s="14"/>
      <c r="K57" s="14"/>
      <c r="L57" s="14"/>
    </row>
    <row r="58" spans="1:12">
      <c r="A58" s="14"/>
      <c r="B58" s="1311" t="s">
        <v>2629</v>
      </c>
      <c r="C58" s="14"/>
    </row>
    <row r="59" spans="1:12">
      <c r="A59" s="14"/>
      <c r="B59" s="1311" t="s">
        <v>2630</v>
      </c>
      <c r="C59" s="14"/>
    </row>
    <row r="60" spans="1:12">
      <c r="A60" s="14"/>
      <c r="B60" s="1311" t="s">
        <v>2631</v>
      </c>
      <c r="C60" s="14"/>
    </row>
  </sheetData>
  <pageMargins left="0.7" right="0.7" top="0.75" bottom="0.75" header="0.3" footer="0.3"/>
  <pageSetup scale="54" fitToHeight="0" orientation="landscape" cellComments="asDisplayed" r:id="rId1"/>
  <headerFooter>
    <oddHeader>&amp;CSchedule 5 ROR-2
Return and Capitalization
&amp;RTO2019 Draft Annual Update 
Attachment1</oddHeader>
    <oddFooter>&amp;R5-ROR-2</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2018-06-06T22:05:33Z</cp:lastPrinted>
  <dcterms:created xsi:type="dcterms:W3CDTF">2009-02-27T16:01:11Z</dcterms:created>
  <dcterms:modified xsi:type="dcterms:W3CDTF">2018-06-12T22:37:43Z</dcterms:modified>
</cp:coreProperties>
</file>