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FERC-REG\FERC\FERC Contract &amp; Cost Analysis\2019 FERC Rate Case TO2019\12-Dec 1-Annual Informational Filing\Attachment 5 TO13 True Up TRR and Workpapers\"/>
    </mc:Choice>
  </mc:AlternateContent>
  <bookViews>
    <workbookView xWindow="-15" yWindow="6375" windowWidth="19440" windowHeight="2550" tabRatio="891" firstSheet="1" activeTab="1"/>
  </bookViews>
  <sheets>
    <sheet name="7-PlantStudy" sheetId="32" state="hidden" r:id="rId1"/>
    <sheet name="Trans Plant-Rsrve Act" sheetId="5" r:id="rId2"/>
    <sheet name="2017 ISO Study with Inc Plant" sheetId="37" r:id="rId3"/>
    <sheet name="2016 ISO Study with Inc Plant" sheetId="40" r:id="rId4"/>
    <sheet name="Accum Depr Calc" sheetId="7" r:id="rId5"/>
    <sheet name="Reserve Recon to FF1" sheetId="11" r:id="rId6"/>
    <sheet name="General &amp; Intangible Reserve" sheetId="19" r:id="rId7"/>
  </sheets>
  <externalReferences>
    <externalReference r:id="rId8"/>
    <externalReference r:id="rId9"/>
  </externalReferences>
  <definedNames>
    <definedName name="_Fill" localSheetId="3" hidden="1">#REF!</definedName>
    <definedName name="_Fill" localSheetId="4" hidden="1">#REF!</definedName>
    <definedName name="_Fill" hidden="1">#REF!</definedName>
    <definedName name="_Key2" localSheetId="3" hidden="1">[1]ACCT_106!#REF!</definedName>
    <definedName name="_Key2" localSheetId="4" hidden="1">[2]ACCT_106!#REF!</definedName>
    <definedName name="_Key2" localSheetId="5" hidden="1">[2]ACCT_106!#REF!</definedName>
    <definedName name="_Key2" hidden="1">[1]ACCT_106!#REF!</definedName>
    <definedName name="_Order1" hidden="1">255</definedName>
    <definedName name="_Order2" hidden="1">255</definedName>
    <definedName name="_RWIPMethod" localSheetId="3">#REF!</definedName>
    <definedName name="_RWIPMethod">#REF!</definedName>
    <definedName name="_xlnm.Print_Area" localSheetId="3">'2016 ISO Study with Inc Plant'!$A$1:$G$39</definedName>
    <definedName name="_xlnm.Print_Area" localSheetId="2">'2017 ISO Study with Inc Plant'!$A$1:$G$39</definedName>
    <definedName name="_xlnm.Print_Area" localSheetId="0">'7-PlantStudy'!$A$1:$G$54</definedName>
    <definedName name="_xlnm.Print_Area" localSheetId="5">'Reserve Recon to FF1'!$A$1:$G$27</definedName>
    <definedName name="_xlnm.Print_Area" localSheetId="1">'Trans Plant-Rsrve Act'!$A$1:$M$53</definedName>
    <definedName name="Reference_2" localSheetId="5" hidden="1">{#N/A,#N/A,FALSE,"AD PG 1 OF 2";#N/A,#N/A,FALSE,"AD PG 2 OF 2"}</definedName>
    <definedName name="Reference_2" hidden="1">{#N/A,#N/A,FALSE,"AD PG 1 OF 2";#N/A,#N/A,FALSE,"AD PG 2 OF 2"}</definedName>
    <definedName name="Test" localSheetId="5" hidden="1">{#N/A,#N/A,FALSE,"AD PG 1 OF 2";#N/A,#N/A,FALSE,"AD PG 2 OF 2"}</definedName>
    <definedName name="Test" hidden="1">{#N/A,#N/A,FALSE,"AD PG 1 OF 2";#N/A,#N/A,FALSE,"AD PG 2 OF 2"}</definedName>
    <definedName name="wrn.Statement._.AD." localSheetId="5" hidden="1">{#N/A,#N/A,FALSE,"AD PG 1 OF 2";#N/A,#N/A,FALSE,"AD PG 2 OF 2"}</definedName>
    <definedName name="wrn.Statement._.AD." hidden="1">{#N/A,#N/A,FALSE,"AD PG 1 OF 2";#N/A,#N/A,FALSE,"AD PG 2 OF 2"}</definedName>
    <definedName name="wrn.statement._.AD.old" localSheetId="5" hidden="1">{#N/A,#N/A,FALSE,"AD PG 1 OF 2";#N/A,#N/A,FALSE,"AD PG 2 OF 2"}</definedName>
    <definedName name="wrn.statement._.AD.old" hidden="1">{#N/A,#N/A,FALSE,"AD PG 1 OF 2";#N/A,#N/A,FALSE,"AD PG 2 OF 2"}</definedName>
    <definedName name="wrn.Statement._.AD2." localSheetId="5" hidden="1">{#N/A,#N/A,FALSE,"AD PG 1 OF 2";#N/A,#N/A,FALSE,"AD PG 2 OF 2"}</definedName>
    <definedName name="wrn.Statement._.AD2." hidden="1">{#N/A,#N/A,FALSE,"AD PG 1 OF 2";#N/A,#N/A,FALSE,"AD PG 2 OF 2"}</definedName>
    <definedName name="wrn.statement._.AD3." localSheetId="5" hidden="1">{#N/A,#N/A,FALSE,"AD PG 1 OF 2";#N/A,#N/A,FALSE,"AD PG 2 OF 2"}</definedName>
    <definedName name="wrn.statement._.AD3." hidden="1">{#N/A,#N/A,FALSE,"AD PG 1 OF 2";#N/A,#N/A,FALSE,"AD PG 2 OF 2"}</definedName>
  </definedNames>
  <calcPr calcId="152511"/>
</workbook>
</file>

<file path=xl/calcChain.xml><?xml version="1.0" encoding="utf-8"?>
<calcChain xmlns="http://schemas.openxmlformats.org/spreadsheetml/2006/main">
  <c r="B73" i="5" l="1"/>
  <c r="E4" i="37" l="1"/>
  <c r="G10" i="40" l="1"/>
  <c r="B33" i="7" s="1"/>
  <c r="G9" i="40" l="1"/>
  <c r="B32" i="7" s="1"/>
  <c r="E5" i="11" l="1"/>
  <c r="C5" i="11"/>
  <c r="D5" i="11"/>
  <c r="F5" i="11" l="1"/>
  <c r="B25" i="11" l="1"/>
  <c r="E9" i="40" l="1"/>
  <c r="F35" i="40" l="1"/>
  <c r="F37" i="40" s="1"/>
  <c r="D35" i="40"/>
  <c r="E35" i="40" s="1"/>
  <c r="C35" i="40"/>
  <c r="C37" i="40" s="1"/>
  <c r="B35" i="40"/>
  <c r="B37" i="40" s="1"/>
  <c r="G34" i="40"/>
  <c r="B44" i="7" s="1"/>
  <c r="E34" i="40"/>
  <c r="G33" i="40"/>
  <c r="B43" i="7" s="1"/>
  <c r="E33" i="40"/>
  <c r="G31" i="40"/>
  <c r="B42" i="7" s="1"/>
  <c r="E31" i="40"/>
  <c r="F24" i="40"/>
  <c r="D24" i="40"/>
  <c r="C24" i="40"/>
  <c r="B24" i="40"/>
  <c r="G23" i="40"/>
  <c r="B39" i="7" s="1"/>
  <c r="E23" i="40"/>
  <c r="G22" i="40"/>
  <c r="B38" i="7" s="1"/>
  <c r="E22" i="40"/>
  <c r="G21" i="40"/>
  <c r="B37" i="7" s="1"/>
  <c r="E21" i="40"/>
  <c r="G20" i="40"/>
  <c r="B36" i="7" s="1"/>
  <c r="E20" i="40"/>
  <c r="G19" i="40"/>
  <c r="B35" i="7" s="1"/>
  <c r="E19" i="40"/>
  <c r="G18" i="40"/>
  <c r="B34" i="7" s="1"/>
  <c r="E18" i="40"/>
  <c r="G14" i="40"/>
  <c r="B31" i="7" s="1"/>
  <c r="E14" i="40"/>
  <c r="F11" i="40"/>
  <c r="D11" i="40"/>
  <c r="D15" i="40" s="1"/>
  <c r="C11" i="40"/>
  <c r="C15" i="40" s="1"/>
  <c r="B11" i="40"/>
  <c r="B15" i="40" s="1"/>
  <c r="E10" i="40"/>
  <c r="G24" i="40" l="1"/>
  <c r="G35" i="40"/>
  <c r="D37" i="40"/>
  <c r="G37" i="40" s="1"/>
  <c r="G11" i="40"/>
  <c r="E11" i="40"/>
  <c r="B26" i="40"/>
  <c r="B39" i="40" s="1"/>
  <c r="D26" i="40"/>
  <c r="D39" i="40" s="1"/>
  <c r="E15" i="40"/>
  <c r="C26" i="40"/>
  <c r="C39" i="40" s="1"/>
  <c r="F15" i="40"/>
  <c r="F26" i="40" s="1"/>
  <c r="F39" i="40" s="1"/>
  <c r="E24" i="40"/>
  <c r="E37" i="40"/>
  <c r="G39" i="40" l="1"/>
  <c r="E39" i="40"/>
  <c r="G26" i="40"/>
  <c r="E26" i="40"/>
  <c r="G15" i="40"/>
  <c r="C6" i="5" l="1"/>
  <c r="M58" i="5" l="1"/>
  <c r="F37" i="37" l="1"/>
  <c r="F35" i="37"/>
  <c r="D35" i="37"/>
  <c r="G35" i="37" s="1"/>
  <c r="C35" i="37"/>
  <c r="C37" i="37" s="1"/>
  <c r="B35" i="37"/>
  <c r="B37" i="37" s="1"/>
  <c r="G34" i="37"/>
  <c r="I44" i="7" s="1"/>
  <c r="E34" i="37"/>
  <c r="G33" i="37"/>
  <c r="I43" i="7" s="1"/>
  <c r="E33" i="37"/>
  <c r="G31" i="37"/>
  <c r="I42" i="7" s="1"/>
  <c r="E31" i="37"/>
  <c r="F24" i="37"/>
  <c r="D24" i="37"/>
  <c r="C24" i="37"/>
  <c r="B24" i="37"/>
  <c r="G23" i="37"/>
  <c r="I39" i="7" s="1"/>
  <c r="E23" i="37"/>
  <c r="G22" i="37"/>
  <c r="I38" i="7" s="1"/>
  <c r="E22" i="37"/>
  <c r="G21" i="37"/>
  <c r="I37" i="7" s="1"/>
  <c r="E21" i="37"/>
  <c r="G20" i="37"/>
  <c r="I36" i="7" s="1"/>
  <c r="E20" i="37"/>
  <c r="G19" i="37"/>
  <c r="I35" i="7" s="1"/>
  <c r="E19" i="37"/>
  <c r="G18" i="37"/>
  <c r="I34" i="7" s="1"/>
  <c r="E18" i="37"/>
  <c r="G14" i="37"/>
  <c r="I31" i="7" s="1"/>
  <c r="E14" i="37"/>
  <c r="F11" i="37"/>
  <c r="F15" i="37" s="1"/>
  <c r="D11" i="37"/>
  <c r="C11" i="37"/>
  <c r="C15" i="37" s="1"/>
  <c r="B11" i="37"/>
  <c r="B15" i="37" s="1"/>
  <c r="G10" i="37"/>
  <c r="I33" i="7" s="1"/>
  <c r="E10" i="37"/>
  <c r="G9" i="37"/>
  <c r="I32" i="7" s="1"/>
  <c r="E9" i="37"/>
  <c r="E24" i="37" l="1"/>
  <c r="C26" i="37"/>
  <c r="B26" i="37"/>
  <c r="G11" i="37"/>
  <c r="F26" i="37"/>
  <c r="F39" i="37" s="1"/>
  <c r="C39" i="37"/>
  <c r="D15" i="37"/>
  <c r="E11" i="37"/>
  <c r="G24" i="37"/>
  <c r="E35" i="37"/>
  <c r="D37" i="37"/>
  <c r="B39" i="37" l="1"/>
  <c r="E37" i="37"/>
  <c r="G37" i="37"/>
  <c r="G15" i="37"/>
  <c r="E15" i="37"/>
  <c r="D26" i="37"/>
  <c r="D39" i="37" s="1"/>
  <c r="G39" i="37" l="1"/>
  <c r="E39" i="37"/>
  <c r="G26" i="37"/>
  <c r="E26" i="37"/>
  <c r="B89" i="5" l="1"/>
  <c r="B105" i="5"/>
  <c r="B121" i="5" l="1"/>
  <c r="B74" i="5"/>
  <c r="B41" i="5"/>
  <c r="B23" i="5" s="1"/>
  <c r="B6" i="5" s="1"/>
  <c r="B90" i="5" l="1"/>
  <c r="B137" i="5"/>
  <c r="B106" i="5"/>
  <c r="B42" i="5"/>
  <c r="B24" i="5" s="1"/>
  <c r="B7" i="5" s="1"/>
  <c r="B75" i="5"/>
  <c r="B91" i="5" l="1"/>
  <c r="B122" i="5"/>
  <c r="B107" i="5"/>
  <c r="B43" i="5"/>
  <c r="B25" i="5" s="1"/>
  <c r="B8" i="5" s="1"/>
  <c r="B76" i="5"/>
  <c r="B92" i="5" l="1"/>
  <c r="B108" i="5" s="1"/>
  <c r="B138" i="5"/>
  <c r="B123" i="5"/>
  <c r="B44" i="5"/>
  <c r="B26" i="5" s="1"/>
  <c r="B9" i="5" s="1"/>
  <c r="B77" i="5"/>
  <c r="B93" i="5" l="1"/>
  <c r="B139" i="5"/>
  <c r="B124" i="5"/>
  <c r="B45" i="5"/>
  <c r="B27" i="5" s="1"/>
  <c r="B10" i="5" s="1"/>
  <c r="B78" i="5"/>
  <c r="B94" i="5" l="1"/>
  <c r="B109" i="5"/>
  <c r="B140" i="5"/>
  <c r="B125" i="5"/>
  <c r="B110" i="5"/>
  <c r="B46" i="5"/>
  <c r="B28" i="5" s="1"/>
  <c r="B11" i="5" s="1"/>
  <c r="B79" i="5"/>
  <c r="B95" i="5" l="1"/>
  <c r="B126" i="5"/>
  <c r="B141" i="5"/>
  <c r="B111" i="5"/>
  <c r="B47" i="5"/>
  <c r="B29" i="5" s="1"/>
  <c r="B12" i="5" s="1"/>
  <c r="B80" i="5"/>
  <c r="B96" i="5" l="1"/>
  <c r="B142" i="5"/>
  <c r="B127" i="5"/>
  <c r="B112" i="5"/>
  <c r="B81" i="5"/>
  <c r="B48" i="5"/>
  <c r="B30" i="5" s="1"/>
  <c r="B13" i="5" s="1"/>
  <c r="B97" i="5" l="1"/>
  <c r="B128" i="5"/>
  <c r="B143" i="5"/>
  <c r="B113" i="5"/>
  <c r="B82" i="5"/>
  <c r="B49" i="5"/>
  <c r="B31" i="5" s="1"/>
  <c r="B14" i="5" s="1"/>
  <c r="B98" i="5" l="1"/>
  <c r="B129" i="5"/>
  <c r="B144" i="5"/>
  <c r="B114" i="5"/>
  <c r="B50" i="5"/>
  <c r="B32" i="5" s="1"/>
  <c r="B15" i="5" s="1"/>
  <c r="B83" i="5"/>
  <c r="B99" i="5" l="1"/>
  <c r="B130" i="5"/>
  <c r="B145" i="5"/>
  <c r="B115" i="5"/>
  <c r="B51" i="5"/>
  <c r="B33" i="5" s="1"/>
  <c r="B16" i="5" s="1"/>
  <c r="B84" i="5"/>
  <c r="B100" i="5" l="1"/>
  <c r="B146" i="5"/>
  <c r="B131" i="5"/>
  <c r="B116" i="5"/>
  <c r="B52" i="5"/>
  <c r="B34" i="5" s="1"/>
  <c r="B17" i="5" s="1"/>
  <c r="B85" i="5"/>
  <c r="B101" i="5" l="1"/>
  <c r="B132" i="5"/>
  <c r="B147" i="5"/>
  <c r="B117" i="5"/>
  <c r="B133" i="5" l="1"/>
  <c r="B148" i="5"/>
  <c r="B149" i="5" l="1"/>
  <c r="C35" i="5" l="1"/>
  <c r="H44" i="7" l="1"/>
  <c r="A44" i="7"/>
  <c r="H43" i="7"/>
  <c r="A43" i="7"/>
  <c r="H42" i="7"/>
  <c r="A42" i="7"/>
  <c r="H39" i="7"/>
  <c r="A39" i="7"/>
  <c r="H38" i="7"/>
  <c r="A38" i="7"/>
  <c r="H37" i="7"/>
  <c r="A37" i="7"/>
  <c r="H36" i="7"/>
  <c r="A36" i="7"/>
  <c r="H35" i="7"/>
  <c r="A35" i="7"/>
  <c r="H34" i="7"/>
  <c r="A34" i="7"/>
  <c r="H33" i="7"/>
  <c r="A33" i="7"/>
  <c r="H32" i="7"/>
  <c r="A32" i="7"/>
  <c r="H31" i="7"/>
  <c r="A31" i="7"/>
  <c r="I28" i="7"/>
  <c r="C28" i="7"/>
  <c r="D52" i="7" l="1"/>
  <c r="B52" i="7"/>
  <c r="F52" i="7"/>
  <c r="C52" i="7"/>
  <c r="G52" i="7"/>
  <c r="E52" i="7"/>
  <c r="A9" i="32" l="1"/>
  <c r="A10" i="32" s="1"/>
  <c r="A11" i="32" l="1"/>
  <c r="A12" i="32" s="1"/>
  <c r="A13" i="32" l="1"/>
  <c r="A14" i="32" s="1"/>
  <c r="A15" i="32" s="1"/>
  <c r="A16" i="32" s="1"/>
  <c r="A17" i="32" s="1"/>
  <c r="D12" i="32"/>
  <c r="A18" i="32" l="1"/>
  <c r="A19" i="32" s="1"/>
  <c r="A20" i="32" s="1"/>
  <c r="D17" i="32"/>
  <c r="A21" i="32" l="1"/>
  <c r="A22" i="32" s="1"/>
  <c r="A23" i="32" s="1"/>
  <c r="A24" i="32" s="1"/>
  <c r="A25" i="32" s="1"/>
  <c r="A26" i="32" s="1"/>
  <c r="A27" i="32" l="1"/>
  <c r="A28" i="32" s="1"/>
  <c r="A34" i="32" s="1"/>
  <c r="A35" i="32" s="1"/>
  <c r="A36" i="32" s="1"/>
  <c r="D28" i="32"/>
  <c r="D26" i="32"/>
  <c r="A37" i="32" l="1"/>
  <c r="A38" i="32" s="1"/>
  <c r="A39" i="32" l="1"/>
  <c r="A40" i="32" s="1"/>
  <c r="A41" i="32" l="1"/>
  <c r="A42" i="32" s="1"/>
  <c r="D42" i="32"/>
  <c r="D40" i="32"/>
  <c r="D4" i="19" l="1"/>
  <c r="D5" i="19"/>
  <c r="C24" i="32" l="1"/>
  <c r="C11" i="32"/>
  <c r="C15" i="32"/>
  <c r="C21" i="32"/>
  <c r="C25" i="32"/>
  <c r="C39" i="32"/>
  <c r="C22" i="32"/>
  <c r="C23" i="32"/>
  <c r="C38" i="32" l="1"/>
  <c r="C40" i="32" s="1"/>
  <c r="C10" i="32"/>
  <c r="C12" i="32" s="1"/>
  <c r="C17" i="32" s="1"/>
  <c r="C20" i="32"/>
  <c r="C26" i="32" s="1"/>
  <c r="C36" i="32"/>
  <c r="C42" i="32" l="1"/>
  <c r="C28" i="32"/>
  <c r="E36" i="32" l="1"/>
  <c r="E38" i="32" l="1"/>
  <c r="E39" i="32"/>
  <c r="F39" i="32" s="1"/>
  <c r="F36" i="32"/>
  <c r="E40" i="32" l="1"/>
  <c r="F38" i="32"/>
  <c r="F40" i="32" l="1"/>
  <c r="E42" i="32"/>
  <c r="F42" i="32" s="1"/>
  <c r="J5" i="5" l="1"/>
  <c r="G5" i="5"/>
  <c r="C15" i="5"/>
  <c r="E14" i="5" l="1"/>
  <c r="C16" i="5"/>
  <c r="I9" i="5"/>
  <c r="C7" i="5"/>
  <c r="G7" i="5"/>
  <c r="J8" i="5"/>
  <c r="I8" i="5"/>
  <c r="F5" i="5"/>
  <c r="G6" i="5"/>
  <c r="E15" i="5"/>
  <c r="I7" i="5"/>
  <c r="G13" i="5"/>
  <c r="L10" i="5"/>
  <c r="H12" i="5"/>
  <c r="H9" i="5"/>
  <c r="L15" i="5"/>
  <c r="C12" i="5"/>
  <c r="G8" i="5"/>
  <c r="K14" i="5"/>
  <c r="D13" i="5"/>
  <c r="H7" i="5"/>
  <c r="F10" i="5"/>
  <c r="D8" i="5"/>
  <c r="H14" i="5"/>
  <c r="G14" i="5"/>
  <c r="E16" i="5"/>
  <c r="E9" i="5"/>
  <c r="I15" i="5"/>
  <c r="F8" i="5"/>
  <c r="D14" i="5"/>
  <c r="L8" i="5"/>
  <c r="K16" i="5"/>
  <c r="L7" i="5"/>
  <c r="L5" i="5"/>
  <c r="J11" i="5"/>
  <c r="H5" i="5"/>
  <c r="L11" i="5"/>
  <c r="I5" i="5"/>
  <c r="E11" i="5"/>
  <c r="J9" i="5"/>
  <c r="D16" i="5"/>
  <c r="G11" i="5"/>
  <c r="K17" i="5"/>
  <c r="D7" i="5"/>
  <c r="C13" i="5"/>
  <c r="F9" i="5"/>
  <c r="K13" i="5"/>
  <c r="J6" i="5"/>
  <c r="J7" i="5"/>
  <c r="C14" i="5"/>
  <c r="D10" i="5"/>
  <c r="G10" i="5"/>
  <c r="F15" i="5"/>
  <c r="I10" i="5"/>
  <c r="G17" i="5"/>
  <c r="F12" i="5"/>
  <c r="D5" i="5"/>
  <c r="K7" i="5"/>
  <c r="L13" i="5"/>
  <c r="C8" i="5"/>
  <c r="H11" i="5"/>
  <c r="K5" i="5"/>
  <c r="E5" i="5"/>
  <c r="F6" i="5" l="1"/>
  <c r="J14" i="5"/>
  <c r="C10" i="5"/>
  <c r="E12" i="5"/>
  <c r="H16" i="5"/>
  <c r="I13" i="5"/>
  <c r="J16" i="5"/>
  <c r="H15" i="5"/>
  <c r="D11" i="5"/>
  <c r="G15" i="5"/>
  <c r="I14" i="5"/>
  <c r="F11" i="5"/>
  <c r="G12" i="5"/>
  <c r="E6" i="5"/>
  <c r="I6" i="5"/>
  <c r="F17" i="5"/>
  <c r="I12" i="5"/>
  <c r="D17" i="5"/>
  <c r="H6" i="5"/>
  <c r="K10" i="5"/>
  <c r="E7" i="5"/>
  <c r="F13" i="5"/>
  <c r="I17" i="5"/>
  <c r="E10" i="5"/>
  <c r="C5" i="5"/>
  <c r="D12" i="5"/>
  <c r="L17" i="5"/>
  <c r="F14" i="5"/>
  <c r="K8" i="5"/>
  <c r="E17" i="5"/>
  <c r="G16" i="5"/>
  <c r="C11" i="5"/>
  <c r="K9" i="5"/>
  <c r="K11" i="5"/>
  <c r="C9" i="5"/>
  <c r="L9" i="5"/>
  <c r="K15" i="5"/>
  <c r="L14" i="5"/>
  <c r="J17" i="5"/>
  <c r="J10" i="5"/>
  <c r="H17" i="5"/>
  <c r="D15" i="5"/>
  <c r="C17" i="5"/>
  <c r="M70" i="5"/>
  <c r="E8" i="5"/>
  <c r="D9" i="5"/>
  <c r="H13" i="5"/>
  <c r="E13" i="5"/>
  <c r="H10" i="5"/>
  <c r="I11" i="5"/>
  <c r="J12" i="5"/>
  <c r="I16" i="5"/>
  <c r="J15" i="5"/>
  <c r="J13" i="5"/>
  <c r="K12" i="5"/>
  <c r="K6" i="5"/>
  <c r="D6" i="5"/>
  <c r="L16" i="5"/>
  <c r="L6" i="5"/>
  <c r="G9" i="5"/>
  <c r="F16" i="5"/>
  <c r="F7" i="5"/>
  <c r="L12" i="5"/>
  <c r="H8" i="5"/>
  <c r="E18" i="5" l="1"/>
  <c r="J18" i="5"/>
  <c r="K18" i="5"/>
  <c r="I18" i="5"/>
  <c r="H18" i="5"/>
  <c r="C2" i="5"/>
  <c r="M5" i="5"/>
  <c r="C18" i="5"/>
  <c r="F18" i="5"/>
  <c r="D18" i="5"/>
  <c r="G18" i="5"/>
  <c r="L18" i="5"/>
  <c r="M18" i="5" l="1"/>
  <c r="H8" i="11" l="1"/>
  <c r="E24" i="32" l="1"/>
  <c r="F24" i="32" s="1"/>
  <c r="E20" i="32"/>
  <c r="E21" i="32"/>
  <c r="F21" i="32" s="1"/>
  <c r="E25" i="32"/>
  <c r="F25" i="32" s="1"/>
  <c r="E10" i="32"/>
  <c r="E11" i="32"/>
  <c r="F11" i="32" s="1"/>
  <c r="E22" i="32"/>
  <c r="F22" i="32" s="1"/>
  <c r="E23" i="32"/>
  <c r="F23" i="32" s="1"/>
  <c r="F20" i="32" l="1"/>
  <c r="E26" i="32"/>
  <c r="F26" i="32" s="1"/>
  <c r="E15" i="32"/>
  <c r="F15" i="32" s="1"/>
  <c r="E12" i="32"/>
  <c r="F10" i="32"/>
  <c r="F12" i="32" l="1"/>
  <c r="E17" i="32"/>
  <c r="E28" i="32" l="1"/>
  <c r="F28" i="32" s="1"/>
  <c r="F17" i="32"/>
  <c r="B18" i="11" l="1"/>
  <c r="B27" i="11" s="1"/>
  <c r="D21" i="7" l="1"/>
  <c r="D44" i="7" s="1"/>
  <c r="D16" i="7"/>
  <c r="D39" i="7" s="1"/>
  <c r="D14" i="7"/>
  <c r="D37" i="7" s="1"/>
  <c r="D12" i="7"/>
  <c r="D35" i="7" s="1"/>
  <c r="D10" i="7"/>
  <c r="D33" i="7" s="1"/>
  <c r="K20" i="7"/>
  <c r="K43" i="7" s="1"/>
  <c r="K15" i="7"/>
  <c r="K38" i="7" s="1"/>
  <c r="K13" i="7"/>
  <c r="K36" i="7" s="1"/>
  <c r="K11" i="7"/>
  <c r="K34" i="7" s="1"/>
  <c r="K9" i="7"/>
  <c r="K32" i="7" s="1"/>
  <c r="D8" i="7"/>
  <c r="K21" i="7"/>
  <c r="K44" i="7" s="1"/>
  <c r="K16" i="7"/>
  <c r="K39" i="7" s="1"/>
  <c r="K14" i="7"/>
  <c r="K37" i="7" s="1"/>
  <c r="K12" i="7"/>
  <c r="K35" i="7" s="1"/>
  <c r="K10" i="7"/>
  <c r="K33" i="7" s="1"/>
  <c r="D15" i="7"/>
  <c r="D38" i="7" s="1"/>
  <c r="D13" i="7"/>
  <c r="D36" i="7" s="1"/>
  <c r="D11" i="7"/>
  <c r="D34" i="7" s="1"/>
  <c r="D20" i="7"/>
  <c r="D43" i="7" s="1"/>
  <c r="D9" i="7"/>
  <c r="D32" i="7" s="1"/>
  <c r="D19" i="7"/>
  <c r="K8" i="7" l="1"/>
  <c r="D42" i="7"/>
  <c r="D45" i="7" s="1"/>
  <c r="D22" i="7"/>
  <c r="D17" i="7"/>
  <c r="D31" i="7"/>
  <c r="D40" i="7" s="1"/>
  <c r="K19" i="7"/>
  <c r="D47" i="7" l="1"/>
  <c r="D24" i="7"/>
  <c r="K42" i="7"/>
  <c r="K45" i="7" s="1"/>
  <c r="K22" i="7"/>
  <c r="K17" i="7"/>
  <c r="K31" i="7"/>
  <c r="K40" i="7" s="1"/>
  <c r="K47" i="7" l="1"/>
  <c r="K24" i="7"/>
  <c r="G40" i="5" l="1"/>
  <c r="D48" i="5" l="1"/>
  <c r="H40" i="5"/>
  <c r="J40" i="5"/>
  <c r="F52" i="5"/>
  <c r="L42" i="5"/>
  <c r="K46" i="5"/>
  <c r="C51" i="5"/>
  <c r="I40" i="5"/>
  <c r="C41" i="5"/>
  <c r="H49" i="5"/>
  <c r="I44" i="5"/>
  <c r="K41" i="5"/>
  <c r="D40" i="5"/>
  <c r="K44" i="5"/>
  <c r="H41" i="5"/>
  <c r="I51" i="5"/>
  <c r="H51" i="5"/>
  <c r="J51" i="5"/>
  <c r="F42" i="5"/>
  <c r="C47" i="5"/>
  <c r="J49" i="5"/>
  <c r="K51" i="5"/>
  <c r="F48" i="5"/>
  <c r="D42" i="5"/>
  <c r="C43" i="5"/>
  <c r="E50" i="5"/>
  <c r="I52" i="5"/>
  <c r="K50" i="5"/>
  <c r="J43" i="5"/>
  <c r="E40" i="5"/>
  <c r="G41" i="5"/>
  <c r="L47" i="5"/>
  <c r="E46" i="5"/>
  <c r="I42" i="5"/>
  <c r="K40" i="5"/>
  <c r="D52" i="5"/>
  <c r="H42" i="5"/>
  <c r="K47" i="5"/>
  <c r="L50" i="5"/>
  <c r="F40" i="5"/>
  <c r="I41" i="5"/>
  <c r="G48" i="5"/>
  <c r="E48" i="5"/>
  <c r="D47" i="5"/>
  <c r="M133" i="5"/>
  <c r="L52" i="5"/>
  <c r="G49" i="5"/>
  <c r="K52" i="5"/>
  <c r="F49" i="5"/>
  <c r="F43" i="5"/>
  <c r="G51" i="5"/>
  <c r="J47" i="5"/>
  <c r="E41" i="5"/>
  <c r="H52" i="5"/>
  <c r="L48" i="5"/>
  <c r="G43" i="5"/>
  <c r="G52" i="5"/>
  <c r="K48" i="5"/>
  <c r="E44" i="5"/>
  <c r="C49" i="5"/>
  <c r="E52" i="5"/>
  <c r="G50" i="5"/>
  <c r="I48" i="5"/>
  <c r="G46" i="5"/>
  <c r="K42" i="5"/>
  <c r="F46" i="5"/>
  <c r="H44" i="5"/>
  <c r="J42" i="5"/>
  <c r="L40" i="5"/>
  <c r="H47" i="5"/>
  <c r="J45" i="5"/>
  <c r="E42" i="5"/>
  <c r="D43" i="5" l="1"/>
  <c r="L43" i="5"/>
  <c r="J44" i="5"/>
  <c r="C42" i="5"/>
  <c r="F44" i="5"/>
  <c r="M121" i="5"/>
  <c r="C45" i="5"/>
  <c r="E47" i="5"/>
  <c r="G44" i="5"/>
  <c r="E43" i="5"/>
  <c r="L46" i="5"/>
  <c r="C40" i="5"/>
  <c r="M89" i="5"/>
  <c r="E45" i="5"/>
  <c r="I45" i="5"/>
  <c r="C46" i="5"/>
  <c r="D46" i="5"/>
  <c r="F45" i="5"/>
  <c r="H48" i="5"/>
  <c r="I43" i="5"/>
  <c r="I47" i="5"/>
  <c r="H46" i="5"/>
  <c r="C50" i="5"/>
  <c r="G47" i="5"/>
  <c r="K45" i="5"/>
  <c r="K43" i="5"/>
  <c r="D44" i="5"/>
  <c r="L44" i="5"/>
  <c r="D49" i="5"/>
  <c r="L45" i="5"/>
  <c r="K49" i="5"/>
  <c r="D45" i="5"/>
  <c r="F50" i="5"/>
  <c r="I46" i="5"/>
  <c r="G45" i="5"/>
  <c r="J46" i="5"/>
  <c r="J50" i="5"/>
  <c r="J48" i="5"/>
  <c r="F47" i="5"/>
  <c r="E51" i="5"/>
  <c r="L49" i="5"/>
  <c r="J52" i="5"/>
  <c r="J41" i="5"/>
  <c r="I49" i="5"/>
  <c r="L41" i="5"/>
  <c r="C44" i="5"/>
  <c r="D50" i="5"/>
  <c r="C48" i="5"/>
  <c r="H45" i="5"/>
  <c r="E49" i="5"/>
  <c r="F41" i="5"/>
  <c r="D41" i="5"/>
  <c r="F51" i="5"/>
  <c r="I50" i="5"/>
  <c r="M101" i="5"/>
  <c r="C52" i="5"/>
  <c r="H50" i="5"/>
  <c r="D51" i="5"/>
  <c r="H43" i="5"/>
  <c r="G42" i="5"/>
  <c r="L51" i="5"/>
  <c r="G53" i="5" l="1"/>
  <c r="E53" i="5"/>
  <c r="F53" i="5"/>
  <c r="H53" i="5"/>
  <c r="L53" i="5"/>
  <c r="I53" i="5"/>
  <c r="C53" i="5"/>
  <c r="M40" i="5"/>
  <c r="J53" i="5"/>
  <c r="D53" i="5"/>
  <c r="K53" i="5"/>
  <c r="M53" i="5" l="1"/>
  <c r="J28" i="5" l="1"/>
  <c r="E22" i="5"/>
  <c r="I22" i="5"/>
  <c r="G29" i="5"/>
  <c r="G22" i="5"/>
  <c r="L23" i="5"/>
  <c r="K34" i="5"/>
  <c r="H22" i="5"/>
  <c r="M20" i="7"/>
  <c r="F14" i="7"/>
  <c r="G23" i="5"/>
  <c r="M11" i="7"/>
  <c r="K31" i="5"/>
  <c r="M14" i="7"/>
  <c r="M12" i="7"/>
  <c r="L29" i="5"/>
  <c r="M10" i="7"/>
  <c r="E28" i="5"/>
  <c r="H30" i="5"/>
  <c r="H28" i="5"/>
  <c r="H23" i="5"/>
  <c r="L33" i="5"/>
  <c r="L25" i="5"/>
  <c r="I25" i="5"/>
  <c r="K22" i="5"/>
  <c r="F9" i="7"/>
  <c r="K30" i="5"/>
  <c r="J31" i="5"/>
  <c r="L31" i="5"/>
  <c r="D27" i="5"/>
  <c r="F16" i="7"/>
  <c r="H31" i="5"/>
  <c r="L22" i="5"/>
  <c r="F11" i="7"/>
  <c r="K24" i="5"/>
  <c r="F31" i="5"/>
  <c r="F22" i="5"/>
  <c r="J22" i="5"/>
  <c r="F15" i="7"/>
  <c r="H25" i="5"/>
  <c r="M16" i="7"/>
  <c r="K25" i="5"/>
  <c r="M9" i="7"/>
  <c r="M15" i="7"/>
  <c r="M13" i="7"/>
  <c r="I29" i="5"/>
  <c r="J34" i="5"/>
  <c r="F10" i="7"/>
  <c r="I26" i="5"/>
  <c r="F19" i="7"/>
  <c r="L27" i="5"/>
  <c r="J27" i="5"/>
  <c r="F21" i="7"/>
  <c r="G24" i="5"/>
  <c r="M21" i="7"/>
  <c r="I31" i="5"/>
  <c r="G26" i="5"/>
  <c r="D31" i="5"/>
  <c r="F13" i="7"/>
  <c r="E29" i="5"/>
  <c r="F12" i="7"/>
  <c r="F29" i="5"/>
  <c r="K28" i="5"/>
  <c r="E26" i="5"/>
  <c r="F20" i="7"/>
  <c r="H26" i="5"/>
  <c r="J23" i="5"/>
  <c r="F27" i="5"/>
  <c r="E32" i="5"/>
  <c r="G28" i="5"/>
  <c r="F24" i="5"/>
  <c r="J33" i="5"/>
  <c r="H34" i="5"/>
  <c r="E23" i="5"/>
  <c r="I32" i="5"/>
  <c r="G33" i="5"/>
  <c r="M8" i="7" l="1"/>
  <c r="L34" i="5"/>
  <c r="F28" i="5"/>
  <c r="J25" i="5"/>
  <c r="I27" i="5"/>
  <c r="I33" i="5"/>
  <c r="F22" i="7"/>
  <c r="D26" i="5"/>
  <c r="F25" i="5"/>
  <c r="D24" i="5"/>
  <c r="D23" i="5"/>
  <c r="J29" i="5"/>
  <c r="J32" i="5"/>
  <c r="F33" i="5"/>
  <c r="E31" i="5"/>
  <c r="H24" i="5"/>
  <c r="E27" i="5"/>
  <c r="J30" i="5"/>
  <c r="F26" i="5"/>
  <c r="L30" i="5"/>
  <c r="K33" i="5"/>
  <c r="G31" i="5"/>
  <c r="L26" i="5"/>
  <c r="E24" i="5"/>
  <c r="J24" i="5"/>
  <c r="L24" i="5"/>
  <c r="K26" i="5"/>
  <c r="I28" i="5"/>
  <c r="D32" i="5"/>
  <c r="E33" i="5"/>
  <c r="K29" i="5"/>
  <c r="I30" i="5"/>
  <c r="K32" i="5"/>
  <c r="D33" i="5"/>
  <c r="K27" i="5"/>
  <c r="D29" i="5"/>
  <c r="G34" i="5"/>
  <c r="F34" i="5"/>
  <c r="H29" i="5"/>
  <c r="I23" i="5"/>
  <c r="D34" i="5"/>
  <c r="D25" i="5"/>
  <c r="F32" i="5"/>
  <c r="H32" i="5"/>
  <c r="J26" i="5"/>
  <c r="D28" i="5"/>
  <c r="M73" i="5"/>
  <c r="D22" i="5"/>
  <c r="E25" i="5"/>
  <c r="E30" i="5"/>
  <c r="G25" i="5"/>
  <c r="H27" i="5"/>
  <c r="K23" i="5"/>
  <c r="L32" i="5"/>
  <c r="F30" i="5"/>
  <c r="M19" i="7"/>
  <c r="D30" i="5"/>
  <c r="F23" i="5"/>
  <c r="G30" i="5"/>
  <c r="F8" i="7"/>
  <c r="M85" i="5"/>
  <c r="I34" i="5"/>
  <c r="H33" i="5"/>
  <c r="E34" i="5"/>
  <c r="G27" i="5"/>
  <c r="G32" i="5"/>
  <c r="I24" i="5"/>
  <c r="L28" i="5"/>
  <c r="E35" i="5" l="1"/>
  <c r="G35" i="5"/>
  <c r="M22" i="7"/>
  <c r="L35" i="5"/>
  <c r="M22" i="5"/>
  <c r="D35" i="5"/>
  <c r="F35" i="5"/>
  <c r="I35" i="5"/>
  <c r="M17" i="7"/>
  <c r="F17" i="7"/>
  <c r="F24" i="7" s="1"/>
  <c r="K35" i="5"/>
  <c r="J35" i="5"/>
  <c r="H35" i="5"/>
  <c r="M35" i="5" l="1"/>
  <c r="G5" i="11"/>
  <c r="M24" i="7"/>
  <c r="B12" i="11" l="1"/>
  <c r="H5" i="11"/>
  <c r="J16" i="7" l="1"/>
  <c r="J13" i="7"/>
  <c r="J12" i="7"/>
  <c r="J10" i="7"/>
  <c r="C12" i="7"/>
  <c r="C21" i="7"/>
  <c r="C16" i="7"/>
  <c r="J11" i="7"/>
  <c r="J20" i="7"/>
  <c r="J15" i="7"/>
  <c r="J19" i="7"/>
  <c r="C13" i="7"/>
  <c r="C20" i="7"/>
  <c r="C14" i="7"/>
  <c r="J21" i="7"/>
  <c r="C11" i="7"/>
  <c r="C15" i="7"/>
  <c r="J14" i="7"/>
  <c r="C9" i="7"/>
  <c r="C10" i="7"/>
  <c r="J8" i="7"/>
  <c r="C19" i="7"/>
  <c r="J9" i="7"/>
  <c r="C42" i="7" l="1"/>
  <c r="C22" i="7"/>
  <c r="E19" i="7"/>
  <c r="C34" i="7"/>
  <c r="E11" i="7"/>
  <c r="E34" i="7" s="1"/>
  <c r="C44" i="7"/>
  <c r="E21" i="7"/>
  <c r="E44" i="7" s="1"/>
  <c r="C32" i="7"/>
  <c r="E9" i="7"/>
  <c r="E32" i="7" s="1"/>
  <c r="J44" i="7"/>
  <c r="L21" i="7"/>
  <c r="L44" i="7" s="1"/>
  <c r="C36" i="7"/>
  <c r="E13" i="7"/>
  <c r="E36" i="7" s="1"/>
  <c r="J34" i="7"/>
  <c r="L11" i="7"/>
  <c r="L34" i="7" s="1"/>
  <c r="J36" i="7"/>
  <c r="L13" i="7"/>
  <c r="L36" i="7" s="1"/>
  <c r="C43" i="7"/>
  <c r="E20" i="7"/>
  <c r="E43" i="7" s="1"/>
  <c r="J35" i="7"/>
  <c r="L12" i="7"/>
  <c r="L35" i="7" s="1"/>
  <c r="J31" i="7"/>
  <c r="J17" i="7"/>
  <c r="L8" i="7"/>
  <c r="J37" i="7"/>
  <c r="L14" i="7"/>
  <c r="L37" i="7" s="1"/>
  <c r="C37" i="7"/>
  <c r="E14" i="7"/>
  <c r="E37" i="7" s="1"/>
  <c r="J42" i="7"/>
  <c r="J22" i="7"/>
  <c r="L19" i="7"/>
  <c r="C39" i="7"/>
  <c r="E16" i="7"/>
  <c r="E39" i="7" s="1"/>
  <c r="C35" i="7"/>
  <c r="E12" i="7"/>
  <c r="E35" i="7" s="1"/>
  <c r="J39" i="7"/>
  <c r="L16" i="7"/>
  <c r="L39" i="7" s="1"/>
  <c r="J43" i="7"/>
  <c r="L20" i="7"/>
  <c r="L43" i="7" s="1"/>
  <c r="J32" i="7"/>
  <c r="L9" i="7"/>
  <c r="L32" i="7" s="1"/>
  <c r="C33" i="7"/>
  <c r="E10" i="7"/>
  <c r="E33" i="7" s="1"/>
  <c r="C38" i="7"/>
  <c r="E15" i="7"/>
  <c r="E38" i="7" s="1"/>
  <c r="J38" i="7"/>
  <c r="L15" i="7"/>
  <c r="L38" i="7" s="1"/>
  <c r="C8" i="7"/>
  <c r="J33" i="7"/>
  <c r="L10" i="7"/>
  <c r="L33" i="7" s="1"/>
  <c r="F34" i="7" l="1"/>
  <c r="M33" i="7"/>
  <c r="M37" i="7"/>
  <c r="F44" i="7"/>
  <c r="M32" i="7"/>
  <c r="F37" i="7"/>
  <c r="L42" i="7"/>
  <c r="L45" i="7" s="1"/>
  <c r="L22" i="7"/>
  <c r="J24" i="7"/>
  <c r="C17" i="7"/>
  <c r="C31" i="7"/>
  <c r="E8" i="7"/>
  <c r="F38" i="7"/>
  <c r="F35" i="7"/>
  <c r="J40" i="7"/>
  <c r="F43" i="7"/>
  <c r="M36" i="7"/>
  <c r="F36" i="7"/>
  <c r="F32" i="7"/>
  <c r="C45" i="7"/>
  <c r="J45" i="7"/>
  <c r="M38" i="7"/>
  <c r="F33" i="7"/>
  <c r="M43" i="7"/>
  <c r="M39" i="7"/>
  <c r="F39" i="7"/>
  <c r="L17" i="7"/>
  <c r="L31" i="7"/>
  <c r="L40" i="7" s="1"/>
  <c r="M35" i="7"/>
  <c r="M34" i="7"/>
  <c r="M44" i="7"/>
  <c r="E42" i="7"/>
  <c r="E45" i="7" s="1"/>
  <c r="E22" i="7"/>
  <c r="L24" i="7" l="1"/>
  <c r="L47" i="7"/>
  <c r="F42" i="7"/>
  <c r="F45" i="7" s="1"/>
  <c r="M31" i="7"/>
  <c r="M40" i="7" s="1"/>
  <c r="E31" i="7"/>
  <c r="E40" i="7" s="1"/>
  <c r="E47" i="7" s="1"/>
  <c r="E17" i="7"/>
  <c r="E24" i="7" s="1"/>
  <c r="M137" i="5"/>
  <c r="M149" i="5"/>
  <c r="J47" i="7"/>
  <c r="C40" i="7"/>
  <c r="C47" i="7" s="1"/>
  <c r="M42" i="7"/>
  <c r="M45" i="7" s="1"/>
  <c r="C24" i="7"/>
  <c r="F31" i="7" l="1"/>
  <c r="F40" i="7" s="1"/>
  <c r="F47" i="7" s="1"/>
  <c r="M47" i="7"/>
  <c r="M117" i="5"/>
  <c r="M105" i="5"/>
</calcChain>
</file>

<file path=xl/sharedStrings.xml><?xml version="1.0" encoding="utf-8"?>
<sst xmlns="http://schemas.openxmlformats.org/spreadsheetml/2006/main" count="206" uniqueCount="115">
  <si>
    <t>Total Company</t>
  </si>
  <si>
    <t>ISO</t>
  </si>
  <si>
    <t>Total</t>
  </si>
  <si>
    <t>Total Transmission Plant &amp; Reserve Activity</t>
  </si>
  <si>
    <t>Plant-In-Service</t>
  </si>
  <si>
    <t>BOY Balance</t>
  </si>
  <si>
    <t>End Balance</t>
  </si>
  <si>
    <t>Accumulated Depreciation</t>
  </si>
  <si>
    <t>SOUTHERN CALIFORNIA EDISON COMPANY</t>
  </si>
  <si>
    <t>Transmission/Distribution ISO Facilities Study</t>
  </si>
  <si>
    <t>$</t>
  </si>
  <si>
    <t>Transmission</t>
  </si>
  <si>
    <t>Total Plant
FERC Form 1</t>
  </si>
  <si>
    <t>Total
Plant</t>
  </si>
  <si>
    <t>ISO
Plant</t>
  </si>
  <si>
    <t>ISO %
of Total</t>
  </si>
  <si>
    <t>Incentive Plant</t>
  </si>
  <si>
    <t>Total Substation</t>
  </si>
  <si>
    <t>Lines</t>
  </si>
  <si>
    <t>Total Lines</t>
  </si>
  <si>
    <t>Total Transmission</t>
  </si>
  <si>
    <t>Distribution</t>
  </si>
  <si>
    <t>Land:</t>
  </si>
  <si>
    <t>Structures:</t>
  </si>
  <si>
    <t>Total Structures</t>
  </si>
  <si>
    <t>Total Distribution</t>
  </si>
  <si>
    <t>BOY/EOY ISO Transmission Accumulated Depreciation</t>
  </si>
  <si>
    <t>Incentive Accumulated Depreciation</t>
  </si>
  <si>
    <t>Accum. CPUC / FERC Depreciation Rate Differential</t>
  </si>
  <si>
    <t>Other</t>
  </si>
  <si>
    <t>Total Reserve</t>
  </si>
  <si>
    <t>Inc Adj ISO %</t>
  </si>
  <si>
    <t>ARO</t>
  </si>
  <si>
    <t>Adj Transmission Balance</t>
  </si>
  <si>
    <t>Reconciliation to FERC Form 1</t>
  </si>
  <si>
    <t>Total Plant</t>
  </si>
  <si>
    <t>General &amp; Intangible Reserve Summary</t>
  </si>
  <si>
    <t>General</t>
  </si>
  <si>
    <t>Intangible</t>
  </si>
  <si>
    <t>FF1 Reference</t>
  </si>
  <si>
    <t xml:space="preserve">FF1 219.28c and FF1 200.21c for previous year </t>
  </si>
  <si>
    <t>FF1 219.28c and FF1 200.21c</t>
  </si>
  <si>
    <t>Incentive Plant In Service Activity</t>
  </si>
  <si>
    <t>Prior Year:</t>
  </si>
  <si>
    <t>Col 1</t>
  </si>
  <si>
    <t>Col 2</t>
  </si>
  <si>
    <t>Col 3</t>
  </si>
  <si>
    <t>Line</t>
  </si>
  <si>
    <t>Note 1</t>
  </si>
  <si>
    <t>Plant</t>
  </si>
  <si>
    <t>Notes</t>
  </si>
  <si>
    <t>Notes:</t>
  </si>
  <si>
    <t>Transmission Plant Study</t>
  </si>
  <si>
    <t>Input cells are shaded yellow</t>
  </si>
  <si>
    <t>A) Plant Classified as Transmission in  FERC Form 1 for Prior Year:</t>
  </si>
  <si>
    <t xml:space="preserve">Transmission </t>
  </si>
  <si>
    <t>ISO %</t>
  </si>
  <si>
    <t>Account</t>
  </si>
  <si>
    <t>Data Source</t>
  </si>
  <si>
    <t>Plant - ISO</t>
  </si>
  <si>
    <t>of Total</t>
  </si>
  <si>
    <t>Substation</t>
  </si>
  <si>
    <t>FF1 207.49g</t>
  </si>
  <si>
    <t>FF1 207.50g</t>
  </si>
  <si>
    <t>Land</t>
  </si>
  <si>
    <t>FF1 207.48g</t>
  </si>
  <si>
    <t>Total Substation and Land</t>
  </si>
  <si>
    <t>FF1 207.51g</t>
  </si>
  <si>
    <t>FF1 207.52g</t>
  </si>
  <si>
    <t>FF1 207.53g</t>
  </si>
  <si>
    <t>FF1 207.54g</t>
  </si>
  <si>
    <t>FF1 207.55g</t>
  </si>
  <si>
    <t>FF1 207.56g</t>
  </si>
  <si>
    <t>B) Plant Classified as Distribution in  FERC Form 1:</t>
  </si>
  <si>
    <t>FF1 207.60g</t>
  </si>
  <si>
    <t>FF1 207.61g</t>
  </si>
  <si>
    <t>FF1 207.62g</t>
  </si>
  <si>
    <t>Note 2</t>
  </si>
  <si>
    <t>1) Total transmission does not include account 359.1 "Asset Retirement Costs for Transmission Plant"</t>
  </si>
  <si>
    <t>Total on this line is also equal to FF1 207.58g (Total Transmission Plant)</t>
  </si>
  <si>
    <t>less FF1 207.57g (Asset Retirement Costs for Transmission Plant).</t>
  </si>
  <si>
    <t>2) Only accounts 360-362 included as there is no ISO plant in any other Distribution accounts.</t>
  </si>
  <si>
    <t>Instructions:</t>
  </si>
  <si>
    <t>1) Perform annual Transmission Study pursuant to instructions in tariff.</t>
  </si>
  <si>
    <t>2) Enter total amounts of plant from FERC Form 1 in Column 1, "Total Plant".</t>
  </si>
  <si>
    <t>3) Enter ISO portion of plant in Column 2, "Transmission Plant - ISO, or "Distribution Plant - ISO".</t>
  </si>
  <si>
    <t>ISO %
Net of Incentive Plant</t>
  </si>
  <si>
    <t>Substation 1</t>
  </si>
  <si>
    <t>Total Distribution (Land &amp; Structures)</t>
  </si>
  <si>
    <t>Total Transmission &amp; Distribution</t>
  </si>
  <si>
    <t xml:space="preserve">Incentive Plant </t>
  </si>
  <si>
    <t>Reserve Total</t>
  </si>
  <si>
    <t>Check</t>
  </si>
  <si>
    <t>SONGS</t>
  </si>
  <si>
    <t>Mohave</t>
  </si>
  <si>
    <t>Reconciling Items</t>
  </si>
  <si>
    <t>PHFFU</t>
  </si>
  <si>
    <t>PV Sunk NBV</t>
  </si>
  <si>
    <t>Total Reconciling Items</t>
  </si>
  <si>
    <t>Total Transmisison 108.5</t>
  </si>
  <si>
    <t>Total Transmission (Excluding SONGS &amp; Mohave)</t>
  </si>
  <si>
    <t>Adjusted Total:</t>
  </si>
  <si>
    <t>Incentive Reserve Balances</t>
  </si>
  <si>
    <t>FERC Rate Differential Balance</t>
  </si>
  <si>
    <t>ISO Plant</t>
  </si>
  <si>
    <t>Incentive Reserve</t>
  </si>
  <si>
    <t>ISO Reserve</t>
  </si>
  <si>
    <t>December 2016 Plant</t>
  </si>
  <si>
    <t>2016 FF1 Page 219</t>
  </si>
  <si>
    <t>RWIP Allocation</t>
  </si>
  <si>
    <t>RWIP (108.9) compared to TO</t>
  </si>
  <si>
    <t>Remove ARO</t>
  </si>
  <si>
    <t>Remove Net Reg Asset</t>
  </si>
  <si>
    <t>December 2017 Plant</t>
  </si>
  <si>
    <t>2017 FF1 Page 219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</si>
</sst>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5" formatCode="&quot;$&quot;#,##0_);\(&quot;$&quot;#,##0\)"/>
    <numFmt numFmtId="42" formatCode="_(&quot;$&quot;* #,##0_);_(&quot;$&quot;* \(#,##0\);_(&quot;$&quot;* &quot;-&quot;_);_(@_)"/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0.0%"/>
    <numFmt numFmtId="166" formatCode="[$-409]mmm\-yy;@"/>
    <numFmt numFmtId="167" formatCode="_(&quot;$&quot;* #,##0.00_);_(&quot;$&quot;* \(#,##0.00\);_(&quot;$&quot;* &quot;-&quot;_);_(@_)"/>
    <numFmt numFmtId="168" formatCode="&quot;$&quot;#,##0"/>
    <numFmt numFmtId="169" formatCode="_(* #,##0.0_);_(* \(#,##0.0\);_(* &quot;-&quot;??_);_(@_)"/>
    <numFmt numFmtId="170" formatCode="0.00000%"/>
    <numFmt numFmtId="171" formatCode="###,000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10"/>
      <name val="Arial"/>
      <family val="2"/>
    </font>
    <font>
      <b/>
      <u/>
      <sz val="10"/>
      <name val="Calibri"/>
      <family val="2"/>
      <scheme val="minor"/>
    </font>
    <font>
      <b/>
      <sz val="14"/>
      <color indexed="8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b/>
      <sz val="12"/>
      <name val="Calibri"/>
      <family val="2"/>
    </font>
    <font>
      <sz val="12"/>
      <color indexed="8"/>
      <name val="Calibri"/>
      <family val="2"/>
    </font>
    <font>
      <sz val="8"/>
      <name val="Calibri"/>
      <family val="2"/>
    </font>
    <font>
      <b/>
      <sz val="10"/>
      <name val="Arial"/>
      <family val="2"/>
    </font>
    <font>
      <b/>
      <u/>
      <sz val="10"/>
      <name val="Arial"/>
      <family val="2"/>
    </font>
    <font>
      <u/>
      <sz val="10"/>
      <name val="Arial"/>
      <family val="2"/>
    </font>
    <font>
      <sz val="10"/>
      <color rgb="FFFF0000"/>
      <name val="Arial"/>
      <family val="2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8"/>
      <color rgb="FF1F497D"/>
      <name val="Verdana"/>
      <family val="2"/>
    </font>
    <font>
      <sz val="8"/>
      <color rgb="FF1F497D"/>
      <name val="Verdana"/>
      <family val="2"/>
    </font>
    <font>
      <sz val="8"/>
      <color rgb="FF000000"/>
      <name val="Verdana"/>
      <family val="2"/>
    </font>
    <font>
      <b/>
      <sz val="8"/>
      <color rgb="FF00CC00"/>
      <name val="Verdana"/>
      <family val="2"/>
    </font>
    <font>
      <b/>
      <sz val="8"/>
      <color rgb="FF33CC33"/>
      <name val="Verdana"/>
      <family val="2"/>
    </font>
    <font>
      <b/>
      <sz val="8"/>
      <color rgb="FFFF9900"/>
      <name val="Verdana"/>
      <family val="2"/>
    </font>
    <font>
      <b/>
      <sz val="8"/>
      <color rgb="FFFF0000"/>
      <name val="Verdana"/>
      <family val="2"/>
    </font>
    <font>
      <sz val="8"/>
      <color rgb="FF000000"/>
      <name val="Arial"/>
      <family val="2"/>
    </font>
    <font>
      <i/>
      <sz val="8"/>
      <color rgb="FF000000"/>
      <name val="Verdana"/>
      <family val="2"/>
    </font>
    <font>
      <b/>
      <i/>
      <sz val="8"/>
      <color rgb="FF000000"/>
      <name val="Verdana"/>
      <family val="2"/>
    </font>
    <font>
      <b/>
      <i/>
      <sz val="8"/>
      <color rgb="FF1F497D"/>
      <name val="Verdana"/>
      <family val="2"/>
    </font>
    <font>
      <i/>
      <sz val="8"/>
      <color rgb="FF1F497D"/>
      <name val="Verdana"/>
      <family val="2"/>
    </font>
  </fonts>
  <fills count="2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</patternFill>
    </fill>
    <fill>
      <patternFill patternType="solid">
        <fgColor rgb="FFDBE5F1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1F5FB"/>
        <bgColor rgb="FF000000"/>
      </patternFill>
    </fill>
    <fill>
      <patternFill patternType="solid">
        <fgColor rgb="FFE9EFF7"/>
        <bgColor rgb="FF000000"/>
      </patternFill>
    </fill>
    <fill>
      <patternFill patternType="solid">
        <fgColor rgb="FFC6F9C1"/>
        <bgColor rgb="FF000000"/>
      </patternFill>
    </fill>
    <fill>
      <patternFill patternType="solid">
        <fgColor rgb="FFABEDA5"/>
        <bgColor rgb="FF000000"/>
      </patternFill>
    </fill>
    <fill>
      <patternFill patternType="solid">
        <fgColor rgb="FF94D88F"/>
        <bgColor rgb="FF000000"/>
      </patternFill>
    </fill>
    <fill>
      <patternFill patternType="solid">
        <fgColor rgb="FFFFFDBF"/>
        <bgColor rgb="FF000000"/>
      </patternFill>
    </fill>
    <fill>
      <patternFill patternType="solid">
        <fgColor rgb="FFFFFB8C"/>
        <bgColor rgb="FF000000"/>
      </patternFill>
    </fill>
    <fill>
      <patternFill patternType="solid">
        <fgColor rgb="FFFFF843"/>
        <bgColor rgb="FF000000"/>
      </patternFill>
    </fill>
    <fill>
      <patternFill patternType="solid">
        <fgColor rgb="FFFFC7CE"/>
        <bgColor rgb="FF000000"/>
      </patternFill>
    </fill>
    <fill>
      <patternFill patternType="solid">
        <fgColor rgb="FFFF988C"/>
        <bgColor rgb="FF000000"/>
      </patternFill>
    </fill>
    <fill>
      <patternFill patternType="solid">
        <fgColor rgb="FFFF6758"/>
        <bgColor rgb="FF000000"/>
      </patternFill>
    </fill>
    <fill>
      <patternFill patternType="solid">
        <fgColor rgb="FFDBE5F1"/>
        <bgColor rgb="FFFFFFFF"/>
      </patternFill>
    </fill>
    <fill>
      <patternFill patternType="solid">
        <fgColor rgb="FFB7CFE8"/>
        <bgColor rgb="FF000000"/>
      </patternFill>
    </fill>
    <fill>
      <patternFill patternType="solid">
        <fgColor rgb="FFC3D6EB"/>
        <bgColor rgb="FF000000"/>
      </patternFill>
    </fill>
    <fill>
      <patternFill patternType="solid">
        <fgColor rgb="FFDBE5F2"/>
        <bgColor rgb="FF000000"/>
      </patternFill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theme="3" tint="0.59996337778862885"/>
      </left>
      <right style="thin">
        <color theme="3" tint="0.59996337778862885"/>
      </right>
      <top style="thin">
        <color theme="3" tint="0.59996337778862885"/>
      </top>
      <bottom style="thin">
        <color theme="3" tint="0.59996337778862885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hair">
        <color rgb="FFC0C0C0"/>
      </left>
      <right style="hair">
        <color rgb="FFC0C0C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</borders>
  <cellStyleXfs count="4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1" fillId="4" borderId="19" applyNumberFormat="0" applyFont="0" applyAlignment="0" applyProtection="0"/>
    <xf numFmtId="43" fontId="20" fillId="0" borderId="0" applyFont="0" applyFill="0" applyBorder="0" applyAlignment="0" applyProtection="0"/>
    <xf numFmtId="0" fontId="6" fillId="0" borderId="0"/>
    <xf numFmtId="0" fontId="6" fillId="0" borderId="0"/>
    <xf numFmtId="0" fontId="21" fillId="5" borderId="20" applyNumberFormat="0" applyAlignment="0" applyProtection="0">
      <alignment horizontal="left" vertical="center" indent="1"/>
    </xf>
    <xf numFmtId="171" fontId="22" fillId="0" borderId="21" applyNumberFormat="0" applyProtection="0">
      <alignment horizontal="right" vertical="center"/>
    </xf>
    <xf numFmtId="171" fontId="21" fillId="0" borderId="22" applyNumberFormat="0" applyProtection="0">
      <alignment horizontal="right" vertical="center"/>
    </xf>
    <xf numFmtId="0" fontId="23" fillId="6" borderId="22" applyNumberFormat="0" applyAlignment="0">
      <alignment horizontal="left" vertical="center" indent="1"/>
      <protection locked="0"/>
    </xf>
    <xf numFmtId="0" fontId="23" fillId="7" borderId="22" applyNumberFormat="0" applyAlignment="0" applyProtection="0">
      <alignment horizontal="left" vertical="center" indent="1"/>
    </xf>
    <xf numFmtId="171" fontId="22" fillId="8" borderId="21" applyNumberFormat="0" applyBorder="0">
      <alignment horizontal="right" vertical="center"/>
      <protection locked="0"/>
    </xf>
    <xf numFmtId="0" fontId="23" fillId="6" borderId="22" applyNumberFormat="0" applyAlignment="0">
      <alignment horizontal="left" vertical="center" indent="1"/>
      <protection locked="0"/>
    </xf>
    <xf numFmtId="171" fontId="21" fillId="7" borderId="22" applyNumberFormat="0" applyProtection="0">
      <alignment horizontal="right" vertical="center"/>
    </xf>
    <xf numFmtId="171" fontId="21" fillId="8" borderId="22" applyNumberFormat="0" applyBorder="0">
      <alignment horizontal="right" vertical="center"/>
      <protection locked="0"/>
    </xf>
    <xf numFmtId="171" fontId="24" fillId="9" borderId="23" applyNumberFormat="0" applyBorder="0" applyAlignment="0" applyProtection="0">
      <alignment horizontal="right" vertical="center" indent="1"/>
    </xf>
    <xf numFmtId="171" fontId="25" fillId="10" borderId="23" applyNumberFormat="0" applyBorder="0" applyAlignment="0" applyProtection="0">
      <alignment horizontal="right" vertical="center" indent="1"/>
    </xf>
    <xf numFmtId="171" fontId="25" fillId="11" borderId="23" applyNumberFormat="0" applyBorder="0" applyAlignment="0" applyProtection="0">
      <alignment horizontal="right" vertical="center" indent="1"/>
    </xf>
    <xf numFmtId="171" fontId="26" fillId="12" borderId="23" applyNumberFormat="0" applyBorder="0" applyAlignment="0" applyProtection="0">
      <alignment horizontal="right" vertical="center" indent="1"/>
    </xf>
    <xf numFmtId="171" fontId="26" fillId="13" borderId="23" applyNumberFormat="0" applyBorder="0" applyAlignment="0" applyProtection="0">
      <alignment horizontal="right" vertical="center" indent="1"/>
    </xf>
    <xf numFmtId="171" fontId="26" fillId="14" borderId="23" applyNumberFormat="0" applyBorder="0" applyAlignment="0" applyProtection="0">
      <alignment horizontal="right" vertical="center" indent="1"/>
    </xf>
    <xf numFmtId="171" fontId="27" fillId="15" borderId="23" applyNumberFormat="0" applyBorder="0" applyAlignment="0" applyProtection="0">
      <alignment horizontal="right" vertical="center" indent="1"/>
    </xf>
    <xf numFmtId="171" fontId="27" fillId="16" borderId="23" applyNumberFormat="0" applyBorder="0" applyAlignment="0" applyProtection="0">
      <alignment horizontal="right" vertical="center" indent="1"/>
    </xf>
    <xf numFmtId="171" fontId="27" fillId="17" borderId="23" applyNumberFormat="0" applyBorder="0" applyAlignment="0" applyProtection="0">
      <alignment horizontal="right" vertical="center" indent="1"/>
    </xf>
    <xf numFmtId="0" fontId="28" fillId="0" borderId="20" applyNumberFormat="0" applyFont="0" applyFill="0" applyAlignment="0" applyProtection="0"/>
    <xf numFmtId="171" fontId="22" fillId="18" borderId="20" applyNumberFormat="0" applyAlignment="0" applyProtection="0">
      <alignment horizontal="left" vertical="center" indent="1"/>
    </xf>
    <xf numFmtId="0" fontId="21" fillId="5" borderId="22" applyNumberFormat="0" applyAlignment="0" applyProtection="0">
      <alignment horizontal="left" vertical="center" indent="1"/>
    </xf>
    <xf numFmtId="0" fontId="23" fillId="19" borderId="20" applyNumberFormat="0" applyAlignment="0" applyProtection="0">
      <alignment horizontal="left" vertical="center" indent="1"/>
    </xf>
    <xf numFmtId="0" fontId="23" fillId="20" borderId="20" applyNumberFormat="0" applyAlignment="0" applyProtection="0">
      <alignment horizontal="left" vertical="center" indent="1"/>
    </xf>
    <xf numFmtId="0" fontId="23" fillId="21" borderId="20" applyNumberFormat="0" applyAlignment="0" applyProtection="0">
      <alignment horizontal="left" vertical="center" indent="1"/>
    </xf>
    <xf numFmtId="0" fontId="23" fillId="8" borderId="20" applyNumberFormat="0" applyAlignment="0" applyProtection="0">
      <alignment horizontal="left" vertical="center" indent="1"/>
    </xf>
    <xf numFmtId="0" fontId="23" fillId="7" borderId="22" applyNumberFormat="0" applyAlignment="0" applyProtection="0">
      <alignment horizontal="left" vertical="center" indent="1"/>
    </xf>
    <xf numFmtId="0" fontId="29" fillId="0" borderId="24" applyNumberFormat="0" applyFill="0" applyBorder="0" applyAlignment="0" applyProtection="0"/>
    <xf numFmtId="0" fontId="30" fillId="0" borderId="24" applyNumberFormat="0" applyBorder="0" applyAlignment="0" applyProtection="0"/>
    <xf numFmtId="0" fontId="29" fillId="6" borderId="22" applyNumberFormat="0" applyAlignment="0">
      <alignment horizontal="left" vertical="center" indent="1"/>
      <protection locked="0"/>
    </xf>
    <xf numFmtId="0" fontId="29" fillId="6" borderId="22" applyNumberFormat="0" applyAlignment="0">
      <alignment horizontal="left" vertical="center" indent="1"/>
      <protection locked="0"/>
    </xf>
    <xf numFmtId="0" fontId="29" fillId="7" borderId="22" applyNumberFormat="0" applyAlignment="0" applyProtection="0">
      <alignment horizontal="left" vertical="center" indent="1"/>
    </xf>
    <xf numFmtId="171" fontId="31" fillId="7" borderId="22" applyNumberFormat="0" applyProtection="0">
      <alignment horizontal="right" vertical="center"/>
    </xf>
    <xf numFmtId="171" fontId="32" fillId="8" borderId="21" applyNumberFormat="0" applyBorder="0">
      <alignment horizontal="right" vertical="center"/>
      <protection locked="0"/>
    </xf>
    <xf numFmtId="171" fontId="31" fillId="8" borderId="22" applyNumberFormat="0" applyBorder="0">
      <alignment horizontal="right" vertical="center"/>
      <protection locked="0"/>
    </xf>
    <xf numFmtId="171" fontId="22" fillId="0" borderId="21" applyNumberFormat="0" applyFill="0" applyBorder="0" applyAlignment="0" applyProtection="0">
      <alignment horizontal="right" vertical="center"/>
    </xf>
    <xf numFmtId="171" fontId="22" fillId="0" borderId="21" applyNumberFormat="0" applyFill="0" applyBorder="0" applyAlignment="0" applyProtection="0">
      <alignment horizontal="right" vertical="center"/>
    </xf>
    <xf numFmtId="0" fontId="28" fillId="0" borderId="25" applyNumberFormat="0" applyFont="0" applyFill="0" applyAlignment="0" applyProtection="0"/>
  </cellStyleXfs>
  <cellXfs count="199">
    <xf numFmtId="0" fontId="0" fillId="0" borderId="0" xfId="0"/>
    <xf numFmtId="0" fontId="2" fillId="0" borderId="0" xfId="0" applyFont="1"/>
    <xf numFmtId="0" fontId="5" fillId="0" borderId="0" xfId="0" applyFont="1"/>
    <xf numFmtId="164" fontId="0" fillId="0" borderId="0" xfId="1" applyNumberFormat="1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164" fontId="0" fillId="0" borderId="1" xfId="0" applyNumberFormat="1" applyBorder="1"/>
    <xf numFmtId="0" fontId="2" fillId="0" borderId="10" xfId="0" applyFont="1" applyBorder="1" applyAlignment="1">
      <alignment horizontal="center" wrapText="1"/>
    </xf>
    <xf numFmtId="0" fontId="0" fillId="0" borderId="0" xfId="0" applyAlignment="1">
      <alignment horizontal="right"/>
    </xf>
    <xf numFmtId="41" fontId="0" fillId="0" borderId="0" xfId="0" applyNumberFormat="1"/>
    <xf numFmtId="41" fontId="0" fillId="0" borderId="8" xfId="0" applyNumberFormat="1" applyBorder="1"/>
    <xf numFmtId="41" fontId="0" fillId="0" borderId="1" xfId="0" applyNumberFormat="1" applyBorder="1"/>
    <xf numFmtId="165" fontId="0" fillId="0" borderId="0" xfId="0" applyNumberFormat="1"/>
    <xf numFmtId="41" fontId="0" fillId="0" borderId="0" xfId="2" applyFont="1"/>
    <xf numFmtId="0" fontId="0" fillId="0" borderId="2" xfId="0" applyBorder="1" applyAlignment="1">
      <alignment horizontal="center" wrapText="1"/>
    </xf>
    <xf numFmtId="0" fontId="0" fillId="0" borderId="0" xfId="0" applyFill="1"/>
    <xf numFmtId="0" fontId="0" fillId="0" borderId="0" xfId="0" applyFill="1" applyBorder="1" applyAlignment="1">
      <alignment horizontal="center" wrapText="1"/>
    </xf>
    <xf numFmtId="41" fontId="0" fillId="0" borderId="0" xfId="0" applyNumberFormat="1" applyFill="1"/>
    <xf numFmtId="0" fontId="0" fillId="0" borderId="0" xfId="0" applyFill="1" applyAlignment="1">
      <alignment horizontal="right"/>
    </xf>
    <xf numFmtId="41" fontId="0" fillId="0" borderId="0" xfId="0" applyNumberFormat="1" applyFill="1"/>
    <xf numFmtId="0" fontId="0" fillId="0" borderId="2" xfId="0" applyFill="1" applyBorder="1" applyAlignment="1">
      <alignment horizontal="center" wrapText="1"/>
    </xf>
    <xf numFmtId="41" fontId="0" fillId="0" borderId="0" xfId="2" applyFont="1" applyFill="1"/>
    <xf numFmtId="0" fontId="0" fillId="0" borderId="0" xfId="0"/>
    <xf numFmtId="0" fontId="6" fillId="0" borderId="0" xfId="0" applyFont="1"/>
    <xf numFmtId="0" fontId="15" fillId="0" borderId="0" xfId="0" quotePrefix="1" applyFont="1" applyAlignment="1">
      <alignment horizontal="center"/>
    </xf>
    <xf numFmtId="0" fontId="15" fillId="0" borderId="0" xfId="0" applyFont="1"/>
    <xf numFmtId="0" fontId="14" fillId="0" borderId="0" xfId="0" applyFont="1" applyAlignment="1">
      <alignment horizontal="center"/>
    </xf>
    <xf numFmtId="168" fontId="6" fillId="2" borderId="0" xfId="0" applyNumberFormat="1" applyFont="1" applyFill="1"/>
    <xf numFmtId="168" fontId="16" fillId="2" borderId="0" xfId="0" applyNumberFormat="1" applyFont="1" applyFill="1"/>
    <xf numFmtId="0" fontId="14" fillId="0" borderId="0" xfId="0" applyFont="1"/>
    <xf numFmtId="0" fontId="6" fillId="0" borderId="0" xfId="0" applyFont="1" applyAlignment="1">
      <alignment horizontal="left" indent="1"/>
    </xf>
    <xf numFmtId="168" fontId="6" fillId="0" borderId="0" xfId="0" applyNumberFormat="1" applyFont="1" applyFill="1"/>
    <xf numFmtId="0" fontId="6" fillId="0" borderId="0" xfId="0" applyFont="1"/>
    <xf numFmtId="0" fontId="6" fillId="2" borderId="0" xfId="0" applyFont="1" applyFill="1"/>
    <xf numFmtId="0" fontId="17" fillId="2" borderId="0" xfId="0" applyFont="1" applyFill="1"/>
    <xf numFmtId="0" fontId="9" fillId="0" borderId="0" xfId="0" applyFont="1"/>
    <xf numFmtId="0" fontId="14" fillId="0" borderId="0" xfId="0" applyFont="1" applyFill="1"/>
    <xf numFmtId="0" fontId="6" fillId="0" borderId="0" xfId="0" applyFont="1" applyFill="1"/>
    <xf numFmtId="0" fontId="6" fillId="0" borderId="0" xfId="0" applyFont="1" applyFill="1" applyAlignment="1">
      <alignment horizontal="right"/>
    </xf>
    <xf numFmtId="0" fontId="14" fillId="0" borderId="0" xfId="0" applyFont="1"/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5" fillId="0" borderId="0" xfId="0" applyFont="1" applyFill="1" applyAlignment="1">
      <alignment horizontal="center"/>
    </xf>
    <xf numFmtId="0" fontId="14" fillId="0" borderId="0" xfId="0" applyFont="1" applyBorder="1"/>
    <xf numFmtId="164" fontId="6" fillId="0" borderId="0" xfId="0" applyNumberFormat="1" applyFont="1" applyBorder="1"/>
    <xf numFmtId="165" fontId="6" fillId="0" borderId="0" xfId="0" applyNumberFormat="1" applyFont="1" applyBorder="1" applyAlignment="1">
      <alignment horizontal="left" indent="3"/>
    </xf>
    <xf numFmtId="0" fontId="6" fillId="0" borderId="0" xfId="0" applyFont="1" applyBorder="1" applyAlignment="1">
      <alignment horizontal="left" indent="2"/>
    </xf>
    <xf numFmtId="168" fontId="6" fillId="0" borderId="0" xfId="0" applyNumberFormat="1" applyFont="1" applyAlignment="1">
      <alignment horizontal="left" indent="1"/>
    </xf>
    <xf numFmtId="10" fontId="6" fillId="0" borderId="0" xfId="0" applyNumberFormat="1" applyFont="1" applyBorder="1" applyAlignment="1">
      <alignment horizontal="center"/>
    </xf>
    <xf numFmtId="42" fontId="0" fillId="0" borderId="0" xfId="0" applyNumberFormat="1"/>
    <xf numFmtId="10" fontId="16" fillId="0" borderId="0" xfId="0" applyNumberFormat="1" applyFont="1" applyBorder="1" applyAlignment="1">
      <alignment horizontal="center"/>
    </xf>
    <xf numFmtId="0" fontId="14" fillId="0" borderId="0" xfId="0" applyFont="1" applyBorder="1" applyAlignment="1">
      <alignment horizontal="left" wrapText="1"/>
    </xf>
    <xf numFmtId="168" fontId="6" fillId="0" borderId="0" xfId="0" applyNumberFormat="1" applyFont="1" applyBorder="1"/>
    <xf numFmtId="0" fontId="6" fillId="0" borderId="0" xfId="0" applyFont="1" applyBorder="1" applyAlignment="1">
      <alignment horizontal="left"/>
    </xf>
    <xf numFmtId="41" fontId="6" fillId="0" borderId="0" xfId="0" applyNumberFormat="1" applyFont="1" applyBorder="1"/>
    <xf numFmtId="0" fontId="14" fillId="0" borderId="0" xfId="0" applyFont="1" applyBorder="1" applyAlignment="1">
      <alignment horizontal="left"/>
    </xf>
    <xf numFmtId="41" fontId="6" fillId="0" borderId="0" xfId="0" applyNumberFormat="1" applyFont="1" applyBorder="1"/>
    <xf numFmtId="10" fontId="6" fillId="0" borderId="0" xfId="0" applyNumberFormat="1" applyFont="1" applyBorder="1" applyAlignment="1">
      <alignment horizontal="center"/>
    </xf>
    <xf numFmtId="10" fontId="6" fillId="0" borderId="0" xfId="0" applyNumberFormat="1" applyFont="1" applyFill="1" applyBorder="1" applyAlignment="1">
      <alignment horizontal="center"/>
    </xf>
    <xf numFmtId="10" fontId="16" fillId="0" borderId="0" xfId="0" applyNumberFormat="1" applyFont="1" applyFill="1" applyBorder="1" applyAlignment="1">
      <alignment horizontal="center"/>
    </xf>
    <xf numFmtId="168" fontId="6" fillId="0" borderId="0" xfId="0" applyNumberFormat="1" applyFont="1" applyBorder="1" applyAlignment="1">
      <alignment horizontal="left" indent="1"/>
    </xf>
    <xf numFmtId="0" fontId="6" fillId="0" borderId="0" xfId="0" applyFont="1" applyBorder="1" applyAlignment="1">
      <alignment horizontal="right" wrapText="1"/>
    </xf>
    <xf numFmtId="0" fontId="14" fillId="0" borderId="0" xfId="0" applyFont="1" applyBorder="1" applyAlignment="1">
      <alignment horizontal="left" vertical="center" wrapText="1"/>
    </xf>
    <xf numFmtId="168" fontId="14" fillId="0" borderId="0" xfId="0" applyNumberFormat="1" applyFont="1" applyBorder="1" applyAlignment="1">
      <alignment vertical="center"/>
    </xf>
    <xf numFmtId="10" fontId="14" fillId="0" borderId="0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right" wrapText="1"/>
    </xf>
    <xf numFmtId="164" fontId="9" fillId="0" borderId="0" xfId="0" applyNumberFormat="1" applyFont="1" applyBorder="1"/>
    <xf numFmtId="10" fontId="9" fillId="0" borderId="0" xfId="0" applyNumberFormat="1" applyFont="1" applyBorder="1" applyAlignment="1">
      <alignment horizontal="left" indent="3"/>
    </xf>
    <xf numFmtId="0" fontId="9" fillId="0" borderId="0" xfId="0" applyFont="1" applyBorder="1" applyAlignment="1">
      <alignment horizontal="left"/>
    </xf>
    <xf numFmtId="0" fontId="9" fillId="0" borderId="0" xfId="0" applyFont="1" applyBorder="1"/>
    <xf numFmtId="3" fontId="9" fillId="0" borderId="0" xfId="0" applyNumberFormat="1" applyFont="1" applyBorder="1"/>
    <xf numFmtId="0" fontId="10" fillId="0" borderId="0" xfId="0" applyFont="1"/>
    <xf numFmtId="0" fontId="6" fillId="0" borderId="0" xfId="0" applyFont="1" applyBorder="1" applyAlignment="1">
      <alignment horizontal="left" wrapText="1"/>
    </xf>
    <xf numFmtId="168" fontId="9" fillId="0" borderId="0" xfId="0" applyNumberFormat="1" applyFont="1" applyBorder="1"/>
    <xf numFmtId="0" fontId="14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42" fontId="10" fillId="0" borderId="0" xfId="0" applyNumberFormat="1" applyFont="1" applyBorder="1" applyAlignment="1">
      <alignment vertical="center"/>
    </xf>
    <xf numFmtId="165" fontId="10" fillId="0" borderId="0" xfId="0" applyNumberFormat="1" applyFont="1" applyBorder="1" applyAlignment="1">
      <alignment horizontal="center" vertical="center"/>
    </xf>
    <xf numFmtId="3" fontId="6" fillId="0" borderId="0" xfId="0" applyNumberFormat="1" applyFont="1"/>
    <xf numFmtId="0" fontId="0" fillId="0" borderId="0" xfId="0" applyAlignment="1">
      <alignment horizontal="center"/>
    </xf>
    <xf numFmtId="42" fontId="9" fillId="0" borderId="0" xfId="0" applyNumberFormat="1" applyFont="1"/>
    <xf numFmtId="0" fontId="14" fillId="0" borderId="0" xfId="0" applyFont="1" applyAlignment="1">
      <alignment horizontal="left"/>
    </xf>
    <xf numFmtId="167" fontId="9" fillId="0" borderId="0" xfId="0" applyNumberFormat="1" applyFont="1"/>
    <xf numFmtId="0" fontId="2" fillId="0" borderId="0" xfId="0" applyFont="1"/>
    <xf numFmtId="0" fontId="0" fillId="0" borderId="0" xfId="0"/>
    <xf numFmtId="0" fontId="13" fillId="0" borderId="0" xfId="0" applyFont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164" fontId="10" fillId="0" borderId="4" xfId="0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0" xfId="0" applyFont="1" applyBorder="1"/>
    <xf numFmtId="164" fontId="9" fillId="0" borderId="0" xfId="0" applyNumberFormat="1" applyFont="1" applyBorder="1"/>
    <xf numFmtId="165" fontId="9" fillId="0" borderId="0" xfId="0" applyNumberFormat="1" applyFont="1" applyBorder="1" applyAlignment="1">
      <alignment horizontal="left" indent="3"/>
    </xf>
    <xf numFmtId="0" fontId="9" fillId="0" borderId="0" xfId="0" applyFont="1" applyBorder="1" applyAlignment="1">
      <alignment horizontal="left" indent="2"/>
    </xf>
    <xf numFmtId="165" fontId="9" fillId="0" borderId="0" xfId="0" applyNumberFormat="1" applyFont="1" applyBorder="1" applyAlignment="1">
      <alignment horizontal="center"/>
    </xf>
    <xf numFmtId="165" fontId="9" fillId="0" borderId="2" xfId="0" applyNumberFormat="1" applyFont="1" applyBorder="1" applyAlignment="1">
      <alignment horizontal="center"/>
    </xf>
    <xf numFmtId="0" fontId="10" fillId="0" borderId="0" xfId="0" applyFont="1" applyBorder="1" applyAlignment="1">
      <alignment horizontal="left" wrapText="1"/>
    </xf>
    <xf numFmtId="42" fontId="9" fillId="0" borderId="0" xfId="0" applyNumberFormat="1" applyFont="1" applyBorder="1"/>
    <xf numFmtId="0" fontId="10" fillId="0" borderId="0" xfId="0" applyFont="1" applyBorder="1" applyAlignment="1">
      <alignment horizontal="left"/>
    </xf>
    <xf numFmtId="41" fontId="9" fillId="0" borderId="0" xfId="0" applyNumberFormat="1" applyFont="1" applyBorder="1"/>
    <xf numFmtId="0" fontId="9" fillId="0" borderId="0" xfId="0" applyFont="1" applyBorder="1" applyAlignment="1">
      <alignment horizontal="center"/>
    </xf>
    <xf numFmtId="10" fontId="9" fillId="0" borderId="0" xfId="0" applyNumberFormat="1" applyFont="1" applyBorder="1" applyAlignment="1">
      <alignment horizontal="center"/>
    </xf>
    <xf numFmtId="5" fontId="9" fillId="0" borderId="0" xfId="0" applyNumberFormat="1" applyFont="1" applyBorder="1"/>
    <xf numFmtId="0" fontId="10" fillId="0" borderId="5" xfId="0" applyFont="1" applyBorder="1" applyAlignment="1">
      <alignment horizontal="left" vertical="center" wrapText="1"/>
    </xf>
    <xf numFmtId="5" fontId="10" fillId="0" borderId="5" xfId="0" applyNumberFormat="1" applyFont="1" applyBorder="1" applyAlignment="1">
      <alignment vertical="center"/>
    </xf>
    <xf numFmtId="165" fontId="10" fillId="0" borderId="5" xfId="0" applyNumberFormat="1" applyFont="1" applyBorder="1" applyAlignment="1">
      <alignment horizontal="center" vertical="center"/>
    </xf>
    <xf numFmtId="42" fontId="10" fillId="0" borderId="5" xfId="0" applyNumberFormat="1" applyFont="1" applyBorder="1" applyAlignment="1">
      <alignment vertical="center"/>
    </xf>
    <xf numFmtId="10" fontId="9" fillId="0" borderId="0" xfId="0" applyNumberFormat="1" applyFont="1" applyBorder="1" applyAlignment="1">
      <alignment horizontal="left" indent="3"/>
    </xf>
    <xf numFmtId="0" fontId="9" fillId="0" borderId="0" xfId="0" applyFont="1" applyBorder="1" applyAlignment="1">
      <alignment horizontal="left" wrapText="1"/>
    </xf>
    <xf numFmtId="0" fontId="10" fillId="0" borderId="5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42" fontId="10" fillId="0" borderId="6" xfId="0" applyNumberFormat="1" applyFont="1" applyBorder="1" applyAlignment="1">
      <alignment vertical="center"/>
    </xf>
    <xf numFmtId="165" fontId="10" fillId="0" borderId="6" xfId="0" applyNumberFormat="1" applyFont="1" applyBorder="1" applyAlignment="1">
      <alignment horizontal="center" vertical="center"/>
    </xf>
    <xf numFmtId="168" fontId="6" fillId="2" borderId="2" xfId="0" applyNumberFormat="1" applyFont="1" applyFill="1" applyBorder="1"/>
    <xf numFmtId="169" fontId="6" fillId="0" borderId="0" xfId="1" applyNumberFormat="1" applyFont="1"/>
    <xf numFmtId="43" fontId="0" fillId="0" borderId="0" xfId="0" applyNumberFormat="1"/>
    <xf numFmtId="0" fontId="5" fillId="0" borderId="0" xfId="0" applyFont="1" applyBorder="1" applyAlignment="1">
      <alignment horizontal="center"/>
    </xf>
    <xf numFmtId="0" fontId="18" fillId="0" borderId="0" xfId="0" applyFont="1"/>
    <xf numFmtId="166" fontId="18" fillId="0" borderId="0" xfId="0" applyNumberFormat="1" applyFont="1" applyAlignment="1">
      <alignment horizontal="center"/>
    </xf>
    <xf numFmtId="164" fontId="0" fillId="0" borderId="0" xfId="0" applyNumberFormat="1"/>
    <xf numFmtId="164" fontId="9" fillId="0" borderId="0" xfId="1" applyNumberFormat="1" applyFont="1" applyBorder="1" applyAlignment="1">
      <alignment horizontal="left" indent="2"/>
    </xf>
    <xf numFmtId="164" fontId="0" fillId="0" borderId="0" xfId="0" applyNumberFormat="1"/>
    <xf numFmtId="164" fontId="6" fillId="0" borderId="0" xfId="0" applyNumberFormat="1" applyFont="1"/>
    <xf numFmtId="164" fontId="0" fillId="0" borderId="0" xfId="1" applyNumberFormat="1" applyFont="1" applyFill="1"/>
    <xf numFmtId="40" fontId="0" fillId="0" borderId="0" xfId="0" applyNumberFormat="1"/>
    <xf numFmtId="38" fontId="0" fillId="0" borderId="0" xfId="0" applyNumberFormat="1"/>
    <xf numFmtId="0" fontId="0" fillId="0" borderId="0" xfId="0" applyAlignment="1">
      <alignment horizontal="left" indent="1"/>
    </xf>
    <xf numFmtId="0" fontId="0" fillId="0" borderId="2" xfId="0" applyBorder="1" applyAlignment="1">
      <alignment horizontal="left" indent="1"/>
    </xf>
    <xf numFmtId="166" fontId="2" fillId="3" borderId="17" xfId="0" applyNumberFormat="1" applyFont="1" applyFill="1" applyBorder="1" applyAlignment="1">
      <alignment horizontal="center"/>
    </xf>
    <xf numFmtId="166" fontId="2" fillId="3" borderId="18" xfId="0" applyNumberFormat="1" applyFont="1" applyFill="1" applyBorder="1" applyAlignment="1">
      <alignment horizontal="center"/>
    </xf>
    <xf numFmtId="166" fontId="2" fillId="3" borderId="6" xfId="0" applyNumberFormat="1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19" fillId="0" borderId="0" xfId="0" applyFont="1"/>
    <xf numFmtId="164" fontId="9" fillId="0" borderId="2" xfId="1" applyNumberFormat="1" applyFont="1" applyBorder="1" applyAlignment="1">
      <alignment horizontal="left" indent="2"/>
    </xf>
    <xf numFmtId="38" fontId="0" fillId="0" borderId="0" xfId="0" applyNumberFormat="1" applyFill="1"/>
    <xf numFmtId="38" fontId="0" fillId="0" borderId="2" xfId="0" applyNumberFormat="1" applyFill="1" applyBorder="1"/>
    <xf numFmtId="164" fontId="0" fillId="0" borderId="0" xfId="0" applyNumberFormat="1" applyFill="1"/>
    <xf numFmtId="43" fontId="0" fillId="0" borderId="0" xfId="1" applyFont="1"/>
    <xf numFmtId="41" fontId="9" fillId="0" borderId="0" xfId="0" applyNumberFormat="1" applyFont="1"/>
    <xf numFmtId="170" fontId="9" fillId="0" borderId="0" xfId="0" applyNumberFormat="1" applyFont="1" applyBorder="1" applyAlignment="1">
      <alignment horizontal="center"/>
    </xf>
    <xf numFmtId="170" fontId="9" fillId="0" borderId="2" xfId="0" applyNumberFormat="1" applyFont="1" applyBorder="1" applyAlignment="1">
      <alignment horizontal="center"/>
    </xf>
    <xf numFmtId="43" fontId="0" fillId="0" borderId="2" xfId="1" applyFont="1" applyFill="1" applyBorder="1"/>
    <xf numFmtId="0" fontId="9" fillId="0" borderId="0" xfId="0" applyFont="1" applyFill="1" applyBorder="1" applyAlignment="1">
      <alignment horizontal="left" indent="2"/>
    </xf>
    <xf numFmtId="164" fontId="9" fillId="0" borderId="0" xfId="1" applyNumberFormat="1" applyFont="1" applyFill="1" applyBorder="1" applyAlignment="1">
      <alignment horizontal="left" indent="2"/>
    </xf>
    <xf numFmtId="165" fontId="9" fillId="0" borderId="0" xfId="0" applyNumberFormat="1" applyFont="1" applyFill="1" applyBorder="1" applyAlignment="1">
      <alignment horizontal="center"/>
    </xf>
    <xf numFmtId="165" fontId="9" fillId="0" borderId="2" xfId="0" applyNumberFormat="1" applyFont="1" applyFill="1" applyBorder="1" applyAlignment="1">
      <alignment horizontal="center"/>
    </xf>
    <xf numFmtId="0" fontId="10" fillId="0" borderId="0" xfId="0" applyFont="1" applyFill="1" applyBorder="1" applyAlignment="1">
      <alignment horizontal="left" wrapText="1"/>
    </xf>
    <xf numFmtId="42" fontId="9" fillId="0" borderId="0" xfId="0" applyNumberFormat="1" applyFont="1" applyFill="1" applyBorder="1"/>
    <xf numFmtId="0" fontId="9" fillId="0" borderId="0" xfId="0" applyFont="1" applyFill="1" applyBorder="1" applyAlignment="1">
      <alignment horizontal="left"/>
    </xf>
    <xf numFmtId="41" fontId="9" fillId="0" borderId="0" xfId="0" applyNumberFormat="1" applyFont="1" applyFill="1" applyBorder="1"/>
    <xf numFmtId="0" fontId="10" fillId="0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center"/>
    </xf>
    <xf numFmtId="10" fontId="9" fillId="0" borderId="0" xfId="0" applyNumberFormat="1" applyFont="1" applyFill="1" applyBorder="1" applyAlignment="1">
      <alignment horizontal="center"/>
    </xf>
    <xf numFmtId="164" fontId="9" fillId="0" borderId="2" xfId="1" applyNumberFormat="1" applyFont="1" applyFill="1" applyBorder="1" applyAlignment="1">
      <alignment horizontal="left" indent="2"/>
    </xf>
    <xf numFmtId="5" fontId="9" fillId="0" borderId="0" xfId="0" applyNumberFormat="1" applyFont="1" applyFill="1" applyBorder="1"/>
    <xf numFmtId="0" fontId="9" fillId="0" borderId="0" xfId="0" applyFont="1" applyFill="1" applyBorder="1" applyAlignment="1">
      <alignment horizontal="right" wrapText="1"/>
    </xf>
    <xf numFmtId="165" fontId="9" fillId="0" borderId="0" xfId="0" applyNumberFormat="1" applyFont="1" applyFill="1" applyBorder="1" applyAlignment="1">
      <alignment horizontal="left" indent="3"/>
    </xf>
    <xf numFmtId="0" fontId="10" fillId="0" borderId="5" xfId="0" applyFont="1" applyFill="1" applyBorder="1" applyAlignment="1">
      <alignment horizontal="left" vertical="center" wrapText="1"/>
    </xf>
    <xf numFmtId="5" fontId="10" fillId="0" borderId="5" xfId="0" applyNumberFormat="1" applyFont="1" applyFill="1" applyBorder="1" applyAlignment="1">
      <alignment vertical="center"/>
    </xf>
    <xf numFmtId="165" fontId="10" fillId="0" borderId="5" xfId="0" applyNumberFormat="1" applyFont="1" applyFill="1" applyBorder="1" applyAlignment="1">
      <alignment horizontal="center" vertical="center"/>
    </xf>
    <xf numFmtId="164" fontId="9" fillId="0" borderId="0" xfId="0" applyNumberFormat="1" applyFont="1" applyFill="1" applyBorder="1"/>
    <xf numFmtId="10" fontId="9" fillId="0" borderId="0" xfId="0" applyNumberFormat="1" applyFont="1" applyFill="1" applyBorder="1" applyAlignment="1">
      <alignment horizontal="left" indent="3"/>
    </xf>
    <xf numFmtId="0" fontId="9" fillId="0" borderId="4" xfId="0" applyFont="1" applyFill="1" applyBorder="1" applyAlignment="1">
      <alignment horizontal="center" vertical="center"/>
    </xf>
    <xf numFmtId="164" fontId="10" fillId="0" borderId="4" xfId="0" applyNumberFormat="1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0" xfId="0" applyFont="1" applyFill="1" applyBorder="1"/>
    <xf numFmtId="0" fontId="9" fillId="0" borderId="0" xfId="0" applyFont="1" applyFill="1" applyBorder="1" applyAlignment="1">
      <alignment horizontal="left" wrapText="1"/>
    </xf>
    <xf numFmtId="0" fontId="10" fillId="0" borderId="5" xfId="0" applyFont="1" applyFill="1" applyBorder="1" applyAlignment="1">
      <alignment vertical="center" wrapText="1"/>
    </xf>
    <xf numFmtId="42" fontId="10" fillId="0" borderId="5" xfId="0" applyNumberFormat="1" applyFont="1" applyFill="1" applyBorder="1" applyAlignment="1">
      <alignment vertical="center"/>
    </xf>
    <xf numFmtId="0" fontId="9" fillId="0" borderId="0" xfId="0" applyFont="1" applyFill="1" applyBorder="1"/>
    <xf numFmtId="0" fontId="10" fillId="0" borderId="6" xfId="0" applyFont="1" applyFill="1" applyBorder="1" applyAlignment="1">
      <alignment vertical="center" wrapText="1"/>
    </xf>
    <xf numFmtId="42" fontId="10" fillId="0" borderId="6" xfId="0" applyNumberFormat="1" applyFont="1" applyFill="1" applyBorder="1" applyAlignment="1">
      <alignment vertical="center"/>
    </xf>
    <xf numFmtId="165" fontId="10" fillId="0" borderId="6" xfId="0" applyNumberFormat="1" applyFont="1" applyFill="1" applyBorder="1" applyAlignment="1">
      <alignment horizontal="center" vertical="center"/>
    </xf>
    <xf numFmtId="41" fontId="9" fillId="0" borderId="2" xfId="0" applyNumberFormat="1" applyFont="1" applyFill="1" applyBorder="1"/>
    <xf numFmtId="0" fontId="7" fillId="0" borderId="0" xfId="0" applyFont="1" applyFill="1" applyAlignment="1">
      <alignment horizontal="center"/>
    </xf>
    <xf numFmtId="164" fontId="18" fillId="0" borderId="19" xfId="3" applyNumberFormat="1" applyFont="1" applyFill="1"/>
    <xf numFmtId="0" fontId="18" fillId="0" borderId="0" xfId="0" applyFont="1" applyFill="1"/>
    <xf numFmtId="164" fontId="0" fillId="0" borderId="13" xfId="1" applyNumberFormat="1" applyFont="1" applyFill="1" applyBorder="1"/>
    <xf numFmtId="164" fontId="0" fillId="0" borderId="14" xfId="1" applyNumberFormat="1" applyFont="1" applyFill="1" applyBorder="1"/>
    <xf numFmtId="164" fontId="0" fillId="0" borderId="11" xfId="1" applyNumberFormat="1" applyFont="1" applyFill="1" applyBorder="1"/>
    <xf numFmtId="164" fontId="0" fillId="0" borderId="12" xfId="1" applyNumberFormat="1" applyFont="1" applyFill="1" applyBorder="1"/>
    <xf numFmtId="164" fontId="0" fillId="0" borderId="15" xfId="1" applyNumberFormat="1" applyFont="1" applyFill="1" applyBorder="1"/>
    <xf numFmtId="164" fontId="0" fillId="0" borderId="16" xfId="1" applyNumberFormat="1" applyFont="1" applyFill="1" applyBorder="1"/>
    <xf numFmtId="38" fontId="18" fillId="0" borderId="0" xfId="0" applyNumberFormat="1" applyFont="1" applyFill="1"/>
    <xf numFmtId="0" fontId="11" fillId="0" borderId="3" xfId="0" applyFont="1" applyFill="1" applyBorder="1" applyAlignment="1">
      <alignment horizontal="center"/>
    </xf>
    <xf numFmtId="0" fontId="8" fillId="0" borderId="0" xfId="0" applyFont="1" applyAlignment="1" applyProtection="1">
      <alignment horizontal="center"/>
    </xf>
    <xf numFmtId="0" fontId="12" fillId="0" borderId="0" xfId="0" applyFont="1" applyAlignment="1" applyProtection="1">
      <alignment horizontal="center"/>
    </xf>
    <xf numFmtId="17" fontId="11" fillId="0" borderId="0" xfId="0" quotePrefix="1" applyNumberFormat="1" applyFont="1" applyAlignment="1" applyProtection="1">
      <alignment horizontal="center"/>
    </xf>
    <xf numFmtId="0" fontId="11" fillId="0" borderId="0" xfId="0" applyFont="1" applyAlignment="1" applyProtection="1">
      <alignment horizontal="center"/>
    </xf>
    <xf numFmtId="0" fontId="9" fillId="0" borderId="0" xfId="0" applyFont="1" applyAlignment="1">
      <alignment horizontal="center"/>
    </xf>
    <xf numFmtId="0" fontId="11" fillId="0" borderId="3" xfId="0" applyFont="1" applyBorder="1" applyAlignment="1">
      <alignment horizontal="center"/>
    </xf>
    <xf numFmtId="0" fontId="2" fillId="3" borderId="17" xfId="0" applyFont="1" applyFill="1" applyBorder="1" applyAlignment="1">
      <alignment horizontal="center"/>
    </xf>
    <xf numFmtId="0" fontId="2" fillId="3" borderId="18" xfId="0" applyFont="1" applyFill="1" applyBorder="1" applyAlignment="1">
      <alignment horizontal="center"/>
    </xf>
    <xf numFmtId="166" fontId="2" fillId="0" borderId="7" xfId="0" applyNumberFormat="1" applyFont="1" applyBorder="1" applyAlignment="1">
      <alignment horizontal="center"/>
    </xf>
    <xf numFmtId="166" fontId="2" fillId="0" borderId="8" xfId="0" applyNumberFormat="1" applyFont="1" applyBorder="1" applyAlignment="1">
      <alignment horizontal="center"/>
    </xf>
    <xf numFmtId="166" fontId="2" fillId="0" borderId="9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</cellXfs>
  <cellStyles count="44">
    <cellStyle name="Comma" xfId="1" builtinId="3"/>
    <cellStyle name="Comma [0]" xfId="2" builtinId="6"/>
    <cellStyle name="Comma 6" xfId="4"/>
    <cellStyle name="Normal" xfId="0" builtinId="0"/>
    <cellStyle name="Normal 2" xfId="5"/>
    <cellStyle name="Normal 2 2 2" xfId="6"/>
    <cellStyle name="Note" xfId="3" builtinId="10"/>
    <cellStyle name="SAPBorder" xfId="25"/>
    <cellStyle name="SAPDataCell" xfId="8"/>
    <cellStyle name="SAPDataTotalCell" xfId="9"/>
    <cellStyle name="SAPDimensionCell" xfId="7"/>
    <cellStyle name="SAPEditableDataCell" xfId="10"/>
    <cellStyle name="SAPEditableDataTotalCell" xfId="13"/>
    <cellStyle name="SAPEmphasized" xfId="33"/>
    <cellStyle name="SAPEmphasizedEditableDataCell" xfId="35"/>
    <cellStyle name="SAPEmphasizedEditableDataTotalCell" xfId="36"/>
    <cellStyle name="SAPEmphasizedLockedDataCell" xfId="39"/>
    <cellStyle name="SAPEmphasizedLockedDataTotalCell" xfId="40"/>
    <cellStyle name="SAPEmphasizedReadonlyDataCell" xfId="37"/>
    <cellStyle name="SAPEmphasizedReadonlyDataTotalCell" xfId="38"/>
    <cellStyle name="SAPEmphasizedTotal" xfId="34"/>
    <cellStyle name="SAPError" xfId="43"/>
    <cellStyle name="SAPExceptionLevel1" xfId="16"/>
    <cellStyle name="SAPExceptionLevel2" xfId="17"/>
    <cellStyle name="SAPExceptionLevel3" xfId="18"/>
    <cellStyle name="SAPExceptionLevel4" xfId="19"/>
    <cellStyle name="SAPExceptionLevel5" xfId="20"/>
    <cellStyle name="SAPExceptionLevel6" xfId="21"/>
    <cellStyle name="SAPExceptionLevel7" xfId="22"/>
    <cellStyle name="SAPExceptionLevel8" xfId="23"/>
    <cellStyle name="SAPExceptionLevel9" xfId="24"/>
    <cellStyle name="SAPFormula" xfId="42"/>
    <cellStyle name="SAPHierarchyCell0" xfId="28"/>
    <cellStyle name="SAPHierarchyCell1" xfId="29"/>
    <cellStyle name="SAPHierarchyCell2" xfId="30"/>
    <cellStyle name="SAPHierarchyCell3" xfId="31"/>
    <cellStyle name="SAPHierarchyCell4" xfId="32"/>
    <cellStyle name="SAPLockedDataCell" xfId="12"/>
    <cellStyle name="SAPLockedDataTotalCell" xfId="15"/>
    <cellStyle name="SAPMemberCell" xfId="26"/>
    <cellStyle name="SAPMemberTotalCell" xfId="27"/>
    <cellStyle name="SAPMessageText" xfId="41"/>
    <cellStyle name="SAPReadonlyDataCell" xfId="11"/>
    <cellStyle name="SAPReadonlyDataTotalCell" xfId="14"/>
  </cellStyles>
  <dxfs count="14"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</dxfs>
  <tableStyles count="0" defaultTableStyle="TableStyleMedium2" defaultPivotStyle="PivotStyleLight16"/>
  <colors>
    <mruColors>
      <color rgb="FFFF7C80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ce\workgroup\CapRec&amp;PropVal\CHUCK\Transmission%20Line%20(ISO)%20Studies\2007%20ISO%20TransLine%20Study\ISO%20TransLines%20ao%2012-200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CapRec&amp;PropVal\ROB_FILE\Analysis%20--%20Various\CPUC%20vs%20FERC%20Depr\Analysis%20of%20PUC-FERC%20Rate%20Diff%20-%20Rob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SO"/>
      <sheetName val="TL COST SUMMARY"/>
      <sheetName val="ACCT_101-106"/>
      <sheetName val="ACCT_106"/>
      <sheetName val="MILEAGE ADJ"/>
      <sheetName val="Acct 101- Reconciliation"/>
      <sheetName val="Acct 106 - Reconciliation"/>
    </sheetNames>
    <sheetDataSet>
      <sheetData sheetId="0"/>
      <sheetData sheetId="1">
        <row r="107">
          <cell r="V107">
            <v>73689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gnitude of Rate Different (2)"/>
      <sheetName val="Labor Factor"/>
      <sheetName val="ISO Splits"/>
      <sheetName val="ISO"/>
      <sheetName val="TL COST SUMMARY"/>
      <sheetName val="ACCT_101-106"/>
      <sheetName val="ACCT_106"/>
      <sheetName val="MILEAGE ADJ"/>
      <sheetName val="0101"/>
      <sheetName val="0102"/>
      <sheetName val="0103"/>
      <sheetName val="0104"/>
      <sheetName val="010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54"/>
  <sheetViews>
    <sheetView zoomScale="90" zoomScaleNormal="90" workbookViewId="0">
      <selection activeCell="C23" sqref="C23"/>
    </sheetView>
  </sheetViews>
  <sheetFormatPr defaultColWidth="9.140625" defaultRowHeight="15" x14ac:dyDescent="0.25"/>
  <cols>
    <col min="1" max="1" width="4.7109375" style="22" customWidth="1"/>
    <col min="2" max="2" width="25.7109375" style="35" customWidth="1"/>
    <col min="3" max="5" width="15.7109375" style="35" customWidth="1"/>
    <col min="6" max="6" width="12.28515625" style="35" customWidth="1"/>
    <col min="7" max="7" width="9.140625" style="22"/>
    <col min="8" max="8" width="15.5703125" style="22" customWidth="1"/>
    <col min="9" max="16384" width="9.140625" style="22"/>
  </cols>
  <sheetData>
    <row r="1" spans="1:8" x14ac:dyDescent="0.25">
      <c r="A1" s="29" t="s">
        <v>52</v>
      </c>
      <c r="B1" s="32"/>
      <c r="C1" s="32"/>
      <c r="D1" s="32"/>
      <c r="E1" s="33" t="s">
        <v>53</v>
      </c>
      <c r="F1" s="34"/>
      <c r="G1" s="23"/>
    </row>
    <row r="2" spans="1:8" x14ac:dyDescent="0.25">
      <c r="B2" s="32"/>
      <c r="C2" s="32"/>
      <c r="G2" s="23"/>
    </row>
    <row r="3" spans="1:8" x14ac:dyDescent="0.25">
      <c r="A3" s="36" t="s">
        <v>54</v>
      </c>
      <c r="B3" s="37"/>
      <c r="C3" s="37"/>
      <c r="D3" s="37"/>
      <c r="E3" s="38" t="s">
        <v>43</v>
      </c>
      <c r="F3" s="33">
        <v>2013</v>
      </c>
      <c r="G3" s="23"/>
    </row>
    <row r="4" spans="1:8" x14ac:dyDescent="0.25">
      <c r="A4" s="39"/>
      <c r="B4" s="32"/>
      <c r="C4" s="32"/>
      <c r="D4" s="32"/>
      <c r="E4" s="32"/>
      <c r="F4" s="32"/>
      <c r="G4" s="23"/>
    </row>
    <row r="5" spans="1:8" x14ac:dyDescent="0.25">
      <c r="B5" s="39"/>
      <c r="C5" s="24" t="s">
        <v>44</v>
      </c>
      <c r="E5" s="24" t="s">
        <v>45</v>
      </c>
      <c r="F5" s="24" t="s">
        <v>46</v>
      </c>
      <c r="G5" s="23"/>
    </row>
    <row r="6" spans="1:8" x14ac:dyDescent="0.25">
      <c r="B6" s="39"/>
      <c r="C6" s="24"/>
      <c r="E6" s="24"/>
      <c r="F6" s="24"/>
      <c r="G6" s="23"/>
    </row>
    <row r="7" spans="1:8" x14ac:dyDescent="0.25">
      <c r="A7" s="25" t="s">
        <v>47</v>
      </c>
      <c r="B7" s="39"/>
      <c r="C7" s="40" t="s">
        <v>2</v>
      </c>
      <c r="D7" s="40"/>
      <c r="E7" s="40" t="s">
        <v>55</v>
      </c>
      <c r="F7" s="40" t="s">
        <v>56</v>
      </c>
      <c r="G7" s="23"/>
    </row>
    <row r="8" spans="1:8" x14ac:dyDescent="0.25">
      <c r="A8" s="26">
        <v>1</v>
      </c>
      <c r="B8" s="41" t="s">
        <v>57</v>
      </c>
      <c r="C8" s="41" t="s">
        <v>49</v>
      </c>
      <c r="D8" s="41" t="s">
        <v>58</v>
      </c>
      <c r="E8" s="41" t="s">
        <v>59</v>
      </c>
      <c r="F8" s="41" t="s">
        <v>60</v>
      </c>
      <c r="G8" s="42" t="s">
        <v>50</v>
      </c>
    </row>
    <row r="9" spans="1:8" ht="12.75" customHeight="1" x14ac:dyDescent="0.25">
      <c r="A9" s="26">
        <f>A8+1</f>
        <v>2</v>
      </c>
      <c r="B9" s="43" t="s">
        <v>61</v>
      </c>
      <c r="C9" s="44"/>
      <c r="D9" s="44"/>
      <c r="E9" s="44"/>
      <c r="F9" s="45"/>
      <c r="G9" s="23"/>
    </row>
    <row r="10" spans="1:8" x14ac:dyDescent="0.25">
      <c r="A10" s="26">
        <f t="shared" ref="A10:A28" si="0">A9+1</f>
        <v>3</v>
      </c>
      <c r="B10" s="46">
        <v>352</v>
      </c>
      <c r="C10" s="27" t="e">
        <f>+VLOOKUP(B10,#REF!,3,FALSE)</f>
        <v>#REF!</v>
      </c>
      <c r="D10" s="47" t="s">
        <v>62</v>
      </c>
      <c r="E10" s="27" t="e">
        <f>VLOOKUP(B10,#REF!,4,FALSE)</f>
        <v>#REF!</v>
      </c>
      <c r="F10" s="48" t="e">
        <f>E10/C10</f>
        <v>#REF!</v>
      </c>
      <c r="G10" s="23"/>
      <c r="H10" s="49"/>
    </row>
    <row r="11" spans="1:8" x14ac:dyDescent="0.25">
      <c r="A11" s="26">
        <f t="shared" si="0"/>
        <v>4</v>
      </c>
      <c r="B11" s="46">
        <v>353</v>
      </c>
      <c r="C11" s="112" t="e">
        <f>+VLOOKUP(B11,#REF!,3,FALSE)</f>
        <v>#REF!</v>
      </c>
      <c r="D11" s="47" t="s">
        <v>63</v>
      </c>
      <c r="E11" s="112" t="e">
        <f>VLOOKUP(B11,#REF!,4,FALSE)</f>
        <v>#REF!</v>
      </c>
      <c r="F11" s="50" t="e">
        <f>E11/C11</f>
        <v>#REF!</v>
      </c>
      <c r="G11" s="23"/>
    </row>
    <row r="12" spans="1:8" x14ac:dyDescent="0.25">
      <c r="A12" s="26">
        <f t="shared" si="0"/>
        <v>5</v>
      </c>
      <c r="B12" s="51" t="s">
        <v>17</v>
      </c>
      <c r="C12" s="52" t="e">
        <f>SUM(C10:C11)</f>
        <v>#REF!</v>
      </c>
      <c r="D12" s="30" t="str">
        <f>"L "&amp;A10&amp;" + L "&amp;A11&amp;""</f>
        <v>L 3 + L 4</v>
      </c>
      <c r="E12" s="52" t="e">
        <f>SUM(E10:E11)</f>
        <v>#REF!</v>
      </c>
      <c r="F12" s="48" t="e">
        <f>E12/C12</f>
        <v>#REF!</v>
      </c>
      <c r="G12" s="23"/>
    </row>
    <row r="13" spans="1:8" x14ac:dyDescent="0.25">
      <c r="A13" s="26">
        <f t="shared" si="0"/>
        <v>6</v>
      </c>
      <c r="B13" s="53"/>
      <c r="C13" s="54"/>
      <c r="D13" s="54"/>
      <c r="E13" s="54"/>
      <c r="F13" s="48"/>
      <c r="G13" s="23"/>
    </row>
    <row r="14" spans="1:8" x14ac:dyDescent="0.25">
      <c r="A14" s="26">
        <f t="shared" si="0"/>
        <v>7</v>
      </c>
      <c r="B14" s="55" t="s">
        <v>64</v>
      </c>
      <c r="C14" s="56"/>
      <c r="D14" s="56"/>
      <c r="E14" s="56"/>
      <c r="F14" s="57"/>
      <c r="G14" s="23"/>
    </row>
    <row r="15" spans="1:8" x14ac:dyDescent="0.25">
      <c r="A15" s="26">
        <f t="shared" si="0"/>
        <v>8</v>
      </c>
      <c r="B15" s="46">
        <v>350</v>
      </c>
      <c r="C15" s="27" t="e">
        <f>+VLOOKUP(B15,#REF!,3,FALSE)</f>
        <v>#REF!</v>
      </c>
      <c r="D15" s="47" t="s">
        <v>65</v>
      </c>
      <c r="E15" s="27" t="e">
        <f>VLOOKUP(B15,#REF!,4,FALSE)</f>
        <v>#REF!</v>
      </c>
      <c r="F15" s="48" t="e">
        <f>E15/C15</f>
        <v>#REF!</v>
      </c>
      <c r="G15" s="23"/>
    </row>
    <row r="16" spans="1:8" x14ac:dyDescent="0.25">
      <c r="A16" s="26">
        <f t="shared" si="0"/>
        <v>9</v>
      </c>
      <c r="B16" s="46"/>
      <c r="C16" s="52"/>
      <c r="D16" s="52"/>
      <c r="E16" s="52"/>
      <c r="F16" s="48"/>
      <c r="G16" s="23"/>
    </row>
    <row r="17" spans="1:7" x14ac:dyDescent="0.25">
      <c r="A17" s="26">
        <f t="shared" si="0"/>
        <v>10</v>
      </c>
      <c r="B17" s="55" t="s">
        <v>66</v>
      </c>
      <c r="C17" s="52" t="e">
        <f>C12+C15</f>
        <v>#REF!</v>
      </c>
      <c r="D17" s="30" t="str">
        <f>"L "&amp;A12&amp;" + L "&amp;A15&amp;""</f>
        <v>L 5 + L 8</v>
      </c>
      <c r="E17" s="52" t="e">
        <f>E12+E15</f>
        <v>#REF!</v>
      </c>
      <c r="F17" s="48" t="e">
        <f>E17/C17</f>
        <v>#REF!</v>
      </c>
      <c r="G17" s="23"/>
    </row>
    <row r="18" spans="1:7" x14ac:dyDescent="0.25">
      <c r="A18" s="26">
        <f t="shared" si="0"/>
        <v>11</v>
      </c>
      <c r="B18" s="53"/>
      <c r="C18" s="54"/>
      <c r="D18" s="54"/>
      <c r="E18" s="54"/>
      <c r="F18" s="48"/>
      <c r="G18" s="23"/>
    </row>
    <row r="19" spans="1:7" x14ac:dyDescent="0.25">
      <c r="A19" s="26">
        <f t="shared" si="0"/>
        <v>12</v>
      </c>
      <c r="B19" s="55" t="s">
        <v>18</v>
      </c>
      <c r="C19" s="54"/>
      <c r="D19" s="54"/>
      <c r="E19" s="54"/>
      <c r="F19" s="48"/>
      <c r="G19" s="23"/>
    </row>
    <row r="20" spans="1:7" x14ac:dyDescent="0.25">
      <c r="A20" s="26">
        <f t="shared" si="0"/>
        <v>13</v>
      </c>
      <c r="B20" s="46">
        <v>354</v>
      </c>
      <c r="C20" s="27" t="e">
        <f>+VLOOKUP(B20,#REF!,3,FALSE)</f>
        <v>#REF!</v>
      </c>
      <c r="D20" s="47" t="s">
        <v>67</v>
      </c>
      <c r="E20" s="27" t="e">
        <f>VLOOKUP(B20,#REF!,4,FALSE)</f>
        <v>#REF!</v>
      </c>
      <c r="F20" s="58" t="e">
        <f>E20/C20</f>
        <v>#REF!</v>
      </c>
      <c r="G20" s="23"/>
    </row>
    <row r="21" spans="1:7" x14ac:dyDescent="0.25">
      <c r="A21" s="26">
        <f t="shared" si="0"/>
        <v>14</v>
      </c>
      <c r="B21" s="46">
        <v>355</v>
      </c>
      <c r="C21" s="27" t="e">
        <f>+VLOOKUP(B21,#REF!,3,FALSE)</f>
        <v>#REF!</v>
      </c>
      <c r="D21" s="47" t="s">
        <v>68</v>
      </c>
      <c r="E21" s="27" t="e">
        <f>VLOOKUP(B21,#REF!,4,FALSE)</f>
        <v>#REF!</v>
      </c>
      <c r="F21" s="58" t="e">
        <f t="shared" ref="F21:F26" si="1">E21/C21</f>
        <v>#REF!</v>
      </c>
      <c r="G21" s="23"/>
    </row>
    <row r="22" spans="1:7" x14ac:dyDescent="0.25">
      <c r="A22" s="26">
        <f t="shared" si="0"/>
        <v>15</v>
      </c>
      <c r="B22" s="46">
        <v>356</v>
      </c>
      <c r="C22" s="27" t="e">
        <f>+VLOOKUP(B22,#REF!,3,FALSE)</f>
        <v>#REF!</v>
      </c>
      <c r="D22" s="47" t="s">
        <v>69</v>
      </c>
      <c r="E22" s="27" t="e">
        <f>VLOOKUP(B22,#REF!,4,FALSE)</f>
        <v>#REF!</v>
      </c>
      <c r="F22" s="58" t="e">
        <f t="shared" si="1"/>
        <v>#REF!</v>
      </c>
      <c r="G22" s="23"/>
    </row>
    <row r="23" spans="1:7" x14ac:dyDescent="0.25">
      <c r="A23" s="26">
        <f t="shared" si="0"/>
        <v>16</v>
      </c>
      <c r="B23" s="46">
        <v>357</v>
      </c>
      <c r="C23" s="27" t="e">
        <f>+VLOOKUP(B23,#REF!,3,FALSE)</f>
        <v>#REF!</v>
      </c>
      <c r="D23" s="47" t="s">
        <v>70</v>
      </c>
      <c r="E23" s="27" t="e">
        <f>VLOOKUP(B23,#REF!,4,FALSE)</f>
        <v>#REF!</v>
      </c>
      <c r="F23" s="58" t="e">
        <f t="shared" si="1"/>
        <v>#REF!</v>
      </c>
      <c r="G23" s="23"/>
    </row>
    <row r="24" spans="1:7" x14ac:dyDescent="0.25">
      <c r="A24" s="26">
        <f t="shared" si="0"/>
        <v>17</v>
      </c>
      <c r="B24" s="46">
        <v>358</v>
      </c>
      <c r="C24" s="27" t="e">
        <f>+VLOOKUP(B24,#REF!,3,FALSE)</f>
        <v>#REF!</v>
      </c>
      <c r="D24" s="47" t="s">
        <v>71</v>
      </c>
      <c r="E24" s="27" t="e">
        <f>VLOOKUP(B24,#REF!,4,FALSE)</f>
        <v>#REF!</v>
      </c>
      <c r="F24" s="58" t="e">
        <f t="shared" si="1"/>
        <v>#REF!</v>
      </c>
      <c r="G24" s="23"/>
    </row>
    <row r="25" spans="1:7" x14ac:dyDescent="0.25">
      <c r="A25" s="26">
        <f t="shared" si="0"/>
        <v>18</v>
      </c>
      <c r="B25" s="46">
        <v>359</v>
      </c>
      <c r="C25" s="112" t="e">
        <f>+VLOOKUP(B25,#REF!,3,FALSE)</f>
        <v>#REF!</v>
      </c>
      <c r="D25" s="47" t="s">
        <v>72</v>
      </c>
      <c r="E25" s="112" t="e">
        <f>VLOOKUP(B25,#REF!,4,FALSE)</f>
        <v>#REF!</v>
      </c>
      <c r="F25" s="59" t="e">
        <f t="shared" si="1"/>
        <v>#REF!</v>
      </c>
      <c r="G25" s="23"/>
    </row>
    <row r="26" spans="1:7" x14ac:dyDescent="0.25">
      <c r="A26" s="26">
        <f t="shared" si="0"/>
        <v>19</v>
      </c>
      <c r="B26" s="51" t="s">
        <v>19</v>
      </c>
      <c r="C26" s="52" t="e">
        <f>SUM(C20:C25)</f>
        <v>#REF!</v>
      </c>
      <c r="D26" s="60" t="str">
        <f>"Sum L"&amp;A20&amp;" to L"&amp;A25&amp;""</f>
        <v>Sum L13 to L18</v>
      </c>
      <c r="E26" s="52" t="e">
        <f>SUM(E20:E25)</f>
        <v>#REF!</v>
      </c>
      <c r="F26" s="48" t="e">
        <f t="shared" si="1"/>
        <v>#REF!</v>
      </c>
      <c r="G26" s="23"/>
    </row>
    <row r="27" spans="1:7" x14ac:dyDescent="0.25">
      <c r="A27" s="26">
        <f t="shared" si="0"/>
        <v>20</v>
      </c>
      <c r="B27" s="61"/>
      <c r="C27" s="52"/>
      <c r="D27" s="52"/>
      <c r="E27" s="52"/>
      <c r="F27" s="48"/>
      <c r="G27" s="23"/>
    </row>
    <row r="28" spans="1:7" x14ac:dyDescent="0.25">
      <c r="A28" s="26">
        <f t="shared" si="0"/>
        <v>21</v>
      </c>
      <c r="B28" s="62" t="s">
        <v>20</v>
      </c>
      <c r="C28" s="63" t="e">
        <f>C17+C26</f>
        <v>#REF!</v>
      </c>
      <c r="D28" s="30" t="str">
        <f>"L "&amp;A17&amp;" + L "&amp;A26&amp;""</f>
        <v>L 10 + L 19</v>
      </c>
      <c r="E28" s="63" t="e">
        <f>E17+E26</f>
        <v>#REF!</v>
      </c>
      <c r="F28" s="64" t="e">
        <f>E28/C28</f>
        <v>#REF!</v>
      </c>
      <c r="G28" s="23" t="s">
        <v>48</v>
      </c>
    </row>
    <row r="29" spans="1:7" x14ac:dyDescent="0.25">
      <c r="A29" s="26"/>
      <c r="B29" s="65"/>
      <c r="C29" s="66"/>
      <c r="D29" s="66"/>
      <c r="E29" s="66"/>
      <c r="F29" s="67"/>
    </row>
    <row r="30" spans="1:7" x14ac:dyDescent="0.25">
      <c r="A30" s="26"/>
      <c r="B30" s="68"/>
      <c r="C30" s="69"/>
      <c r="D30" s="69"/>
      <c r="E30" s="70"/>
      <c r="F30" s="69"/>
    </row>
    <row r="31" spans="1:7" x14ac:dyDescent="0.25">
      <c r="A31" s="39" t="s">
        <v>73</v>
      </c>
      <c r="C31" s="69"/>
      <c r="D31" s="69"/>
      <c r="E31" s="69"/>
      <c r="F31" s="69"/>
    </row>
    <row r="32" spans="1:7" x14ac:dyDescent="0.25">
      <c r="A32" s="26"/>
      <c r="B32" s="71"/>
      <c r="C32" s="69"/>
      <c r="D32" s="69"/>
      <c r="E32" s="69"/>
      <c r="F32" s="69"/>
    </row>
    <row r="33" spans="1:9" x14ac:dyDescent="0.25">
      <c r="A33" s="25" t="s">
        <v>47</v>
      </c>
      <c r="B33" s="39"/>
      <c r="C33" s="40" t="s">
        <v>2</v>
      </c>
      <c r="D33" s="40"/>
      <c r="E33" s="40" t="s">
        <v>21</v>
      </c>
      <c r="F33" s="40" t="s">
        <v>56</v>
      </c>
    </row>
    <row r="34" spans="1:9" x14ac:dyDescent="0.25">
      <c r="A34" s="26">
        <f>A28+1</f>
        <v>22</v>
      </c>
      <c r="B34" s="41" t="s">
        <v>57</v>
      </c>
      <c r="C34" s="41" t="s">
        <v>49</v>
      </c>
      <c r="D34" s="41" t="s">
        <v>58</v>
      </c>
      <c r="E34" s="41" t="s">
        <v>59</v>
      </c>
      <c r="F34" s="41" t="s">
        <v>60</v>
      </c>
    </row>
    <row r="35" spans="1:9" x14ac:dyDescent="0.25">
      <c r="A35" s="26">
        <f t="shared" ref="A35:A42" si="2">A34+1</f>
        <v>23</v>
      </c>
      <c r="B35" s="43" t="s">
        <v>22</v>
      </c>
      <c r="C35" s="66"/>
      <c r="D35" s="66"/>
      <c r="E35" s="66"/>
      <c r="F35" s="67"/>
    </row>
    <row r="36" spans="1:9" x14ac:dyDescent="0.25">
      <c r="A36" s="26">
        <f t="shared" si="2"/>
        <v>24</v>
      </c>
      <c r="B36" s="46">
        <v>360</v>
      </c>
      <c r="C36" s="27" t="e">
        <f>+VLOOKUP(B36,#REF!,3,FALSE)</f>
        <v>#REF!</v>
      </c>
      <c r="D36" s="47" t="s">
        <v>74</v>
      </c>
      <c r="E36" s="27" t="e">
        <f>VLOOKUP(B36,#REF!,4,FALSE)</f>
        <v>#REF!</v>
      </c>
      <c r="F36" s="48" t="e">
        <f>E36/C36</f>
        <v>#REF!</v>
      </c>
    </row>
    <row r="37" spans="1:9" x14ac:dyDescent="0.25">
      <c r="A37" s="26">
        <f t="shared" si="2"/>
        <v>25</v>
      </c>
      <c r="B37" s="55" t="s">
        <v>23</v>
      </c>
      <c r="C37" s="52"/>
      <c r="D37" s="52"/>
      <c r="E37" s="31"/>
      <c r="F37" s="48"/>
    </row>
    <row r="38" spans="1:9" x14ac:dyDescent="0.25">
      <c r="A38" s="26">
        <f t="shared" si="2"/>
        <v>26</v>
      </c>
      <c r="B38" s="46">
        <v>361</v>
      </c>
      <c r="C38" s="27" t="e">
        <f>+VLOOKUP(B38,#REF!,3,FALSE)</f>
        <v>#REF!</v>
      </c>
      <c r="D38" s="47" t="s">
        <v>75</v>
      </c>
      <c r="E38" s="27" t="e">
        <f>VLOOKUP(B38,#REF!,4,FALSE)</f>
        <v>#REF!</v>
      </c>
      <c r="F38" s="48" t="e">
        <f>E38/C38</f>
        <v>#REF!</v>
      </c>
    </row>
    <row r="39" spans="1:9" x14ac:dyDescent="0.25">
      <c r="A39" s="26">
        <f t="shared" si="2"/>
        <v>27</v>
      </c>
      <c r="B39" s="46">
        <v>362</v>
      </c>
      <c r="C39" s="28" t="e">
        <f>+VLOOKUP(B39,#REF!,3,FALSE)</f>
        <v>#REF!</v>
      </c>
      <c r="D39" s="47" t="s">
        <v>76</v>
      </c>
      <c r="E39" s="28" t="e">
        <f>VLOOKUP(B39,#REF!,4,FALSE)</f>
        <v>#REF!</v>
      </c>
      <c r="F39" s="50" t="e">
        <f>E39/C39</f>
        <v>#REF!</v>
      </c>
    </row>
    <row r="40" spans="1:9" x14ac:dyDescent="0.25">
      <c r="A40" s="26">
        <f t="shared" si="2"/>
        <v>28</v>
      </c>
      <c r="B40" s="51" t="s">
        <v>24</v>
      </c>
      <c r="C40" s="52" t="e">
        <f>SUM(C38:C39)</f>
        <v>#REF!</v>
      </c>
      <c r="D40" s="30" t="str">
        <f>"L "&amp;A38&amp;" + L "&amp;A39&amp;""</f>
        <v>L 26 + L 27</v>
      </c>
      <c r="E40" s="52" t="e">
        <f>SUM(E38:E39)</f>
        <v>#REF!</v>
      </c>
      <c r="F40" s="48" t="e">
        <f>E40/C40</f>
        <v>#REF!</v>
      </c>
    </row>
    <row r="41" spans="1:9" x14ac:dyDescent="0.25">
      <c r="A41" s="26">
        <f t="shared" si="2"/>
        <v>29</v>
      </c>
      <c r="B41" s="72"/>
      <c r="C41" s="73"/>
      <c r="D41" s="52"/>
      <c r="E41" s="52"/>
      <c r="F41" s="48"/>
    </row>
    <row r="42" spans="1:9" x14ac:dyDescent="0.25">
      <c r="A42" s="26">
        <f t="shared" si="2"/>
        <v>30</v>
      </c>
      <c r="B42" s="74" t="s">
        <v>25</v>
      </c>
      <c r="C42" s="63" t="e">
        <f>C36+C40</f>
        <v>#REF!</v>
      </c>
      <c r="D42" s="30" t="str">
        <f>"L "&amp;A36&amp;" + L "&amp;A40&amp;""</f>
        <v>L 24 + L 28</v>
      </c>
      <c r="E42" s="63" t="e">
        <f>E36+E40</f>
        <v>#REF!</v>
      </c>
      <c r="F42" s="64" t="e">
        <f>E42/C42</f>
        <v>#REF!</v>
      </c>
      <c r="G42" s="23" t="s">
        <v>77</v>
      </c>
      <c r="H42" s="23"/>
    </row>
    <row r="43" spans="1:9" x14ac:dyDescent="0.25">
      <c r="A43" s="26"/>
      <c r="B43" s="75"/>
      <c r="C43" s="76"/>
      <c r="D43" s="76"/>
      <c r="E43" s="76"/>
      <c r="F43" s="77"/>
      <c r="H43" s="78"/>
      <c r="I43" s="23"/>
    </row>
    <row r="44" spans="1:9" x14ac:dyDescent="0.25">
      <c r="A44" s="79"/>
      <c r="E44" s="80"/>
    </row>
    <row r="45" spans="1:9" x14ac:dyDescent="0.25">
      <c r="A45" s="81" t="s">
        <v>51</v>
      </c>
    </row>
    <row r="46" spans="1:9" x14ac:dyDescent="0.25">
      <c r="A46" s="30" t="s">
        <v>78</v>
      </c>
      <c r="E46" s="80"/>
    </row>
    <row r="47" spans="1:9" x14ac:dyDescent="0.25">
      <c r="A47" s="30" t="s">
        <v>79</v>
      </c>
    </row>
    <row r="48" spans="1:9" x14ac:dyDescent="0.25">
      <c r="A48" s="30" t="s">
        <v>80</v>
      </c>
      <c r="C48" s="80"/>
      <c r="D48" s="80"/>
    </row>
    <row r="49" spans="1:4" x14ac:dyDescent="0.25">
      <c r="A49" s="30" t="s">
        <v>81</v>
      </c>
      <c r="C49" s="82"/>
      <c r="D49" s="82"/>
    </row>
    <row r="50" spans="1:4" x14ac:dyDescent="0.25">
      <c r="A50" s="79"/>
      <c r="C50" s="80"/>
      <c r="D50" s="80"/>
    </row>
    <row r="51" spans="1:4" x14ac:dyDescent="0.25">
      <c r="A51" s="81" t="s">
        <v>82</v>
      </c>
    </row>
    <row r="52" spans="1:4" x14ac:dyDescent="0.25">
      <c r="A52" s="30" t="s">
        <v>83</v>
      </c>
    </row>
    <row r="53" spans="1:4" x14ac:dyDescent="0.25">
      <c r="A53" s="30" t="s">
        <v>84</v>
      </c>
    </row>
    <row r="54" spans="1:4" x14ac:dyDescent="0.25">
      <c r="A54" s="30" t="s">
        <v>85</v>
      </c>
    </row>
  </sheetData>
  <pageMargins left="0.7" right="0.7" top="0.75" bottom="0.75" header="0.3" footer="0.3"/>
  <pageSetup scale="90" orientation="portrait" cellComments="asDisplayed" r:id="rId1"/>
  <headerFooter>
    <oddHeader>&amp;CSchedule 7
Transmission Plant Study Summary
&amp;RTO8  Draft Annual Update
(Based on Aug. 26, 2013 Offer of Settlement)</oddHeader>
    <oddFooter>&amp;R7-PlantStudy</oddFooter>
  </headerFooter>
  <customProperties>
    <customPr name="_pios_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X154"/>
  <sheetViews>
    <sheetView tabSelected="1" zoomScale="70" zoomScaleNormal="70" workbookViewId="0"/>
  </sheetViews>
  <sheetFormatPr defaultRowHeight="15" x14ac:dyDescent="0.25"/>
  <cols>
    <col min="2" max="2" width="11.85546875" style="116" bestFit="1" customWidth="1"/>
    <col min="3" max="5" width="16" customWidth="1"/>
    <col min="6" max="6" width="16.85546875" bestFit="1" customWidth="1"/>
    <col min="7" max="7" width="17.140625" bestFit="1" customWidth="1"/>
    <col min="8" max="12" width="16" customWidth="1"/>
    <col min="13" max="13" width="17.7109375" bestFit="1" customWidth="1"/>
    <col min="14" max="14" width="17.42578125" bestFit="1" customWidth="1"/>
    <col min="15" max="15" width="15.28515625" bestFit="1" customWidth="1"/>
    <col min="16" max="16" width="14.28515625" bestFit="1" customWidth="1"/>
    <col min="17" max="17" width="15.42578125" bestFit="1" customWidth="1"/>
    <col min="18" max="18" width="14.28515625" bestFit="1" customWidth="1"/>
    <col min="19" max="19" width="19.140625" bestFit="1" customWidth="1"/>
    <col min="20" max="20" width="16.85546875" bestFit="1" customWidth="1"/>
    <col min="21" max="21" width="14.85546875" bestFit="1" customWidth="1"/>
    <col min="22" max="22" width="11.7109375" bestFit="1" customWidth="1"/>
    <col min="23" max="23" width="13.28515625" bestFit="1" customWidth="1"/>
    <col min="25" max="25" width="11" bestFit="1" customWidth="1"/>
    <col min="26" max="29" width="11.7109375" bestFit="1" customWidth="1"/>
    <col min="30" max="30" width="9" bestFit="1" customWidth="1"/>
    <col min="31" max="31" width="10.5703125" bestFit="1" customWidth="1"/>
    <col min="32" max="32" width="11.7109375" bestFit="1" customWidth="1"/>
    <col min="34" max="34" width="12.42578125" bestFit="1" customWidth="1"/>
    <col min="35" max="39" width="11.7109375" bestFit="1" customWidth="1"/>
    <col min="40" max="40" width="10.5703125" bestFit="1" customWidth="1"/>
    <col min="41" max="41" width="11.7109375" bestFit="1" customWidth="1"/>
    <col min="43" max="43" width="10.5703125" bestFit="1" customWidth="1"/>
    <col min="44" max="44" width="11.7109375" bestFit="1" customWidth="1"/>
    <col min="45" max="45" width="14.7109375" bestFit="1" customWidth="1"/>
    <col min="46" max="49" width="13.7109375" bestFit="1" customWidth="1"/>
    <col min="50" max="50" width="13.28515625" bestFit="1" customWidth="1"/>
    <col min="51" max="52" width="12.5703125" bestFit="1" customWidth="1"/>
  </cols>
  <sheetData>
    <row r="1" spans="1:13" ht="18.75" x14ac:dyDescent="0.3">
      <c r="A1" s="2" t="s">
        <v>3</v>
      </c>
    </row>
    <row r="2" spans="1:13" x14ac:dyDescent="0.25">
      <c r="C2" s="118">
        <f>C5-C58</f>
        <v>0</v>
      </c>
      <c r="D2" s="118"/>
      <c r="E2" s="118"/>
      <c r="F2" s="118"/>
      <c r="G2" s="118"/>
      <c r="H2" s="118"/>
      <c r="I2" s="118"/>
      <c r="J2" s="118"/>
      <c r="K2" s="118"/>
      <c r="L2" s="118"/>
      <c r="M2" s="118"/>
    </row>
    <row r="3" spans="1:13" x14ac:dyDescent="0.25">
      <c r="A3" s="1" t="s">
        <v>4</v>
      </c>
    </row>
    <row r="4" spans="1:13" x14ac:dyDescent="0.25">
      <c r="C4" s="5">
        <v>350.1</v>
      </c>
      <c r="D4" s="5">
        <v>350.2</v>
      </c>
      <c r="E4" s="5">
        <v>352</v>
      </c>
      <c r="F4" s="5">
        <v>353</v>
      </c>
      <c r="G4" s="5">
        <v>354</v>
      </c>
      <c r="H4" s="5">
        <v>355</v>
      </c>
      <c r="I4" s="5">
        <v>356</v>
      </c>
      <c r="J4" s="5">
        <v>357</v>
      </c>
      <c r="K4" s="5">
        <v>358</v>
      </c>
      <c r="L4" s="5">
        <v>359</v>
      </c>
      <c r="M4" s="5" t="s">
        <v>2</v>
      </c>
    </row>
    <row r="5" spans="1:13" x14ac:dyDescent="0.25">
      <c r="B5" s="116" t="s">
        <v>5</v>
      </c>
      <c r="C5" s="122">
        <f>C58</f>
        <v>129517154.04000002</v>
      </c>
      <c r="D5" s="122">
        <f t="shared" ref="D5:L5" si="0">D58</f>
        <v>209428812.60000002</v>
      </c>
      <c r="E5" s="122">
        <f t="shared" si="0"/>
        <v>825778508.24000001</v>
      </c>
      <c r="F5" s="122">
        <f>F58</f>
        <v>5586246879.5699997</v>
      </c>
      <c r="G5" s="122">
        <f t="shared" si="0"/>
        <v>2305498226.4400005</v>
      </c>
      <c r="H5" s="122">
        <f t="shared" si="0"/>
        <v>1158164968.4300003</v>
      </c>
      <c r="I5" s="122">
        <f>I58</f>
        <v>1499811259.55</v>
      </c>
      <c r="J5" s="122">
        <f t="shared" si="0"/>
        <v>253220290.41</v>
      </c>
      <c r="K5" s="122">
        <f t="shared" si="0"/>
        <v>368734328.63</v>
      </c>
      <c r="L5" s="122">
        <f t="shared" si="0"/>
        <v>200535234.44999999</v>
      </c>
      <c r="M5" s="3">
        <f>SUM(C5:L5)</f>
        <v>12536935662.359999</v>
      </c>
    </row>
    <row r="6" spans="1:13" x14ac:dyDescent="0.25">
      <c r="B6" s="117">
        <f>B23</f>
        <v>42736</v>
      </c>
      <c r="C6" s="3">
        <f>C59-C58</f>
        <v>1861680.4099999666</v>
      </c>
      <c r="D6" s="3">
        <f>D59-D58</f>
        <v>3469.9499999880791</v>
      </c>
      <c r="E6" s="3">
        <f t="shared" ref="E6:L6" si="1">E59-E58</f>
        <v>-4196691.129999876</v>
      </c>
      <c r="F6" s="3">
        <f t="shared" si="1"/>
        <v>1596560.0899991989</v>
      </c>
      <c r="G6" s="3">
        <f t="shared" si="1"/>
        <v>-2209531.8400006294</v>
      </c>
      <c r="H6" s="3">
        <f t="shared" si="1"/>
        <v>40169441.049999952</v>
      </c>
      <c r="I6" s="3">
        <f t="shared" si="1"/>
        <v>-10554272.319999933</v>
      </c>
      <c r="J6" s="3">
        <f t="shared" si="1"/>
        <v>196563.84999999404</v>
      </c>
      <c r="K6" s="3">
        <f t="shared" si="1"/>
        <v>-1096817.9099999666</v>
      </c>
      <c r="L6" s="3">
        <f t="shared" si="1"/>
        <v>-18664746.669999987</v>
      </c>
      <c r="M6" s="3"/>
    </row>
    <row r="7" spans="1:13" x14ac:dyDescent="0.25">
      <c r="B7" s="117">
        <f t="shared" ref="B7:B17" si="2">B24</f>
        <v>42767</v>
      </c>
      <c r="C7" s="3">
        <f t="shared" ref="C7:L17" si="3">C60-C59</f>
        <v>15314.650000035763</v>
      </c>
      <c r="D7" s="3">
        <f t="shared" si="3"/>
        <v>453668.91000002623</v>
      </c>
      <c r="E7" s="3">
        <f t="shared" si="3"/>
        <v>9058081.689999938</v>
      </c>
      <c r="F7" s="3">
        <f t="shared" si="3"/>
        <v>14060416.180002213</v>
      </c>
      <c r="G7" s="3">
        <f t="shared" si="3"/>
        <v>-12641360.170000076</v>
      </c>
      <c r="H7" s="3">
        <f t="shared" si="3"/>
        <v>14690403.189999819</v>
      </c>
      <c r="I7" s="3">
        <f t="shared" si="3"/>
        <v>7096602.6700000763</v>
      </c>
      <c r="J7" s="3">
        <f t="shared" si="3"/>
        <v>440543.90000000596</v>
      </c>
      <c r="K7" s="3">
        <f t="shared" si="3"/>
        <v>3236354.9199999571</v>
      </c>
      <c r="L7" s="3">
        <f t="shared" si="3"/>
        <v>1582775.2099999785</v>
      </c>
      <c r="M7" s="3"/>
    </row>
    <row r="8" spans="1:13" x14ac:dyDescent="0.25">
      <c r="B8" s="117">
        <f t="shared" si="2"/>
        <v>42795</v>
      </c>
      <c r="C8" s="3">
        <f t="shared" si="3"/>
        <v>-156368.36000001431</v>
      </c>
      <c r="D8" s="3">
        <f t="shared" si="3"/>
        <v>66266.579999983311</v>
      </c>
      <c r="E8" s="3">
        <f t="shared" si="3"/>
        <v>-3400337.4100000858</v>
      </c>
      <c r="F8" s="3">
        <f t="shared" si="3"/>
        <v>8769750.8099994659</v>
      </c>
      <c r="G8" s="3">
        <f t="shared" si="3"/>
        <v>9454939.3300004005</v>
      </c>
      <c r="H8" s="3">
        <f t="shared" si="3"/>
        <v>8292498.1499998569</v>
      </c>
      <c r="I8" s="3">
        <f t="shared" si="3"/>
        <v>10378573.24000001</v>
      </c>
      <c r="J8" s="3">
        <f t="shared" si="3"/>
        <v>-1566.1899999976158</v>
      </c>
      <c r="K8" s="3">
        <f t="shared" si="3"/>
        <v>-271785.31999999285</v>
      </c>
      <c r="L8" s="3">
        <f t="shared" si="3"/>
        <v>-285476.59999996424</v>
      </c>
      <c r="M8" s="3"/>
    </row>
    <row r="9" spans="1:13" x14ac:dyDescent="0.25">
      <c r="B9" s="117">
        <f t="shared" si="2"/>
        <v>42826</v>
      </c>
      <c r="C9" s="3">
        <f t="shared" si="3"/>
        <v>11283.219999998808</v>
      </c>
      <c r="D9" s="3">
        <f t="shared" si="3"/>
        <v>556.78999999165535</v>
      </c>
      <c r="E9" s="3">
        <f t="shared" si="3"/>
        <v>11418768.170000076</v>
      </c>
      <c r="F9" s="3">
        <f t="shared" si="3"/>
        <v>27822315.490000725</v>
      </c>
      <c r="G9" s="3">
        <f t="shared" si="3"/>
        <v>19248444.900000095</v>
      </c>
      <c r="H9" s="3">
        <f t="shared" si="3"/>
        <v>7317226.9900000095</v>
      </c>
      <c r="I9" s="3">
        <f t="shared" si="3"/>
        <v>7679622.6700000763</v>
      </c>
      <c r="J9" s="3">
        <f t="shared" si="3"/>
        <v>-426444.47999998927</v>
      </c>
      <c r="K9" s="3">
        <f t="shared" si="3"/>
        <v>1527525.9800000191</v>
      </c>
      <c r="L9" s="3">
        <f t="shared" si="3"/>
        <v>143907.00999999046</v>
      </c>
      <c r="M9" s="3"/>
    </row>
    <row r="10" spans="1:13" x14ac:dyDescent="0.25">
      <c r="B10" s="117">
        <f t="shared" si="2"/>
        <v>42856</v>
      </c>
      <c r="C10" s="3">
        <f t="shared" si="3"/>
        <v>13565.430000007153</v>
      </c>
      <c r="D10" s="3">
        <f t="shared" si="3"/>
        <v>68720.080000013113</v>
      </c>
      <c r="E10" s="3">
        <f t="shared" si="3"/>
        <v>8911157.6100000143</v>
      </c>
      <c r="F10" s="3">
        <f t="shared" si="3"/>
        <v>18492077.789998055</v>
      </c>
      <c r="G10" s="3">
        <f t="shared" si="3"/>
        <v>4954766.3799996376</v>
      </c>
      <c r="H10" s="3">
        <f t="shared" si="3"/>
        <v>3185787.6100001335</v>
      </c>
      <c r="I10" s="3">
        <f t="shared" si="3"/>
        <v>-908108.13000011444</v>
      </c>
      <c r="J10" s="3">
        <f t="shared" si="3"/>
        <v>505656.66999998689</v>
      </c>
      <c r="K10" s="3">
        <f t="shared" si="3"/>
        <v>146859.76999998093</v>
      </c>
      <c r="L10" s="3">
        <f t="shared" si="3"/>
        <v>6702520.6299999952</v>
      </c>
      <c r="M10" s="3"/>
    </row>
    <row r="11" spans="1:13" x14ac:dyDescent="0.25">
      <c r="B11" s="117">
        <f t="shared" si="2"/>
        <v>42887</v>
      </c>
      <c r="C11" s="3">
        <f t="shared" si="3"/>
        <v>394350.29999998212</v>
      </c>
      <c r="D11" s="3">
        <f t="shared" si="3"/>
        <v>391395.53000000119</v>
      </c>
      <c r="E11" s="3">
        <f t="shared" si="3"/>
        <v>4923778.6699999571</v>
      </c>
      <c r="F11" s="3">
        <f t="shared" si="3"/>
        <v>25328529.03000164</v>
      </c>
      <c r="G11" s="3">
        <f t="shared" si="3"/>
        <v>2382155.990000248</v>
      </c>
      <c r="H11" s="3">
        <f t="shared" si="3"/>
        <v>6909030.1900000572</v>
      </c>
      <c r="I11" s="3">
        <f t="shared" si="3"/>
        <v>4359728.3800001144</v>
      </c>
      <c r="J11" s="3">
        <f t="shared" si="3"/>
        <v>1179037.0300000012</v>
      </c>
      <c r="K11" s="3">
        <f t="shared" si="3"/>
        <v>-485347.76999998093</v>
      </c>
      <c r="L11" s="3">
        <f t="shared" si="3"/>
        <v>-509250.3599999845</v>
      </c>
      <c r="M11" s="3"/>
    </row>
    <row r="12" spans="1:13" x14ac:dyDescent="0.25">
      <c r="B12" s="117">
        <f t="shared" si="2"/>
        <v>42917</v>
      </c>
      <c r="C12" s="3">
        <f t="shared" si="3"/>
        <v>12351.920000016689</v>
      </c>
      <c r="D12" s="3">
        <f t="shared" si="3"/>
        <v>769044.44999998808</v>
      </c>
      <c r="E12" s="3">
        <f t="shared" si="3"/>
        <v>3184632.9199999571</v>
      </c>
      <c r="F12" s="3">
        <f t="shared" si="3"/>
        <v>17621548.319998741</v>
      </c>
      <c r="G12" s="3">
        <f t="shared" si="3"/>
        <v>1799359.3800001144</v>
      </c>
      <c r="H12" s="3">
        <f t="shared" si="3"/>
        <v>9434392.9800000191</v>
      </c>
      <c r="I12" s="3">
        <f t="shared" si="3"/>
        <v>-2765815.7800002098</v>
      </c>
      <c r="J12" s="3">
        <f t="shared" si="3"/>
        <v>2497941.1599999964</v>
      </c>
      <c r="K12" s="3">
        <f t="shared" si="3"/>
        <v>-1798501.0699999928</v>
      </c>
      <c r="L12" s="3">
        <f t="shared" si="3"/>
        <v>56723.069999992847</v>
      </c>
      <c r="M12" s="3"/>
    </row>
    <row r="13" spans="1:13" x14ac:dyDescent="0.25">
      <c r="B13" s="117">
        <f t="shared" si="2"/>
        <v>42948</v>
      </c>
      <c r="C13" s="3">
        <f t="shared" si="3"/>
        <v>453134.22999998927</v>
      </c>
      <c r="D13" s="3">
        <f t="shared" si="3"/>
        <v>-409299.71999999881</v>
      </c>
      <c r="E13" s="3">
        <f t="shared" si="3"/>
        <v>6584775.0399999619</v>
      </c>
      <c r="F13" s="3">
        <f t="shared" si="3"/>
        <v>67541914.620000839</v>
      </c>
      <c r="G13" s="3">
        <f t="shared" si="3"/>
        <v>1172077.1899995804</v>
      </c>
      <c r="H13" s="3">
        <f t="shared" si="3"/>
        <v>2145574.8999998569</v>
      </c>
      <c r="I13" s="3">
        <f t="shared" si="3"/>
        <v>5558400.2800002098</v>
      </c>
      <c r="J13" s="3">
        <f t="shared" si="3"/>
        <v>107894.62000000477</v>
      </c>
      <c r="K13" s="3">
        <f t="shared" si="3"/>
        <v>3470262.2999999523</v>
      </c>
      <c r="L13" s="3">
        <f t="shared" si="3"/>
        <v>319789.6400000155</v>
      </c>
      <c r="M13" s="3"/>
    </row>
    <row r="14" spans="1:13" x14ac:dyDescent="0.25">
      <c r="B14" s="117">
        <f t="shared" si="2"/>
        <v>42979</v>
      </c>
      <c r="C14" s="3">
        <f t="shared" si="3"/>
        <v>11820.789999991655</v>
      </c>
      <c r="D14" s="3">
        <f t="shared" si="3"/>
        <v>38745.110000014305</v>
      </c>
      <c r="E14" s="3">
        <f t="shared" si="3"/>
        <v>2739452.1100000143</v>
      </c>
      <c r="F14" s="3">
        <f t="shared" si="3"/>
        <v>7712273.9499998093</v>
      </c>
      <c r="G14" s="3">
        <f t="shared" si="3"/>
        <v>-1944157.0999999046</v>
      </c>
      <c r="H14" s="3">
        <f t="shared" si="3"/>
        <v>7464055.4500000477</v>
      </c>
      <c r="I14" s="3">
        <f t="shared" si="3"/>
        <v>3977571.8099999428</v>
      </c>
      <c r="J14" s="3">
        <f t="shared" si="3"/>
        <v>334695.96000000834</v>
      </c>
      <c r="K14" s="3">
        <f t="shared" si="3"/>
        <v>-1279010.1199999452</v>
      </c>
      <c r="L14" s="3">
        <f t="shared" si="3"/>
        <v>546197.41999998689</v>
      </c>
      <c r="M14" s="3"/>
    </row>
    <row r="15" spans="1:13" x14ac:dyDescent="0.25">
      <c r="B15" s="117">
        <f t="shared" si="2"/>
        <v>43009</v>
      </c>
      <c r="C15" s="3">
        <f t="shared" si="3"/>
        <v>11839.040000021458</v>
      </c>
      <c r="D15" s="3">
        <f t="shared" si="3"/>
        <v>-303.20000001788139</v>
      </c>
      <c r="E15" s="3">
        <f t="shared" si="3"/>
        <v>-3740698.4199999571</v>
      </c>
      <c r="F15" s="3">
        <f t="shared" si="3"/>
        <v>-38877995.510000229</v>
      </c>
      <c r="G15" s="3">
        <f t="shared" si="3"/>
        <v>3098233.5700001717</v>
      </c>
      <c r="H15" s="3">
        <f t="shared" si="3"/>
        <v>10429139.430000067</v>
      </c>
      <c r="I15" s="3">
        <f t="shared" si="3"/>
        <v>-1456897.8199999332</v>
      </c>
      <c r="J15" s="3">
        <f t="shared" si="3"/>
        <v>164360.5</v>
      </c>
      <c r="K15" s="3">
        <f t="shared" si="3"/>
        <v>1897820.6199999452</v>
      </c>
      <c r="L15" s="3">
        <f t="shared" si="3"/>
        <v>200524.65999999642</v>
      </c>
      <c r="M15" s="3"/>
    </row>
    <row r="16" spans="1:13" x14ac:dyDescent="0.25">
      <c r="B16" s="117">
        <f t="shared" si="2"/>
        <v>43040</v>
      </c>
      <c r="C16" s="3">
        <f t="shared" si="3"/>
        <v>-4172.4500000178814</v>
      </c>
      <c r="D16" s="3">
        <f t="shared" si="3"/>
        <v>216862.82000002265</v>
      </c>
      <c r="E16" s="3">
        <f t="shared" si="3"/>
        <v>2431278.5099999905</v>
      </c>
      <c r="F16" s="3">
        <f t="shared" si="3"/>
        <v>5104081.2199993134</v>
      </c>
      <c r="G16" s="3">
        <f t="shared" si="3"/>
        <v>1380363.1500000954</v>
      </c>
      <c r="H16" s="3">
        <f t="shared" si="3"/>
        <v>17752142.809999943</v>
      </c>
      <c r="I16" s="3">
        <f t="shared" si="3"/>
        <v>-1478412.4300000668</v>
      </c>
      <c r="J16" s="3">
        <f t="shared" si="3"/>
        <v>-1998396.3400000036</v>
      </c>
      <c r="K16" s="3">
        <f t="shared" si="3"/>
        <v>6260</v>
      </c>
      <c r="L16" s="3">
        <f t="shared" si="3"/>
        <v>1849533.6800000072</v>
      </c>
      <c r="M16" s="3"/>
    </row>
    <row r="17" spans="1:24" x14ac:dyDescent="0.25">
      <c r="B17" s="117">
        <f t="shared" si="2"/>
        <v>43070</v>
      </c>
      <c r="C17" s="3">
        <f t="shared" si="3"/>
        <v>10091.859999999404</v>
      </c>
      <c r="D17" s="3">
        <f t="shared" si="3"/>
        <v>15035.42999997735</v>
      </c>
      <c r="E17" s="3">
        <f t="shared" si="3"/>
        <v>15929203.919999957</v>
      </c>
      <c r="F17" s="3">
        <f t="shared" si="3"/>
        <v>161530876.69999981</v>
      </c>
      <c r="G17" s="3">
        <f t="shared" si="3"/>
        <v>10951834.920000076</v>
      </c>
      <c r="H17" s="3">
        <f t="shared" si="3"/>
        <v>6747805.6700000763</v>
      </c>
      <c r="I17" s="3">
        <f t="shared" si="3"/>
        <v>2832914.7300000191</v>
      </c>
      <c r="J17" s="3">
        <f t="shared" si="3"/>
        <v>127444.29999998212</v>
      </c>
      <c r="K17" s="3">
        <f t="shared" si="3"/>
        <v>2622053.4700000286</v>
      </c>
      <c r="L17" s="3">
        <f t="shared" si="3"/>
        <v>1295679.0099999905</v>
      </c>
      <c r="M17" s="3"/>
    </row>
    <row r="18" spans="1:24" ht="15.75" thickBot="1" x14ac:dyDescent="0.3">
      <c r="B18" s="116" t="s">
        <v>6</v>
      </c>
      <c r="C18" s="6">
        <f>SUM(C5:C17)</f>
        <v>132152045.08</v>
      </c>
      <c r="D18" s="6">
        <f t="shared" ref="D18:K18" si="4">SUM(D5:D17)</f>
        <v>211042975.33000001</v>
      </c>
      <c r="E18" s="6">
        <f t="shared" si="4"/>
        <v>879621909.91999996</v>
      </c>
      <c r="F18" s="6">
        <f t="shared" si="4"/>
        <v>5902949228.2599993</v>
      </c>
      <c r="G18" s="6">
        <f t="shared" si="4"/>
        <v>2343145352.1400003</v>
      </c>
      <c r="H18" s="6">
        <f t="shared" si="4"/>
        <v>1292702466.8500001</v>
      </c>
      <c r="I18" s="6">
        <f t="shared" si="4"/>
        <v>1524531166.8500001</v>
      </c>
      <c r="J18" s="6">
        <f t="shared" si="4"/>
        <v>256348021.38999999</v>
      </c>
      <c r="K18" s="6">
        <f t="shared" si="4"/>
        <v>376710003.5</v>
      </c>
      <c r="L18" s="6">
        <f>SUM(L5:L17)</f>
        <v>193773411.15000001</v>
      </c>
      <c r="M18" s="6">
        <f>SUM(C18:L18)</f>
        <v>13112976580.469999</v>
      </c>
      <c r="N18" s="118"/>
    </row>
    <row r="19" spans="1:24" ht="15.75" thickTop="1" x14ac:dyDescent="0.25"/>
    <row r="20" spans="1:24" x14ac:dyDescent="0.25">
      <c r="A20" s="1" t="s">
        <v>7</v>
      </c>
    </row>
    <row r="21" spans="1:24" x14ac:dyDescent="0.25">
      <c r="C21" s="5">
        <v>350.1</v>
      </c>
      <c r="D21" s="5">
        <v>350.2</v>
      </c>
      <c r="E21" s="5">
        <v>352</v>
      </c>
      <c r="F21" s="5">
        <v>353</v>
      </c>
      <c r="G21" s="5">
        <v>354</v>
      </c>
      <c r="H21" s="5">
        <v>355</v>
      </c>
      <c r="I21" s="5">
        <v>356</v>
      </c>
      <c r="J21" s="5">
        <v>357</v>
      </c>
      <c r="K21" s="5">
        <v>358</v>
      </c>
      <c r="L21" s="5">
        <v>359</v>
      </c>
      <c r="M21" s="5" t="s">
        <v>2</v>
      </c>
    </row>
    <row r="22" spans="1:24" x14ac:dyDescent="0.25">
      <c r="B22" s="116" t="s">
        <v>5</v>
      </c>
      <c r="C22" s="3">
        <v>0</v>
      </c>
      <c r="D22" s="3">
        <f>C73+D73</f>
        <v>25438752.73</v>
      </c>
      <c r="E22" s="3">
        <f t="shared" ref="E22:L22" si="5">E73</f>
        <v>125346914.31862129</v>
      </c>
      <c r="F22" s="3">
        <f t="shared" si="5"/>
        <v>752918183.05011833</v>
      </c>
      <c r="G22" s="3">
        <f t="shared" si="5"/>
        <v>513693806.47248101</v>
      </c>
      <c r="H22" s="3">
        <f t="shared" si="5"/>
        <v>170634808.83152288</v>
      </c>
      <c r="I22" s="3">
        <f t="shared" si="5"/>
        <v>613743743.26424658</v>
      </c>
      <c r="J22" s="3">
        <f t="shared" si="5"/>
        <v>19872228.598765075</v>
      </c>
      <c r="K22" s="3">
        <f t="shared" si="5"/>
        <v>97810266.801224723</v>
      </c>
      <c r="L22" s="3">
        <f t="shared" si="5"/>
        <v>18121056.758491732</v>
      </c>
      <c r="M22" s="3">
        <f>SUM(C22:L22)</f>
        <v>2337579760.8254714</v>
      </c>
    </row>
    <row r="23" spans="1:24" x14ac:dyDescent="0.25">
      <c r="B23" s="117">
        <f>B41</f>
        <v>42736</v>
      </c>
      <c r="C23" s="3">
        <v>0</v>
      </c>
      <c r="D23" s="3">
        <f>(D74+C74)-(D73+C73)</f>
        <v>306343.01000000164</v>
      </c>
      <c r="E23" s="3">
        <f>E74-E73</f>
        <v>1828211.4827663004</v>
      </c>
      <c r="F23" s="3">
        <f t="shared" ref="F23:L23" si="6">F74-F73</f>
        <v>11991734.582329392</v>
      </c>
      <c r="G23" s="3">
        <f t="shared" si="6"/>
        <v>4315316.5961392522</v>
      </c>
      <c r="H23" s="3">
        <f t="shared" si="6"/>
        <v>-127443.8165062964</v>
      </c>
      <c r="I23" s="3">
        <f t="shared" si="6"/>
        <v>3368094.3684586287</v>
      </c>
      <c r="J23" s="3">
        <f t="shared" si="6"/>
        <v>329313.65318886936</v>
      </c>
      <c r="K23" s="3">
        <f t="shared" si="6"/>
        <v>-1106926.6888572425</v>
      </c>
      <c r="L23" s="3">
        <f t="shared" si="6"/>
        <v>258165.46423588321</v>
      </c>
      <c r="M23" s="3"/>
      <c r="P23" s="120"/>
      <c r="Q23" s="120"/>
      <c r="R23" s="120"/>
      <c r="S23" s="120"/>
      <c r="T23" s="120"/>
      <c r="U23" s="120"/>
      <c r="V23" s="120"/>
      <c r="W23" s="120"/>
      <c r="X23" s="120"/>
    </row>
    <row r="24" spans="1:24" x14ac:dyDescent="0.25">
      <c r="B24" s="117">
        <f t="shared" ref="B24:B34" si="7">B42</f>
        <v>42767</v>
      </c>
      <c r="C24" s="3">
        <v>0</v>
      </c>
      <c r="D24" s="3">
        <f t="shared" ref="D24:D34" si="8">(D75+C75)-(D74+C74)</f>
        <v>290107.87999998778</v>
      </c>
      <c r="E24" s="3">
        <f t="shared" ref="E24:L24" si="9">E75-E74</f>
        <v>2281928.7606688589</v>
      </c>
      <c r="F24" s="3">
        <f t="shared" si="9"/>
        <v>11279778.140625715</v>
      </c>
      <c r="G24" s="3">
        <f t="shared" si="9"/>
        <v>9042365.9074336886</v>
      </c>
      <c r="H24" s="3">
        <f t="shared" si="9"/>
        <v>379372.51237180829</v>
      </c>
      <c r="I24" s="3">
        <f t="shared" si="9"/>
        <v>-11020299.093443632</v>
      </c>
      <c r="J24" s="3">
        <f t="shared" si="9"/>
        <v>350234.205919981</v>
      </c>
      <c r="K24" s="3">
        <f t="shared" si="9"/>
        <v>541963.75572969019</v>
      </c>
      <c r="L24" s="3">
        <f t="shared" si="9"/>
        <v>400428.08273754641</v>
      </c>
      <c r="M24" s="3"/>
      <c r="P24" s="120"/>
      <c r="Q24" s="120"/>
      <c r="R24" s="120"/>
      <c r="S24" s="120"/>
      <c r="T24" s="120"/>
      <c r="U24" s="120"/>
      <c r="V24" s="120"/>
      <c r="W24" s="120"/>
      <c r="X24" s="120"/>
    </row>
    <row r="25" spans="1:24" x14ac:dyDescent="0.25">
      <c r="B25" s="117">
        <f t="shared" si="7"/>
        <v>42795</v>
      </c>
      <c r="C25" s="3">
        <v>0</v>
      </c>
      <c r="D25" s="3">
        <f t="shared" si="8"/>
        <v>290737.64000001177</v>
      </c>
      <c r="E25" s="3">
        <f t="shared" ref="E25:L25" si="10">E76-E75</f>
        <v>4676994.2886042595</v>
      </c>
      <c r="F25" s="3">
        <f t="shared" si="10"/>
        <v>27884283.554252028</v>
      </c>
      <c r="G25" s="3">
        <f t="shared" si="10"/>
        <v>806325.81857049465</v>
      </c>
      <c r="H25" s="3">
        <f t="shared" si="10"/>
        <v>-2423622.7319117188</v>
      </c>
      <c r="I25" s="3">
        <f t="shared" si="10"/>
        <v>1535387.482486248</v>
      </c>
      <c r="J25" s="3">
        <f t="shared" si="10"/>
        <v>-2359871.7407926321</v>
      </c>
      <c r="K25" s="3">
        <f t="shared" si="10"/>
        <v>-8300886.2006830126</v>
      </c>
      <c r="L25" s="3">
        <f t="shared" si="10"/>
        <v>340605.22290854156</v>
      </c>
      <c r="M25" s="3"/>
      <c r="P25" s="120"/>
      <c r="Q25" s="120"/>
      <c r="R25" s="120"/>
      <c r="S25" s="120"/>
      <c r="T25" s="120"/>
      <c r="U25" s="120"/>
      <c r="V25" s="120"/>
      <c r="W25" s="120"/>
      <c r="X25" s="120"/>
    </row>
    <row r="26" spans="1:24" x14ac:dyDescent="0.25">
      <c r="B26" s="117">
        <f t="shared" si="7"/>
        <v>42826</v>
      </c>
      <c r="C26" s="3">
        <v>0</v>
      </c>
      <c r="D26" s="3">
        <f t="shared" si="8"/>
        <v>290834.66999999806</v>
      </c>
      <c r="E26" s="3">
        <f t="shared" ref="E26:L26" si="11">E77-E76</f>
        <v>1454327.9712419212</v>
      </c>
      <c r="F26" s="3">
        <f t="shared" si="11"/>
        <v>10481720.186196923</v>
      </c>
      <c r="G26" s="3">
        <f t="shared" si="11"/>
        <v>4159881.0130566955</v>
      </c>
      <c r="H26" s="3">
        <f t="shared" si="11"/>
        <v>-1324044.2451808751</v>
      </c>
      <c r="I26" s="3">
        <f t="shared" si="11"/>
        <v>3063220.4420511723</v>
      </c>
      <c r="J26" s="3">
        <f t="shared" si="11"/>
        <v>321924.60726076737</v>
      </c>
      <c r="K26" s="3">
        <f t="shared" si="11"/>
        <v>183973.53277571499</v>
      </c>
      <c r="L26" s="3">
        <f t="shared" si="11"/>
        <v>220634.12561864406</v>
      </c>
      <c r="M26" s="3"/>
      <c r="P26" s="120"/>
      <c r="Q26" s="120"/>
      <c r="R26" s="120"/>
      <c r="S26" s="120"/>
      <c r="T26" s="120"/>
      <c r="U26" s="120"/>
      <c r="V26" s="120"/>
      <c r="W26" s="120"/>
      <c r="X26" s="120"/>
    </row>
    <row r="27" spans="1:24" x14ac:dyDescent="0.25">
      <c r="B27" s="117">
        <f t="shared" si="7"/>
        <v>42856</v>
      </c>
      <c r="C27" s="3">
        <v>0</v>
      </c>
      <c r="D27" s="3">
        <f>(D78+C78)-(D77+C77)</f>
        <v>290953.86000000313</v>
      </c>
      <c r="E27" s="3">
        <f t="shared" ref="E27:L27" si="12">E78-E77</f>
        <v>1700062.5141486526</v>
      </c>
      <c r="F27" s="3">
        <f t="shared" si="12"/>
        <v>15489338.079147458</v>
      </c>
      <c r="G27" s="3">
        <f t="shared" si="12"/>
        <v>-1738324.3673795462</v>
      </c>
      <c r="H27" s="3">
        <f t="shared" si="12"/>
        <v>-5849776.2681636512</v>
      </c>
      <c r="I27" s="3">
        <f t="shared" si="12"/>
        <v>-232892.18464696407</v>
      </c>
      <c r="J27" s="3">
        <f t="shared" si="12"/>
        <v>368620.0564920418</v>
      </c>
      <c r="K27" s="3">
        <f t="shared" si="12"/>
        <v>462436.46909616888</v>
      </c>
      <c r="L27" s="3">
        <f t="shared" si="12"/>
        <v>264157.56770531461</v>
      </c>
      <c r="M27" s="3"/>
      <c r="P27" s="120"/>
      <c r="Q27" s="120"/>
      <c r="R27" s="120"/>
      <c r="S27" s="120"/>
      <c r="T27" s="120"/>
      <c r="U27" s="120"/>
      <c r="V27" s="120"/>
      <c r="W27" s="120"/>
      <c r="X27" s="120"/>
    </row>
    <row r="28" spans="1:24" x14ac:dyDescent="0.25">
      <c r="B28" s="117">
        <f t="shared" si="7"/>
        <v>42887</v>
      </c>
      <c r="C28" s="3">
        <v>0</v>
      </c>
      <c r="D28" s="3">
        <f t="shared" si="8"/>
        <v>290930.09999999776</v>
      </c>
      <c r="E28" s="3">
        <f t="shared" ref="E28:L28" si="13">E79-E78</f>
        <v>3213460.8543650806</v>
      </c>
      <c r="F28" s="3">
        <f t="shared" si="13"/>
        <v>17834290.07530272</v>
      </c>
      <c r="G28" s="3">
        <f t="shared" si="13"/>
        <v>-14566250.183253169</v>
      </c>
      <c r="H28" s="3">
        <f t="shared" si="13"/>
        <v>4144771.1471367478</v>
      </c>
      <c r="I28" s="3">
        <f t="shared" si="13"/>
        <v>143358.05017733574</v>
      </c>
      <c r="J28" s="3">
        <f t="shared" si="13"/>
        <v>619300.07955310494</v>
      </c>
      <c r="K28" s="3">
        <f t="shared" si="13"/>
        <v>1174651.869262591</v>
      </c>
      <c r="L28" s="3">
        <f t="shared" si="13"/>
        <v>545137.86256493628</v>
      </c>
      <c r="M28" s="3"/>
      <c r="P28" s="120"/>
      <c r="Q28" s="120"/>
      <c r="R28" s="120"/>
      <c r="S28" s="120"/>
      <c r="T28" s="120"/>
      <c r="U28" s="120"/>
      <c r="V28" s="120"/>
      <c r="W28" s="120"/>
      <c r="X28" s="120"/>
    </row>
    <row r="29" spans="1:24" x14ac:dyDescent="0.25">
      <c r="B29" s="117">
        <f t="shared" si="7"/>
        <v>42917</v>
      </c>
      <c r="C29" s="3">
        <v>0</v>
      </c>
      <c r="D29" s="3">
        <f t="shared" si="8"/>
        <v>291471.0199999921</v>
      </c>
      <c r="E29" s="3">
        <f t="shared" ref="E29:L29" si="14">E80-E79</f>
        <v>1608515.1840820014</v>
      </c>
      <c r="F29" s="3">
        <f t="shared" si="14"/>
        <v>9406834.7632769346</v>
      </c>
      <c r="G29" s="3">
        <f t="shared" si="14"/>
        <v>4467318.740739584</v>
      </c>
      <c r="H29" s="3">
        <f t="shared" si="14"/>
        <v>-2627231.874912262</v>
      </c>
      <c r="I29" s="3">
        <f t="shared" si="14"/>
        <v>3244280.2505332232</v>
      </c>
      <c r="J29" s="3">
        <f t="shared" si="14"/>
        <v>366888.45970193669</v>
      </c>
      <c r="K29" s="3">
        <f t="shared" si="14"/>
        <v>382805.80070084333</v>
      </c>
      <c r="L29" s="3">
        <f t="shared" si="14"/>
        <v>272755.64819260687</v>
      </c>
      <c r="M29" s="3"/>
      <c r="P29" s="120"/>
      <c r="Q29" s="120"/>
      <c r="R29" s="120"/>
      <c r="S29" s="120"/>
      <c r="T29" s="120"/>
      <c r="U29" s="120"/>
      <c r="V29" s="120"/>
      <c r="W29" s="120"/>
      <c r="X29" s="120"/>
    </row>
    <row r="30" spans="1:24" x14ac:dyDescent="0.25">
      <c r="B30" s="117">
        <f t="shared" si="7"/>
        <v>42948</v>
      </c>
      <c r="C30" s="3">
        <v>0</v>
      </c>
      <c r="D30" s="3">
        <f t="shared" si="8"/>
        <v>292532.21000000462</v>
      </c>
      <c r="E30" s="3">
        <f t="shared" ref="E30:L30" si="15">E81-E80</f>
        <v>1378924.5157648921</v>
      </c>
      <c r="F30" s="3">
        <f t="shared" si="15"/>
        <v>6827735.1538567543</v>
      </c>
      <c r="G30" s="3">
        <f t="shared" si="15"/>
        <v>3455860.5723389387</v>
      </c>
      <c r="H30" s="3">
        <f t="shared" si="15"/>
        <v>-659744.42327800393</v>
      </c>
      <c r="I30" s="3">
        <f t="shared" si="15"/>
        <v>3034094.7506357431</v>
      </c>
      <c r="J30" s="3">
        <f t="shared" si="15"/>
        <v>281000.63095852733</v>
      </c>
      <c r="K30" s="3">
        <f t="shared" si="15"/>
        <v>144030.97044603527</v>
      </c>
      <c r="L30" s="3">
        <f t="shared" si="15"/>
        <v>214158.39323711023</v>
      </c>
      <c r="M30" s="3"/>
      <c r="P30" s="120"/>
      <c r="Q30" s="120"/>
      <c r="R30" s="120"/>
      <c r="S30" s="120"/>
      <c r="T30" s="120"/>
      <c r="U30" s="120"/>
      <c r="V30" s="120"/>
      <c r="W30" s="120"/>
      <c r="X30" s="120"/>
    </row>
    <row r="31" spans="1:24" x14ac:dyDescent="0.25">
      <c r="B31" s="117">
        <f t="shared" si="7"/>
        <v>42979</v>
      </c>
      <c r="C31" s="3">
        <v>0</v>
      </c>
      <c r="D31" s="3">
        <f t="shared" si="8"/>
        <v>292479.14999999851</v>
      </c>
      <c r="E31" s="3">
        <f t="shared" ref="E31:L31" si="16">E82-E81</f>
        <v>5709307.7277697921</v>
      </c>
      <c r="F31" s="3">
        <f t="shared" si="16"/>
        <v>18269616.93736589</v>
      </c>
      <c r="G31" s="3">
        <f t="shared" si="16"/>
        <v>10405005.924401939</v>
      </c>
      <c r="H31" s="3">
        <f t="shared" si="16"/>
        <v>-22827945.700959891</v>
      </c>
      <c r="I31" s="3">
        <f t="shared" si="16"/>
        <v>-588568.94176197052</v>
      </c>
      <c r="J31" s="3">
        <f t="shared" si="16"/>
        <v>2195605.5944702439</v>
      </c>
      <c r="K31" s="3">
        <f t="shared" si="16"/>
        <v>1338710.3489735276</v>
      </c>
      <c r="L31" s="3">
        <f t="shared" si="16"/>
        <v>2660700.3583679236</v>
      </c>
      <c r="M31" s="3"/>
      <c r="P31" s="120"/>
      <c r="Q31" s="120"/>
      <c r="R31" s="120"/>
      <c r="S31" s="120"/>
      <c r="T31" s="120"/>
      <c r="U31" s="120"/>
      <c r="V31" s="120"/>
      <c r="W31" s="120"/>
      <c r="X31" s="120"/>
    </row>
    <row r="32" spans="1:24" x14ac:dyDescent="0.25">
      <c r="B32" s="117">
        <f t="shared" si="7"/>
        <v>43009</v>
      </c>
      <c r="C32" s="3">
        <v>0</v>
      </c>
      <c r="D32" s="3">
        <f t="shared" si="8"/>
        <v>292322.71000000462</v>
      </c>
      <c r="E32" s="3">
        <f t="shared" ref="E32:L32" si="17">E83-E82</f>
        <v>1326972.098164618</v>
      </c>
      <c r="F32" s="3">
        <f t="shared" si="17"/>
        <v>6044360.9799077511</v>
      </c>
      <c r="G32" s="3">
        <f t="shared" si="17"/>
        <v>3844384.302999258</v>
      </c>
      <c r="H32" s="3">
        <f t="shared" si="17"/>
        <v>544911.49670422077</v>
      </c>
      <c r="I32" s="3">
        <f t="shared" si="17"/>
        <v>2257111.2905048132</v>
      </c>
      <c r="J32" s="3">
        <f t="shared" si="17"/>
        <v>360948.57732529193</v>
      </c>
      <c r="K32" s="3">
        <f t="shared" si="17"/>
        <v>617196.72876746953</v>
      </c>
      <c r="L32" s="3">
        <f t="shared" si="17"/>
        <v>250238.75905662403</v>
      </c>
      <c r="M32" s="3"/>
      <c r="P32" s="120"/>
      <c r="Q32" s="120"/>
      <c r="R32" s="120"/>
      <c r="S32" s="120"/>
      <c r="T32" s="120"/>
      <c r="U32" s="120"/>
      <c r="V32" s="120"/>
      <c r="W32" s="120"/>
      <c r="X32" s="120"/>
    </row>
    <row r="33" spans="1:24" x14ac:dyDescent="0.25">
      <c r="B33" s="117">
        <f t="shared" si="7"/>
        <v>43040</v>
      </c>
      <c r="C33" s="3">
        <v>0</v>
      </c>
      <c r="D33" s="3">
        <f t="shared" si="8"/>
        <v>290593.78999999911</v>
      </c>
      <c r="E33" s="3">
        <f t="shared" ref="E33:L33" si="18">E84-E83</f>
        <v>1359995.5449938476</v>
      </c>
      <c r="F33" s="3">
        <f t="shared" si="18"/>
        <v>9252252.1640145779</v>
      </c>
      <c r="G33" s="3">
        <f t="shared" si="18"/>
        <v>4029280.685259223</v>
      </c>
      <c r="H33" s="3">
        <f t="shared" si="18"/>
        <v>-806779.81447520852</v>
      </c>
      <c r="I33" s="3">
        <f t="shared" si="18"/>
        <v>421244.38348221779</v>
      </c>
      <c r="J33" s="3">
        <f t="shared" si="18"/>
        <v>380636.51440750062</v>
      </c>
      <c r="K33" s="3">
        <f t="shared" si="18"/>
        <v>636340.18253837526</v>
      </c>
      <c r="L33" s="3">
        <f t="shared" si="18"/>
        <v>247753.70819118619</v>
      </c>
      <c r="M33" s="3"/>
      <c r="P33" s="120"/>
      <c r="Q33" s="120"/>
      <c r="R33" s="120"/>
      <c r="S33" s="120"/>
      <c r="T33" s="120"/>
      <c r="U33" s="120"/>
      <c r="V33" s="120"/>
      <c r="W33" s="120"/>
      <c r="X33" s="120"/>
    </row>
    <row r="34" spans="1:24" x14ac:dyDescent="0.25">
      <c r="B34" s="117">
        <f t="shared" si="7"/>
        <v>43070</v>
      </c>
      <c r="C34" s="3">
        <v>0</v>
      </c>
      <c r="D34" s="3">
        <f t="shared" si="8"/>
        <v>292324.61000000313</v>
      </c>
      <c r="E34" s="3">
        <f t="shared" ref="E34:L34" si="19">E85-E84</f>
        <v>1422319.1037116647</v>
      </c>
      <c r="F34" s="3">
        <f t="shared" si="19"/>
        <v>5386484.5881347656</v>
      </c>
      <c r="G34" s="3">
        <f t="shared" si="19"/>
        <v>3627210.4902697802</v>
      </c>
      <c r="H34" s="3">
        <f t="shared" si="19"/>
        <v>-5155955.3462342024</v>
      </c>
      <c r="I34" s="3">
        <f t="shared" si="19"/>
        <v>-400684.4409558773</v>
      </c>
      <c r="J34" s="3">
        <f t="shared" si="19"/>
        <v>353971.04068347067</v>
      </c>
      <c r="K34" s="3">
        <f t="shared" si="19"/>
        <v>829024.84605669975</v>
      </c>
      <c r="L34" s="3">
        <f t="shared" si="19"/>
        <v>249265.89263856784</v>
      </c>
      <c r="M34" s="3"/>
      <c r="P34" s="120"/>
      <c r="Q34" s="120"/>
      <c r="R34" s="120"/>
      <c r="S34" s="120"/>
      <c r="T34" s="120"/>
      <c r="U34" s="120"/>
      <c r="V34" s="120"/>
      <c r="W34" s="120"/>
      <c r="X34" s="120"/>
    </row>
    <row r="35" spans="1:24" ht="15.75" thickBot="1" x14ac:dyDescent="0.3">
      <c r="B35" s="116" t="s">
        <v>6</v>
      </c>
      <c r="C35" s="6">
        <f>SUM(C22:C34)</f>
        <v>0</v>
      </c>
      <c r="D35" s="6">
        <f t="shared" ref="D35" si="20">SUM(D22:D34)</f>
        <v>28950383.380000003</v>
      </c>
      <c r="E35" s="6">
        <f t="shared" ref="E35" si="21">SUM(E22:E34)</f>
        <v>153307934.36490318</v>
      </c>
      <c r="F35" s="6">
        <f t="shared" ref="F35" si="22">SUM(F22:F34)</f>
        <v>903066612.25452924</v>
      </c>
      <c r="G35" s="6">
        <f>SUM(G22:G34)</f>
        <v>545542181.97305715</v>
      </c>
      <c r="H35" s="6">
        <f t="shared" ref="H35" si="23">SUM(H22:H34)</f>
        <v>133901319.76611355</v>
      </c>
      <c r="I35" s="6">
        <f t="shared" ref="I35" si="24">SUM(I22:I34)</f>
        <v>618568089.62176752</v>
      </c>
      <c r="J35" s="6">
        <f t="shared" ref="J35" si="25">SUM(J22:J34)</f>
        <v>23440800.277934179</v>
      </c>
      <c r="K35" s="6">
        <f t="shared" ref="K35" si="26">SUM(K22:K34)</f>
        <v>94713588.416031584</v>
      </c>
      <c r="L35" s="6">
        <f t="shared" ref="L35" si="27">SUM(L22:L34)</f>
        <v>24045057.843946617</v>
      </c>
      <c r="M35" s="6">
        <f>SUM(C35:L35)</f>
        <v>2525535967.8982825</v>
      </c>
    </row>
    <row r="36" spans="1:24" ht="15.75" thickTop="1" x14ac:dyDescent="0.25"/>
    <row r="38" spans="1:24" x14ac:dyDescent="0.25">
      <c r="A38" s="1" t="s">
        <v>42</v>
      </c>
    </row>
    <row r="39" spans="1:24" x14ac:dyDescent="0.25">
      <c r="C39" s="5">
        <v>350.1</v>
      </c>
      <c r="D39" s="5">
        <v>350.2</v>
      </c>
      <c r="E39" s="5">
        <v>352</v>
      </c>
      <c r="F39" s="5">
        <v>353</v>
      </c>
      <c r="G39" s="5">
        <v>354</v>
      </c>
      <c r="H39" s="5">
        <v>355</v>
      </c>
      <c r="I39" s="5">
        <v>356</v>
      </c>
      <c r="J39" s="5">
        <v>357</v>
      </c>
      <c r="K39" s="5">
        <v>358</v>
      </c>
      <c r="L39" s="5">
        <v>359</v>
      </c>
      <c r="M39" s="5" t="s">
        <v>2</v>
      </c>
    </row>
    <row r="40" spans="1:24" hidden="1" x14ac:dyDescent="0.25">
      <c r="B40" s="116" t="s">
        <v>5</v>
      </c>
      <c r="C40" s="3">
        <f>C89</f>
        <v>18676990.549999997</v>
      </c>
      <c r="D40" s="3">
        <f t="shared" ref="D40:L40" si="28">D89</f>
        <v>94873059.930000007</v>
      </c>
      <c r="E40" s="3">
        <f t="shared" si="28"/>
        <v>264612612.76285636</v>
      </c>
      <c r="F40" s="3">
        <f t="shared" si="28"/>
        <v>1133695494.8447433</v>
      </c>
      <c r="G40" s="3">
        <f t="shared" si="28"/>
        <v>1757159286.4618266</v>
      </c>
      <c r="H40" s="3">
        <f t="shared" si="28"/>
        <v>151903902.76000002</v>
      </c>
      <c r="I40" s="3">
        <f t="shared" si="28"/>
        <v>815549135.04719687</v>
      </c>
      <c r="J40" s="3">
        <f t="shared" si="28"/>
        <v>185286762.54000002</v>
      </c>
      <c r="K40" s="3">
        <f t="shared" si="28"/>
        <v>79876648.5</v>
      </c>
      <c r="L40" s="3">
        <f t="shared" si="28"/>
        <v>138148965.33059186</v>
      </c>
      <c r="M40" s="3">
        <f>SUM(C40:L40)</f>
        <v>4639782858.7272158</v>
      </c>
    </row>
    <row r="41" spans="1:24" x14ac:dyDescent="0.25">
      <c r="B41" s="117">
        <f>B59</f>
        <v>42736</v>
      </c>
      <c r="C41" s="3">
        <f>C90-C89</f>
        <v>-472.32000000029802</v>
      </c>
      <c r="D41" s="3">
        <f t="shared" ref="D41:L41" si="29">D90-D89</f>
        <v>3469.9500000029802</v>
      </c>
      <c r="E41" s="3">
        <f t="shared" si="29"/>
        <v>32491.990000009537</v>
      </c>
      <c r="F41" s="3">
        <f t="shared" si="29"/>
        <v>308019.21000003815</v>
      </c>
      <c r="G41" s="3">
        <f t="shared" si="29"/>
        <v>-53553.049999952316</v>
      </c>
      <c r="H41" s="3">
        <f t="shared" si="29"/>
        <v>-10526.310000002384</v>
      </c>
      <c r="I41" s="3">
        <f t="shared" si="29"/>
        <v>250895.78000020981</v>
      </c>
      <c r="J41" s="3">
        <f t="shared" si="29"/>
        <v>150473.37000000477</v>
      </c>
      <c r="K41" s="3">
        <f t="shared" si="29"/>
        <v>52607.70000000298</v>
      </c>
      <c r="L41" s="3">
        <f t="shared" si="29"/>
        <v>-96328.859999984503</v>
      </c>
      <c r="M41" s="3"/>
    </row>
    <row r="42" spans="1:24" x14ac:dyDescent="0.25">
      <c r="B42" s="117">
        <f t="shared" ref="B42:B52" si="30">B60</f>
        <v>42767</v>
      </c>
      <c r="C42" s="3">
        <f t="shared" ref="C42:L42" si="31">C91-C90</f>
        <v>15368.629999998957</v>
      </c>
      <c r="D42" s="3">
        <f t="shared" si="31"/>
        <v>453668.90999999642</v>
      </c>
      <c r="E42" s="3">
        <f t="shared" si="31"/>
        <v>330609.66999995708</v>
      </c>
      <c r="F42" s="3">
        <f t="shared" si="31"/>
        <v>1007506.8400001526</v>
      </c>
      <c r="G42" s="3">
        <f t="shared" si="31"/>
        <v>1798384.9600000381</v>
      </c>
      <c r="H42" s="3">
        <f t="shared" si="31"/>
        <v>111151.15999999642</v>
      </c>
      <c r="I42" s="3">
        <f t="shared" si="31"/>
        <v>162385.82999992371</v>
      </c>
      <c r="J42" s="3">
        <f t="shared" si="31"/>
        <v>461566</v>
      </c>
      <c r="K42" s="3">
        <f t="shared" si="31"/>
        <v>765121.57999999821</v>
      </c>
      <c r="L42" s="3">
        <f t="shared" si="31"/>
        <v>1577199.75</v>
      </c>
      <c r="M42" s="3"/>
    </row>
    <row r="43" spans="1:24" x14ac:dyDescent="0.25">
      <c r="B43" s="117">
        <f t="shared" si="30"/>
        <v>42795</v>
      </c>
      <c r="C43" s="3">
        <f t="shared" ref="C43:L43" si="32">C92-C91</f>
        <v>-1780.4699999988079</v>
      </c>
      <c r="D43" s="3">
        <f t="shared" si="32"/>
        <v>-14803.019999995828</v>
      </c>
      <c r="E43" s="3">
        <f t="shared" si="32"/>
        <v>416085.66999995708</v>
      </c>
      <c r="F43" s="3">
        <f t="shared" si="32"/>
        <v>-541232.58000016212</v>
      </c>
      <c r="G43" s="3">
        <f t="shared" si="32"/>
        <v>240700.77999997139</v>
      </c>
      <c r="H43" s="3">
        <f t="shared" si="32"/>
        <v>575023.68999999762</v>
      </c>
      <c r="I43" s="3">
        <f t="shared" si="32"/>
        <v>4041872.5700000525</v>
      </c>
      <c r="J43" s="3">
        <f t="shared" si="32"/>
        <v>232456.93999999762</v>
      </c>
      <c r="K43" s="3">
        <f t="shared" si="32"/>
        <v>685020.76999999583</v>
      </c>
      <c r="L43" s="3">
        <f t="shared" si="32"/>
        <v>-454675.31999999285</v>
      </c>
      <c r="M43" s="3"/>
    </row>
    <row r="44" spans="1:24" x14ac:dyDescent="0.25">
      <c r="B44" s="117">
        <f t="shared" si="30"/>
        <v>42826</v>
      </c>
      <c r="C44" s="3">
        <f t="shared" ref="C44:L44" si="33">C93-C92</f>
        <v>11283.219999998808</v>
      </c>
      <c r="D44" s="3">
        <f t="shared" si="33"/>
        <v>569.87999999523163</v>
      </c>
      <c r="E44" s="3">
        <f t="shared" si="33"/>
        <v>226973.82000008225</v>
      </c>
      <c r="F44" s="3">
        <f t="shared" si="33"/>
        <v>32487032.869999886</v>
      </c>
      <c r="G44" s="3">
        <f t="shared" si="33"/>
        <v>444125.16000008583</v>
      </c>
      <c r="H44" s="3">
        <f t="shared" si="33"/>
        <v>-318433.02000001073</v>
      </c>
      <c r="I44" s="3">
        <f t="shared" si="33"/>
        <v>801453.73000001907</v>
      </c>
      <c r="J44" s="3">
        <f t="shared" si="33"/>
        <v>223187.46999999881</v>
      </c>
      <c r="K44" s="3">
        <f t="shared" si="33"/>
        <v>78030.480000004172</v>
      </c>
      <c r="L44" s="3">
        <f t="shared" si="33"/>
        <v>129433.88999998569</v>
      </c>
      <c r="M44" s="3"/>
    </row>
    <row r="45" spans="1:24" x14ac:dyDescent="0.25">
      <c r="B45" s="117">
        <f t="shared" si="30"/>
        <v>42856</v>
      </c>
      <c r="C45" s="3">
        <f t="shared" ref="C45:L45" si="34">C94-C93</f>
        <v>13663.820000000298</v>
      </c>
      <c r="D45" s="3">
        <f t="shared" si="34"/>
        <v>-43.219999998807907</v>
      </c>
      <c r="E45" s="3">
        <f t="shared" si="34"/>
        <v>7516532.869999975</v>
      </c>
      <c r="F45" s="3">
        <f t="shared" si="34"/>
        <v>7920287.8199999332</v>
      </c>
      <c r="G45" s="3">
        <f t="shared" si="34"/>
        <v>1795503.7300000191</v>
      </c>
      <c r="H45" s="3">
        <f t="shared" si="34"/>
        <v>-192522.06000000238</v>
      </c>
      <c r="I45" s="3">
        <f t="shared" si="34"/>
        <v>-2226610.3799999952</v>
      </c>
      <c r="J45" s="3">
        <f t="shared" si="34"/>
        <v>505964.87000000477</v>
      </c>
      <c r="K45" s="3">
        <f t="shared" si="34"/>
        <v>176894.73999999464</v>
      </c>
      <c r="L45" s="3">
        <f t="shared" si="34"/>
        <v>6435426.7700000107</v>
      </c>
      <c r="M45" s="3"/>
    </row>
    <row r="46" spans="1:24" x14ac:dyDescent="0.25">
      <c r="B46" s="117">
        <f t="shared" si="30"/>
        <v>42887</v>
      </c>
      <c r="C46" s="3">
        <f t="shared" ref="C46:L46" si="35">C95-C94</f>
        <v>-760.85999999940395</v>
      </c>
      <c r="D46" s="3">
        <f t="shared" si="35"/>
        <v>760.85999999940395</v>
      </c>
      <c r="E46" s="3">
        <f t="shared" si="35"/>
        <v>170779.6099999547</v>
      </c>
      <c r="F46" s="3">
        <f t="shared" si="35"/>
        <v>-63430.509999990463</v>
      </c>
      <c r="G46" s="3">
        <f t="shared" si="35"/>
        <v>-75028.980000019073</v>
      </c>
      <c r="H46" s="3">
        <f t="shared" si="35"/>
        <v>55521.069999992847</v>
      </c>
      <c r="I46" s="3">
        <f t="shared" si="35"/>
        <v>1315800.5499999523</v>
      </c>
      <c r="J46" s="3">
        <f t="shared" si="35"/>
        <v>1366285.8700000048</v>
      </c>
      <c r="K46" s="3">
        <f t="shared" si="35"/>
        <v>477678.95999999344</v>
      </c>
      <c r="L46" s="3">
        <f t="shared" si="35"/>
        <v>-316437.29999998212</v>
      </c>
      <c r="M46" s="3"/>
    </row>
    <row r="47" spans="1:24" x14ac:dyDescent="0.25">
      <c r="B47" s="117">
        <f t="shared" si="30"/>
        <v>42917</v>
      </c>
      <c r="C47" s="3">
        <f t="shared" ref="C47:L47" si="36">C96-C95</f>
        <v>12350.10000000149</v>
      </c>
      <c r="D47" s="3">
        <f>D96-D95</f>
        <v>761</v>
      </c>
      <c r="E47" s="3">
        <f t="shared" si="36"/>
        <v>-38331.869999945164</v>
      </c>
      <c r="F47" s="3">
        <f t="shared" si="36"/>
        <v>108510.54999995232</v>
      </c>
      <c r="G47" s="3">
        <f t="shared" si="36"/>
        <v>381557.22000002861</v>
      </c>
      <c r="H47" s="3">
        <f t="shared" si="36"/>
        <v>60184.319999992847</v>
      </c>
      <c r="I47" s="3">
        <f t="shared" si="36"/>
        <v>232397.56000006199</v>
      </c>
      <c r="J47" s="3">
        <f t="shared" si="36"/>
        <v>227467.63999998569</v>
      </c>
      <c r="K47" s="3">
        <f t="shared" si="36"/>
        <v>75899.5</v>
      </c>
      <c r="L47" s="3">
        <f t="shared" si="36"/>
        <v>189532.37000000477</v>
      </c>
      <c r="M47" s="3"/>
    </row>
    <row r="48" spans="1:24" x14ac:dyDescent="0.25">
      <c r="B48" s="117">
        <f t="shared" si="30"/>
        <v>42948</v>
      </c>
      <c r="C48" s="3">
        <f t="shared" ref="C48:L48" si="37">C97-C96</f>
        <v>453134.23000000045</v>
      </c>
      <c r="D48" s="3">
        <f t="shared" si="37"/>
        <v>-452616.23000000417</v>
      </c>
      <c r="E48" s="3">
        <f t="shared" si="37"/>
        <v>-322839.59000003338</v>
      </c>
      <c r="F48" s="3">
        <f t="shared" si="37"/>
        <v>399588.19000029564</v>
      </c>
      <c r="G48" s="3">
        <f t="shared" si="37"/>
        <v>488428.25</v>
      </c>
      <c r="H48" s="3">
        <f t="shared" si="37"/>
        <v>79969.689999997616</v>
      </c>
      <c r="I48" s="3">
        <f t="shared" si="37"/>
        <v>323941.46000003815</v>
      </c>
      <c r="J48" s="3">
        <f t="shared" si="37"/>
        <v>328970.46000000834</v>
      </c>
      <c r="K48" s="3">
        <f t="shared" si="37"/>
        <v>109768.09000000358</v>
      </c>
      <c r="L48" s="3">
        <f t="shared" si="37"/>
        <v>119904.56999999285</v>
      </c>
      <c r="M48" s="3"/>
    </row>
    <row r="49" spans="1:18" x14ac:dyDescent="0.25">
      <c r="B49" s="117">
        <f t="shared" si="30"/>
        <v>42979</v>
      </c>
      <c r="C49" s="3">
        <f t="shared" ref="C49:L49" si="38">C98-C97</f>
        <v>11820.789999999106</v>
      </c>
      <c r="D49" s="3">
        <f t="shared" si="38"/>
        <v>-1179.8100000023842</v>
      </c>
      <c r="E49" s="3">
        <f t="shared" si="38"/>
        <v>10510.920000076294</v>
      </c>
      <c r="F49" s="3">
        <f t="shared" si="38"/>
        <v>28470.129999876022</v>
      </c>
      <c r="G49" s="3">
        <f t="shared" si="38"/>
        <v>-1610010.7500002384</v>
      </c>
      <c r="H49" s="3">
        <f t="shared" si="38"/>
        <v>1774212.9399999976</v>
      </c>
      <c r="I49" s="3">
        <f t="shared" si="38"/>
        <v>580546.41999995708</v>
      </c>
      <c r="J49" s="3">
        <f t="shared" si="38"/>
        <v>327556.61000001431</v>
      </c>
      <c r="K49" s="3">
        <f t="shared" si="38"/>
        <v>109294.40000000596</v>
      </c>
      <c r="L49" s="3">
        <f t="shared" si="38"/>
        <v>159001.70000001788</v>
      </c>
      <c r="M49" s="3"/>
    </row>
    <row r="50" spans="1:18" x14ac:dyDescent="0.25">
      <c r="B50" s="117">
        <f t="shared" si="30"/>
        <v>43009</v>
      </c>
      <c r="C50" s="3">
        <f t="shared" ref="C50:L50" si="39">C99-C98</f>
        <v>11839.039999999106</v>
      </c>
      <c r="D50" s="3">
        <f t="shared" si="39"/>
        <v>-594.37999999523163</v>
      </c>
      <c r="E50" s="3">
        <f t="shared" si="39"/>
        <v>134055.19999992847</v>
      </c>
      <c r="F50" s="3">
        <f t="shared" si="39"/>
        <v>670382.52999973297</v>
      </c>
      <c r="G50" s="3">
        <f t="shared" si="39"/>
        <v>655865.81999993324</v>
      </c>
      <c r="H50" s="3">
        <f t="shared" si="39"/>
        <v>296130.62000000477</v>
      </c>
      <c r="I50" s="3">
        <f t="shared" si="39"/>
        <v>10632.230000019073</v>
      </c>
      <c r="J50" s="3">
        <f t="shared" si="39"/>
        <v>628441.90000000596</v>
      </c>
      <c r="K50" s="3">
        <f t="shared" si="39"/>
        <v>314404.56999999285</v>
      </c>
      <c r="L50" s="3">
        <f t="shared" si="39"/>
        <v>195515.81000000238</v>
      </c>
      <c r="M50" s="3"/>
    </row>
    <row r="51" spans="1:18" x14ac:dyDescent="0.25">
      <c r="B51" s="117">
        <f t="shared" si="30"/>
        <v>43040</v>
      </c>
      <c r="C51" s="3">
        <f t="shared" ref="C51:L51" si="40">C100-C99</f>
        <v>1653095.4375</v>
      </c>
      <c r="D51" s="3">
        <f t="shared" si="40"/>
        <v>204540.5</v>
      </c>
      <c r="E51" s="3">
        <f t="shared" si="40"/>
        <v>35215.730000019073</v>
      </c>
      <c r="F51" s="3">
        <f t="shared" si="40"/>
        <v>13766.810000181198</v>
      </c>
      <c r="G51" s="3">
        <f t="shared" si="40"/>
        <v>360544.09000039101</v>
      </c>
      <c r="H51" s="3">
        <f t="shared" si="40"/>
        <v>38808.520000010729</v>
      </c>
      <c r="I51" s="3">
        <f t="shared" si="40"/>
        <v>-3103026.25</v>
      </c>
      <c r="J51" s="3">
        <f t="shared" si="40"/>
        <v>83416.110000014305</v>
      </c>
      <c r="K51" s="3">
        <f t="shared" si="40"/>
        <v>41735.379999995232</v>
      </c>
      <c r="L51" s="3">
        <f t="shared" si="40"/>
        <v>154301.34999999404</v>
      </c>
      <c r="M51" s="3"/>
    </row>
    <row r="52" spans="1:18" x14ac:dyDescent="0.25">
      <c r="B52" s="117">
        <f t="shared" si="30"/>
        <v>43070</v>
      </c>
      <c r="C52" s="3">
        <f t="shared" ref="C52:L52" si="41">C101-C100</f>
        <v>10091.859999999404</v>
      </c>
      <c r="D52" s="3">
        <f t="shared" si="41"/>
        <v>-188.89000000059605</v>
      </c>
      <c r="E52" s="3">
        <f t="shared" si="41"/>
        <v>25355.229999959469</v>
      </c>
      <c r="F52" s="3">
        <f t="shared" si="41"/>
        <v>40429</v>
      </c>
      <c r="G52" s="3">
        <f t="shared" si="41"/>
        <v>791795.29999995232</v>
      </c>
      <c r="H52" s="3">
        <f t="shared" si="41"/>
        <v>77358.939999997616</v>
      </c>
      <c r="I52" s="3">
        <f t="shared" si="41"/>
        <v>329882.05000019073</v>
      </c>
      <c r="J52" s="3">
        <f t="shared" si="41"/>
        <v>115201.55000001192</v>
      </c>
      <c r="K52" s="3">
        <f t="shared" si="41"/>
        <v>57634.439999997616</v>
      </c>
      <c r="L52" s="3">
        <f t="shared" si="41"/>
        <v>202453.79000002146</v>
      </c>
      <c r="M52" s="3"/>
    </row>
    <row r="53" spans="1:18" ht="15.75" thickBot="1" x14ac:dyDescent="0.3">
      <c r="B53" s="116" t="s">
        <v>6</v>
      </c>
      <c r="C53" s="6">
        <f>SUM(C40:C52)</f>
        <v>20866624.027499996</v>
      </c>
      <c r="D53" s="6">
        <f t="shared" ref="D53:L53" si="42">SUM(D40:D52)</f>
        <v>95067405.480000004</v>
      </c>
      <c r="E53" s="6">
        <f t="shared" si="42"/>
        <v>273150052.0128563</v>
      </c>
      <c r="F53" s="6">
        <f t="shared" si="42"/>
        <v>1176074825.7047431</v>
      </c>
      <c r="G53" s="6">
        <f t="shared" si="42"/>
        <v>1762377598.9918268</v>
      </c>
      <c r="H53" s="6">
        <f t="shared" si="42"/>
        <v>154450782.31999999</v>
      </c>
      <c r="I53" s="6">
        <f>SUM(I40:I52)</f>
        <v>818269306.59719729</v>
      </c>
      <c r="J53" s="6">
        <f t="shared" si="42"/>
        <v>189937751.33000007</v>
      </c>
      <c r="K53" s="6">
        <f t="shared" si="42"/>
        <v>82820739.109999985</v>
      </c>
      <c r="L53" s="6">
        <f t="shared" si="42"/>
        <v>146444293.85059193</v>
      </c>
      <c r="M53" s="6">
        <f>SUM(C53:L53)</f>
        <v>4719459379.424715</v>
      </c>
    </row>
    <row r="54" spans="1:18" ht="15.75" thickTop="1" x14ac:dyDescent="0.25"/>
    <row r="56" spans="1:18" x14ac:dyDescent="0.25">
      <c r="A56" s="1" t="s">
        <v>35</v>
      </c>
    </row>
    <row r="57" spans="1:18" x14ac:dyDescent="0.25">
      <c r="C57" s="5">
        <v>350.1</v>
      </c>
      <c r="D57" s="5">
        <v>350.2</v>
      </c>
      <c r="E57" s="5">
        <v>352</v>
      </c>
      <c r="F57" s="5">
        <v>353</v>
      </c>
      <c r="G57" s="5">
        <v>354</v>
      </c>
      <c r="H57" s="5">
        <v>355</v>
      </c>
      <c r="I57" s="5">
        <v>356</v>
      </c>
      <c r="J57" s="5">
        <v>357</v>
      </c>
      <c r="K57" s="5">
        <v>358</v>
      </c>
      <c r="L57" s="5">
        <v>359</v>
      </c>
      <c r="M57" s="5"/>
    </row>
    <row r="58" spans="1:18" x14ac:dyDescent="0.25">
      <c r="B58" s="117">
        <v>42705</v>
      </c>
      <c r="C58" s="174">
        <v>129517154.04000002</v>
      </c>
      <c r="D58" s="174">
        <v>209428812.60000002</v>
      </c>
      <c r="E58" s="174">
        <v>825778508.24000001</v>
      </c>
      <c r="F58" s="174">
        <v>5586246879.5699997</v>
      </c>
      <c r="G58" s="174">
        <v>2305498226.4400005</v>
      </c>
      <c r="H58" s="174">
        <v>1158164968.4300003</v>
      </c>
      <c r="I58" s="174">
        <v>1499811259.55</v>
      </c>
      <c r="J58" s="174">
        <v>253220290.41</v>
      </c>
      <c r="K58" s="174">
        <v>368734328.63</v>
      </c>
      <c r="L58" s="174">
        <v>200535234.44999999</v>
      </c>
      <c r="M58" s="3">
        <f>SUM(C58:L58)</f>
        <v>12536935662.359999</v>
      </c>
      <c r="N58" s="122"/>
      <c r="O58" s="3"/>
      <c r="P58" s="3"/>
      <c r="Q58" s="3"/>
      <c r="R58" s="3"/>
    </row>
    <row r="59" spans="1:18" x14ac:dyDescent="0.25">
      <c r="B59" s="117">
        <v>42736</v>
      </c>
      <c r="C59" s="174">
        <v>131378834.44999999</v>
      </c>
      <c r="D59" s="174">
        <v>209432282.55000001</v>
      </c>
      <c r="E59" s="174">
        <v>821581817.11000013</v>
      </c>
      <c r="F59" s="174">
        <v>5587843439.6599989</v>
      </c>
      <c r="G59" s="174">
        <v>2303288694.5999999</v>
      </c>
      <c r="H59" s="174">
        <v>1198334409.4800003</v>
      </c>
      <c r="I59" s="174">
        <v>1489256987.23</v>
      </c>
      <c r="J59" s="174">
        <v>253416854.25999999</v>
      </c>
      <c r="K59" s="174">
        <v>367637510.72000003</v>
      </c>
      <c r="L59" s="174">
        <v>181870487.78</v>
      </c>
      <c r="M59" s="3"/>
      <c r="N59" s="3"/>
      <c r="O59" s="3"/>
      <c r="P59" s="3"/>
      <c r="Q59" s="3"/>
      <c r="R59" s="3"/>
    </row>
    <row r="60" spans="1:18" x14ac:dyDescent="0.25">
      <c r="B60" s="117">
        <v>42767</v>
      </c>
      <c r="C60" s="174">
        <v>131394149.10000002</v>
      </c>
      <c r="D60" s="174">
        <v>209885951.46000004</v>
      </c>
      <c r="E60" s="174">
        <v>830639898.80000007</v>
      </c>
      <c r="F60" s="174">
        <v>5601903855.8400011</v>
      </c>
      <c r="G60" s="174">
        <v>2290647334.4299998</v>
      </c>
      <c r="H60" s="174">
        <v>1213024812.6700001</v>
      </c>
      <c r="I60" s="174">
        <v>1496353589.9000001</v>
      </c>
      <c r="J60" s="174">
        <v>253857398.16</v>
      </c>
      <c r="K60" s="174">
        <v>370873865.63999999</v>
      </c>
      <c r="L60" s="174">
        <v>183453262.98999998</v>
      </c>
      <c r="M60" s="3"/>
      <c r="N60" s="3"/>
      <c r="O60" s="3"/>
      <c r="P60" s="3"/>
      <c r="Q60" s="3"/>
      <c r="R60" s="3"/>
    </row>
    <row r="61" spans="1:18" x14ac:dyDescent="0.25">
      <c r="B61" s="117">
        <v>42795</v>
      </c>
      <c r="C61" s="174">
        <v>131237780.74000001</v>
      </c>
      <c r="D61" s="174">
        <v>209952218.04000002</v>
      </c>
      <c r="E61" s="174">
        <v>827239561.38999999</v>
      </c>
      <c r="F61" s="174">
        <v>5610673606.6500006</v>
      </c>
      <c r="G61" s="174">
        <v>2300102273.7600002</v>
      </c>
      <c r="H61" s="174">
        <v>1221317310.8199999</v>
      </c>
      <c r="I61" s="174">
        <v>1506732163.1400001</v>
      </c>
      <c r="J61" s="174">
        <v>253855831.97</v>
      </c>
      <c r="K61" s="174">
        <v>370602080.31999999</v>
      </c>
      <c r="L61" s="174">
        <v>183167786.39000002</v>
      </c>
      <c r="M61" s="3"/>
      <c r="N61" s="3"/>
      <c r="O61" s="3"/>
      <c r="P61" s="3"/>
      <c r="Q61" s="3"/>
      <c r="R61" s="3"/>
    </row>
    <row r="62" spans="1:18" x14ac:dyDescent="0.25">
      <c r="B62" s="117">
        <v>42826</v>
      </c>
      <c r="C62" s="174">
        <v>131249063.96000001</v>
      </c>
      <c r="D62" s="174">
        <v>209952774.83000001</v>
      </c>
      <c r="E62" s="174">
        <v>838658329.56000006</v>
      </c>
      <c r="F62" s="174">
        <v>5638495922.1400013</v>
      </c>
      <c r="G62" s="174">
        <v>2319350718.6600003</v>
      </c>
      <c r="H62" s="174">
        <v>1228634537.8099999</v>
      </c>
      <c r="I62" s="174">
        <v>1514411785.8100002</v>
      </c>
      <c r="J62" s="174">
        <v>253429387.49000001</v>
      </c>
      <c r="K62" s="174">
        <v>372129606.30000001</v>
      </c>
      <c r="L62" s="174">
        <v>183311693.40000001</v>
      </c>
      <c r="M62" s="3"/>
      <c r="N62" s="3"/>
      <c r="O62" s="3"/>
      <c r="P62" s="3"/>
      <c r="Q62" s="3"/>
      <c r="R62" s="3"/>
    </row>
    <row r="63" spans="1:18" x14ac:dyDescent="0.25">
      <c r="B63" s="117">
        <v>42856</v>
      </c>
      <c r="C63" s="174">
        <v>131262629.39000002</v>
      </c>
      <c r="D63" s="174">
        <v>210021494.91000003</v>
      </c>
      <c r="E63" s="174">
        <v>847569487.17000008</v>
      </c>
      <c r="F63" s="174">
        <v>5656987999.9299994</v>
      </c>
      <c r="G63" s="174">
        <v>2324305485.04</v>
      </c>
      <c r="H63" s="174">
        <v>1231820325.4200001</v>
      </c>
      <c r="I63" s="174">
        <v>1513503677.6800001</v>
      </c>
      <c r="J63" s="174">
        <v>253935044.16</v>
      </c>
      <c r="K63" s="174">
        <v>372276466.06999999</v>
      </c>
      <c r="L63" s="174">
        <v>190014214.03</v>
      </c>
      <c r="M63" s="3"/>
      <c r="N63" s="3"/>
      <c r="O63" s="3"/>
      <c r="P63" s="3"/>
      <c r="Q63" s="3"/>
      <c r="R63" s="3"/>
    </row>
    <row r="64" spans="1:18" x14ac:dyDescent="0.25">
      <c r="B64" s="117">
        <v>42887</v>
      </c>
      <c r="C64" s="174">
        <v>131656979.69</v>
      </c>
      <c r="D64" s="174">
        <v>210412890.44000003</v>
      </c>
      <c r="E64" s="174">
        <v>852493265.84000003</v>
      </c>
      <c r="F64" s="174">
        <v>5682316528.960001</v>
      </c>
      <c r="G64" s="174">
        <v>2326687641.0300002</v>
      </c>
      <c r="H64" s="174">
        <v>1238729355.6100001</v>
      </c>
      <c r="I64" s="174">
        <v>1517863406.0600002</v>
      </c>
      <c r="J64" s="174">
        <v>255114081.19</v>
      </c>
      <c r="K64" s="174">
        <v>371791118.30000001</v>
      </c>
      <c r="L64" s="174">
        <v>189504963.67000002</v>
      </c>
      <c r="M64" s="3"/>
      <c r="N64" s="3"/>
      <c r="O64" s="3"/>
      <c r="P64" s="3"/>
      <c r="Q64" s="3"/>
      <c r="R64" s="3"/>
    </row>
    <row r="65" spans="1:18" x14ac:dyDescent="0.25">
      <c r="B65" s="117">
        <v>42917</v>
      </c>
      <c r="C65" s="174">
        <v>131669331.61000001</v>
      </c>
      <c r="D65" s="174">
        <v>211181934.89000002</v>
      </c>
      <c r="E65" s="174">
        <v>855677898.75999999</v>
      </c>
      <c r="F65" s="174">
        <v>5699938077.2799997</v>
      </c>
      <c r="G65" s="174">
        <v>2328487000.4100003</v>
      </c>
      <c r="H65" s="174">
        <v>1248163748.5900002</v>
      </c>
      <c r="I65" s="174">
        <v>1515097590.28</v>
      </c>
      <c r="J65" s="174">
        <v>257612022.34999999</v>
      </c>
      <c r="K65" s="174">
        <v>369992617.23000002</v>
      </c>
      <c r="L65" s="174">
        <v>189561686.74000001</v>
      </c>
      <c r="M65" s="3"/>
      <c r="N65" s="3"/>
      <c r="O65" s="3"/>
      <c r="P65" s="3"/>
      <c r="Q65" s="3"/>
      <c r="R65" s="3"/>
    </row>
    <row r="66" spans="1:18" x14ac:dyDescent="0.25">
      <c r="B66" s="117">
        <v>42948</v>
      </c>
      <c r="C66" s="174">
        <v>132122465.84</v>
      </c>
      <c r="D66" s="174">
        <v>210772635.17000002</v>
      </c>
      <c r="E66" s="174">
        <v>862262673.79999995</v>
      </c>
      <c r="F66" s="174">
        <v>5767479991.9000006</v>
      </c>
      <c r="G66" s="174">
        <v>2329659077.5999999</v>
      </c>
      <c r="H66" s="174">
        <v>1250309323.49</v>
      </c>
      <c r="I66" s="174">
        <v>1520655990.5600002</v>
      </c>
      <c r="J66" s="174">
        <v>257719916.97</v>
      </c>
      <c r="K66" s="174">
        <v>373462879.52999997</v>
      </c>
      <c r="L66" s="174">
        <v>189881476.38000003</v>
      </c>
      <c r="M66" s="3"/>
      <c r="N66" s="3"/>
      <c r="O66" s="3"/>
      <c r="P66" s="3"/>
      <c r="Q66" s="3"/>
      <c r="R66" s="3"/>
    </row>
    <row r="67" spans="1:18" x14ac:dyDescent="0.25">
      <c r="B67" s="117">
        <v>42979</v>
      </c>
      <c r="C67" s="174">
        <v>132134286.63</v>
      </c>
      <c r="D67" s="174">
        <v>210811380.28000003</v>
      </c>
      <c r="E67" s="174">
        <v>865002125.90999997</v>
      </c>
      <c r="F67" s="174">
        <v>5775192265.8500004</v>
      </c>
      <c r="G67" s="174">
        <v>2327714920.5</v>
      </c>
      <c r="H67" s="174">
        <v>1257773378.9400001</v>
      </c>
      <c r="I67" s="174">
        <v>1524633562.3700001</v>
      </c>
      <c r="J67" s="174">
        <v>258054612.93000001</v>
      </c>
      <c r="K67" s="174">
        <v>372183869.41000003</v>
      </c>
      <c r="L67" s="174">
        <v>190427673.80000001</v>
      </c>
      <c r="M67" s="3"/>
      <c r="N67" s="3"/>
      <c r="O67" s="3"/>
      <c r="P67" s="3"/>
      <c r="Q67" s="3"/>
      <c r="R67" s="3"/>
    </row>
    <row r="68" spans="1:18" x14ac:dyDescent="0.25">
      <c r="B68" s="117">
        <v>43009</v>
      </c>
      <c r="C68" s="174">
        <v>132146125.67000002</v>
      </c>
      <c r="D68" s="174">
        <v>210811077.08000001</v>
      </c>
      <c r="E68" s="174">
        <v>861261427.49000001</v>
      </c>
      <c r="F68" s="174">
        <v>5736314270.3400002</v>
      </c>
      <c r="G68" s="174">
        <v>2330813154.0700002</v>
      </c>
      <c r="H68" s="174">
        <v>1268202518.3700001</v>
      </c>
      <c r="I68" s="174">
        <v>1523176664.5500002</v>
      </c>
      <c r="J68" s="174">
        <v>258218973.43000001</v>
      </c>
      <c r="K68" s="174">
        <v>374081690.02999997</v>
      </c>
      <c r="L68" s="174">
        <v>190628198.46000001</v>
      </c>
      <c r="M68" s="3"/>
      <c r="N68" s="3"/>
      <c r="O68" s="3"/>
      <c r="P68" s="3"/>
      <c r="Q68" s="3"/>
      <c r="R68" s="3"/>
    </row>
    <row r="69" spans="1:18" x14ac:dyDescent="0.25">
      <c r="B69" s="117">
        <v>43040</v>
      </c>
      <c r="C69" s="174">
        <v>132141953.22</v>
      </c>
      <c r="D69" s="174">
        <v>211027939.90000004</v>
      </c>
      <c r="E69" s="174">
        <v>863692706</v>
      </c>
      <c r="F69" s="174">
        <v>5741418351.5599995</v>
      </c>
      <c r="G69" s="174">
        <v>2332193517.2200003</v>
      </c>
      <c r="H69" s="174">
        <v>1285954661.1800001</v>
      </c>
      <c r="I69" s="174">
        <v>1521698252.1200001</v>
      </c>
      <c r="J69" s="174">
        <v>256220577.09</v>
      </c>
      <c r="K69" s="174">
        <v>374087950.02999997</v>
      </c>
      <c r="L69" s="174">
        <v>192477732.14000002</v>
      </c>
      <c r="M69" s="3"/>
      <c r="N69" s="3"/>
      <c r="O69" s="3"/>
      <c r="P69" s="3"/>
      <c r="Q69" s="3"/>
      <c r="R69" s="3"/>
    </row>
    <row r="70" spans="1:18" x14ac:dyDescent="0.25">
      <c r="B70" s="117">
        <v>43070</v>
      </c>
      <c r="C70" s="174">
        <v>132152045.08</v>
      </c>
      <c r="D70" s="174">
        <v>211042975.33000001</v>
      </c>
      <c r="E70" s="174">
        <v>879621909.91999996</v>
      </c>
      <c r="F70" s="174">
        <v>5902949228.2599993</v>
      </c>
      <c r="G70" s="174">
        <v>2343145352.1400003</v>
      </c>
      <c r="H70" s="174">
        <v>1292702466.8500001</v>
      </c>
      <c r="I70" s="174">
        <v>1524531166.8500001</v>
      </c>
      <c r="J70" s="174">
        <v>256348021.38999999</v>
      </c>
      <c r="K70" s="174">
        <v>376710003.5</v>
      </c>
      <c r="L70" s="174">
        <v>193773411.15000001</v>
      </c>
      <c r="M70" s="122">
        <f>SUM(C70:L70)</f>
        <v>13112976580.469999</v>
      </c>
      <c r="N70" s="122"/>
      <c r="O70" s="3"/>
    </row>
    <row r="71" spans="1:18" x14ac:dyDescent="0.25">
      <c r="C71" s="175"/>
      <c r="D71" s="175"/>
      <c r="E71" s="175"/>
      <c r="F71" s="175"/>
      <c r="G71" s="175"/>
      <c r="H71" s="175"/>
      <c r="I71" s="175"/>
      <c r="J71" s="175"/>
      <c r="K71" s="175"/>
      <c r="L71" s="175"/>
    </row>
    <row r="72" spans="1:18" x14ac:dyDescent="0.25">
      <c r="A72" s="1" t="s">
        <v>30</v>
      </c>
      <c r="C72" s="173">
        <v>350.1</v>
      </c>
      <c r="D72" s="173">
        <v>350.2</v>
      </c>
      <c r="E72" s="173">
        <v>352</v>
      </c>
      <c r="F72" s="173">
        <v>353</v>
      </c>
      <c r="G72" s="173">
        <v>354</v>
      </c>
      <c r="H72" s="173">
        <v>355</v>
      </c>
      <c r="I72" s="173">
        <v>356</v>
      </c>
      <c r="J72" s="173">
        <v>357</v>
      </c>
      <c r="K72" s="173">
        <v>358</v>
      </c>
      <c r="L72" s="173">
        <v>359</v>
      </c>
      <c r="M72" s="5"/>
    </row>
    <row r="73" spans="1:18" x14ac:dyDescent="0.25">
      <c r="B73" s="117">
        <f>B58</f>
        <v>42705</v>
      </c>
      <c r="C73" s="174">
        <v>484055.82</v>
      </c>
      <c r="D73" s="174">
        <v>24954696.91</v>
      </c>
      <c r="E73" s="174">
        <v>125346914.31862129</v>
      </c>
      <c r="F73" s="174">
        <v>752918183.05011833</v>
      </c>
      <c r="G73" s="174">
        <v>513693806.47248101</v>
      </c>
      <c r="H73" s="174">
        <v>170634808.83152288</v>
      </c>
      <c r="I73" s="174">
        <v>613743743.26424658</v>
      </c>
      <c r="J73" s="174">
        <v>19872228.598765075</v>
      </c>
      <c r="K73" s="174">
        <v>97810266.801224723</v>
      </c>
      <c r="L73" s="174">
        <v>18121056.758491732</v>
      </c>
      <c r="M73" s="118">
        <f>SUM(C73:L73)</f>
        <v>2337579760.8254714</v>
      </c>
      <c r="N73" s="19"/>
      <c r="O73" s="9"/>
    </row>
    <row r="74" spans="1:18" x14ac:dyDescent="0.25">
      <c r="B74" s="117">
        <f t="shared" ref="B74:B85" si="43">B59</f>
        <v>42736</v>
      </c>
      <c r="C74" s="174">
        <v>484059.44</v>
      </c>
      <c r="D74" s="174">
        <v>25261036.300000001</v>
      </c>
      <c r="E74" s="174">
        <v>127175125.80138759</v>
      </c>
      <c r="F74" s="174">
        <v>764909917.63244772</v>
      </c>
      <c r="G74" s="174">
        <v>518009123.06862026</v>
      </c>
      <c r="H74" s="174">
        <v>170507365.01501659</v>
      </c>
      <c r="I74" s="174">
        <v>617111837.63270521</v>
      </c>
      <c r="J74" s="174">
        <v>20201542.251953945</v>
      </c>
      <c r="K74" s="174">
        <v>96703340.112367481</v>
      </c>
      <c r="L74" s="174">
        <v>18379222.222727615</v>
      </c>
      <c r="M74" s="120"/>
      <c r="O74" s="9"/>
    </row>
    <row r="75" spans="1:18" x14ac:dyDescent="0.25">
      <c r="B75" s="117">
        <f t="shared" si="43"/>
        <v>42767</v>
      </c>
      <c r="C75" s="174">
        <v>484055.82</v>
      </c>
      <c r="D75" s="174">
        <v>25551147.79999999</v>
      </c>
      <c r="E75" s="174">
        <v>129457054.56205645</v>
      </c>
      <c r="F75" s="174">
        <v>776189695.77307343</v>
      </c>
      <c r="G75" s="174">
        <v>527051488.97605395</v>
      </c>
      <c r="H75" s="174">
        <v>170886737.52738839</v>
      </c>
      <c r="I75" s="174">
        <v>606091538.53926158</v>
      </c>
      <c r="J75" s="174">
        <v>20551776.457873926</v>
      </c>
      <c r="K75" s="174">
        <v>97245303.868097171</v>
      </c>
      <c r="L75" s="174">
        <v>18779650.305465162</v>
      </c>
      <c r="M75" s="120"/>
      <c r="O75" s="9"/>
    </row>
    <row r="76" spans="1:18" x14ac:dyDescent="0.25">
      <c r="B76" s="117">
        <f t="shared" si="43"/>
        <v>42795</v>
      </c>
      <c r="C76" s="174">
        <v>484055.82</v>
      </c>
      <c r="D76" s="174">
        <v>25841885.440000001</v>
      </c>
      <c r="E76" s="174">
        <v>134134048.85066071</v>
      </c>
      <c r="F76" s="174">
        <v>804073979.32732546</v>
      </c>
      <c r="G76" s="174">
        <v>527857814.79462445</v>
      </c>
      <c r="H76" s="174">
        <v>168463114.79547668</v>
      </c>
      <c r="I76" s="174">
        <v>607626926.02174783</v>
      </c>
      <c r="J76" s="174">
        <v>18191904.717081293</v>
      </c>
      <c r="K76" s="174">
        <v>88944417.667414159</v>
      </c>
      <c r="L76" s="174">
        <v>19120255.528373703</v>
      </c>
      <c r="M76" s="120"/>
      <c r="O76" s="9"/>
    </row>
    <row r="77" spans="1:18" x14ac:dyDescent="0.25">
      <c r="B77" s="117">
        <f t="shared" si="43"/>
        <v>42826</v>
      </c>
      <c r="C77" s="174">
        <v>484055.82</v>
      </c>
      <c r="D77" s="174">
        <v>26132720.109999999</v>
      </c>
      <c r="E77" s="174">
        <v>135588376.82190263</v>
      </c>
      <c r="F77" s="174">
        <v>814555699.51352239</v>
      </c>
      <c r="G77" s="174">
        <v>532017695.80768114</v>
      </c>
      <c r="H77" s="174">
        <v>167139070.5502958</v>
      </c>
      <c r="I77" s="174">
        <v>610690146.463799</v>
      </c>
      <c r="J77" s="174">
        <v>18513829.324342061</v>
      </c>
      <c r="K77" s="174">
        <v>89128391.200189874</v>
      </c>
      <c r="L77" s="174">
        <v>19340889.653992347</v>
      </c>
      <c r="M77" s="120"/>
      <c r="O77" s="9"/>
    </row>
    <row r="78" spans="1:18" x14ac:dyDescent="0.25">
      <c r="B78" s="117">
        <f t="shared" si="43"/>
        <v>42856</v>
      </c>
      <c r="C78" s="174">
        <v>484176.63</v>
      </c>
      <c r="D78" s="174">
        <v>26423553.160000004</v>
      </c>
      <c r="E78" s="174">
        <v>137288439.33605129</v>
      </c>
      <c r="F78" s="174">
        <v>830045037.59266984</v>
      </c>
      <c r="G78" s="174">
        <v>530279371.4403016</v>
      </c>
      <c r="H78" s="174">
        <v>161289294.28213215</v>
      </c>
      <c r="I78" s="174">
        <v>610457254.27915204</v>
      </c>
      <c r="J78" s="174">
        <v>18882449.380834103</v>
      </c>
      <c r="K78" s="174">
        <v>89590827.669286042</v>
      </c>
      <c r="L78" s="174">
        <v>19605047.221697662</v>
      </c>
      <c r="M78" s="120"/>
      <c r="O78" s="9"/>
    </row>
    <row r="79" spans="1:18" x14ac:dyDescent="0.25">
      <c r="B79" s="117">
        <f t="shared" si="43"/>
        <v>42887</v>
      </c>
      <c r="C79" s="174">
        <v>484178.4</v>
      </c>
      <c r="D79" s="174">
        <v>26714481.490000002</v>
      </c>
      <c r="E79" s="174">
        <v>140501900.19041637</v>
      </c>
      <c r="F79" s="174">
        <v>847879327.66797256</v>
      </c>
      <c r="G79" s="174">
        <v>515713121.25704843</v>
      </c>
      <c r="H79" s="174">
        <v>165434065.4292689</v>
      </c>
      <c r="I79" s="174">
        <v>610600612.32932937</v>
      </c>
      <c r="J79" s="174">
        <v>19501749.460387208</v>
      </c>
      <c r="K79" s="174">
        <v>90765479.538548633</v>
      </c>
      <c r="L79" s="174">
        <v>20150185.084262598</v>
      </c>
      <c r="M79" s="120"/>
      <c r="O79" s="9"/>
    </row>
    <row r="80" spans="1:18" x14ac:dyDescent="0.25">
      <c r="B80" s="117">
        <f t="shared" si="43"/>
        <v>42917</v>
      </c>
      <c r="C80" s="174">
        <v>484178.4</v>
      </c>
      <c r="D80" s="174">
        <v>27005952.509999994</v>
      </c>
      <c r="E80" s="174">
        <v>142110415.37449837</v>
      </c>
      <c r="F80" s="174">
        <v>857286162.4312495</v>
      </c>
      <c r="G80" s="174">
        <v>520180439.99778801</v>
      </c>
      <c r="H80" s="174">
        <v>162806833.55435663</v>
      </c>
      <c r="I80" s="174">
        <v>613844892.57986259</v>
      </c>
      <c r="J80" s="174">
        <v>19868637.920089144</v>
      </c>
      <c r="K80" s="174">
        <v>91148285.339249477</v>
      </c>
      <c r="L80" s="174">
        <v>20422940.732455205</v>
      </c>
      <c r="M80" s="120"/>
      <c r="O80" s="9"/>
    </row>
    <row r="81" spans="1:21" x14ac:dyDescent="0.25">
      <c r="B81" s="117">
        <f t="shared" si="43"/>
        <v>42948</v>
      </c>
      <c r="C81" s="174">
        <v>484178.4</v>
      </c>
      <c r="D81" s="174">
        <v>27298484.719999999</v>
      </c>
      <c r="E81" s="174">
        <v>143489339.89026326</v>
      </c>
      <c r="F81" s="174">
        <v>864113897.58510625</v>
      </c>
      <c r="G81" s="174">
        <v>523636300.57012695</v>
      </c>
      <c r="H81" s="174">
        <v>162147089.13107863</v>
      </c>
      <c r="I81" s="174">
        <v>616878987.33049834</v>
      </c>
      <c r="J81" s="174">
        <v>20149638.551047672</v>
      </c>
      <c r="K81" s="174">
        <v>91292316.309695512</v>
      </c>
      <c r="L81" s="174">
        <v>20637099.125692315</v>
      </c>
      <c r="M81" s="120"/>
      <c r="O81" s="9"/>
    </row>
    <row r="82" spans="1:21" x14ac:dyDescent="0.25">
      <c r="B82" s="117">
        <f t="shared" si="43"/>
        <v>42979</v>
      </c>
      <c r="C82" s="174">
        <v>484686.39</v>
      </c>
      <c r="D82" s="174">
        <v>27590455.879999995</v>
      </c>
      <c r="E82" s="174">
        <v>149198647.61803305</v>
      </c>
      <c r="F82" s="174">
        <v>882383514.52247214</v>
      </c>
      <c r="G82" s="174">
        <v>534041306.49452889</v>
      </c>
      <c r="H82" s="174">
        <v>139319143.43011874</v>
      </c>
      <c r="I82" s="174">
        <v>616290418.38873637</v>
      </c>
      <c r="J82" s="174">
        <v>22345244.145517915</v>
      </c>
      <c r="K82" s="174">
        <v>92631026.65866904</v>
      </c>
      <c r="L82" s="174">
        <v>23297799.484060239</v>
      </c>
      <c r="M82" s="120"/>
      <c r="O82" s="9"/>
      <c r="S82" s="3"/>
    </row>
    <row r="83" spans="1:21" x14ac:dyDescent="0.25">
      <c r="B83" s="117">
        <f t="shared" si="43"/>
        <v>43009</v>
      </c>
      <c r="C83" s="174">
        <v>484721.04</v>
      </c>
      <c r="D83" s="174">
        <v>27882743.940000001</v>
      </c>
      <c r="E83" s="174">
        <v>150525619.71619767</v>
      </c>
      <c r="F83" s="174">
        <v>888427875.50237989</v>
      </c>
      <c r="G83" s="174">
        <v>537885690.79752815</v>
      </c>
      <c r="H83" s="174">
        <v>139864054.92682296</v>
      </c>
      <c r="I83" s="174">
        <v>618547529.67924118</v>
      </c>
      <c r="J83" s="174">
        <v>22706192.722843207</v>
      </c>
      <c r="K83" s="174">
        <v>93248223.387436509</v>
      </c>
      <c r="L83" s="174">
        <v>23548038.243116863</v>
      </c>
      <c r="M83" s="120"/>
      <c r="O83" s="9"/>
      <c r="S83" s="3"/>
      <c r="T83" s="9"/>
      <c r="U83" s="9"/>
    </row>
    <row r="84" spans="1:21" x14ac:dyDescent="0.25">
      <c r="B84" s="117">
        <f t="shared" si="43"/>
        <v>43040</v>
      </c>
      <c r="C84" s="174">
        <v>472353.4</v>
      </c>
      <c r="D84" s="174">
        <v>28185705.370000001</v>
      </c>
      <c r="E84" s="174">
        <v>151885615.26119152</v>
      </c>
      <c r="F84" s="174">
        <v>897680127.66639447</v>
      </c>
      <c r="G84" s="174">
        <v>541914971.48278737</v>
      </c>
      <c r="H84" s="174">
        <v>139057275.11234775</v>
      </c>
      <c r="I84" s="174">
        <v>618968774.0627234</v>
      </c>
      <c r="J84" s="174">
        <v>23086829.237250708</v>
      </c>
      <c r="K84" s="174">
        <v>93884563.569974884</v>
      </c>
      <c r="L84" s="174">
        <v>23795791.951308049</v>
      </c>
      <c r="M84" s="120"/>
      <c r="O84" s="9"/>
      <c r="S84" s="3"/>
    </row>
    <row r="85" spans="1:21" x14ac:dyDescent="0.25">
      <c r="B85" s="117">
        <f t="shared" si="43"/>
        <v>43070</v>
      </c>
      <c r="C85" s="174">
        <v>270</v>
      </c>
      <c r="D85" s="174">
        <v>28950113.380000003</v>
      </c>
      <c r="E85" s="174">
        <v>153307934.36490318</v>
      </c>
      <c r="F85" s="174">
        <v>903066612.25452924</v>
      </c>
      <c r="G85" s="174">
        <v>545542181.97305715</v>
      </c>
      <c r="H85" s="174">
        <v>133901319.76611355</v>
      </c>
      <c r="I85" s="174">
        <v>618568089.62176752</v>
      </c>
      <c r="J85" s="174">
        <v>23440800.277934179</v>
      </c>
      <c r="K85" s="174">
        <v>94713588.416031584</v>
      </c>
      <c r="L85" s="174">
        <v>24045057.843946617</v>
      </c>
      <c r="M85" s="118">
        <f>SUM(C85:L85)</f>
        <v>2525535967.8982825</v>
      </c>
      <c r="N85" s="19"/>
      <c r="O85" s="9"/>
      <c r="S85" s="120"/>
    </row>
    <row r="86" spans="1:21" x14ac:dyDescent="0.25">
      <c r="C86" s="175"/>
      <c r="D86" s="175"/>
      <c r="E86" s="175"/>
      <c r="F86" s="175"/>
      <c r="G86" s="175"/>
      <c r="H86" s="175"/>
      <c r="I86" s="175"/>
      <c r="J86" s="175"/>
      <c r="K86" s="175"/>
      <c r="L86" s="175"/>
    </row>
    <row r="87" spans="1:21" x14ac:dyDescent="0.25">
      <c r="A87" s="1" t="s">
        <v>16</v>
      </c>
      <c r="C87" s="175"/>
      <c r="D87" s="175"/>
      <c r="E87" s="175"/>
      <c r="F87" s="175"/>
      <c r="G87" s="175"/>
      <c r="H87" s="175"/>
      <c r="I87" s="175"/>
      <c r="J87" s="175"/>
      <c r="K87" s="175"/>
      <c r="L87" s="175"/>
    </row>
    <row r="88" spans="1:21" x14ac:dyDescent="0.25">
      <c r="C88" s="173">
        <v>350.1</v>
      </c>
      <c r="D88" s="173">
        <v>350.2</v>
      </c>
      <c r="E88" s="173">
        <v>352</v>
      </c>
      <c r="F88" s="173">
        <v>353</v>
      </c>
      <c r="G88" s="173">
        <v>354</v>
      </c>
      <c r="H88" s="173">
        <v>355</v>
      </c>
      <c r="I88" s="173">
        <v>356</v>
      </c>
      <c r="J88" s="173">
        <v>357</v>
      </c>
      <c r="K88" s="173">
        <v>358</v>
      </c>
      <c r="L88" s="173">
        <v>359</v>
      </c>
    </row>
    <row r="89" spans="1:21" x14ac:dyDescent="0.25">
      <c r="B89" s="117">
        <f>B73</f>
        <v>42705</v>
      </c>
      <c r="C89" s="174">
        <v>18676990.549999997</v>
      </c>
      <c r="D89" s="174">
        <v>94873059.930000007</v>
      </c>
      <c r="E89" s="174">
        <v>264612612.76285636</v>
      </c>
      <c r="F89" s="174">
        <v>1133695494.8447433</v>
      </c>
      <c r="G89" s="174">
        <v>1757159286.4618266</v>
      </c>
      <c r="H89" s="174">
        <v>151903902.76000002</v>
      </c>
      <c r="I89" s="174">
        <v>815549135.04719687</v>
      </c>
      <c r="J89" s="174">
        <v>185286762.54000002</v>
      </c>
      <c r="K89" s="174">
        <v>79876648.5</v>
      </c>
      <c r="L89" s="174">
        <v>138148965.33059186</v>
      </c>
      <c r="M89" s="118">
        <f>SUM(C89:L89)</f>
        <v>4639782858.7272158</v>
      </c>
      <c r="N89" s="135"/>
      <c r="O89" s="120"/>
    </row>
    <row r="90" spans="1:21" x14ac:dyDescent="0.25">
      <c r="B90" s="117">
        <f t="shared" ref="B90:B101" si="44">B74</f>
        <v>42736</v>
      </c>
      <c r="C90" s="174">
        <v>18676518.229999997</v>
      </c>
      <c r="D90" s="174">
        <v>94876529.88000001</v>
      </c>
      <c r="E90" s="174">
        <v>264645104.75285637</v>
      </c>
      <c r="F90" s="174">
        <v>1134003514.0547433</v>
      </c>
      <c r="G90" s="174">
        <v>1757105733.4118266</v>
      </c>
      <c r="H90" s="174">
        <v>151893376.45000002</v>
      </c>
      <c r="I90" s="174">
        <v>815800030.82719707</v>
      </c>
      <c r="J90" s="174">
        <v>185437235.91000003</v>
      </c>
      <c r="K90" s="174">
        <v>79929256.200000003</v>
      </c>
      <c r="L90" s="174">
        <v>138052636.47059187</v>
      </c>
      <c r="M90" s="120"/>
      <c r="N90" s="120"/>
      <c r="O90" s="120"/>
    </row>
    <row r="91" spans="1:21" x14ac:dyDescent="0.25">
      <c r="B91" s="117">
        <f t="shared" si="44"/>
        <v>42767</v>
      </c>
      <c r="C91" s="174">
        <v>18691886.859999996</v>
      </c>
      <c r="D91" s="174">
        <v>95330198.790000007</v>
      </c>
      <c r="E91" s="174">
        <v>264975714.42285633</v>
      </c>
      <c r="F91" s="174">
        <v>1135011020.8947434</v>
      </c>
      <c r="G91" s="174">
        <v>1758904118.3718266</v>
      </c>
      <c r="H91" s="174">
        <v>152004527.61000001</v>
      </c>
      <c r="I91" s="174">
        <v>815962416.657197</v>
      </c>
      <c r="J91" s="174">
        <v>185898801.91000003</v>
      </c>
      <c r="K91" s="174">
        <v>80694377.780000001</v>
      </c>
      <c r="L91" s="174">
        <v>139629836.22059187</v>
      </c>
      <c r="M91" s="120"/>
      <c r="N91" s="120"/>
      <c r="O91" s="120"/>
    </row>
    <row r="92" spans="1:21" x14ac:dyDescent="0.25">
      <c r="B92" s="117">
        <f t="shared" si="44"/>
        <v>42795</v>
      </c>
      <c r="C92" s="174">
        <v>18690106.389999997</v>
      </c>
      <c r="D92" s="174">
        <v>95315395.770000011</v>
      </c>
      <c r="E92" s="174">
        <v>265391800.09285629</v>
      </c>
      <c r="F92" s="174">
        <v>1134469788.3147433</v>
      </c>
      <c r="G92" s="174">
        <v>1759144819.1518266</v>
      </c>
      <c r="H92" s="174">
        <v>152579551.30000001</v>
      </c>
      <c r="I92" s="174">
        <v>820004289.22719705</v>
      </c>
      <c r="J92" s="174">
        <v>186131258.85000002</v>
      </c>
      <c r="K92" s="174">
        <v>81379398.549999997</v>
      </c>
      <c r="L92" s="174">
        <v>139175160.90059188</v>
      </c>
      <c r="M92" s="120"/>
      <c r="N92" s="120"/>
      <c r="O92" s="120"/>
    </row>
    <row r="93" spans="1:21" x14ac:dyDescent="0.25">
      <c r="B93" s="117">
        <f t="shared" si="44"/>
        <v>42826</v>
      </c>
      <c r="C93" s="174">
        <v>18701389.609999996</v>
      </c>
      <c r="D93" s="174">
        <v>95315965.650000006</v>
      </c>
      <c r="E93" s="174">
        <v>265618773.91285637</v>
      </c>
      <c r="F93" s="174">
        <v>1166956821.1847432</v>
      </c>
      <c r="G93" s="174">
        <v>1759588944.3118267</v>
      </c>
      <c r="H93" s="174">
        <v>152261118.28</v>
      </c>
      <c r="I93" s="174">
        <v>820805742.95719707</v>
      </c>
      <c r="J93" s="174">
        <v>186354446.32000002</v>
      </c>
      <c r="K93" s="174">
        <v>81457429.030000001</v>
      </c>
      <c r="L93" s="174">
        <v>139304594.79059187</v>
      </c>
      <c r="M93" s="120"/>
      <c r="N93" s="120"/>
      <c r="O93" s="120"/>
    </row>
    <row r="94" spans="1:21" x14ac:dyDescent="0.25">
      <c r="B94" s="117">
        <f t="shared" si="44"/>
        <v>42856</v>
      </c>
      <c r="C94" s="174">
        <v>18715053.429999996</v>
      </c>
      <c r="D94" s="174">
        <v>95315922.430000007</v>
      </c>
      <c r="E94" s="174">
        <v>273135306.78285635</v>
      </c>
      <c r="F94" s="174">
        <v>1174877109.0047431</v>
      </c>
      <c r="G94" s="174">
        <v>1761384448.0418267</v>
      </c>
      <c r="H94" s="174">
        <v>152068596.22</v>
      </c>
      <c r="I94" s="174">
        <v>818579132.57719707</v>
      </c>
      <c r="J94" s="174">
        <v>186860411.19000003</v>
      </c>
      <c r="K94" s="174">
        <v>81634323.769999996</v>
      </c>
      <c r="L94" s="174">
        <v>145740021.56059188</v>
      </c>
      <c r="M94" s="120"/>
      <c r="N94" s="120"/>
      <c r="O94" s="120"/>
    </row>
    <row r="95" spans="1:21" x14ac:dyDescent="0.25">
      <c r="B95" s="117">
        <f t="shared" si="44"/>
        <v>42887</v>
      </c>
      <c r="C95" s="174">
        <v>18714292.569999997</v>
      </c>
      <c r="D95" s="174">
        <v>95316683.290000007</v>
      </c>
      <c r="E95" s="174">
        <v>273306086.3928563</v>
      </c>
      <c r="F95" s="174">
        <v>1174813678.4947431</v>
      </c>
      <c r="G95" s="174">
        <v>1761309419.0618267</v>
      </c>
      <c r="H95" s="174">
        <v>152124117.28999999</v>
      </c>
      <c r="I95" s="174">
        <v>819894933.12719703</v>
      </c>
      <c r="J95" s="174">
        <v>188226697.06000003</v>
      </c>
      <c r="K95" s="174">
        <v>82112002.729999989</v>
      </c>
      <c r="L95" s="174">
        <v>145423584.26059189</v>
      </c>
      <c r="M95" s="120"/>
      <c r="N95" s="120"/>
      <c r="O95" s="120"/>
    </row>
    <row r="96" spans="1:21" x14ac:dyDescent="0.25">
      <c r="B96" s="117">
        <f t="shared" si="44"/>
        <v>42917</v>
      </c>
      <c r="C96" s="174">
        <v>18726642.669999998</v>
      </c>
      <c r="D96" s="174">
        <v>95317444.290000007</v>
      </c>
      <c r="E96" s="174">
        <v>273267754.52285635</v>
      </c>
      <c r="F96" s="174">
        <v>1174922189.0447431</v>
      </c>
      <c r="G96" s="174">
        <v>1761690976.2818267</v>
      </c>
      <c r="H96" s="174">
        <v>152184301.60999998</v>
      </c>
      <c r="I96" s="174">
        <v>820127330.68719709</v>
      </c>
      <c r="J96" s="174">
        <v>188454164.70000002</v>
      </c>
      <c r="K96" s="174">
        <v>82187902.229999989</v>
      </c>
      <c r="L96" s="174">
        <v>145613116.6305919</v>
      </c>
      <c r="M96" s="120"/>
      <c r="N96" s="120"/>
      <c r="O96" s="120"/>
    </row>
    <row r="97" spans="1:15" x14ac:dyDescent="0.25">
      <c r="B97" s="117">
        <f t="shared" si="44"/>
        <v>42948</v>
      </c>
      <c r="C97" s="174">
        <v>19179776.899999999</v>
      </c>
      <c r="D97" s="174">
        <v>94864828.060000002</v>
      </c>
      <c r="E97" s="174">
        <v>272944914.93285632</v>
      </c>
      <c r="F97" s="174">
        <v>1175321777.2347434</v>
      </c>
      <c r="G97" s="174">
        <v>1762179404.5318267</v>
      </c>
      <c r="H97" s="174">
        <v>152264271.29999998</v>
      </c>
      <c r="I97" s="174">
        <v>820451272.14719713</v>
      </c>
      <c r="J97" s="174">
        <v>188783135.16000003</v>
      </c>
      <c r="K97" s="174">
        <v>82297670.319999993</v>
      </c>
      <c r="L97" s="174">
        <v>145733021.20059189</v>
      </c>
      <c r="M97" s="120"/>
      <c r="N97" s="120"/>
      <c r="O97" s="120"/>
    </row>
    <row r="98" spans="1:15" x14ac:dyDescent="0.25">
      <c r="B98" s="117">
        <f t="shared" si="44"/>
        <v>42979</v>
      </c>
      <c r="C98" s="174">
        <v>19191597.689999998</v>
      </c>
      <c r="D98" s="174">
        <v>94863648.25</v>
      </c>
      <c r="E98" s="174">
        <v>272955425.8528564</v>
      </c>
      <c r="F98" s="174">
        <v>1175350247.3647432</v>
      </c>
      <c r="G98" s="174">
        <v>1760569393.7818265</v>
      </c>
      <c r="H98" s="174">
        <v>154038484.23999998</v>
      </c>
      <c r="I98" s="174">
        <v>821031818.56719708</v>
      </c>
      <c r="J98" s="174">
        <v>189110691.77000004</v>
      </c>
      <c r="K98" s="174">
        <v>82406964.719999999</v>
      </c>
      <c r="L98" s="174">
        <v>145892022.90059191</v>
      </c>
      <c r="M98" s="120"/>
      <c r="N98" s="120"/>
      <c r="O98" s="120"/>
    </row>
    <row r="99" spans="1:15" x14ac:dyDescent="0.25">
      <c r="B99" s="117">
        <f t="shared" si="44"/>
        <v>43009</v>
      </c>
      <c r="C99" s="174">
        <v>19203436.729999997</v>
      </c>
      <c r="D99" s="174">
        <v>94863053.870000005</v>
      </c>
      <c r="E99" s="174">
        <v>273089481.05285633</v>
      </c>
      <c r="F99" s="174">
        <v>1176020629.894743</v>
      </c>
      <c r="G99" s="174">
        <v>1761225259.6018264</v>
      </c>
      <c r="H99" s="174">
        <v>154334614.85999998</v>
      </c>
      <c r="I99" s="174">
        <v>821042450.7971971</v>
      </c>
      <c r="J99" s="174">
        <v>189739133.67000005</v>
      </c>
      <c r="K99" s="174">
        <v>82721369.289999992</v>
      </c>
      <c r="L99" s="174">
        <v>146087538.71059191</v>
      </c>
      <c r="M99" s="120"/>
      <c r="N99" s="120"/>
      <c r="O99" s="120"/>
    </row>
    <row r="100" spans="1:15" x14ac:dyDescent="0.25">
      <c r="B100" s="117">
        <f t="shared" si="44"/>
        <v>43040</v>
      </c>
      <c r="C100" s="174">
        <v>20856532.167499997</v>
      </c>
      <c r="D100" s="174">
        <v>95067594.370000005</v>
      </c>
      <c r="E100" s="174">
        <v>273124696.78285635</v>
      </c>
      <c r="F100" s="174">
        <v>1176034396.7047431</v>
      </c>
      <c r="G100" s="174">
        <v>1761585803.6918268</v>
      </c>
      <c r="H100" s="174">
        <v>154373423.38</v>
      </c>
      <c r="I100" s="174">
        <v>817939424.5471971</v>
      </c>
      <c r="J100" s="174">
        <v>189822549.78000006</v>
      </c>
      <c r="K100" s="174">
        <v>82763104.669999987</v>
      </c>
      <c r="L100" s="174">
        <v>146241840.06059191</v>
      </c>
      <c r="M100" s="120"/>
      <c r="N100" s="120"/>
      <c r="O100" s="120"/>
    </row>
    <row r="101" spans="1:15" x14ac:dyDescent="0.25">
      <c r="B101" s="117">
        <f t="shared" si="44"/>
        <v>43070</v>
      </c>
      <c r="C101" s="174">
        <v>20866624.027499996</v>
      </c>
      <c r="D101" s="174">
        <v>95067405.480000004</v>
      </c>
      <c r="E101" s="174">
        <v>273150052.0128563</v>
      </c>
      <c r="F101" s="174">
        <v>1176074825.7047431</v>
      </c>
      <c r="G101" s="174">
        <v>1762377598.9918268</v>
      </c>
      <c r="H101" s="174">
        <v>154450782.31999999</v>
      </c>
      <c r="I101" s="174">
        <v>818269306.59719729</v>
      </c>
      <c r="J101" s="174">
        <v>189937751.33000007</v>
      </c>
      <c r="K101" s="174">
        <v>82820739.109999985</v>
      </c>
      <c r="L101" s="174">
        <v>146444293.85059193</v>
      </c>
      <c r="M101" s="118">
        <f>SUM(C101:L101)</f>
        <v>4719459379.424715</v>
      </c>
      <c r="N101" s="135"/>
      <c r="O101" s="120"/>
    </row>
    <row r="102" spans="1:15" x14ac:dyDescent="0.25">
      <c r="C102" s="175"/>
      <c r="D102" s="175"/>
      <c r="E102" s="175"/>
      <c r="F102" s="175"/>
      <c r="G102" s="175"/>
      <c r="H102" s="175"/>
      <c r="I102" s="175"/>
      <c r="J102" s="175"/>
      <c r="K102" s="175"/>
      <c r="L102" s="175"/>
    </row>
    <row r="103" spans="1:15" x14ac:dyDescent="0.25">
      <c r="A103" s="83" t="s">
        <v>104</v>
      </c>
      <c r="C103" s="175"/>
      <c r="D103" s="175"/>
      <c r="E103" s="175"/>
      <c r="F103" s="175"/>
      <c r="G103" s="175"/>
      <c r="H103" s="175"/>
      <c r="I103" s="175"/>
      <c r="J103" s="175"/>
      <c r="K103" s="175"/>
      <c r="L103" s="175"/>
    </row>
    <row r="104" spans="1:15" x14ac:dyDescent="0.25">
      <c r="C104" s="173">
        <v>350.1</v>
      </c>
      <c r="D104" s="173">
        <v>350.2</v>
      </c>
      <c r="E104" s="173">
        <v>352</v>
      </c>
      <c r="F104" s="173">
        <v>353</v>
      </c>
      <c r="G104" s="173">
        <v>354</v>
      </c>
      <c r="H104" s="173">
        <v>355</v>
      </c>
      <c r="I104" s="173">
        <v>356</v>
      </c>
      <c r="J104" s="173">
        <v>357</v>
      </c>
      <c r="K104" s="173">
        <v>358</v>
      </c>
      <c r="L104" s="173">
        <v>359</v>
      </c>
    </row>
    <row r="105" spans="1:15" x14ac:dyDescent="0.25">
      <c r="B105" s="117">
        <f>B89</f>
        <v>42705</v>
      </c>
      <c r="C105" s="174">
        <v>86845703.104480609</v>
      </c>
      <c r="D105" s="174">
        <v>165326927.27681193</v>
      </c>
      <c r="E105" s="174">
        <v>531582610.83188766</v>
      </c>
      <c r="F105" s="174">
        <v>3249175448.8296032</v>
      </c>
      <c r="G105" s="174">
        <v>2233991232.1950097</v>
      </c>
      <c r="H105" s="174">
        <v>324258227.83465576</v>
      </c>
      <c r="I105" s="174">
        <v>1235903790.5887618</v>
      </c>
      <c r="J105" s="174">
        <v>185508196.51440176</v>
      </c>
      <c r="K105" s="174">
        <v>81951071.953655437</v>
      </c>
      <c r="L105" s="174">
        <v>182027085.56504503</v>
      </c>
      <c r="M105" s="120">
        <f>SUM(C105:L105)</f>
        <v>8276570294.694313</v>
      </c>
      <c r="N105" s="135"/>
      <c r="O105" s="120"/>
    </row>
    <row r="106" spans="1:15" x14ac:dyDescent="0.25">
      <c r="B106" s="117">
        <f t="shared" ref="B106:B117" si="45">B90</f>
        <v>42736</v>
      </c>
      <c r="C106" s="174">
        <v>86539268.702323049</v>
      </c>
      <c r="D106" s="174">
        <v>163855311.5000515</v>
      </c>
      <c r="E106" s="174">
        <v>536971758.90091062</v>
      </c>
      <c r="F106" s="174">
        <v>3238372064.1477976</v>
      </c>
      <c r="G106" s="174">
        <v>2247083243.5095496</v>
      </c>
      <c r="H106" s="174">
        <v>344930362.82765871</v>
      </c>
      <c r="I106" s="174">
        <v>1223599984.7872651</v>
      </c>
      <c r="J106" s="174">
        <v>185728701.96461201</v>
      </c>
      <c r="K106" s="174">
        <v>81984732.026739389</v>
      </c>
      <c r="L106" s="174">
        <v>162305730.96567187</v>
      </c>
    </row>
    <row r="107" spans="1:15" x14ac:dyDescent="0.25">
      <c r="B107" s="117">
        <f t="shared" si="45"/>
        <v>42767</v>
      </c>
      <c r="C107" s="174">
        <v>86554604.828720704</v>
      </c>
      <c r="D107" s="174">
        <v>164308980.41005149</v>
      </c>
      <c r="E107" s="174">
        <v>541569861.09141314</v>
      </c>
      <c r="F107" s="174">
        <v>3245546863.1134987</v>
      </c>
      <c r="G107" s="174">
        <v>2235927818.3582792</v>
      </c>
      <c r="H107" s="174">
        <v>347730948.73522639</v>
      </c>
      <c r="I107" s="174">
        <v>1227961263.0352831</v>
      </c>
      <c r="J107" s="174">
        <v>186190177.83129418</v>
      </c>
      <c r="K107" s="174">
        <v>82767508.854069978</v>
      </c>
      <c r="L107" s="174">
        <v>163886016.72181302</v>
      </c>
    </row>
    <row r="108" spans="1:15" x14ac:dyDescent="0.25">
      <c r="B108" s="117">
        <f t="shared" si="45"/>
        <v>42795</v>
      </c>
      <c r="C108" s="174">
        <v>86459740.56277959</v>
      </c>
      <c r="D108" s="174">
        <v>164342992.76687968</v>
      </c>
      <c r="E108" s="174">
        <v>540119821.39181578</v>
      </c>
      <c r="F108" s="174">
        <v>3249404922.1433544</v>
      </c>
      <c r="G108" s="174">
        <v>2244434558.1453438</v>
      </c>
      <c r="H108" s="174">
        <v>349729615.00534511</v>
      </c>
      <c r="I108" s="174">
        <v>1235840212.6699963</v>
      </c>
      <c r="J108" s="174">
        <v>186421631.3852787</v>
      </c>
      <c r="K108" s="174">
        <v>83445693.908521399</v>
      </c>
      <c r="L108" s="174">
        <v>163524992.56046137</v>
      </c>
    </row>
    <row r="109" spans="1:15" x14ac:dyDescent="0.25">
      <c r="B109" s="117">
        <f t="shared" si="45"/>
        <v>42826</v>
      </c>
      <c r="C109" s="174">
        <v>86471023.782779589</v>
      </c>
      <c r="D109" s="174">
        <v>164343554.76484644</v>
      </c>
      <c r="E109" s="174">
        <v>545819273.21806753</v>
      </c>
      <c r="F109" s="174">
        <v>3279687950.2189498</v>
      </c>
      <c r="G109" s="174">
        <v>2261747927.5330348</v>
      </c>
      <c r="H109" s="174">
        <v>350819732.25316757</v>
      </c>
      <c r="I109" s="174">
        <v>1240806620.0030353</v>
      </c>
      <c r="J109" s="174">
        <v>186642033.52541053</v>
      </c>
      <c r="K109" s="174">
        <v>83534080.028008327</v>
      </c>
      <c r="L109" s="174">
        <v>163662437.29390779</v>
      </c>
    </row>
    <row r="110" spans="1:15" x14ac:dyDescent="0.25">
      <c r="B110" s="117">
        <f t="shared" si="45"/>
        <v>42856</v>
      </c>
      <c r="C110" s="174">
        <v>86484628.358069777</v>
      </c>
      <c r="D110" s="174">
        <v>164384916.78677994</v>
      </c>
      <c r="E110" s="174">
        <v>554017739.0273217</v>
      </c>
      <c r="F110" s="174">
        <v>3292603240.7113981</v>
      </c>
      <c r="G110" s="174">
        <v>2266377587.1356826</v>
      </c>
      <c r="H110" s="174">
        <v>351250407.0070951</v>
      </c>
      <c r="I110" s="174">
        <v>1239378405.3508308</v>
      </c>
      <c r="J110" s="174">
        <v>187147997.07398745</v>
      </c>
      <c r="K110" s="174">
        <v>83710760.188990086</v>
      </c>
      <c r="L110" s="174">
        <v>170245699.98995295</v>
      </c>
    </row>
    <row r="111" spans="1:15" x14ac:dyDescent="0.25">
      <c r="B111" s="117">
        <f t="shared" si="45"/>
        <v>42887</v>
      </c>
      <c r="C111" s="174">
        <v>86721780.355224982</v>
      </c>
      <c r="D111" s="174">
        <v>164620895.02318504</v>
      </c>
      <c r="E111" s="174">
        <v>556512603.76667237</v>
      </c>
      <c r="F111" s="174">
        <v>3304537107.3592997</v>
      </c>
      <c r="G111" s="174">
        <v>2268506884.2863092</v>
      </c>
      <c r="H111" s="174">
        <v>352570194.96350133</v>
      </c>
      <c r="I111" s="174">
        <v>1242537402.58494</v>
      </c>
      <c r="J111" s="174">
        <v>188513480.10510793</v>
      </c>
      <c r="K111" s="174">
        <v>84181558.991285458</v>
      </c>
      <c r="L111" s="174">
        <v>169822541.04057211</v>
      </c>
    </row>
    <row r="112" spans="1:15" x14ac:dyDescent="0.25">
      <c r="B112" s="117">
        <f t="shared" si="45"/>
        <v>42917</v>
      </c>
      <c r="C112" s="174">
        <v>86734131.551122665</v>
      </c>
      <c r="D112" s="174">
        <v>165084271.43170592</v>
      </c>
      <c r="E112" s="174">
        <v>558050212.57040334</v>
      </c>
      <c r="F112" s="174">
        <v>3312920249.8034325</v>
      </c>
      <c r="G112" s="174">
        <v>2270160343.4540682</v>
      </c>
      <c r="H112" s="174">
        <v>354359639.63576615</v>
      </c>
      <c r="I112" s="174">
        <v>1240954285.0620675</v>
      </c>
      <c r="J112" s="174">
        <v>188750682.51524988</v>
      </c>
      <c r="K112" s="174">
        <v>84244067.199931338</v>
      </c>
      <c r="L112" s="174">
        <v>169938563.72430336</v>
      </c>
    </row>
    <row r="113" spans="1:15" x14ac:dyDescent="0.25">
      <c r="B113" s="117">
        <f t="shared" si="45"/>
        <v>42948</v>
      </c>
      <c r="C113" s="174">
        <v>87187265.781122655</v>
      </c>
      <c r="D113" s="174">
        <v>164657737.87336749</v>
      </c>
      <c r="E113" s="174">
        <v>561105005.5526402</v>
      </c>
      <c r="F113" s="174">
        <v>3345043519.6882067</v>
      </c>
      <c r="G113" s="174">
        <v>2271262069.1322293</v>
      </c>
      <c r="H113" s="174">
        <v>354820651.53664905</v>
      </c>
      <c r="I113" s="174">
        <v>1244447860.5209556</v>
      </c>
      <c r="J113" s="174">
        <v>189078705.10139567</v>
      </c>
      <c r="K113" s="174">
        <v>84377843.689085811</v>
      </c>
      <c r="L113" s="174">
        <v>170169104.28730616</v>
      </c>
    </row>
    <row r="114" spans="1:15" x14ac:dyDescent="0.25">
      <c r="B114" s="117">
        <f t="shared" si="45"/>
        <v>42979</v>
      </c>
      <c r="C114" s="174">
        <v>87199086.571122646</v>
      </c>
      <c r="D114" s="174">
        <v>164680598.51767632</v>
      </c>
      <c r="E114" s="174">
        <v>562449893.26474333</v>
      </c>
      <c r="F114" s="174">
        <v>3348702464.9529176</v>
      </c>
      <c r="G114" s="174">
        <v>2269352297.6642733</v>
      </c>
      <c r="H114" s="174">
        <v>357644469.77348411</v>
      </c>
      <c r="I114" s="174">
        <v>1247085415.6101401</v>
      </c>
      <c r="J114" s="174">
        <v>189406292.32172018</v>
      </c>
      <c r="K114" s="174">
        <v>84477219.616688237</v>
      </c>
      <c r="L114" s="174">
        <v>170542418.05657995</v>
      </c>
    </row>
    <row r="115" spans="1:15" x14ac:dyDescent="0.25">
      <c r="B115" s="117">
        <f t="shared" si="45"/>
        <v>43009</v>
      </c>
      <c r="C115" s="174">
        <v>87210925.611122668</v>
      </c>
      <c r="D115" s="174">
        <v>164680179.46926084</v>
      </c>
      <c r="E115" s="174">
        <v>560689301.07380962</v>
      </c>
      <c r="F115" s="174">
        <v>3330686867.6666899</v>
      </c>
      <c r="G115" s="174">
        <v>2272199197.1743112</v>
      </c>
      <c r="H115" s="174">
        <v>359809836.61595619</v>
      </c>
      <c r="I115" s="174">
        <v>1246207410.9627047</v>
      </c>
      <c r="J115" s="174">
        <v>190032744.44922718</v>
      </c>
      <c r="K115" s="174">
        <v>84802936.595572278</v>
      </c>
      <c r="L115" s="174">
        <v>170740706.25520083</v>
      </c>
    </row>
    <row r="116" spans="1:15" x14ac:dyDescent="0.25">
      <c r="B116" s="117">
        <f t="shared" si="45"/>
        <v>43040</v>
      </c>
      <c r="C116" s="174">
        <v>87866111.148566425</v>
      </c>
      <c r="D116" s="174">
        <v>164892139.75046363</v>
      </c>
      <c r="E116" s="174">
        <v>561896125.25684977</v>
      </c>
      <c r="F116" s="174">
        <v>3333105727.1009007</v>
      </c>
      <c r="G116" s="174">
        <v>2273474614.9225483</v>
      </c>
      <c r="H116" s="174">
        <v>363116224.06502479</v>
      </c>
      <c r="I116" s="174">
        <v>1244088140.8899927</v>
      </c>
      <c r="J116" s="174">
        <v>190107234.68297237</v>
      </c>
      <c r="K116" s="174">
        <v>84844418.528599903</v>
      </c>
      <c r="L116" s="174">
        <v>171833315.36475492</v>
      </c>
    </row>
    <row r="117" spans="1:15" x14ac:dyDescent="0.25">
      <c r="B117" s="117">
        <f t="shared" si="45"/>
        <v>43070</v>
      </c>
      <c r="C117" s="174">
        <v>87876203.008566424</v>
      </c>
      <c r="D117" s="174">
        <v>164901118.05652422</v>
      </c>
      <c r="E117" s="174">
        <v>569698022.78641224</v>
      </c>
      <c r="F117" s="174">
        <v>3409447824.9881458</v>
      </c>
      <c r="G117" s="174">
        <v>2283380921.7859855</v>
      </c>
      <c r="H117" s="174">
        <v>364424080.37077081</v>
      </c>
      <c r="I117" s="174">
        <v>1245933690.1284597</v>
      </c>
      <c r="J117" s="174">
        <v>190222488.7243827</v>
      </c>
      <c r="K117" s="174">
        <v>84920373.963020414</v>
      </c>
      <c r="L117" s="174">
        <v>172640867.16327757</v>
      </c>
      <c r="M117" s="120">
        <f>SUM(C117:L117)</f>
        <v>8573445590.9755449</v>
      </c>
      <c r="N117" s="135"/>
      <c r="O117" s="120"/>
    </row>
    <row r="118" spans="1:15" x14ac:dyDescent="0.25">
      <c r="C118" s="175"/>
      <c r="D118" s="175"/>
      <c r="E118" s="175"/>
      <c r="F118" s="175"/>
      <c r="G118" s="175"/>
      <c r="H118" s="175"/>
      <c r="I118" s="175"/>
      <c r="J118" s="175"/>
      <c r="K118" s="175"/>
      <c r="L118" s="175"/>
    </row>
    <row r="119" spans="1:15" x14ac:dyDescent="0.25">
      <c r="A119" s="83" t="s">
        <v>105</v>
      </c>
      <c r="C119" s="175"/>
      <c r="D119" s="175"/>
      <c r="E119" s="175"/>
      <c r="F119" s="175"/>
      <c r="G119" s="175"/>
      <c r="H119" s="175"/>
      <c r="I119" s="175"/>
      <c r="J119" s="175"/>
      <c r="K119" s="175"/>
      <c r="L119" s="175"/>
    </row>
    <row r="120" spans="1:15" x14ac:dyDescent="0.25">
      <c r="C120" s="173">
        <v>350.1</v>
      </c>
      <c r="D120" s="173">
        <v>350.2</v>
      </c>
      <c r="E120" s="173">
        <v>352</v>
      </c>
      <c r="F120" s="173">
        <v>353</v>
      </c>
      <c r="G120" s="173">
        <v>354</v>
      </c>
      <c r="H120" s="173">
        <v>355</v>
      </c>
      <c r="I120" s="173">
        <v>356</v>
      </c>
      <c r="J120" s="173">
        <v>357</v>
      </c>
      <c r="K120" s="173">
        <v>358</v>
      </c>
      <c r="L120" s="173">
        <v>359</v>
      </c>
      <c r="M120" s="84"/>
    </row>
    <row r="121" spans="1:15" x14ac:dyDescent="0.25">
      <c r="B121" s="117">
        <f>B105</f>
        <v>42705</v>
      </c>
      <c r="C121" s="174">
        <v>0</v>
      </c>
      <c r="D121" s="174">
        <v>6825977.3420024989</v>
      </c>
      <c r="E121" s="174">
        <v>25774570.972262766</v>
      </c>
      <c r="F121" s="174">
        <v>122191684.66020006</v>
      </c>
      <c r="G121" s="174">
        <v>138586485.11295712</v>
      </c>
      <c r="H121" s="174">
        <v>16498585.567086834</v>
      </c>
      <c r="I121" s="174">
        <v>78974458.467809707</v>
      </c>
      <c r="J121" s="174">
        <v>746768.29838875006</v>
      </c>
      <c r="K121" s="174">
        <v>1915385.4720517492</v>
      </c>
      <c r="L121" s="174">
        <v>7373856.466038934</v>
      </c>
      <c r="M121" s="120">
        <f>SUM(C121:L121)</f>
        <v>398887772.35879844</v>
      </c>
      <c r="N121" s="135"/>
    </row>
    <row r="122" spans="1:15" x14ac:dyDescent="0.25">
      <c r="B122" s="117">
        <f t="shared" ref="B122:B133" si="46">B106</f>
        <v>42736</v>
      </c>
      <c r="C122" s="174">
        <v>0</v>
      </c>
      <c r="D122" s="174">
        <v>6957218.4082389986</v>
      </c>
      <c r="E122" s="174">
        <v>26341282.984596543</v>
      </c>
      <c r="F122" s="174">
        <v>124525207.88708881</v>
      </c>
      <c r="G122" s="174">
        <v>142159375.66209614</v>
      </c>
      <c r="H122" s="174">
        <v>16963158.336361166</v>
      </c>
      <c r="I122" s="174">
        <v>81047312.51938799</v>
      </c>
      <c r="J122" s="174">
        <v>1001537.5968812502</v>
      </c>
      <c r="K122" s="174">
        <v>2172987.6634642491</v>
      </c>
      <c r="L122" s="174">
        <v>7553450.1209687032</v>
      </c>
      <c r="M122" s="84"/>
    </row>
    <row r="123" spans="1:15" x14ac:dyDescent="0.25">
      <c r="B123" s="117">
        <f t="shared" si="46"/>
        <v>42767</v>
      </c>
      <c r="C123" s="174">
        <v>0</v>
      </c>
      <c r="D123" s="174">
        <v>7088464.2745729974</v>
      </c>
      <c r="E123" s="174">
        <v>26908064.583942253</v>
      </c>
      <c r="F123" s="174">
        <v>126859365.12018481</v>
      </c>
      <c r="G123" s="174">
        <v>145732157.32003355</v>
      </c>
      <c r="H123" s="174">
        <v>17427698.91267075</v>
      </c>
      <c r="I123" s="174">
        <v>83120804.264407113</v>
      </c>
      <c r="J123" s="174">
        <v>1256513.7962575003</v>
      </c>
      <c r="K123" s="174">
        <v>2430759.5147092491</v>
      </c>
      <c r="L123" s="174">
        <v>7732918.5483804718</v>
      </c>
      <c r="M123" s="84"/>
    </row>
    <row r="124" spans="1:15" x14ac:dyDescent="0.25">
      <c r="B124" s="117">
        <f t="shared" si="46"/>
        <v>42795</v>
      </c>
      <c r="C124" s="174">
        <v>0</v>
      </c>
      <c r="D124" s="174">
        <v>7220337.7162324972</v>
      </c>
      <c r="E124" s="174">
        <v>27475554.238997865</v>
      </c>
      <c r="F124" s="174">
        <v>129195596.13819316</v>
      </c>
      <c r="G124" s="174">
        <v>149308595.6940563</v>
      </c>
      <c r="H124" s="174">
        <v>17892579.426278003</v>
      </c>
      <c r="I124" s="174">
        <v>85194708.740077466</v>
      </c>
      <c r="J124" s="174">
        <v>1512124.6488837504</v>
      </c>
      <c r="K124" s="174">
        <v>2690998.8830497493</v>
      </c>
      <c r="L124" s="174">
        <v>7914437.3354672417</v>
      </c>
      <c r="M124" s="84"/>
    </row>
    <row r="125" spans="1:15" x14ac:dyDescent="0.25">
      <c r="B125" s="117">
        <f t="shared" si="46"/>
        <v>42826</v>
      </c>
      <c r="C125" s="174">
        <v>0</v>
      </c>
      <c r="D125" s="174">
        <v>7352190.6803809982</v>
      </c>
      <c r="E125" s="174">
        <v>28043935.010863401</v>
      </c>
      <c r="F125" s="174">
        <v>131530713.11914098</v>
      </c>
      <c r="G125" s="174">
        <v>152885523.4929983</v>
      </c>
      <c r="H125" s="174">
        <v>18359218.554003835</v>
      </c>
      <c r="I125" s="174">
        <v>87278886.308529943</v>
      </c>
      <c r="J125" s="174">
        <v>1768055.1298025004</v>
      </c>
      <c r="K125" s="174">
        <v>2953447.443373499</v>
      </c>
      <c r="L125" s="174">
        <v>8095365.0446380107</v>
      </c>
      <c r="M125" s="84"/>
    </row>
    <row r="126" spans="1:15" x14ac:dyDescent="0.25">
      <c r="B126" s="117">
        <f t="shared" si="46"/>
        <v>42856</v>
      </c>
      <c r="C126" s="174">
        <v>0</v>
      </c>
      <c r="D126" s="174">
        <v>7484044.4328634981</v>
      </c>
      <c r="E126" s="174">
        <v>28612801.884993434</v>
      </c>
      <c r="F126" s="174">
        <v>133932699.24274629</v>
      </c>
      <c r="G126" s="174">
        <v>156463354.34643233</v>
      </c>
      <c r="H126" s="174">
        <v>18824883.807410169</v>
      </c>
      <c r="I126" s="174">
        <v>89365100.905212834</v>
      </c>
      <c r="J126" s="174">
        <v>2024292.4934925004</v>
      </c>
      <c r="K126" s="174">
        <v>3216147.6519952491</v>
      </c>
      <c r="L126" s="174">
        <v>8276461.0178657807</v>
      </c>
      <c r="M126" s="84"/>
    </row>
    <row r="127" spans="1:15" x14ac:dyDescent="0.25">
      <c r="B127" s="117">
        <f t="shared" si="46"/>
        <v>42887</v>
      </c>
      <c r="C127" s="174">
        <v>0</v>
      </c>
      <c r="D127" s="174">
        <v>7615898.1255583307</v>
      </c>
      <c r="E127" s="174">
        <v>29197766.667020053</v>
      </c>
      <c r="F127" s="174">
        <v>136350987.95878103</v>
      </c>
      <c r="G127" s="174">
        <v>160044836.05745071</v>
      </c>
      <c r="H127" s="174">
        <v>19289960.264183003</v>
      </c>
      <c r="I127" s="174">
        <v>91445656.200513214</v>
      </c>
      <c r="J127" s="174">
        <v>2281225.5588787505</v>
      </c>
      <c r="K127" s="174">
        <v>3479418.3461534991</v>
      </c>
      <c r="L127" s="174">
        <v>8465923.0458945502</v>
      </c>
      <c r="M127" s="84"/>
    </row>
    <row r="128" spans="1:15" x14ac:dyDescent="0.25">
      <c r="B128" s="117">
        <f t="shared" si="46"/>
        <v>42917</v>
      </c>
      <c r="C128" s="174">
        <v>0</v>
      </c>
      <c r="D128" s="174">
        <v>7747752.8707761643</v>
      </c>
      <c r="E128" s="174">
        <v>29783097.202044751</v>
      </c>
      <c r="F128" s="174">
        <v>138769146.11368275</v>
      </c>
      <c r="G128" s="174">
        <v>163626165.20954305</v>
      </c>
      <c r="H128" s="174">
        <v>19755206.522894923</v>
      </c>
      <c r="I128" s="174">
        <v>93529555.822211474</v>
      </c>
      <c r="J128" s="174">
        <v>2540037.2673362507</v>
      </c>
      <c r="K128" s="174">
        <v>3744229.5549577489</v>
      </c>
      <c r="L128" s="174">
        <v>8654973.7054333203</v>
      </c>
      <c r="M128" s="84"/>
    </row>
    <row r="129" spans="1:14" x14ac:dyDescent="0.25">
      <c r="B129" s="117">
        <f t="shared" si="46"/>
        <v>42948</v>
      </c>
      <c r="C129" s="174">
        <v>0</v>
      </c>
      <c r="D129" s="174">
        <v>7879608.6687106648</v>
      </c>
      <c r="E129" s="174">
        <v>30368345.64298119</v>
      </c>
      <c r="F129" s="174">
        <v>141187527.61946645</v>
      </c>
      <c r="G129" s="174">
        <v>167208270.19464946</v>
      </c>
      <c r="H129" s="174">
        <v>20220636.845318835</v>
      </c>
      <c r="I129" s="174">
        <v>95614046.121041417</v>
      </c>
      <c r="J129" s="174">
        <v>2799161.7437987509</v>
      </c>
      <c r="K129" s="174">
        <v>4009285.5396494991</v>
      </c>
      <c r="L129" s="174">
        <v>8844270.7570530884</v>
      </c>
      <c r="M129" s="84"/>
    </row>
    <row r="130" spans="1:14" x14ac:dyDescent="0.25">
      <c r="B130" s="117">
        <f t="shared" si="46"/>
        <v>42979</v>
      </c>
      <c r="C130" s="174">
        <v>0</v>
      </c>
      <c r="D130" s="174">
        <v>8010838.3475269983</v>
      </c>
      <c r="E130" s="174">
        <v>30952902.669129066</v>
      </c>
      <c r="F130" s="174">
        <v>143606731.61094132</v>
      </c>
      <c r="G130" s="174">
        <v>170791368.3171975</v>
      </c>
      <c r="H130" s="174">
        <v>20686311.741711337</v>
      </c>
      <c r="I130" s="174">
        <v>97699359.771082237</v>
      </c>
      <c r="J130" s="174">
        <v>3058738.5546437511</v>
      </c>
      <c r="K130" s="174">
        <v>4274695.526431499</v>
      </c>
      <c r="L130" s="174">
        <v>9033723.6846138593</v>
      </c>
      <c r="M130" s="84"/>
    </row>
    <row r="131" spans="1:14" x14ac:dyDescent="0.25">
      <c r="B131" s="117">
        <f t="shared" si="46"/>
        <v>43009</v>
      </c>
      <c r="C131" s="174">
        <v>0</v>
      </c>
      <c r="D131" s="174">
        <v>8142066.3942728313</v>
      </c>
      <c r="E131" s="174">
        <v>31537482.206163932</v>
      </c>
      <c r="F131" s="174">
        <v>146025994.20343372</v>
      </c>
      <c r="G131" s="174">
        <v>174371192.75122058</v>
      </c>
      <c r="H131" s="174">
        <v>21157412.772678677</v>
      </c>
      <c r="I131" s="174">
        <v>99786148.976607174</v>
      </c>
      <c r="J131" s="174">
        <v>3318765.755827501</v>
      </c>
      <c r="K131" s="174">
        <v>4540457.9876534985</v>
      </c>
      <c r="L131" s="174">
        <v>9223383.3143846281</v>
      </c>
      <c r="M131" s="84"/>
    </row>
    <row r="132" spans="1:14" x14ac:dyDescent="0.25">
      <c r="B132" s="117">
        <f t="shared" si="46"/>
        <v>43040</v>
      </c>
      <c r="C132" s="174">
        <v>0</v>
      </c>
      <c r="D132" s="174">
        <v>8273293.6187929977</v>
      </c>
      <c r="E132" s="174">
        <v>32122348.844752137</v>
      </c>
      <c r="F132" s="174">
        <v>148446636.66663375</v>
      </c>
      <c r="G132" s="174">
        <v>177952350.77907759</v>
      </c>
      <c r="H132" s="174">
        <v>21629419.469792172</v>
      </c>
      <c r="I132" s="174">
        <v>101872965.20571674</v>
      </c>
      <c r="J132" s="174">
        <v>3579657.0646237512</v>
      </c>
      <c r="K132" s="174">
        <v>4807234.403613749</v>
      </c>
      <c r="L132" s="174">
        <v>9413297.1147083975</v>
      </c>
      <c r="M132" s="84"/>
    </row>
    <row r="133" spans="1:14" x14ac:dyDescent="0.25">
      <c r="B133" s="117">
        <f t="shared" si="46"/>
        <v>43070</v>
      </c>
      <c r="C133" s="174">
        <v>0</v>
      </c>
      <c r="D133" s="174">
        <v>8404803.791004831</v>
      </c>
      <c r="E133" s="174">
        <v>32707290.903695416</v>
      </c>
      <c r="F133" s="174">
        <v>150867307.46651769</v>
      </c>
      <c r="G133" s="174">
        <v>181534241.91325104</v>
      </c>
      <c r="H133" s="174">
        <v>22101544.856296007</v>
      </c>
      <c r="I133" s="174">
        <v>103951894.57644087</v>
      </c>
      <c r="J133" s="174">
        <v>3840663.0705712512</v>
      </c>
      <c r="K133" s="174">
        <v>5074145.4161744984</v>
      </c>
      <c r="L133" s="174">
        <v>9603411.506787166</v>
      </c>
      <c r="M133" s="120">
        <f>SUM(C133:L133)</f>
        <v>518085303.50073874</v>
      </c>
      <c r="N133" s="135"/>
    </row>
    <row r="134" spans="1:14" x14ac:dyDescent="0.25">
      <c r="C134" s="175"/>
      <c r="D134" s="175"/>
      <c r="E134" s="175"/>
      <c r="F134" s="175"/>
      <c r="G134" s="175"/>
      <c r="H134" s="175"/>
      <c r="I134" s="175"/>
      <c r="J134" s="175"/>
      <c r="K134" s="175"/>
      <c r="L134" s="175"/>
    </row>
    <row r="135" spans="1:14" x14ac:dyDescent="0.25">
      <c r="A135" s="83" t="s">
        <v>106</v>
      </c>
      <c r="C135" s="175"/>
      <c r="D135" s="175"/>
      <c r="E135" s="175"/>
      <c r="F135" s="175"/>
      <c r="G135" s="175"/>
      <c r="H135" s="175"/>
      <c r="I135" s="175"/>
      <c r="J135" s="175"/>
      <c r="K135" s="175"/>
      <c r="L135" s="175"/>
    </row>
    <row r="136" spans="1:14" x14ac:dyDescent="0.25">
      <c r="C136" s="173">
        <v>350.1</v>
      </c>
      <c r="D136" s="173">
        <v>350.2</v>
      </c>
      <c r="E136" s="173">
        <v>352</v>
      </c>
      <c r="F136" s="173">
        <v>353</v>
      </c>
      <c r="G136" s="173">
        <v>354</v>
      </c>
      <c r="H136" s="173">
        <v>355</v>
      </c>
      <c r="I136" s="173">
        <v>356</v>
      </c>
      <c r="J136" s="173">
        <v>357</v>
      </c>
      <c r="K136" s="173">
        <v>358</v>
      </c>
      <c r="L136" s="173">
        <v>359</v>
      </c>
      <c r="M136" s="84"/>
    </row>
    <row r="137" spans="1:14" x14ac:dyDescent="0.25">
      <c r="B137" s="117">
        <f>B121</f>
        <v>42705</v>
      </c>
      <c r="C137" s="174">
        <v>297703.11604493827</v>
      </c>
      <c r="D137" s="174">
        <v>17782235.882381424</v>
      </c>
      <c r="E137" s="174">
        <v>72260282.663679585</v>
      </c>
      <c r="F137" s="174">
        <v>439653027.79319572</v>
      </c>
      <c r="G137" s="174">
        <v>465353601.53802383</v>
      </c>
      <c r="H137" s="174">
        <v>46058792.048423626</v>
      </c>
      <c r="I137" s="174">
        <v>407738326.31860054</v>
      </c>
      <c r="J137" s="174">
        <v>839658.64846191066</v>
      </c>
      <c r="K137" s="174">
        <v>2896107.6429296676</v>
      </c>
      <c r="L137" s="174">
        <v>14910822.350216078</v>
      </c>
      <c r="M137" s="120">
        <f>SUM(C137:L137)</f>
        <v>1467790558.0019572</v>
      </c>
      <c r="N137" s="135"/>
    </row>
    <row r="138" spans="1:14" x14ac:dyDescent="0.25">
      <c r="B138" s="117">
        <f t="shared" ref="B138:B149" si="47">B122</f>
        <v>42736</v>
      </c>
      <c r="C138" s="174">
        <v>291472.31478693412</v>
      </c>
      <c r="D138" s="174">
        <v>17778769.453907896</v>
      </c>
      <c r="E138" s="174">
        <v>74788216.274109185</v>
      </c>
      <c r="F138" s="174">
        <v>444802097.07397646</v>
      </c>
      <c r="G138" s="174">
        <v>479792347.57105076</v>
      </c>
      <c r="H138" s="174">
        <v>48425327.091617286</v>
      </c>
      <c r="I138" s="174">
        <v>405961029.2454049</v>
      </c>
      <c r="J138" s="174">
        <v>1102062.9206024823</v>
      </c>
      <c r="K138" s="174">
        <v>3208373.1480596722</v>
      </c>
      <c r="L138" s="174">
        <v>13513256.694691464</v>
      </c>
      <c r="M138" s="84"/>
    </row>
    <row r="139" spans="1:14" x14ac:dyDescent="0.25">
      <c r="B139" s="117">
        <f t="shared" si="47"/>
        <v>42767</v>
      </c>
      <c r="C139" s="174">
        <v>291470.13503442367</v>
      </c>
      <c r="D139" s="174">
        <v>18005432.365136139</v>
      </c>
      <c r="E139" s="174">
        <v>76198326.153299138</v>
      </c>
      <c r="F139" s="174">
        <v>451185706.89934927</v>
      </c>
      <c r="G139" s="174">
        <v>488277492.67627275</v>
      </c>
      <c r="H139" s="174">
        <v>48903990.416272856</v>
      </c>
      <c r="I139" s="174">
        <v>400163235.23216838</v>
      </c>
      <c r="J139" s="174">
        <v>1357423.2680339641</v>
      </c>
      <c r="K139" s="174">
        <v>3536185.8292855229</v>
      </c>
      <c r="L139" s="174">
        <v>13815491.732310655</v>
      </c>
      <c r="M139" s="84"/>
    </row>
    <row r="140" spans="1:14" x14ac:dyDescent="0.25">
      <c r="B140" s="117">
        <f t="shared" si="47"/>
        <v>42795</v>
      </c>
      <c r="C140" s="174">
        <v>291470.13503442367</v>
      </c>
      <c r="D140" s="174">
        <v>18232722.468829423</v>
      </c>
      <c r="E140" s="174">
        <v>78779795.059967041</v>
      </c>
      <c r="F140" s="174">
        <v>465322235.82297999</v>
      </c>
      <c r="G140" s="174">
        <v>489374375.68999809</v>
      </c>
      <c r="H140" s="174">
        <v>48865840.385665275</v>
      </c>
      <c r="I140" s="174">
        <v>401971139.84800631</v>
      </c>
      <c r="J140" s="174">
        <v>1601805.3999797089</v>
      </c>
      <c r="K140" s="174">
        <v>3803525.2328522513</v>
      </c>
      <c r="L140" s="174">
        <v>14085534.090116283</v>
      </c>
      <c r="M140" s="84"/>
    </row>
    <row r="141" spans="1:14" x14ac:dyDescent="0.25">
      <c r="B141" s="117">
        <f t="shared" si="47"/>
        <v>42826</v>
      </c>
      <c r="C141" s="174">
        <v>291470.13503442367</v>
      </c>
      <c r="D141" s="174">
        <v>18459755.155422918</v>
      </c>
      <c r="E141" s="174">
        <v>79790453.477872595</v>
      </c>
      <c r="F141" s="174">
        <v>471234616.04204321</v>
      </c>
      <c r="G141" s="174">
        <v>493495719.32573706</v>
      </c>
      <c r="H141" s="174">
        <v>49056896.217896819</v>
      </c>
      <c r="I141" s="174">
        <v>404819617.18075788</v>
      </c>
      <c r="J141" s="174">
        <v>1845648.6303120526</v>
      </c>
      <c r="K141" s="174">
        <v>4150344.8492592243</v>
      </c>
      <c r="L141" s="174">
        <v>14290971.134405779</v>
      </c>
      <c r="M141" s="84"/>
    </row>
    <row r="142" spans="1:14" x14ac:dyDescent="0.25">
      <c r="B142" s="117">
        <f t="shared" si="47"/>
        <v>42856</v>
      </c>
      <c r="C142" s="174">
        <v>291542.87975839688</v>
      </c>
      <c r="D142" s="174">
        <v>18686787.180192381</v>
      </c>
      <c r="E142" s="174">
        <v>80921611.514229476</v>
      </c>
      <c r="F142" s="174">
        <v>479545239.99681532</v>
      </c>
      <c r="G142" s="174">
        <v>492331427.74204451</v>
      </c>
      <c r="H142" s="174">
        <v>48412457.386376195</v>
      </c>
      <c r="I142" s="174">
        <v>405673689.35234624</v>
      </c>
      <c r="J142" s="174">
        <v>2089982.959940898</v>
      </c>
      <c r="K142" s="174">
        <v>4499493.7528528338</v>
      </c>
      <c r="L142" s="174">
        <v>14520575.520266384</v>
      </c>
      <c r="M142" s="84"/>
    </row>
    <row r="143" spans="1:14" x14ac:dyDescent="0.25">
      <c r="B143" s="117">
        <f t="shared" si="47"/>
        <v>42887</v>
      </c>
      <c r="C143" s="174">
        <v>291543.945548989</v>
      </c>
      <c r="D143" s="174">
        <v>18913876.413973864</v>
      </c>
      <c r="E143" s="174">
        <v>82801146.065621942</v>
      </c>
      <c r="F143" s="174">
        <v>488971332.22757959</v>
      </c>
      <c r="G143" s="174">
        <v>479659709.87232715</v>
      </c>
      <c r="H143" s="174">
        <v>49611295.59656702</v>
      </c>
      <c r="I143" s="174">
        <v>406753165.20154583</v>
      </c>
      <c r="J143" s="174">
        <v>2336051.2263164283</v>
      </c>
      <c r="K143" s="174">
        <v>4854477.1472978555</v>
      </c>
      <c r="L143" s="174">
        <v>14909535.989644498</v>
      </c>
      <c r="M143" s="84"/>
    </row>
    <row r="144" spans="1:14" x14ac:dyDescent="0.25">
      <c r="B144" s="117">
        <f t="shared" si="47"/>
        <v>42917</v>
      </c>
      <c r="C144" s="174">
        <v>291543.945548989</v>
      </c>
      <c r="D144" s="174">
        <v>19141292.043027729</v>
      </c>
      <c r="E144" s="174">
        <v>83896134.896713763</v>
      </c>
      <c r="F144" s="174">
        <v>494414514.60618269</v>
      </c>
      <c r="G144" s="174">
        <v>484062903.37366277</v>
      </c>
      <c r="H144" s="174">
        <v>49561241.352030933</v>
      </c>
      <c r="I144" s="174">
        <v>409712108.73624784</v>
      </c>
      <c r="J144" s="174">
        <v>2582817.2037280817</v>
      </c>
      <c r="K144" s="174">
        <v>5205811.9424712704</v>
      </c>
      <c r="L144" s="174">
        <v>15147543.033611627</v>
      </c>
      <c r="M144" s="84"/>
    </row>
    <row r="145" spans="2:14" x14ac:dyDescent="0.25">
      <c r="B145" s="117">
        <f t="shared" si="47"/>
        <v>42948</v>
      </c>
      <c r="C145" s="174">
        <v>291543.945548989</v>
      </c>
      <c r="D145" s="174">
        <v>19369345.505993612</v>
      </c>
      <c r="E145" s="174">
        <v>84878843.750883609</v>
      </c>
      <c r="F145" s="174">
        <v>498638527.2088623</v>
      </c>
      <c r="G145" s="174">
        <v>487558822.94338083</v>
      </c>
      <c r="H145" s="174">
        <v>49874551.346096218</v>
      </c>
      <c r="I145" s="174">
        <v>412543788.95673251</v>
      </c>
      <c r="J145" s="174">
        <v>2829510.7668659878</v>
      </c>
      <c r="K145" s="174">
        <v>5555747.4270755947</v>
      </c>
      <c r="L145" s="174">
        <v>15353228.060061919</v>
      </c>
      <c r="M145" s="84"/>
    </row>
    <row r="146" spans="2:14" x14ac:dyDescent="0.25">
      <c r="B146" s="117">
        <f t="shared" si="47"/>
        <v>42979</v>
      </c>
      <c r="C146" s="174">
        <v>291849.82744892384</v>
      </c>
      <c r="D146" s="174">
        <v>19596813.443060178</v>
      </c>
      <c r="E146" s="174">
        <v>87978687.416461661</v>
      </c>
      <c r="F146" s="174">
        <v>508266383.10523355</v>
      </c>
      <c r="G146" s="174">
        <v>497288894.98508066</v>
      </c>
      <c r="H146" s="174">
        <v>46098763.272287078</v>
      </c>
      <c r="I146" s="174">
        <v>413182642.69083697</v>
      </c>
      <c r="J146" s="174">
        <v>3084841.9044843949</v>
      </c>
      <c r="K146" s="174">
        <v>5914705.8191691209</v>
      </c>
      <c r="L146" s="174">
        <v>16913142.725579966</v>
      </c>
      <c r="M146" s="84"/>
    </row>
    <row r="147" spans="2:14" x14ac:dyDescent="0.25">
      <c r="B147" s="117">
        <f t="shared" si="47"/>
        <v>43009</v>
      </c>
      <c r="C147" s="174">
        <v>291870.69165458292</v>
      </c>
      <c r="D147" s="174">
        <v>19824471.473866556</v>
      </c>
      <c r="E147" s="174">
        <v>88935723.497713044</v>
      </c>
      <c r="F147" s="174">
        <v>512117879.72992235</v>
      </c>
      <c r="G147" s="174">
        <v>501133112.40156537</v>
      </c>
      <c r="H147" s="174">
        <v>46639439.880173437</v>
      </c>
      <c r="I147" s="174">
        <v>415545598.1071285</v>
      </c>
      <c r="J147" s="174">
        <v>3332733.5701841153</v>
      </c>
      <c r="K147" s="174">
        <v>6268960.5260966457</v>
      </c>
      <c r="L147" s="174">
        <v>17138970.351722058</v>
      </c>
      <c r="M147" s="84"/>
    </row>
    <row r="148" spans="2:14" x14ac:dyDescent="0.25">
      <c r="B148" s="117">
        <f t="shared" si="47"/>
        <v>43040</v>
      </c>
      <c r="C148" s="174">
        <v>284423.62139550177</v>
      </c>
      <c r="D148" s="174">
        <v>20058556.057392158</v>
      </c>
      <c r="E148" s="174">
        <v>89909025.108067796</v>
      </c>
      <c r="F148" s="174">
        <v>517487156.41286129</v>
      </c>
      <c r="G148" s="174">
        <v>505143369.88016301</v>
      </c>
      <c r="H148" s="174">
        <v>46931839.968758687</v>
      </c>
      <c r="I148" s="174">
        <v>416796764.43103027</v>
      </c>
      <c r="J148" s="174">
        <v>3581528.4308376117</v>
      </c>
      <c r="K148" s="174">
        <v>6624690.2448255755</v>
      </c>
      <c r="L148" s="174">
        <v>17363538.955059078</v>
      </c>
      <c r="M148" s="84"/>
    </row>
    <row r="149" spans="2:14" x14ac:dyDescent="0.25">
      <c r="B149" s="117">
        <f t="shared" si="47"/>
        <v>43070</v>
      </c>
      <c r="C149" s="174">
        <v>162.57822591471867</v>
      </c>
      <c r="D149" s="174">
        <v>20570608.685404815</v>
      </c>
      <c r="E149" s="174">
        <v>90912859.774352491</v>
      </c>
      <c r="F149" s="174">
        <v>521029731.19827735</v>
      </c>
      <c r="G149" s="174">
        <v>508793022.97525769</v>
      </c>
      <c r="H149" s="174">
        <v>46422545.596403174</v>
      </c>
      <c r="I149" s="174">
        <v>417546824.55132133</v>
      </c>
      <c r="J149" s="174">
        <v>3830318.0792135773</v>
      </c>
      <c r="K149" s="174">
        <v>6981972.4030607948</v>
      </c>
      <c r="L149" s="174">
        <v>17589054.157599293</v>
      </c>
      <c r="M149" s="120">
        <f>SUM(C149:L149)</f>
        <v>1633677099.9991164</v>
      </c>
      <c r="N149" s="135"/>
    </row>
    <row r="151" spans="2:14" x14ac:dyDescent="0.25">
      <c r="C151" s="120"/>
      <c r="D151" s="120"/>
    </row>
    <row r="152" spans="2:14" x14ac:dyDescent="0.25">
      <c r="D152" s="120"/>
    </row>
    <row r="153" spans="2:14" x14ac:dyDescent="0.25">
      <c r="D153" s="120"/>
    </row>
    <row r="154" spans="2:14" x14ac:dyDescent="0.25">
      <c r="D154" s="120"/>
    </row>
  </sheetData>
  <pageMargins left="0.7" right="0.7" top="0.75" bottom="0.75" header="0.3" footer="0.3"/>
  <pageSetup scale="45" orientation="portrait" r:id="rId1"/>
  <headerFooter>
    <oddHeader>&amp;RTO2019 Annual Update
Attachment 5-TO13 True Up TRR
WP-TO13-Schedule 6 and 8&amp;8
&amp;11Page &amp;P of &amp;N</oddHeader>
  </headerFooter>
  <customProperties>
    <customPr name="_pios_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L39"/>
  <sheetViews>
    <sheetView zoomScaleNormal="100" workbookViewId="0">
      <selection sqref="A1:G1"/>
    </sheetView>
  </sheetViews>
  <sheetFormatPr defaultColWidth="9.140625" defaultRowHeight="15" x14ac:dyDescent="0.25"/>
  <cols>
    <col min="1" max="2" width="21" style="84" customWidth="1"/>
    <col min="3" max="5" width="19.140625" style="84" customWidth="1"/>
    <col min="6" max="6" width="18.5703125" style="84" customWidth="1"/>
    <col min="7" max="7" width="20.42578125" style="84" customWidth="1"/>
    <col min="8" max="8" width="9.140625" style="84"/>
    <col min="9" max="12" width="14.28515625" style="84" customWidth="1"/>
    <col min="13" max="16384" width="9.140625" style="84"/>
  </cols>
  <sheetData>
    <row r="1" spans="1:12" ht="18.75" x14ac:dyDescent="0.3">
      <c r="A1" s="184" t="s">
        <v>8</v>
      </c>
      <c r="B1" s="184"/>
      <c r="C1" s="184"/>
      <c r="D1" s="184"/>
      <c r="E1" s="184"/>
      <c r="F1" s="184"/>
      <c r="G1" s="184"/>
    </row>
    <row r="2" spans="1:12" ht="15.75" x14ac:dyDescent="0.25">
      <c r="A2" s="185" t="s">
        <v>9</v>
      </c>
      <c r="B2" s="185"/>
      <c r="C2" s="185"/>
      <c r="D2" s="185"/>
      <c r="E2" s="185"/>
      <c r="F2" s="185"/>
      <c r="G2" s="185"/>
    </row>
    <row r="3" spans="1:12" ht="15.75" x14ac:dyDescent="0.25">
      <c r="A3" s="186" t="s">
        <v>113</v>
      </c>
      <c r="B3" s="186"/>
      <c r="C3" s="187"/>
      <c r="D3" s="187"/>
      <c r="E3" s="187"/>
      <c r="F3" s="187"/>
      <c r="G3" s="187"/>
    </row>
    <row r="4" spans="1:12" x14ac:dyDescent="0.25">
      <c r="A4" s="35"/>
      <c r="B4" s="35"/>
      <c r="C4" s="85"/>
      <c r="D4" s="35"/>
      <c r="E4" s="35">
        <f>IFERROR(C4/D4,0)</f>
        <v>0</v>
      </c>
      <c r="F4" s="35"/>
      <c r="G4" s="35"/>
    </row>
    <row r="5" spans="1:12" x14ac:dyDescent="0.25">
      <c r="A5" s="188" t="s">
        <v>10</v>
      </c>
      <c r="B5" s="188"/>
      <c r="C5" s="188"/>
      <c r="D5" s="188"/>
      <c r="E5" s="188"/>
      <c r="F5" s="188"/>
      <c r="G5" s="188"/>
    </row>
    <row r="6" spans="1:12" ht="16.5" thickBot="1" x14ac:dyDescent="0.3">
      <c r="A6" s="189" t="s">
        <v>11</v>
      </c>
      <c r="B6" s="189"/>
      <c r="C6" s="189"/>
      <c r="D6" s="189"/>
      <c r="E6" s="189"/>
      <c r="F6" s="189"/>
      <c r="G6" s="189"/>
    </row>
    <row r="7" spans="1:12" ht="25.5" x14ac:dyDescent="0.25">
      <c r="A7" s="86"/>
      <c r="B7" s="88" t="s">
        <v>12</v>
      </c>
      <c r="C7" s="87" t="s">
        <v>13</v>
      </c>
      <c r="D7" s="87" t="s">
        <v>14</v>
      </c>
      <c r="E7" s="88" t="s">
        <v>15</v>
      </c>
      <c r="F7" s="87" t="s">
        <v>90</v>
      </c>
      <c r="G7" s="88" t="s">
        <v>86</v>
      </c>
      <c r="I7" s="79"/>
      <c r="J7" s="79"/>
      <c r="K7" s="130"/>
      <c r="L7" s="130"/>
    </row>
    <row r="8" spans="1:12" x14ac:dyDescent="0.25">
      <c r="A8" s="89" t="s">
        <v>87</v>
      </c>
      <c r="B8" s="89"/>
      <c r="C8" s="90"/>
      <c r="D8" s="90"/>
      <c r="E8" s="91"/>
      <c r="F8" s="90"/>
      <c r="G8" s="91"/>
    </row>
    <row r="9" spans="1:12" x14ac:dyDescent="0.25">
      <c r="A9" s="141">
        <v>352</v>
      </c>
      <c r="B9" s="142">
        <v>879621910</v>
      </c>
      <c r="C9" s="148">
        <v>879621910</v>
      </c>
      <c r="D9" s="148">
        <v>569698022.82553017</v>
      </c>
      <c r="E9" s="143">
        <f>D9/C9</f>
        <v>0.64766238351831207</v>
      </c>
      <c r="F9" s="148">
        <v>273150052.0128563</v>
      </c>
      <c r="G9" s="93">
        <f>(D9-F9)/(C9-F9)</f>
        <v>0.48897235198497901</v>
      </c>
      <c r="I9" s="120"/>
      <c r="J9" s="120"/>
      <c r="K9" s="120"/>
      <c r="L9" s="120"/>
    </row>
    <row r="10" spans="1:12" x14ac:dyDescent="0.25">
      <c r="A10" s="141">
        <v>353</v>
      </c>
      <c r="B10" s="152">
        <v>5902949228</v>
      </c>
      <c r="C10" s="172">
        <v>5902949228</v>
      </c>
      <c r="D10" s="172">
        <v>3409447773.6593328</v>
      </c>
      <c r="E10" s="144">
        <f>D10/C10</f>
        <v>0.57758378769158081</v>
      </c>
      <c r="F10" s="172">
        <v>1176074825.7047431</v>
      </c>
      <c r="G10" s="94">
        <f>(D10-F10)/(C10-F10)</f>
        <v>0.47248408945880127</v>
      </c>
      <c r="I10" s="120"/>
      <c r="J10" s="120"/>
      <c r="K10" s="120"/>
      <c r="L10" s="120"/>
    </row>
    <row r="11" spans="1:12" x14ac:dyDescent="0.25">
      <c r="A11" s="145" t="s">
        <v>17</v>
      </c>
      <c r="B11" s="146">
        <f>SUM(B9:B10)</f>
        <v>6782571138</v>
      </c>
      <c r="C11" s="146">
        <f>SUM(C9:C10)</f>
        <v>6782571138</v>
      </c>
      <c r="D11" s="146">
        <f>SUM(D9:D10)</f>
        <v>3979145796.4848628</v>
      </c>
      <c r="E11" s="143">
        <f>D11/C11</f>
        <v>0.58667218013996492</v>
      </c>
      <c r="F11" s="146">
        <f>+F9+F10</f>
        <v>1449224877.7175994</v>
      </c>
      <c r="G11" s="93">
        <f>(D11-F11)/(C11-F11)</f>
        <v>0.47435902251606377</v>
      </c>
    </row>
    <row r="12" spans="1:12" x14ac:dyDescent="0.25">
      <c r="A12" s="147"/>
      <c r="B12" s="147"/>
      <c r="C12" s="148"/>
      <c r="D12" s="148"/>
      <c r="E12" s="143"/>
      <c r="F12" s="148"/>
      <c r="G12" s="93"/>
      <c r="L12" s="9"/>
    </row>
    <row r="13" spans="1:12" x14ac:dyDescent="0.25">
      <c r="A13" s="149" t="s">
        <v>64</v>
      </c>
      <c r="B13" s="149"/>
      <c r="C13" s="148"/>
      <c r="D13" s="148"/>
      <c r="E13" s="150"/>
      <c r="F13" s="148"/>
      <c r="G13" s="99"/>
      <c r="L13" s="9"/>
    </row>
    <row r="14" spans="1:12" x14ac:dyDescent="0.25">
      <c r="A14" s="141">
        <v>350</v>
      </c>
      <c r="B14" s="152">
        <v>343195020</v>
      </c>
      <c r="C14" s="172">
        <v>343195020</v>
      </c>
      <c r="D14" s="172">
        <v>252777320.81821257</v>
      </c>
      <c r="E14" s="144">
        <f>D14/C14</f>
        <v>0.73654134264014837</v>
      </c>
      <c r="F14" s="172">
        <v>115934029.50749999</v>
      </c>
      <c r="G14" s="94">
        <f>(D14-F14)/(C14-F14)</f>
        <v>0.60214157746192098</v>
      </c>
      <c r="I14" s="120"/>
      <c r="J14" s="113"/>
    </row>
    <row r="15" spans="1:12" x14ac:dyDescent="0.25">
      <c r="A15" s="149" t="s">
        <v>66</v>
      </c>
      <c r="B15" s="146">
        <f>B11+B14</f>
        <v>7125766158</v>
      </c>
      <c r="C15" s="146">
        <f>C11+C14</f>
        <v>7125766158</v>
      </c>
      <c r="D15" s="146">
        <f>D11+D14</f>
        <v>4231923117.3030753</v>
      </c>
      <c r="E15" s="143">
        <f>D15/C15</f>
        <v>0.59389026014444124</v>
      </c>
      <c r="F15" s="146">
        <f>F11+F14</f>
        <v>1565158907.2250993</v>
      </c>
      <c r="G15" s="93">
        <f>(D15-F15)/(C15-F15)</f>
        <v>0.47958147191682138</v>
      </c>
    </row>
    <row r="16" spans="1:12" x14ac:dyDescent="0.25">
      <c r="A16" s="147"/>
      <c r="B16" s="147"/>
      <c r="C16" s="148"/>
      <c r="D16" s="148"/>
      <c r="E16" s="143"/>
      <c r="F16" s="148"/>
      <c r="G16" s="93"/>
    </row>
    <row r="17" spans="1:10" x14ac:dyDescent="0.25">
      <c r="A17" s="149" t="s">
        <v>18</v>
      </c>
      <c r="B17" s="149"/>
      <c r="C17" s="148"/>
      <c r="D17" s="148"/>
      <c r="E17" s="151"/>
      <c r="F17" s="148"/>
      <c r="G17" s="100"/>
    </row>
    <row r="18" spans="1:10" x14ac:dyDescent="0.25">
      <c r="A18" s="141">
        <v>354</v>
      </c>
      <c r="B18" s="142">
        <v>2343145352</v>
      </c>
      <c r="C18" s="148">
        <v>2343145352</v>
      </c>
      <c r="D18" s="148">
        <v>2283380921.6603918</v>
      </c>
      <c r="E18" s="143">
        <f t="shared" ref="E18:E24" si="0">D18/C18</f>
        <v>0.97449392958546255</v>
      </c>
      <c r="F18" s="148">
        <v>1762377598.9918265</v>
      </c>
      <c r="G18" s="93">
        <f t="shared" ref="G18:G24" si="1">(D18-F18)/(C18-F18)</f>
        <v>0.89709409651267757</v>
      </c>
      <c r="I18" s="120"/>
      <c r="J18" s="113"/>
    </row>
    <row r="19" spans="1:10" x14ac:dyDescent="0.25">
      <c r="A19" s="141">
        <v>355</v>
      </c>
      <c r="B19" s="142">
        <v>1292702467</v>
      </c>
      <c r="C19" s="148">
        <v>1292702467</v>
      </c>
      <c r="D19" s="148">
        <v>364424080.39844126</v>
      </c>
      <c r="E19" s="143">
        <f t="shared" si="0"/>
        <v>0.28190870652870909</v>
      </c>
      <c r="F19" s="148">
        <v>154450782.31999999</v>
      </c>
      <c r="G19" s="93">
        <f t="shared" si="1"/>
        <v>0.18447000861454613</v>
      </c>
      <c r="I19" s="120"/>
      <c r="J19" s="113"/>
    </row>
    <row r="20" spans="1:10" x14ac:dyDescent="0.25">
      <c r="A20" s="141">
        <v>356</v>
      </c>
      <c r="B20" s="142">
        <v>1524531167</v>
      </c>
      <c r="C20" s="148">
        <v>1524531167</v>
      </c>
      <c r="D20" s="148">
        <v>1245933686.1010468</v>
      </c>
      <c r="E20" s="143">
        <f t="shared" si="0"/>
        <v>0.81725694631275903</v>
      </c>
      <c r="F20" s="148">
        <v>818269306.59719718</v>
      </c>
      <c r="G20" s="93">
        <f t="shared" si="1"/>
        <v>0.60553231525193718</v>
      </c>
      <c r="I20" s="120"/>
      <c r="J20" s="113"/>
    </row>
    <row r="21" spans="1:10" x14ac:dyDescent="0.25">
      <c r="A21" s="141">
        <v>357</v>
      </c>
      <c r="B21" s="142">
        <v>256348021</v>
      </c>
      <c r="C21" s="148">
        <v>256348021</v>
      </c>
      <c r="D21" s="148">
        <v>190222488.72271055</v>
      </c>
      <c r="E21" s="143">
        <f t="shared" si="0"/>
        <v>0.74204781445420465</v>
      </c>
      <c r="F21" s="148">
        <v>189937751.33000007</v>
      </c>
      <c r="G21" s="93">
        <f t="shared" si="1"/>
        <v>4.2875506171766676E-3</v>
      </c>
      <c r="I21" s="120"/>
      <c r="J21" s="113"/>
    </row>
    <row r="22" spans="1:10" x14ac:dyDescent="0.25">
      <c r="A22" s="141">
        <v>358</v>
      </c>
      <c r="B22" s="142">
        <v>376710004</v>
      </c>
      <c r="C22" s="148">
        <v>376710004</v>
      </c>
      <c r="D22" s="148">
        <v>84920373.966592565</v>
      </c>
      <c r="E22" s="143">
        <f t="shared" si="0"/>
        <v>0.22542638386261854</v>
      </c>
      <c r="F22" s="148">
        <v>82820739.109999985</v>
      </c>
      <c r="G22" s="93">
        <f t="shared" si="1"/>
        <v>7.1443060615992713E-3</v>
      </c>
      <c r="I22" s="120"/>
      <c r="J22" s="113"/>
    </row>
    <row r="23" spans="1:10" x14ac:dyDescent="0.25">
      <c r="A23" s="141">
        <v>359</v>
      </c>
      <c r="B23" s="152">
        <v>193773411</v>
      </c>
      <c r="C23" s="172">
        <v>193773411</v>
      </c>
      <c r="D23" s="172">
        <v>172640884.93140152</v>
      </c>
      <c r="E23" s="144">
        <f t="shared" si="0"/>
        <v>0.89094207528504266</v>
      </c>
      <c r="F23" s="172">
        <v>146444293.85059193</v>
      </c>
      <c r="G23" s="94">
        <f t="shared" si="1"/>
        <v>0.55349840982903742</v>
      </c>
      <c r="I23" s="120"/>
      <c r="J23" s="113"/>
    </row>
    <row r="24" spans="1:10" x14ac:dyDescent="0.25">
      <c r="A24" s="145" t="s">
        <v>19</v>
      </c>
      <c r="B24" s="148">
        <f>SUM(B18:B23)</f>
        <v>5987210422</v>
      </c>
      <c r="C24" s="148">
        <f>SUM(C18:C23)</f>
        <v>5987210422</v>
      </c>
      <c r="D24" s="153">
        <f>SUM(D18:D23)</f>
        <v>4341522435.7805843</v>
      </c>
      <c r="E24" s="143">
        <f t="shared" si="0"/>
        <v>0.72513276296882156</v>
      </c>
      <c r="F24" s="153">
        <f>SUM(F18:F23)</f>
        <v>3154300472.199616</v>
      </c>
      <c r="G24" s="93">
        <f t="shared" si="1"/>
        <v>0.41908213978514347</v>
      </c>
    </row>
    <row r="25" spans="1:10" x14ac:dyDescent="0.25">
      <c r="A25" s="154"/>
      <c r="B25" s="154"/>
      <c r="C25" s="148"/>
      <c r="D25" s="148"/>
      <c r="E25" s="155"/>
      <c r="F25" s="148"/>
      <c r="G25" s="91"/>
    </row>
    <row r="26" spans="1:10" ht="15.75" thickBot="1" x14ac:dyDescent="0.3">
      <c r="A26" s="156" t="s">
        <v>20</v>
      </c>
      <c r="B26" s="157">
        <f>B24+B15</f>
        <v>13112976580</v>
      </c>
      <c r="C26" s="157">
        <f>C24+C15</f>
        <v>13112976580</v>
      </c>
      <c r="D26" s="157">
        <f>D24+D15</f>
        <v>8573445553.0836601</v>
      </c>
      <c r="E26" s="158">
        <f>D26/C26</f>
        <v>0.65381383858794784</v>
      </c>
      <c r="F26" s="157">
        <f>F24+F15</f>
        <v>4719459379.424715</v>
      </c>
      <c r="G26" s="104">
        <f>(D26-F26)/(C26-F26)</f>
        <v>0.45916224171135267</v>
      </c>
    </row>
    <row r="27" spans="1:10" x14ac:dyDescent="0.25">
      <c r="A27" s="154"/>
      <c r="B27" s="154"/>
      <c r="C27" s="159"/>
      <c r="D27" s="159"/>
      <c r="E27" s="160"/>
      <c r="F27" s="159"/>
      <c r="G27" s="100"/>
    </row>
    <row r="28" spans="1:10" ht="16.5" thickBot="1" x14ac:dyDescent="0.3">
      <c r="A28" s="183" t="s">
        <v>21</v>
      </c>
      <c r="B28" s="183"/>
      <c r="C28" s="183"/>
      <c r="D28" s="183"/>
      <c r="E28" s="183"/>
      <c r="F28" s="15"/>
    </row>
    <row r="29" spans="1:10" ht="25.5" x14ac:dyDescent="0.25">
      <c r="A29" s="161"/>
      <c r="B29" s="161"/>
      <c r="C29" s="162" t="s">
        <v>13</v>
      </c>
      <c r="D29" s="162" t="s">
        <v>14</v>
      </c>
      <c r="E29" s="163" t="s">
        <v>15</v>
      </c>
      <c r="F29" s="162"/>
      <c r="G29" s="88"/>
    </row>
    <row r="30" spans="1:10" x14ac:dyDescent="0.25">
      <c r="A30" s="164" t="s">
        <v>22</v>
      </c>
      <c r="B30" s="164"/>
      <c r="C30" s="159"/>
      <c r="D30" s="159"/>
      <c r="E30" s="160"/>
      <c r="F30" s="159"/>
      <c r="G30" s="106"/>
    </row>
    <row r="31" spans="1:10" x14ac:dyDescent="0.25">
      <c r="A31" s="141">
        <v>360</v>
      </c>
      <c r="B31" s="142">
        <v>125242449</v>
      </c>
      <c r="C31" s="148">
        <v>125242449</v>
      </c>
      <c r="D31" s="148">
        <v>0</v>
      </c>
      <c r="E31" s="143">
        <f>D31/C31</f>
        <v>0</v>
      </c>
      <c r="F31" s="148">
        <v>0</v>
      </c>
      <c r="G31" s="93">
        <f>(D31-F31)/(C31-F31)</f>
        <v>0</v>
      </c>
      <c r="I31" s="120"/>
    </row>
    <row r="32" spans="1:10" x14ac:dyDescent="0.25">
      <c r="A32" s="149" t="s">
        <v>23</v>
      </c>
      <c r="B32" s="149"/>
      <c r="C32" s="148"/>
      <c r="D32" s="148"/>
      <c r="E32" s="143"/>
      <c r="F32" s="148"/>
      <c r="G32" s="93"/>
    </row>
    <row r="33" spans="1:9" x14ac:dyDescent="0.25">
      <c r="A33" s="141">
        <v>361</v>
      </c>
      <c r="B33" s="142">
        <v>644469720</v>
      </c>
      <c r="C33" s="148">
        <v>644469720</v>
      </c>
      <c r="D33" s="148">
        <v>0</v>
      </c>
      <c r="E33" s="143">
        <f>D33/C33</f>
        <v>0</v>
      </c>
      <c r="F33" s="148">
        <v>0</v>
      </c>
      <c r="G33" s="93">
        <f>(D33-F33)/(C33-F33)</f>
        <v>0</v>
      </c>
      <c r="I33" s="120"/>
    </row>
    <row r="34" spans="1:9" x14ac:dyDescent="0.25">
      <c r="A34" s="141">
        <v>362</v>
      </c>
      <c r="B34" s="152">
        <v>2539477720</v>
      </c>
      <c r="C34" s="172">
        <v>2539477720</v>
      </c>
      <c r="D34" s="172">
        <v>0</v>
      </c>
      <c r="E34" s="144">
        <f>D34/C34</f>
        <v>0</v>
      </c>
      <c r="F34" s="172">
        <v>0</v>
      </c>
      <c r="G34" s="94">
        <f>(D34-F34)/(C34-F34)</f>
        <v>0</v>
      </c>
      <c r="I34" s="120"/>
    </row>
    <row r="35" spans="1:9" x14ac:dyDescent="0.25">
      <c r="A35" s="165" t="s">
        <v>24</v>
      </c>
      <c r="B35" s="146">
        <f>SUM(B33:B34)</f>
        <v>3183947440</v>
      </c>
      <c r="C35" s="146">
        <f>SUM(C33:C34)</f>
        <v>3183947440</v>
      </c>
      <c r="D35" s="146">
        <f>SUM(D33:D34)</f>
        <v>0</v>
      </c>
      <c r="E35" s="143">
        <f>D35/C35</f>
        <v>0</v>
      </c>
      <c r="F35" s="146">
        <f>SUM(F33:F34)</f>
        <v>0</v>
      </c>
      <c r="G35" s="93">
        <f>(D35-F35)/(C35-F35)</f>
        <v>0</v>
      </c>
    </row>
    <row r="36" spans="1:9" x14ac:dyDescent="0.25">
      <c r="A36" s="165"/>
      <c r="B36" s="165"/>
      <c r="C36" s="148"/>
      <c r="D36" s="148"/>
      <c r="E36" s="155"/>
      <c r="F36" s="148"/>
      <c r="G36" s="91"/>
      <c r="I36" s="120"/>
    </row>
    <row r="37" spans="1:9" ht="26.25" thickBot="1" x14ac:dyDescent="0.3">
      <c r="A37" s="166" t="s">
        <v>88</v>
      </c>
      <c r="B37" s="167">
        <f>B35+B31</f>
        <v>3309189889</v>
      </c>
      <c r="C37" s="167">
        <f>C35+C31</f>
        <v>3309189889</v>
      </c>
      <c r="D37" s="167">
        <f>D35+D31</f>
        <v>0</v>
      </c>
      <c r="E37" s="158">
        <f>D37/C37</f>
        <v>0</v>
      </c>
      <c r="F37" s="167">
        <f>F35+F31</f>
        <v>0</v>
      </c>
      <c r="G37" s="104">
        <f>(D37-F37)/(C37-F37)</f>
        <v>0</v>
      </c>
      <c r="I37" s="120"/>
    </row>
    <row r="38" spans="1:9" ht="15.75" thickBot="1" x14ac:dyDescent="0.3">
      <c r="A38" s="168"/>
      <c r="B38" s="168"/>
      <c r="C38" s="148"/>
      <c r="D38" s="148"/>
      <c r="E38" s="168"/>
      <c r="F38" s="148"/>
      <c r="G38" s="69"/>
      <c r="I38" s="121"/>
    </row>
    <row r="39" spans="1:9" ht="26.25" thickBot="1" x14ac:dyDescent="0.3">
      <c r="A39" s="169" t="s">
        <v>89</v>
      </c>
      <c r="B39" s="170">
        <f>B37+B26</f>
        <v>16422166469</v>
      </c>
      <c r="C39" s="170">
        <f>C37+C26</f>
        <v>16422166469</v>
      </c>
      <c r="D39" s="170">
        <f>D37+D26</f>
        <v>8573445553.0836601</v>
      </c>
      <c r="E39" s="171">
        <f>D39/C39</f>
        <v>0.52206543937230743</v>
      </c>
      <c r="F39" s="170">
        <f>F37+F26</f>
        <v>4719459379.424715</v>
      </c>
      <c r="G39" s="111">
        <f>(D39-F39)/(C39-F39)</f>
        <v>0.32932433018784668</v>
      </c>
      <c r="I39" s="120"/>
    </row>
  </sheetData>
  <mergeCells count="6">
    <mergeCell ref="A28:E28"/>
    <mergeCell ref="A1:G1"/>
    <mergeCell ref="A2:G2"/>
    <mergeCell ref="A3:G3"/>
    <mergeCell ref="A5:G5"/>
    <mergeCell ref="A6:G6"/>
  </mergeCells>
  <conditionalFormatting sqref="C31:F31 G9:G10 G18:G23 C14:E14 C33:G34 C9:E10 C18:E23">
    <cfRule type="expression" dxfId="13" priority="7">
      <formula>$F$9="Current Year"</formula>
    </cfRule>
  </conditionalFormatting>
  <conditionalFormatting sqref="G14">
    <cfRule type="expression" dxfId="12" priority="6">
      <formula>$F$9="Current Year"</formula>
    </cfRule>
  </conditionalFormatting>
  <conditionalFormatting sqref="G31">
    <cfRule type="expression" dxfId="11" priority="5">
      <formula>$F$9="Current Year"</formula>
    </cfRule>
  </conditionalFormatting>
  <conditionalFormatting sqref="F9">
    <cfRule type="expression" dxfId="10" priority="4">
      <formula>$F$9="Current Year"</formula>
    </cfRule>
  </conditionalFormatting>
  <conditionalFormatting sqref="F18:F23">
    <cfRule type="expression" dxfId="9" priority="3">
      <formula>$F$9="Current Year"</formula>
    </cfRule>
  </conditionalFormatting>
  <conditionalFormatting sqref="F14">
    <cfRule type="expression" dxfId="8" priority="2">
      <formula>$F$9="Current Year"</formula>
    </cfRule>
  </conditionalFormatting>
  <conditionalFormatting sqref="F10">
    <cfRule type="expression" dxfId="7" priority="1">
      <formula>$F$9="Current Year"</formula>
    </cfRule>
  </conditionalFormatting>
  <pageMargins left="0.7" right="0.7" top="0.75" bottom="0.75" header="0.3" footer="0.3"/>
  <pageSetup scale="45" orientation="portrait" r:id="rId1"/>
  <headerFooter>
    <oddHeader>&amp;RTO2019 Annual Update
Attachment 5-TO13 True Up TRR
WP-TO13-Schedule 16
Page &amp;P of &amp;N</oddHeader>
  </headerFooter>
  <customProperties>
    <customPr name="_pios_i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zoomScaleNormal="100" workbookViewId="0">
      <selection sqref="A1:G1"/>
    </sheetView>
  </sheetViews>
  <sheetFormatPr defaultColWidth="9.140625" defaultRowHeight="15" x14ac:dyDescent="0.25"/>
  <cols>
    <col min="1" max="2" width="21" style="84" customWidth="1"/>
    <col min="3" max="5" width="19.140625" style="84" customWidth="1"/>
    <col min="6" max="6" width="18.5703125" style="84" customWidth="1"/>
    <col min="7" max="7" width="20.42578125" style="84" customWidth="1"/>
    <col min="8" max="16384" width="9.140625" style="84"/>
  </cols>
  <sheetData>
    <row r="1" spans="1:7" ht="18.75" x14ac:dyDescent="0.3">
      <c r="A1" s="184" t="s">
        <v>8</v>
      </c>
      <c r="B1" s="184"/>
      <c r="C1" s="184"/>
      <c r="D1" s="184"/>
      <c r="E1" s="184"/>
      <c r="F1" s="184"/>
      <c r="G1" s="184"/>
    </row>
    <row r="2" spans="1:7" ht="15.75" x14ac:dyDescent="0.25">
      <c r="A2" s="185" t="s">
        <v>9</v>
      </c>
      <c r="B2" s="185"/>
      <c r="C2" s="185"/>
      <c r="D2" s="185"/>
      <c r="E2" s="185"/>
      <c r="F2" s="185"/>
      <c r="G2" s="185"/>
    </row>
    <row r="3" spans="1:7" ht="15.75" x14ac:dyDescent="0.25">
      <c r="A3" s="186" t="s">
        <v>107</v>
      </c>
      <c r="B3" s="186"/>
      <c r="C3" s="187"/>
      <c r="D3" s="187"/>
      <c r="E3" s="187"/>
      <c r="F3" s="187"/>
      <c r="G3" s="187"/>
    </row>
    <row r="4" spans="1:7" x14ac:dyDescent="0.25">
      <c r="A4" s="35"/>
      <c r="B4" s="35"/>
      <c r="C4" s="85"/>
      <c r="D4" s="35"/>
      <c r="E4" s="35"/>
      <c r="F4" s="137"/>
      <c r="G4" s="35"/>
    </row>
    <row r="5" spans="1:7" x14ac:dyDescent="0.25">
      <c r="A5" s="188" t="s">
        <v>10</v>
      </c>
      <c r="B5" s="188"/>
      <c r="C5" s="188"/>
      <c r="D5" s="188"/>
      <c r="E5" s="188"/>
      <c r="F5" s="188"/>
      <c r="G5" s="188"/>
    </row>
    <row r="6" spans="1:7" ht="16.5" thickBot="1" x14ac:dyDescent="0.3">
      <c r="A6" s="189" t="s">
        <v>11</v>
      </c>
      <c r="B6" s="189"/>
      <c r="C6" s="189"/>
      <c r="D6" s="189"/>
      <c r="E6" s="189"/>
      <c r="F6" s="189"/>
      <c r="G6" s="189"/>
    </row>
    <row r="7" spans="1:7" ht="25.5" x14ac:dyDescent="0.25">
      <c r="A7" s="86"/>
      <c r="B7" s="88" t="s">
        <v>12</v>
      </c>
      <c r="C7" s="87" t="s">
        <v>13</v>
      </c>
      <c r="D7" s="87" t="s">
        <v>14</v>
      </c>
      <c r="E7" s="88" t="s">
        <v>15</v>
      </c>
      <c r="F7" s="87" t="s">
        <v>90</v>
      </c>
      <c r="G7" s="88" t="s">
        <v>86</v>
      </c>
    </row>
    <row r="8" spans="1:7" x14ac:dyDescent="0.25">
      <c r="A8" s="89" t="s">
        <v>87</v>
      </c>
      <c r="B8" s="89"/>
      <c r="C8" s="90"/>
      <c r="D8" s="90"/>
      <c r="E8" s="91"/>
      <c r="F8" s="90"/>
      <c r="G8" s="91"/>
    </row>
    <row r="9" spans="1:7" x14ac:dyDescent="0.25">
      <c r="A9" s="92">
        <v>352</v>
      </c>
      <c r="B9" s="119">
        <v>825778507.51000011</v>
      </c>
      <c r="C9" s="148">
        <v>825778507.54018676</v>
      </c>
      <c r="D9" s="148">
        <v>531582610.71770966</v>
      </c>
      <c r="E9" s="143">
        <f>D9/C9</f>
        <v>0.64373510071263274</v>
      </c>
      <c r="F9" s="148">
        <v>264612612.76285601</v>
      </c>
      <c r="G9" s="138">
        <f>(D9-F9)/(C9-F9)</f>
        <v>0.47574166648311139</v>
      </c>
    </row>
    <row r="10" spans="1:7" x14ac:dyDescent="0.25">
      <c r="A10" s="92">
        <v>353</v>
      </c>
      <c r="B10" s="132">
        <v>5586246879.8799992</v>
      </c>
      <c r="C10" s="172">
        <v>5586246880.0237732</v>
      </c>
      <c r="D10" s="172">
        <v>3249175449.0339036</v>
      </c>
      <c r="E10" s="144">
        <f>D10/C10</f>
        <v>0.58163835555726029</v>
      </c>
      <c r="F10" s="172">
        <v>1133695494.8547399</v>
      </c>
      <c r="G10" s="139">
        <f>(D10-F10)/(C10-F10)</f>
        <v>0.47511634817412746</v>
      </c>
    </row>
    <row r="11" spans="1:7" x14ac:dyDescent="0.25">
      <c r="A11" s="95" t="s">
        <v>17</v>
      </c>
      <c r="B11" s="96">
        <f>SUM(B9:B10)</f>
        <v>6412025387.3899994</v>
      </c>
      <c r="C11" s="96">
        <f>SUM(C9:C10)</f>
        <v>6412025387.5639601</v>
      </c>
      <c r="D11" s="96">
        <f>SUM(D9:D10)</f>
        <v>3780758059.7516131</v>
      </c>
      <c r="E11" s="93">
        <f>D11/C11</f>
        <v>0.58963554122607564</v>
      </c>
      <c r="F11" s="96">
        <f>+F9+F10</f>
        <v>1398308107.6175959</v>
      </c>
      <c r="G11" s="93">
        <f>(D11-F11)/(C11-F11)</f>
        <v>0.47518633762283141</v>
      </c>
    </row>
    <row r="12" spans="1:7" x14ac:dyDescent="0.25">
      <c r="A12" s="68"/>
      <c r="B12" s="68"/>
      <c r="C12" s="98"/>
      <c r="D12" s="98"/>
      <c r="E12" s="93"/>
      <c r="F12" s="98"/>
      <c r="G12" s="93"/>
    </row>
    <row r="13" spans="1:7" x14ac:dyDescent="0.25">
      <c r="A13" s="97" t="s">
        <v>64</v>
      </c>
      <c r="B13" s="97"/>
      <c r="C13" s="98"/>
      <c r="D13" s="98"/>
      <c r="E13" s="99"/>
      <c r="F13" s="98"/>
      <c r="G13" s="99"/>
    </row>
    <row r="14" spans="1:7" x14ac:dyDescent="0.25">
      <c r="A14" s="92">
        <v>350</v>
      </c>
      <c r="B14" s="132">
        <v>338945966.63999999</v>
      </c>
      <c r="C14" s="172">
        <v>338945966.63999993</v>
      </c>
      <c r="D14" s="172">
        <v>252172630.38129246</v>
      </c>
      <c r="E14" s="144">
        <f>D14/C14</f>
        <v>0.74399065102057738</v>
      </c>
      <c r="F14" s="172">
        <v>113550050.48</v>
      </c>
      <c r="G14" s="94">
        <f>(D14-F14)/(C14-F14)</f>
        <v>0.61501815233817103</v>
      </c>
    </row>
    <row r="15" spans="1:7" x14ac:dyDescent="0.25">
      <c r="A15" s="97" t="s">
        <v>66</v>
      </c>
      <c r="B15" s="96">
        <f>B11+B14</f>
        <v>6750971354.0299997</v>
      </c>
      <c r="C15" s="96">
        <f>C11+C14</f>
        <v>6750971354.2039604</v>
      </c>
      <c r="D15" s="96">
        <f>D11+D14</f>
        <v>4032930690.1329055</v>
      </c>
      <c r="E15" s="93">
        <f>D15/C15</f>
        <v>0.59738524703138041</v>
      </c>
      <c r="F15" s="96">
        <f>F11+F14</f>
        <v>1511858158.0975959</v>
      </c>
      <c r="G15" s="93">
        <f>(D15-F15)/(C15-F15)</f>
        <v>0.48120214961359026</v>
      </c>
    </row>
    <row r="16" spans="1:7" x14ac:dyDescent="0.25">
      <c r="A16" s="68"/>
      <c r="B16" s="68"/>
      <c r="C16" s="98"/>
      <c r="D16" s="98"/>
      <c r="E16" s="93"/>
      <c r="F16" s="98"/>
      <c r="G16" s="93"/>
    </row>
    <row r="17" spans="1:7" x14ac:dyDescent="0.25">
      <c r="A17" s="97" t="s">
        <v>18</v>
      </c>
      <c r="B17" s="97"/>
      <c r="C17" s="98"/>
      <c r="D17" s="98"/>
      <c r="E17" s="100"/>
      <c r="F17" s="98"/>
      <c r="G17" s="100"/>
    </row>
    <row r="18" spans="1:7" x14ac:dyDescent="0.25">
      <c r="A18" s="92">
        <v>354</v>
      </c>
      <c r="B18" s="119">
        <v>2305498226.4399996</v>
      </c>
      <c r="C18" s="148">
        <v>2305498226.6700001</v>
      </c>
      <c r="D18" s="148">
        <v>2233991232.3950157</v>
      </c>
      <c r="E18" s="143">
        <f t="shared" ref="E18:E24" si="0">D18/C18</f>
        <v>0.96898414691983215</v>
      </c>
      <c r="F18" s="148">
        <v>1757159286.4618263</v>
      </c>
      <c r="G18" s="93">
        <f t="shared" ref="G18:G24" si="1">(D18-F18)/(C18-F18)</f>
        <v>0.86959344115185921</v>
      </c>
    </row>
    <row r="19" spans="1:7" x14ac:dyDescent="0.25">
      <c r="A19" s="92">
        <v>355</v>
      </c>
      <c r="B19" s="119">
        <v>1158164968.4299998</v>
      </c>
      <c r="C19" s="148">
        <v>1158164967.51</v>
      </c>
      <c r="D19" s="148">
        <v>324258227.67707634</v>
      </c>
      <c r="E19" s="143">
        <f t="shared" si="0"/>
        <v>0.27997585557627097</v>
      </c>
      <c r="F19" s="148">
        <v>151903902.76000002</v>
      </c>
      <c r="G19" s="93">
        <f t="shared" si="1"/>
        <v>0.17128191773960449</v>
      </c>
    </row>
    <row r="20" spans="1:7" x14ac:dyDescent="0.25">
      <c r="A20" s="92">
        <v>356</v>
      </c>
      <c r="B20" s="119">
        <v>1499811259.5500002</v>
      </c>
      <c r="C20" s="148">
        <v>1499811258.4158542</v>
      </c>
      <c r="D20" s="148">
        <v>1235903789.8920355</v>
      </c>
      <c r="E20" s="143">
        <f t="shared" si="0"/>
        <v>0.82403954694768344</v>
      </c>
      <c r="F20" s="148">
        <v>815549135.04719698</v>
      </c>
      <c r="G20" s="93">
        <f t="shared" si="1"/>
        <v>0.61431816914753534</v>
      </c>
    </row>
    <row r="21" spans="1:7" x14ac:dyDescent="0.25">
      <c r="A21" s="92">
        <v>357</v>
      </c>
      <c r="B21" s="119">
        <v>253220290.41</v>
      </c>
      <c r="C21" s="148">
        <v>253220290.25999999</v>
      </c>
      <c r="D21" s="148">
        <v>185508196.51391283</v>
      </c>
      <c r="E21" s="143">
        <f t="shared" si="0"/>
        <v>0.73259609774334378</v>
      </c>
      <c r="F21" s="148">
        <v>185286762.54000002</v>
      </c>
      <c r="G21" s="93">
        <f t="shared" si="1"/>
        <v>3.2595683066170881E-3</v>
      </c>
    </row>
    <row r="22" spans="1:7" x14ac:dyDescent="0.25">
      <c r="A22" s="92">
        <v>358</v>
      </c>
      <c r="B22" s="119">
        <v>368734328.63</v>
      </c>
      <c r="C22" s="148">
        <v>368734329.49000001</v>
      </c>
      <c r="D22" s="148">
        <v>81951071.959831506</v>
      </c>
      <c r="E22" s="143">
        <f t="shared" si="0"/>
        <v>0.22224963993230254</v>
      </c>
      <c r="F22" s="148">
        <v>79876648.5</v>
      </c>
      <c r="G22" s="93">
        <f t="shared" si="1"/>
        <v>7.1814723871002784E-3</v>
      </c>
    </row>
    <row r="23" spans="1:7" x14ac:dyDescent="0.25">
      <c r="A23" s="92">
        <v>359</v>
      </c>
      <c r="B23" s="132">
        <v>200535234.45000005</v>
      </c>
      <c r="C23" s="172">
        <v>200535235.83000001</v>
      </c>
      <c r="D23" s="172">
        <v>182027086.53564012</v>
      </c>
      <c r="E23" s="144">
        <f t="shared" si="0"/>
        <v>0.90770624814259659</v>
      </c>
      <c r="F23" s="172">
        <v>138148965.33059186</v>
      </c>
      <c r="G23" s="94">
        <f t="shared" si="1"/>
        <v>0.70332976877443776</v>
      </c>
    </row>
    <row r="24" spans="1:7" x14ac:dyDescent="0.25">
      <c r="A24" s="95" t="s">
        <v>19</v>
      </c>
      <c r="B24" s="98">
        <f>SUM(B18:B23)</f>
        <v>5785964307.9099998</v>
      </c>
      <c r="C24" s="98">
        <f>SUM(C18:C23)</f>
        <v>5785964308.1758547</v>
      </c>
      <c r="D24" s="101">
        <f>SUM(D18:D23)</f>
        <v>4243639604.9735122</v>
      </c>
      <c r="E24" s="93">
        <f t="shared" si="0"/>
        <v>0.7334368791347432</v>
      </c>
      <c r="F24" s="101">
        <f>SUM(F18:F23)</f>
        <v>3127924700.6396151</v>
      </c>
      <c r="G24" s="93">
        <f t="shared" si="1"/>
        <v>0.41975104553391629</v>
      </c>
    </row>
    <row r="25" spans="1:7" x14ac:dyDescent="0.25">
      <c r="A25" s="65"/>
      <c r="B25" s="65"/>
      <c r="C25" s="98"/>
      <c r="D25" s="98"/>
      <c r="E25" s="91"/>
      <c r="F25" s="98"/>
      <c r="G25" s="91"/>
    </row>
    <row r="26" spans="1:7" ht="15.75" thickBot="1" x14ac:dyDescent="0.3">
      <c r="A26" s="102" t="s">
        <v>20</v>
      </c>
      <c r="B26" s="103">
        <f>B24+B15</f>
        <v>12536935661.939999</v>
      </c>
      <c r="C26" s="103">
        <f>C24+C15</f>
        <v>12536935662.379814</v>
      </c>
      <c r="D26" s="103">
        <f>D24+D15</f>
        <v>8276570295.1064177</v>
      </c>
      <c r="E26" s="104">
        <f>D26/C26</f>
        <v>0.66017490381978428</v>
      </c>
      <c r="F26" s="103">
        <f>F24+F15</f>
        <v>4639782858.7372112</v>
      </c>
      <c r="G26" s="104">
        <f>(D26-F26)/(C26-F26)</f>
        <v>0.46051881314639365</v>
      </c>
    </row>
    <row r="27" spans="1:7" x14ac:dyDescent="0.25">
      <c r="A27" s="65"/>
      <c r="B27" s="65"/>
      <c r="C27" s="90"/>
      <c r="D27" s="90"/>
      <c r="E27" s="106"/>
      <c r="F27" s="90"/>
      <c r="G27" s="100"/>
    </row>
    <row r="28" spans="1:7" ht="16.5" thickBot="1" x14ac:dyDescent="0.3">
      <c r="A28" s="189" t="s">
        <v>21</v>
      </c>
      <c r="B28" s="189"/>
      <c r="C28" s="189"/>
      <c r="D28" s="189"/>
      <c r="E28" s="189"/>
    </row>
    <row r="29" spans="1:7" ht="25.5" x14ac:dyDescent="0.25">
      <c r="A29" s="86"/>
      <c r="B29" s="86"/>
      <c r="C29" s="87" t="s">
        <v>13</v>
      </c>
      <c r="D29" s="87" t="s">
        <v>14</v>
      </c>
      <c r="E29" s="88" t="s">
        <v>15</v>
      </c>
      <c r="F29" s="87"/>
      <c r="G29" s="88"/>
    </row>
    <row r="30" spans="1:7" x14ac:dyDescent="0.25">
      <c r="A30" s="89" t="s">
        <v>22</v>
      </c>
      <c r="B30" s="89"/>
      <c r="C30" s="90"/>
      <c r="D30" s="90"/>
      <c r="E30" s="106"/>
      <c r="F30" s="90"/>
      <c r="G30" s="106"/>
    </row>
    <row r="31" spans="1:7" x14ac:dyDescent="0.25">
      <c r="A31" s="92">
        <v>360</v>
      </c>
      <c r="B31" s="119">
        <v>124672240.66000003</v>
      </c>
      <c r="C31" s="148">
        <v>124672240.66000003</v>
      </c>
      <c r="D31" s="148">
        <v>0</v>
      </c>
      <c r="E31" s="143">
        <f>D31/C31</f>
        <v>0</v>
      </c>
      <c r="F31" s="148">
        <v>0</v>
      </c>
      <c r="G31" s="93">
        <f>(D31-F31)/(C31-F31)</f>
        <v>0</v>
      </c>
    </row>
    <row r="32" spans="1:7" x14ac:dyDescent="0.25">
      <c r="A32" s="97" t="s">
        <v>23</v>
      </c>
      <c r="B32" s="97"/>
      <c r="C32" s="148"/>
      <c r="D32" s="148"/>
      <c r="E32" s="143"/>
      <c r="F32" s="148"/>
      <c r="G32" s="93"/>
    </row>
    <row r="33" spans="1:7" x14ac:dyDescent="0.25">
      <c r="A33" s="92">
        <v>361</v>
      </c>
      <c r="B33" s="119">
        <v>611762557.82000005</v>
      </c>
      <c r="C33" s="148">
        <v>611762557.81999934</v>
      </c>
      <c r="D33" s="148">
        <v>0</v>
      </c>
      <c r="E33" s="143">
        <f>D33/C33</f>
        <v>0</v>
      </c>
      <c r="F33" s="148">
        <v>0</v>
      </c>
      <c r="G33" s="93">
        <f>(D33-F33)/(C33-F33)</f>
        <v>0</v>
      </c>
    </row>
    <row r="34" spans="1:7" x14ac:dyDescent="0.25">
      <c r="A34" s="92">
        <v>362</v>
      </c>
      <c r="B34" s="132">
        <v>2397308356.0500007</v>
      </c>
      <c r="C34" s="172">
        <v>2397308356.0499973</v>
      </c>
      <c r="D34" s="172">
        <v>0</v>
      </c>
      <c r="E34" s="144">
        <f>D34/C34</f>
        <v>0</v>
      </c>
      <c r="F34" s="172">
        <v>0</v>
      </c>
      <c r="G34" s="94">
        <f>(D34-F34)/(C34-F34)</f>
        <v>0</v>
      </c>
    </row>
    <row r="35" spans="1:7" x14ac:dyDescent="0.25">
      <c r="A35" s="107" t="s">
        <v>24</v>
      </c>
      <c r="B35" s="96">
        <f>SUM(B33:B34)</f>
        <v>3009070913.8700008</v>
      </c>
      <c r="C35" s="96">
        <f>SUM(C33:C34)</f>
        <v>3009070913.8699965</v>
      </c>
      <c r="D35" s="96">
        <f>SUM(D33:D34)</f>
        <v>0</v>
      </c>
      <c r="E35" s="93">
        <f>D35/C35</f>
        <v>0</v>
      </c>
      <c r="F35" s="96">
        <f>SUM(F33:F34)</f>
        <v>0</v>
      </c>
      <c r="G35" s="93">
        <f>(D35-F35)/(C35-F35)</f>
        <v>0</v>
      </c>
    </row>
    <row r="36" spans="1:7" x14ac:dyDescent="0.25">
      <c r="A36" s="107"/>
      <c r="B36" s="107"/>
      <c r="C36" s="98"/>
      <c r="D36" s="98"/>
      <c r="E36" s="91"/>
      <c r="F36" s="98"/>
      <c r="G36" s="91"/>
    </row>
    <row r="37" spans="1:7" ht="26.25" thickBot="1" x14ac:dyDescent="0.3">
      <c r="A37" s="108" t="s">
        <v>88</v>
      </c>
      <c r="B37" s="105">
        <f>B35+B31</f>
        <v>3133743154.5300007</v>
      </c>
      <c r="C37" s="105">
        <f>C35+C31</f>
        <v>3133743154.5299964</v>
      </c>
      <c r="D37" s="105">
        <f>D35+D31</f>
        <v>0</v>
      </c>
      <c r="E37" s="104">
        <f>D37/C37</f>
        <v>0</v>
      </c>
      <c r="F37" s="105">
        <f>F35+F31</f>
        <v>0</v>
      </c>
      <c r="G37" s="104">
        <f>(D37-F37)/(C37-F37)</f>
        <v>0</v>
      </c>
    </row>
    <row r="38" spans="1:7" ht="15.75" thickBot="1" x14ac:dyDescent="0.3">
      <c r="A38" s="69"/>
      <c r="B38" s="69"/>
      <c r="C38" s="98"/>
      <c r="D38" s="98"/>
      <c r="E38" s="69"/>
      <c r="F38" s="98"/>
      <c r="G38" s="69"/>
    </row>
    <row r="39" spans="1:7" ht="26.25" thickBot="1" x14ac:dyDescent="0.3">
      <c r="A39" s="109" t="s">
        <v>89</v>
      </c>
      <c r="B39" s="110">
        <f>B37+B26</f>
        <v>15670678816.469999</v>
      </c>
      <c r="C39" s="110">
        <f>C37+C26</f>
        <v>15670678816.909811</v>
      </c>
      <c r="D39" s="110">
        <f>D37+D26</f>
        <v>8276570295.1064177</v>
      </c>
      <c r="E39" s="111">
        <f>D39/C39</f>
        <v>0.52815646289523788</v>
      </c>
      <c r="F39" s="110">
        <f>F37+F26</f>
        <v>4639782858.7372112</v>
      </c>
      <c r="G39" s="111">
        <f>(D39-F39)/(C39-F39)</f>
        <v>0.32969102873958062</v>
      </c>
    </row>
  </sheetData>
  <mergeCells count="6">
    <mergeCell ref="A28:E28"/>
    <mergeCell ref="A1:G1"/>
    <mergeCell ref="A2:G2"/>
    <mergeCell ref="A3:G3"/>
    <mergeCell ref="A5:G5"/>
    <mergeCell ref="A6:G6"/>
  </mergeCells>
  <conditionalFormatting sqref="C31:F31 G9:G10 G18:G23 C14:E14 C9:E10 C18:E23 C33:G34">
    <cfRule type="expression" dxfId="6" priority="7">
      <formula>$F$9="Current Year"</formula>
    </cfRule>
  </conditionalFormatting>
  <conditionalFormatting sqref="G14">
    <cfRule type="expression" dxfId="5" priority="6">
      <formula>$F$9="Current Year"</formula>
    </cfRule>
  </conditionalFormatting>
  <conditionalFormatting sqref="G31">
    <cfRule type="expression" dxfId="4" priority="5">
      <formula>$F$9="Current Year"</formula>
    </cfRule>
  </conditionalFormatting>
  <conditionalFormatting sqref="F9">
    <cfRule type="expression" dxfId="3" priority="4">
      <formula>$F$9="Current Year"</formula>
    </cfRule>
  </conditionalFormatting>
  <conditionalFormatting sqref="F18:F23">
    <cfRule type="expression" dxfId="2" priority="3">
      <formula>$F$9="Current Year"</formula>
    </cfRule>
  </conditionalFormatting>
  <conditionalFormatting sqref="F14">
    <cfRule type="expression" dxfId="1" priority="2">
      <formula>$F$9="Current Year"</formula>
    </cfRule>
  </conditionalFormatting>
  <conditionalFormatting sqref="F10">
    <cfRule type="expression" dxfId="0" priority="1">
      <formula>$F$9="Current Year"</formula>
    </cfRule>
  </conditionalFormatting>
  <pageMargins left="0.7" right="0.7" top="0.75" bottom="0.75" header="0.3" footer="0.3"/>
  <pageSetup scale="45" orientation="portrait" r:id="rId1"/>
  <headerFooter>
    <oddHeader>&amp;RTO2019 Annual Update
Attachment 5-TO13 True Up TRR
WP-TO13-Schedule 16
Page &amp;P of &amp;N</oddHeader>
  </headerFooter>
  <customProperties>
    <customPr name="_pios_id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M66"/>
  <sheetViews>
    <sheetView zoomScale="85" zoomScaleNormal="85" workbookViewId="0">
      <selection sqref="A1:M1"/>
    </sheetView>
  </sheetViews>
  <sheetFormatPr defaultRowHeight="15" x14ac:dyDescent="0.25"/>
  <cols>
    <col min="1" max="1" width="6.7109375" customWidth="1"/>
    <col min="2" max="2" width="14.28515625" bestFit="1" customWidth="1"/>
    <col min="3" max="6" width="14.7109375" customWidth="1"/>
    <col min="7" max="7" width="12.85546875" customWidth="1"/>
    <col min="8" max="8" width="11.28515625" customWidth="1"/>
    <col min="9" max="9" width="12.5703125" bestFit="1" customWidth="1"/>
    <col min="10" max="13" width="14.7109375" customWidth="1"/>
    <col min="16" max="16" width="12.5703125" bestFit="1" customWidth="1"/>
    <col min="17" max="20" width="15.140625" customWidth="1"/>
  </cols>
  <sheetData>
    <row r="1" spans="1:13" ht="18.75" x14ac:dyDescent="0.3">
      <c r="A1" s="195" t="s">
        <v>26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8.75" x14ac:dyDescent="0.3">
      <c r="A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</row>
    <row r="3" spans="1:13" x14ac:dyDescent="0.25">
      <c r="A3" s="196" t="s">
        <v>0</v>
      </c>
      <c r="B3" s="197"/>
      <c r="C3" s="197"/>
      <c r="D3" s="197"/>
      <c r="E3" s="197"/>
      <c r="F3" s="197"/>
      <c r="G3" s="197"/>
      <c r="H3" s="197"/>
      <c r="I3" s="197"/>
      <c r="J3" s="197"/>
      <c r="K3" s="197"/>
      <c r="L3" s="197"/>
      <c r="M3" s="198"/>
    </row>
    <row r="5" spans="1:13" x14ac:dyDescent="0.25">
      <c r="C5" s="192">
        <v>42705</v>
      </c>
      <c r="D5" s="193"/>
      <c r="E5" s="193"/>
      <c r="F5" s="194"/>
      <c r="J5" s="192">
        <v>43070</v>
      </c>
      <c r="K5" s="193"/>
      <c r="L5" s="193"/>
      <c r="M5" s="194"/>
    </row>
    <row r="7" spans="1:13" ht="105" customHeight="1" x14ac:dyDescent="0.25">
      <c r="A7" s="15"/>
      <c r="C7" s="7" t="s">
        <v>27</v>
      </c>
      <c r="D7" s="7" t="s">
        <v>28</v>
      </c>
      <c r="E7" s="7" t="s">
        <v>29</v>
      </c>
      <c r="F7" s="7" t="s">
        <v>30</v>
      </c>
      <c r="G7" s="15"/>
      <c r="H7" s="15"/>
      <c r="J7" s="7" t="s">
        <v>27</v>
      </c>
      <c r="K7" s="7" t="s">
        <v>28</v>
      </c>
      <c r="L7" s="7" t="s">
        <v>29</v>
      </c>
      <c r="M7" s="7" t="s">
        <v>30</v>
      </c>
    </row>
    <row r="8" spans="1:13" x14ac:dyDescent="0.25">
      <c r="A8" s="18">
        <v>350</v>
      </c>
      <c r="C8" s="9">
        <f>B53+B54</f>
        <v>6825977.3420024989</v>
      </c>
      <c r="D8" s="9">
        <f>+D53+D54</f>
        <v>-501927.75</v>
      </c>
      <c r="E8" s="9">
        <f t="shared" ref="E8:E16" si="0">F8-C8-D8</f>
        <v>19114703.137997501</v>
      </c>
      <c r="F8" s="9">
        <f>F53+F54</f>
        <v>25438752.73</v>
      </c>
      <c r="G8" s="17"/>
      <c r="H8" s="18">
        <v>350</v>
      </c>
      <c r="J8" s="9">
        <f>C53+C54</f>
        <v>8404803.791004831</v>
      </c>
      <c r="K8" s="9">
        <f>E53+E54</f>
        <v>-516214.36</v>
      </c>
      <c r="L8" s="9">
        <f>M8-J8-K8</f>
        <v>21061793.948995173</v>
      </c>
      <c r="M8" s="9">
        <f>G53+G54</f>
        <v>28950383.380000003</v>
      </c>
    </row>
    <row r="9" spans="1:13" x14ac:dyDescent="0.25">
      <c r="A9" s="18">
        <v>352</v>
      </c>
      <c r="C9" s="9">
        <f>B55</f>
        <v>25774570.972262766</v>
      </c>
      <c r="D9" s="9">
        <f>D55</f>
        <v>-1688100.6400000001</v>
      </c>
      <c r="E9" s="9">
        <f t="shared" si="0"/>
        <v>101260443.98635852</v>
      </c>
      <c r="F9" s="9">
        <f>F55</f>
        <v>125346914.31862129</v>
      </c>
      <c r="G9" s="17"/>
      <c r="H9" s="18">
        <v>352</v>
      </c>
      <c r="J9" s="9">
        <f>C55</f>
        <v>32707290.903695416</v>
      </c>
      <c r="K9" s="9">
        <f>E55</f>
        <v>-1496614.55</v>
      </c>
      <c r="L9" s="9">
        <f>M9-J9-K9</f>
        <v>122097258.01120776</v>
      </c>
      <c r="M9" s="9">
        <f>+G55</f>
        <v>153307934.36490318</v>
      </c>
    </row>
    <row r="10" spans="1:13" x14ac:dyDescent="0.25">
      <c r="A10" s="18">
        <v>353</v>
      </c>
      <c r="C10" s="9">
        <f t="shared" ref="C10:C16" si="1">B56</f>
        <v>122191684.66020004</v>
      </c>
      <c r="D10" s="9">
        <f t="shared" ref="D10:D16" si="2">D56</f>
        <v>33898698.229999997</v>
      </c>
      <c r="E10" s="9">
        <f t="shared" si="0"/>
        <v>596827800.15991831</v>
      </c>
      <c r="F10" s="9">
        <f t="shared" ref="F10:F16" si="3">F56</f>
        <v>752918183.05011833</v>
      </c>
      <c r="G10" s="17"/>
      <c r="H10" s="18">
        <v>353</v>
      </c>
      <c r="J10" s="9">
        <f t="shared" ref="J10:J16" si="4">C56</f>
        <v>150867307.46651769</v>
      </c>
      <c r="K10" s="9">
        <f t="shared" ref="K10:K16" si="5">E56</f>
        <v>27980601.109999999</v>
      </c>
      <c r="L10" s="9">
        <f t="shared" ref="L10:L16" si="6">M10-J10-K10</f>
        <v>724218703.67801154</v>
      </c>
      <c r="M10" s="9">
        <f t="shared" ref="M10:M16" si="7">+G56</f>
        <v>903066612.25452924</v>
      </c>
    </row>
    <row r="11" spans="1:13" x14ac:dyDescent="0.25">
      <c r="A11" s="18">
        <v>354</v>
      </c>
      <c r="C11" s="9">
        <f>B57</f>
        <v>138586485.11295712</v>
      </c>
      <c r="D11" s="9">
        <f t="shared" si="2"/>
        <v>4418873.16</v>
      </c>
      <c r="E11" s="9">
        <f t="shared" si="0"/>
        <v>370688448.19952387</v>
      </c>
      <c r="F11" s="9">
        <f t="shared" si="3"/>
        <v>513693806.47248101</v>
      </c>
      <c r="G11" s="17"/>
      <c r="H11" s="18">
        <v>354</v>
      </c>
      <c r="J11" s="9">
        <f t="shared" si="4"/>
        <v>181534241.91325101</v>
      </c>
      <c r="K11" s="9">
        <f t="shared" si="5"/>
        <v>6893743.96</v>
      </c>
      <c r="L11" s="9">
        <f t="shared" si="6"/>
        <v>357114196.09980613</v>
      </c>
      <c r="M11" s="9">
        <f t="shared" si="7"/>
        <v>545542181.97305715</v>
      </c>
    </row>
    <row r="12" spans="1:13" x14ac:dyDescent="0.25">
      <c r="A12" s="18">
        <v>355</v>
      </c>
      <c r="C12" s="9">
        <f t="shared" si="1"/>
        <v>16498585.567086834</v>
      </c>
      <c r="D12" s="9">
        <f t="shared" si="2"/>
        <v>3812464.8600000003</v>
      </c>
      <c r="E12" s="9">
        <f t="shared" si="0"/>
        <v>150323758.40443602</v>
      </c>
      <c r="F12" s="9">
        <f t="shared" si="3"/>
        <v>170634808.83152288</v>
      </c>
      <c r="G12" s="17"/>
      <c r="H12" s="18">
        <v>355</v>
      </c>
      <c r="J12" s="9">
        <f t="shared" si="4"/>
        <v>22101544.856296007</v>
      </c>
      <c r="K12" s="9">
        <f t="shared" si="5"/>
        <v>4533610.46</v>
      </c>
      <c r="L12" s="9">
        <f t="shared" si="6"/>
        <v>107266164.44981755</v>
      </c>
      <c r="M12" s="9">
        <f t="shared" si="7"/>
        <v>133901319.76611355</v>
      </c>
    </row>
    <row r="13" spans="1:13" x14ac:dyDescent="0.25">
      <c r="A13" s="18">
        <v>356</v>
      </c>
      <c r="C13" s="9">
        <f t="shared" si="1"/>
        <v>78974458.467809707</v>
      </c>
      <c r="D13" s="9">
        <f t="shared" si="2"/>
        <v>636223.6400000006</v>
      </c>
      <c r="E13" s="9">
        <f t="shared" si="0"/>
        <v>534133061.15643692</v>
      </c>
      <c r="F13" s="9">
        <f t="shared" si="3"/>
        <v>613743743.26424658</v>
      </c>
      <c r="G13" s="19"/>
      <c r="H13" s="18">
        <v>356</v>
      </c>
      <c r="J13" s="9">
        <f t="shared" si="4"/>
        <v>103951894.57644087</v>
      </c>
      <c r="K13" s="9">
        <f t="shared" si="5"/>
        <v>5014836.5199999996</v>
      </c>
      <c r="L13" s="9">
        <f t="shared" si="6"/>
        <v>509601358.52532667</v>
      </c>
      <c r="M13" s="9">
        <f t="shared" si="7"/>
        <v>618568089.62176752</v>
      </c>
    </row>
    <row r="14" spans="1:13" x14ac:dyDescent="0.25">
      <c r="A14" s="18">
        <v>357</v>
      </c>
      <c r="C14" s="9">
        <f t="shared" si="1"/>
        <v>746768.29838875006</v>
      </c>
      <c r="D14" s="9">
        <f t="shared" si="2"/>
        <v>30649.51</v>
      </c>
      <c r="E14" s="9">
        <f t="shared" si="0"/>
        <v>19094810.790376324</v>
      </c>
      <c r="F14" s="9">
        <f t="shared" si="3"/>
        <v>19872228.598765075</v>
      </c>
      <c r="G14" s="17"/>
      <c r="H14" s="18">
        <v>357</v>
      </c>
      <c r="J14" s="9">
        <f t="shared" si="4"/>
        <v>3840663.0705712512</v>
      </c>
      <c r="K14" s="9">
        <f t="shared" si="5"/>
        <v>-94787.98</v>
      </c>
      <c r="L14" s="9">
        <f>M14-J14-K14</f>
        <v>19694925.187362928</v>
      </c>
      <c r="M14" s="9">
        <f t="shared" si="7"/>
        <v>23440800.277934179</v>
      </c>
    </row>
    <row r="15" spans="1:13" x14ac:dyDescent="0.25">
      <c r="A15" s="18">
        <v>358</v>
      </c>
      <c r="C15" s="9">
        <f t="shared" si="1"/>
        <v>1915385.4720517492</v>
      </c>
      <c r="D15" s="9">
        <f t="shared" si="2"/>
        <v>294168.28999999998</v>
      </c>
      <c r="E15" s="9">
        <f t="shared" si="0"/>
        <v>95600713.039172962</v>
      </c>
      <c r="F15" s="9">
        <f t="shared" si="3"/>
        <v>97810266.801224723</v>
      </c>
      <c r="G15" s="17"/>
      <c r="H15" s="18">
        <v>358</v>
      </c>
      <c r="J15" s="9">
        <f t="shared" si="4"/>
        <v>5074145.4161744984</v>
      </c>
      <c r="K15" s="9">
        <f t="shared" si="5"/>
        <v>1276535.33</v>
      </c>
      <c r="L15" s="9">
        <f t="shared" si="6"/>
        <v>88362907.669857085</v>
      </c>
      <c r="M15" s="9">
        <f t="shared" si="7"/>
        <v>94713588.416031584</v>
      </c>
    </row>
    <row r="16" spans="1:13" x14ac:dyDescent="0.25">
      <c r="A16" s="18">
        <v>359</v>
      </c>
      <c r="C16" s="9">
        <f t="shared" si="1"/>
        <v>7373856.466038934</v>
      </c>
      <c r="D16" s="9">
        <f t="shared" si="2"/>
        <v>-73684.55</v>
      </c>
      <c r="E16" s="9">
        <f t="shared" si="0"/>
        <v>10820884.842452798</v>
      </c>
      <c r="F16" s="9">
        <f t="shared" si="3"/>
        <v>18121056.758491732</v>
      </c>
      <c r="G16" s="19"/>
      <c r="H16" s="18">
        <v>359</v>
      </c>
      <c r="J16" s="9">
        <f t="shared" si="4"/>
        <v>9603411.506787166</v>
      </c>
      <c r="K16" s="9">
        <f t="shared" si="5"/>
        <v>-17424.75</v>
      </c>
      <c r="L16" s="9">
        <f t="shared" si="6"/>
        <v>14459071.087159451</v>
      </c>
      <c r="M16" s="9">
        <f t="shared" si="7"/>
        <v>24045057.843946617</v>
      </c>
    </row>
    <row r="17" spans="1:13" x14ac:dyDescent="0.25">
      <c r="A17" s="18"/>
      <c r="B17" s="8" t="s">
        <v>11</v>
      </c>
      <c r="C17" s="10">
        <f>SUM(C8:C16)</f>
        <v>398887772.35879844</v>
      </c>
      <c r="D17" s="10">
        <f>SUM(D8:D16)</f>
        <v>40827364.75</v>
      </c>
      <c r="E17" s="10">
        <f>SUM(E8:E16)</f>
        <v>1897864623.7166734</v>
      </c>
      <c r="F17" s="10">
        <f>SUM(F8:F16)</f>
        <v>2337579760.8254714</v>
      </c>
      <c r="G17" s="15"/>
      <c r="H17" s="18"/>
      <c r="I17" s="8" t="s">
        <v>11</v>
      </c>
      <c r="J17" s="10">
        <f>SUM(J8:J16)</f>
        <v>518085303.50073874</v>
      </c>
      <c r="K17" s="10">
        <f t="shared" ref="K17:M17" si="8">SUM(K8:K16)</f>
        <v>43574285.740000002</v>
      </c>
      <c r="L17" s="10">
        <f t="shared" si="8"/>
        <v>1963876378.6575444</v>
      </c>
      <c r="M17" s="10">
        <f t="shared" si="8"/>
        <v>2525535967.8982825</v>
      </c>
    </row>
    <row r="18" spans="1:13" x14ac:dyDescent="0.25">
      <c r="A18" s="8"/>
      <c r="C18" s="9"/>
      <c r="D18" s="9"/>
      <c r="E18" s="9"/>
      <c r="F18" s="9"/>
      <c r="H18" s="8"/>
      <c r="J18" s="9"/>
      <c r="K18" s="9"/>
      <c r="L18" s="9"/>
      <c r="M18" s="9"/>
    </row>
    <row r="19" spans="1:13" x14ac:dyDescent="0.25">
      <c r="A19" s="8">
        <v>360</v>
      </c>
      <c r="C19" s="9">
        <f>B63+B64</f>
        <v>0</v>
      </c>
      <c r="D19" s="9">
        <f>D63+D64</f>
        <v>0</v>
      </c>
      <c r="E19" s="9">
        <f t="shared" ref="E19:E21" si="9">F19-C19-D19</f>
        <v>0</v>
      </c>
      <c r="F19" s="9">
        <f>F63+F64</f>
        <v>0</v>
      </c>
      <c r="H19" s="8">
        <v>360</v>
      </c>
      <c r="J19" s="9">
        <f>C63+C64</f>
        <v>0</v>
      </c>
      <c r="K19" s="9">
        <f>E63+E64</f>
        <v>0</v>
      </c>
      <c r="L19" s="9">
        <f>+M19-J19-K19</f>
        <v>0</v>
      </c>
      <c r="M19" s="9">
        <f>G63+G64</f>
        <v>0</v>
      </c>
    </row>
    <row r="20" spans="1:13" x14ac:dyDescent="0.25">
      <c r="A20" s="8">
        <v>361</v>
      </c>
      <c r="C20" s="9">
        <f>B65</f>
        <v>0</v>
      </c>
      <c r="D20" s="9">
        <f>D65</f>
        <v>0</v>
      </c>
      <c r="E20" s="9">
        <f t="shared" si="9"/>
        <v>0</v>
      </c>
      <c r="F20" s="9">
        <f>F65</f>
        <v>0</v>
      </c>
      <c r="H20" s="8">
        <v>361</v>
      </c>
      <c r="J20" s="9">
        <f>C65</f>
        <v>0</v>
      </c>
      <c r="K20" s="9">
        <f>E65</f>
        <v>0</v>
      </c>
      <c r="L20" s="9">
        <f t="shared" ref="L20:L21" si="10">+M20-J20-K20</f>
        <v>0</v>
      </c>
      <c r="M20" s="9">
        <f>G65</f>
        <v>0</v>
      </c>
    </row>
    <row r="21" spans="1:13" x14ac:dyDescent="0.25">
      <c r="A21" s="8">
        <v>362</v>
      </c>
      <c r="C21" s="9">
        <f>B66</f>
        <v>0</v>
      </c>
      <c r="D21" s="9">
        <f>D66</f>
        <v>0</v>
      </c>
      <c r="E21" s="9">
        <f t="shared" si="9"/>
        <v>0</v>
      </c>
      <c r="F21" s="9">
        <f>F66</f>
        <v>0</v>
      </c>
      <c r="G21" s="9"/>
      <c r="H21" s="8">
        <v>362</v>
      </c>
      <c r="J21" s="9">
        <f>C66</f>
        <v>0</v>
      </c>
      <c r="K21" s="9">
        <f>E66</f>
        <v>0</v>
      </c>
      <c r="L21" s="9">
        <f t="shared" si="10"/>
        <v>0</v>
      </c>
      <c r="M21" s="9">
        <f>G66</f>
        <v>0</v>
      </c>
    </row>
    <row r="22" spans="1:13" x14ac:dyDescent="0.25">
      <c r="B22" s="8" t="s">
        <v>21</v>
      </c>
      <c r="C22" s="10">
        <f>SUM(C19:C21)</f>
        <v>0</v>
      </c>
      <c r="D22" s="10">
        <f>SUM(D19:D21)</f>
        <v>0</v>
      </c>
      <c r="E22" s="10">
        <f>SUM(E19:E21)</f>
        <v>0</v>
      </c>
      <c r="F22" s="10">
        <f>SUM(F19:F21)</f>
        <v>0</v>
      </c>
      <c r="I22" s="8" t="s">
        <v>21</v>
      </c>
      <c r="J22" s="10">
        <f>SUM(J19:J21)</f>
        <v>0</v>
      </c>
      <c r="K22" s="10">
        <f>SUM(K19:K21)</f>
        <v>0</v>
      </c>
      <c r="L22" s="10">
        <f>SUM(L19:L21)</f>
        <v>0</v>
      </c>
      <c r="M22" s="10">
        <f>SUM(M19:M21)</f>
        <v>0</v>
      </c>
    </row>
    <row r="23" spans="1:13" x14ac:dyDescent="0.25">
      <c r="C23" s="9"/>
      <c r="D23" s="9"/>
      <c r="E23" s="9"/>
      <c r="F23" s="9"/>
      <c r="J23" s="9"/>
      <c r="K23" s="9"/>
      <c r="L23" s="9"/>
      <c r="M23" s="9"/>
    </row>
    <row r="24" spans="1:13" ht="15.75" thickBot="1" x14ac:dyDescent="0.3">
      <c r="B24" s="8" t="s">
        <v>2</v>
      </c>
      <c r="C24" s="11">
        <f>C17+C22</f>
        <v>398887772.35879844</v>
      </c>
      <c r="D24" s="11">
        <f>D17+D22</f>
        <v>40827364.75</v>
      </c>
      <c r="E24" s="11">
        <f>E17+E22</f>
        <v>1897864623.7166734</v>
      </c>
      <c r="F24" s="11">
        <f>F17+F22</f>
        <v>2337579760.8254714</v>
      </c>
      <c r="I24" s="8" t="s">
        <v>2</v>
      </c>
      <c r="J24" s="11">
        <f>J17+J22</f>
        <v>518085303.50073874</v>
      </c>
      <c r="K24" s="11">
        <f>K17+K22</f>
        <v>43574285.740000002</v>
      </c>
      <c r="L24" s="11">
        <f>L17+L22</f>
        <v>1963876378.6575444</v>
      </c>
      <c r="M24" s="11">
        <f>M17+M22</f>
        <v>2525535967.8982825</v>
      </c>
    </row>
    <row r="25" spans="1:13" ht="15.75" thickTop="1" x14ac:dyDescent="0.25">
      <c r="A25" s="8"/>
      <c r="J25" s="9"/>
      <c r="K25" s="9"/>
      <c r="L25" s="9"/>
      <c r="M25" s="9"/>
    </row>
    <row r="26" spans="1:13" x14ac:dyDescent="0.25">
      <c r="A26" s="196" t="s">
        <v>1</v>
      </c>
      <c r="B26" s="197"/>
      <c r="C26" s="197"/>
      <c r="D26" s="197"/>
      <c r="E26" s="197"/>
      <c r="F26" s="197"/>
      <c r="G26" s="197"/>
      <c r="H26" s="197"/>
      <c r="I26" s="197"/>
      <c r="J26" s="197"/>
      <c r="K26" s="197"/>
      <c r="L26" s="197"/>
      <c r="M26" s="198"/>
    </row>
    <row r="28" spans="1:13" x14ac:dyDescent="0.25">
      <c r="C28" s="192">
        <f>C5</f>
        <v>42705</v>
      </c>
      <c r="D28" s="193"/>
      <c r="E28" s="193"/>
      <c r="F28" s="194"/>
      <c r="I28" s="192">
        <f>J5</f>
        <v>43070</v>
      </c>
      <c r="J28" s="193"/>
      <c r="K28" s="193"/>
      <c r="L28" s="194"/>
    </row>
    <row r="30" spans="1:13" ht="105" customHeight="1" x14ac:dyDescent="0.25">
      <c r="B30" s="7" t="s">
        <v>31</v>
      </c>
      <c r="C30" s="7" t="s">
        <v>27</v>
      </c>
      <c r="D30" s="7" t="s">
        <v>28</v>
      </c>
      <c r="E30" s="7" t="s">
        <v>29</v>
      </c>
      <c r="F30" s="7" t="s">
        <v>30</v>
      </c>
      <c r="I30" s="7" t="s">
        <v>31</v>
      </c>
      <c r="J30" s="7" t="s">
        <v>27</v>
      </c>
      <c r="K30" s="7" t="s">
        <v>28</v>
      </c>
      <c r="L30" s="7" t="s">
        <v>29</v>
      </c>
      <c r="M30" s="7" t="s">
        <v>30</v>
      </c>
    </row>
    <row r="31" spans="1:13" x14ac:dyDescent="0.25">
      <c r="A31">
        <f t="shared" ref="A31:A39" si="11">A8</f>
        <v>350</v>
      </c>
      <c r="B31" s="12">
        <f>'2016 ISO Study with Inc Plant'!G14</f>
        <v>0.61501815233817103</v>
      </c>
      <c r="C31" s="9">
        <f>C8</f>
        <v>6825977.3420024989</v>
      </c>
      <c r="D31" s="9">
        <f t="shared" ref="C31:D39" si="12">D8</f>
        <v>-501927.75</v>
      </c>
      <c r="E31" s="9">
        <f>E8*B31</f>
        <v>11755889.406423863</v>
      </c>
      <c r="F31" s="9">
        <f t="shared" ref="F31:F44" si="13">SUM(C31:E31)</f>
        <v>18079938.998426363</v>
      </c>
      <c r="G31" s="3"/>
      <c r="H31">
        <f t="shared" ref="H31:H39" si="14">H8</f>
        <v>350</v>
      </c>
      <c r="I31" s="12">
        <f>'2017 ISO Study with Inc Plant'!G14</f>
        <v>0.60214157746192098</v>
      </c>
      <c r="J31" s="9">
        <f>J8</f>
        <v>8404803.791004831</v>
      </c>
      <c r="K31" s="9">
        <f t="shared" ref="J31:K39" si="15">K8</f>
        <v>-516214.36</v>
      </c>
      <c r="L31" s="9">
        <f>L8*I31</f>
        <v>12682181.832625896</v>
      </c>
      <c r="M31" s="9">
        <f t="shared" ref="M31:M39" si="16">SUM(J31:L31)</f>
        <v>20570771.263630725</v>
      </c>
    </row>
    <row r="32" spans="1:13" x14ac:dyDescent="0.25">
      <c r="A32">
        <f t="shared" si="11"/>
        <v>352</v>
      </c>
      <c r="B32" s="12">
        <f>'2016 ISO Study with Inc Plant'!G9</f>
        <v>0.47574166648311139</v>
      </c>
      <c r="C32" s="9">
        <f t="shared" si="12"/>
        <v>25774570.972262766</v>
      </c>
      <c r="D32" s="9">
        <f t="shared" si="12"/>
        <v>-1688100.6400000001</v>
      </c>
      <c r="E32" s="9">
        <f t="shared" ref="E32:E39" si="17">E9*B32</f>
        <v>48173812.370889962</v>
      </c>
      <c r="F32" s="9">
        <f t="shared" si="13"/>
        <v>72260282.703152731</v>
      </c>
      <c r="G32" s="3"/>
      <c r="H32">
        <f t="shared" si="14"/>
        <v>352</v>
      </c>
      <c r="I32" s="12">
        <f>'2017 ISO Study with Inc Plant'!G9</f>
        <v>0.48897235198497901</v>
      </c>
      <c r="J32" s="9">
        <f t="shared" si="15"/>
        <v>32707290.903695416</v>
      </c>
      <c r="K32" s="9">
        <f t="shared" si="15"/>
        <v>-1496614.55</v>
      </c>
      <c r="L32" s="9">
        <f t="shared" ref="L32:L39" si="18">L9*I32</f>
        <v>59702183.420657076</v>
      </c>
      <c r="M32" s="9">
        <f t="shared" si="16"/>
        <v>90912859.774352491</v>
      </c>
    </row>
    <row r="33" spans="1:13" x14ac:dyDescent="0.25">
      <c r="A33">
        <f t="shared" si="11"/>
        <v>353</v>
      </c>
      <c r="B33" s="12">
        <f>'2016 ISO Study with Inc Plant'!G10</f>
        <v>0.47511634817412746</v>
      </c>
      <c r="C33" s="9">
        <f t="shared" si="12"/>
        <v>122191684.66020004</v>
      </c>
      <c r="D33" s="9">
        <f t="shared" si="12"/>
        <v>33898698.229999997</v>
      </c>
      <c r="E33" s="9">
        <f t="shared" si="17"/>
        <v>283562644.90077829</v>
      </c>
      <c r="F33" s="9">
        <f t="shared" si="13"/>
        <v>439653027.79097831</v>
      </c>
      <c r="G33" s="3"/>
      <c r="H33">
        <f t="shared" si="14"/>
        <v>353</v>
      </c>
      <c r="I33" s="12">
        <f>'2017 ISO Study with Inc Plant'!G10</f>
        <v>0.47248408945880127</v>
      </c>
      <c r="J33" s="9">
        <f t="shared" si="15"/>
        <v>150867307.46651769</v>
      </c>
      <c r="K33" s="9">
        <f t="shared" si="15"/>
        <v>27980601.109999999</v>
      </c>
      <c r="L33" s="9">
        <f t="shared" si="18"/>
        <v>342181814.7763387</v>
      </c>
      <c r="M33" s="9">
        <f t="shared" si="16"/>
        <v>521029723.3528564</v>
      </c>
    </row>
    <row r="34" spans="1:13" x14ac:dyDescent="0.25">
      <c r="A34">
        <f t="shared" si="11"/>
        <v>354</v>
      </c>
      <c r="B34" s="12">
        <f>'2016 ISO Study with Inc Plant'!G18</f>
        <v>0.86959344115185921</v>
      </c>
      <c r="C34" s="9">
        <f t="shared" si="12"/>
        <v>138586485.11295712</v>
      </c>
      <c r="D34" s="9">
        <f t="shared" si="12"/>
        <v>4418873.16</v>
      </c>
      <c r="E34" s="9">
        <f t="shared" si="17"/>
        <v>322348243.26506668</v>
      </c>
      <c r="F34" s="9">
        <f t="shared" si="13"/>
        <v>465353601.53802383</v>
      </c>
      <c r="G34" s="3"/>
      <c r="H34">
        <f t="shared" si="14"/>
        <v>354</v>
      </c>
      <c r="I34" s="12">
        <f>'2017 ISO Study with Inc Plant'!G18</f>
        <v>0.89709409651267757</v>
      </c>
      <c r="J34" s="9">
        <f t="shared" si="15"/>
        <v>181534241.91325101</v>
      </c>
      <c r="K34" s="9">
        <f t="shared" si="15"/>
        <v>6893743.96</v>
      </c>
      <c r="L34" s="9">
        <f t="shared" si="18"/>
        <v>320365037.10200673</v>
      </c>
      <c r="M34" s="9">
        <f t="shared" si="16"/>
        <v>508793022.97525775</v>
      </c>
    </row>
    <row r="35" spans="1:13" x14ac:dyDescent="0.25">
      <c r="A35">
        <f t="shared" si="11"/>
        <v>355</v>
      </c>
      <c r="B35" s="12">
        <f>'2016 ISO Study with Inc Plant'!G19</f>
        <v>0.17128191773960449</v>
      </c>
      <c r="C35" s="9">
        <f t="shared" si="12"/>
        <v>16498585.567086834</v>
      </c>
      <c r="D35" s="9">
        <f t="shared" si="12"/>
        <v>3812464.8600000003</v>
      </c>
      <c r="E35" s="9">
        <f t="shared" si="17"/>
        <v>25747741.621336792</v>
      </c>
      <c r="F35" s="9">
        <f t="shared" si="13"/>
        <v>46058792.048423626</v>
      </c>
      <c r="G35" s="3"/>
      <c r="H35">
        <f t="shared" si="14"/>
        <v>355</v>
      </c>
      <c r="I35" s="12">
        <f>'2017 ISO Study with Inc Plant'!G19</f>
        <v>0.18447000861454613</v>
      </c>
      <c r="J35" s="9">
        <f t="shared" si="15"/>
        <v>22101544.856296007</v>
      </c>
      <c r="K35" s="9">
        <f t="shared" si="15"/>
        <v>4533610.46</v>
      </c>
      <c r="L35" s="9">
        <f>L12*I35</f>
        <v>19787390.280107167</v>
      </c>
      <c r="M35" s="9">
        <f t="shared" si="16"/>
        <v>46422545.596403174</v>
      </c>
    </row>
    <row r="36" spans="1:13" x14ac:dyDescent="0.25">
      <c r="A36">
        <f t="shared" si="11"/>
        <v>356</v>
      </c>
      <c r="B36" s="12">
        <f>'2016 ISO Study with Inc Plant'!G20</f>
        <v>0.61431816914753534</v>
      </c>
      <c r="C36" s="9">
        <f t="shared" si="12"/>
        <v>78974458.467809707</v>
      </c>
      <c r="D36" s="9">
        <f t="shared" si="12"/>
        <v>636223.6400000006</v>
      </c>
      <c r="E36" s="9">
        <f t="shared" si="17"/>
        <v>328127644.21079087</v>
      </c>
      <c r="F36" s="9">
        <f t="shared" si="13"/>
        <v>407738326.31860059</v>
      </c>
      <c r="G36" s="3"/>
      <c r="H36">
        <f t="shared" si="14"/>
        <v>356</v>
      </c>
      <c r="I36" s="12">
        <f>'2017 ISO Study with Inc Plant'!G20</f>
        <v>0.60553231525193718</v>
      </c>
      <c r="J36" s="9">
        <f t="shared" si="15"/>
        <v>103951894.57644087</v>
      </c>
      <c r="K36" s="9">
        <f t="shared" si="15"/>
        <v>5014836.5199999996</v>
      </c>
      <c r="L36" s="9">
        <f t="shared" si="18"/>
        <v>308580090.48337358</v>
      </c>
      <c r="M36" s="9">
        <f t="shared" si="16"/>
        <v>417546821.57981443</v>
      </c>
    </row>
    <row r="37" spans="1:13" x14ac:dyDescent="0.25">
      <c r="A37">
        <f t="shared" si="11"/>
        <v>357</v>
      </c>
      <c r="B37" s="12">
        <f>'2016 ISO Study with Inc Plant'!G21</f>
        <v>3.2595683066170881E-3</v>
      </c>
      <c r="C37" s="9">
        <f t="shared" si="12"/>
        <v>746768.29838875006</v>
      </c>
      <c r="D37" s="9">
        <f t="shared" si="12"/>
        <v>30649.51</v>
      </c>
      <c r="E37" s="9">
        <f t="shared" si="17"/>
        <v>62240.840073160653</v>
      </c>
      <c r="F37" s="9">
        <f t="shared" si="13"/>
        <v>839658.64846191066</v>
      </c>
      <c r="G37" s="3"/>
      <c r="H37">
        <f t="shared" si="14"/>
        <v>357</v>
      </c>
      <c r="I37" s="12">
        <f>'2017 ISO Study with Inc Plant'!G21</f>
        <v>4.2875506171766676E-3</v>
      </c>
      <c r="J37" s="9">
        <f t="shared" si="15"/>
        <v>3840663.0705712512</v>
      </c>
      <c r="K37" s="9">
        <f t="shared" si="15"/>
        <v>-94787.98</v>
      </c>
      <c r="L37" s="9">
        <f t="shared" si="18"/>
        <v>84442.988642326221</v>
      </c>
      <c r="M37" s="9">
        <f t="shared" si="16"/>
        <v>3830318.0792135773</v>
      </c>
    </row>
    <row r="38" spans="1:13" x14ac:dyDescent="0.25">
      <c r="A38">
        <f t="shared" si="11"/>
        <v>358</v>
      </c>
      <c r="B38" s="12">
        <f>'2016 ISO Study with Inc Plant'!G22</f>
        <v>7.1814723871002784E-3</v>
      </c>
      <c r="C38" s="9">
        <f t="shared" si="12"/>
        <v>1915385.4720517492</v>
      </c>
      <c r="D38" s="9">
        <f t="shared" si="12"/>
        <v>294168.28999999998</v>
      </c>
      <c r="E38" s="9">
        <f t="shared" si="17"/>
        <v>686553.88087791821</v>
      </c>
      <c r="F38" s="9">
        <f t="shared" si="13"/>
        <v>2896107.6429296671</v>
      </c>
      <c r="G38" s="3"/>
      <c r="H38">
        <f t="shared" si="14"/>
        <v>358</v>
      </c>
      <c r="I38" s="12">
        <f>'2017 ISO Study with Inc Plant'!G22</f>
        <v>7.1443060615992713E-3</v>
      </c>
      <c r="J38" s="9">
        <f t="shared" si="15"/>
        <v>5074145.4161744984</v>
      </c>
      <c r="K38" s="9">
        <f t="shared" si="15"/>
        <v>1276535.33</v>
      </c>
      <c r="L38" s="9">
        <f t="shared" si="18"/>
        <v>631291.6568862967</v>
      </c>
      <c r="M38" s="9">
        <f t="shared" si="16"/>
        <v>6981972.4030607948</v>
      </c>
    </row>
    <row r="39" spans="1:13" x14ac:dyDescent="0.25">
      <c r="A39">
        <f t="shared" si="11"/>
        <v>359</v>
      </c>
      <c r="B39" s="12">
        <f>'2016 ISO Study with Inc Plant'!G23</f>
        <v>0.70332976877443776</v>
      </c>
      <c r="C39" s="9">
        <f t="shared" si="12"/>
        <v>7373856.466038934</v>
      </c>
      <c r="D39" s="9">
        <f t="shared" si="12"/>
        <v>-73684.55</v>
      </c>
      <c r="E39" s="9">
        <f t="shared" si="17"/>
        <v>7610650.4341771444</v>
      </c>
      <c r="F39" s="9">
        <f t="shared" si="13"/>
        <v>14910822.35021608</v>
      </c>
      <c r="G39" s="3"/>
      <c r="H39">
        <f t="shared" si="14"/>
        <v>359</v>
      </c>
      <c r="I39" s="12">
        <f>'2017 ISO Study with Inc Plant'!G23</f>
        <v>0.55349840982903742</v>
      </c>
      <c r="J39" s="9">
        <f t="shared" si="15"/>
        <v>9603411.506787166</v>
      </c>
      <c r="K39" s="9">
        <f t="shared" si="15"/>
        <v>-17424.75</v>
      </c>
      <c r="L39" s="9">
        <f t="shared" si="18"/>
        <v>8003072.8543477673</v>
      </c>
      <c r="M39" s="9">
        <f t="shared" si="16"/>
        <v>17589059.611134931</v>
      </c>
    </row>
    <row r="40" spans="1:13" x14ac:dyDescent="0.25">
      <c r="B40" s="8" t="s">
        <v>11</v>
      </c>
      <c r="C40" s="10">
        <f>SUM(C31:C39)</f>
        <v>398887772.35879844</v>
      </c>
      <c r="D40" s="10">
        <f>SUM(D31:D39)</f>
        <v>40827364.75</v>
      </c>
      <c r="E40" s="10">
        <f>SUM(E31:E39)</f>
        <v>1028075420.9304148</v>
      </c>
      <c r="F40" s="10">
        <f>SUM(F31:F39)</f>
        <v>1467790558.0392129</v>
      </c>
      <c r="G40" s="9"/>
      <c r="I40" s="8" t="s">
        <v>11</v>
      </c>
      <c r="J40" s="10">
        <f>SUM(J31:J39)</f>
        <v>518085303.50073874</v>
      </c>
      <c r="K40" s="10">
        <f>SUM(K31:K39)</f>
        <v>43574285.740000002</v>
      </c>
      <c r="L40" s="10">
        <f>SUM(L31:L39)</f>
        <v>1072017505.3949857</v>
      </c>
      <c r="M40" s="10">
        <f>SUM(M31:M39)</f>
        <v>1633677094.6357245</v>
      </c>
    </row>
    <row r="41" spans="1:13" x14ac:dyDescent="0.25">
      <c r="B41" s="12"/>
      <c r="C41" s="9"/>
      <c r="D41" s="9"/>
      <c r="E41" s="9"/>
      <c r="F41" s="9"/>
      <c r="I41" s="12"/>
      <c r="J41" s="9"/>
      <c r="K41" s="9"/>
      <c r="L41" s="9"/>
      <c r="M41" s="9"/>
    </row>
    <row r="42" spans="1:13" x14ac:dyDescent="0.25">
      <c r="A42">
        <f>A19</f>
        <v>360</v>
      </c>
      <c r="B42" s="12">
        <f>'2016 ISO Study with Inc Plant'!G31</f>
        <v>0</v>
      </c>
      <c r="C42" s="9">
        <f t="shared" ref="C42:D44" si="19">C19</f>
        <v>0</v>
      </c>
      <c r="D42" s="9">
        <f t="shared" si="19"/>
        <v>0</v>
      </c>
      <c r="E42" s="9">
        <f>E19*B42</f>
        <v>0</v>
      </c>
      <c r="F42" s="9">
        <f t="shared" si="13"/>
        <v>0</v>
      </c>
      <c r="G42" s="12"/>
      <c r="H42">
        <f>H19</f>
        <v>360</v>
      </c>
      <c r="I42" s="12">
        <f>'2017 ISO Study with Inc Plant'!G31</f>
        <v>0</v>
      </c>
      <c r="J42" s="9">
        <f t="shared" ref="J42:K44" si="20">J19</f>
        <v>0</v>
      </c>
      <c r="K42" s="9">
        <f t="shared" si="20"/>
        <v>0</v>
      </c>
      <c r="L42" s="9">
        <f>L19*I42</f>
        <v>0</v>
      </c>
      <c r="M42" s="9">
        <f t="shared" ref="M42:M44" si="21">SUM(J42:L42)</f>
        <v>0</v>
      </c>
    </row>
    <row r="43" spans="1:13" x14ac:dyDescent="0.25">
      <c r="A43">
        <f>A20</f>
        <v>361</v>
      </c>
      <c r="B43" s="12">
        <f>'2016 ISO Study with Inc Plant'!G33</f>
        <v>0</v>
      </c>
      <c r="C43" s="9">
        <f t="shared" si="19"/>
        <v>0</v>
      </c>
      <c r="D43" s="9">
        <f t="shared" si="19"/>
        <v>0</v>
      </c>
      <c r="E43" s="9">
        <f>E20*B43</f>
        <v>0</v>
      </c>
      <c r="F43" s="9">
        <f t="shared" si="13"/>
        <v>0</v>
      </c>
      <c r="G43" s="12"/>
      <c r="H43">
        <f>H20</f>
        <v>361</v>
      </c>
      <c r="I43" s="12">
        <f>'2017 ISO Study with Inc Plant'!G33</f>
        <v>0</v>
      </c>
      <c r="J43" s="9">
        <f t="shared" si="20"/>
        <v>0</v>
      </c>
      <c r="K43" s="9">
        <f t="shared" si="20"/>
        <v>0</v>
      </c>
      <c r="L43" s="9">
        <f>L20*I43</f>
        <v>0</v>
      </c>
      <c r="M43" s="9">
        <f t="shared" si="21"/>
        <v>0</v>
      </c>
    </row>
    <row r="44" spans="1:13" x14ac:dyDescent="0.25">
      <c r="A44">
        <f>A21</f>
        <v>362</v>
      </c>
      <c r="B44" s="12">
        <f>'2016 ISO Study with Inc Plant'!G34</f>
        <v>0</v>
      </c>
      <c r="C44" s="9">
        <f t="shared" si="19"/>
        <v>0</v>
      </c>
      <c r="D44" s="9">
        <f t="shared" si="19"/>
        <v>0</v>
      </c>
      <c r="E44" s="9">
        <f>E21*B44</f>
        <v>0</v>
      </c>
      <c r="F44" s="9">
        <f t="shared" si="13"/>
        <v>0</v>
      </c>
      <c r="G44" s="12"/>
      <c r="H44">
        <f>H21</f>
        <v>362</v>
      </c>
      <c r="I44" s="12">
        <f>'2017 ISO Study with Inc Plant'!G34</f>
        <v>0</v>
      </c>
      <c r="J44" s="9">
        <f t="shared" si="20"/>
        <v>0</v>
      </c>
      <c r="K44" s="9">
        <f t="shared" si="20"/>
        <v>0</v>
      </c>
      <c r="L44" s="9">
        <f>L21*I44</f>
        <v>0</v>
      </c>
      <c r="M44" s="9">
        <f t="shared" si="21"/>
        <v>0</v>
      </c>
    </row>
    <row r="45" spans="1:13" x14ac:dyDescent="0.25">
      <c r="B45" s="8" t="s">
        <v>21</v>
      </c>
      <c r="C45" s="10">
        <f>SUM(C42:C44)</f>
        <v>0</v>
      </c>
      <c r="D45" s="10">
        <f>SUM(D42:D44)</f>
        <v>0</v>
      </c>
      <c r="E45" s="10">
        <f>SUM(E42:E44)</f>
        <v>0</v>
      </c>
      <c r="F45" s="10">
        <f>SUM(F42:F44)</f>
        <v>0</v>
      </c>
      <c r="I45" s="8" t="s">
        <v>21</v>
      </c>
      <c r="J45" s="10">
        <f>SUM(J42:J44)</f>
        <v>0</v>
      </c>
      <c r="K45" s="10">
        <f>SUM(K42:K44)</f>
        <v>0</v>
      </c>
      <c r="L45" s="10">
        <f>SUM(L42:L44)</f>
        <v>0</v>
      </c>
      <c r="M45" s="10">
        <f>SUM(M42:M44)</f>
        <v>0</v>
      </c>
    </row>
    <row r="46" spans="1:13" x14ac:dyDescent="0.25">
      <c r="B46" s="8"/>
      <c r="C46" s="9"/>
      <c r="D46" s="9"/>
      <c r="E46" s="9"/>
      <c r="F46" s="9"/>
      <c r="I46" s="8"/>
      <c r="J46" s="9"/>
      <c r="K46" s="9"/>
      <c r="L46" s="9"/>
      <c r="M46" s="9"/>
    </row>
    <row r="47" spans="1:13" ht="15.75" thickBot="1" x14ac:dyDescent="0.3">
      <c r="B47" s="8" t="s">
        <v>2</v>
      </c>
      <c r="C47" s="11">
        <f>C45+C40</f>
        <v>398887772.35879844</v>
      </c>
      <c r="D47" s="11">
        <f t="shared" ref="D47:F47" si="22">D45+D40</f>
        <v>40827364.75</v>
      </c>
      <c r="E47" s="11">
        <f t="shared" si="22"/>
        <v>1028075420.9304148</v>
      </c>
      <c r="F47" s="11">
        <f t="shared" si="22"/>
        <v>1467790558.0392129</v>
      </c>
      <c r="I47" s="8" t="s">
        <v>2</v>
      </c>
      <c r="J47" s="11">
        <f>J45+J40</f>
        <v>518085303.50073874</v>
      </c>
      <c r="K47" s="11">
        <f t="shared" ref="K47:M47" si="23">K45+K40</f>
        <v>43574285.740000002</v>
      </c>
      <c r="L47" s="11">
        <f t="shared" si="23"/>
        <v>1072017505.3949857</v>
      </c>
      <c r="M47" s="11">
        <f t="shared" si="23"/>
        <v>1633677094.6357245</v>
      </c>
    </row>
    <row r="48" spans="1:13" ht="15.75" thickTop="1" x14ac:dyDescent="0.25">
      <c r="I48" s="8"/>
      <c r="J48" s="9"/>
      <c r="K48" s="9"/>
      <c r="L48" s="9"/>
      <c r="M48" s="9"/>
    </row>
    <row r="50" spans="1:7" ht="16.5" customHeight="1" thickBot="1" x14ac:dyDescent="0.3"/>
    <row r="51" spans="1:7" ht="15.75" thickBot="1" x14ac:dyDescent="0.3">
      <c r="B51" s="190" t="s">
        <v>102</v>
      </c>
      <c r="C51" s="191"/>
      <c r="D51" s="190" t="s">
        <v>103</v>
      </c>
      <c r="E51" s="191"/>
      <c r="F51" s="190" t="s">
        <v>30</v>
      </c>
      <c r="G51" s="191"/>
    </row>
    <row r="52" spans="1:7" ht="15.75" thickBot="1" x14ac:dyDescent="0.3">
      <c r="B52" s="127">
        <f>C28</f>
        <v>42705</v>
      </c>
      <c r="C52" s="128">
        <f>I28</f>
        <v>43070</v>
      </c>
      <c r="D52" s="129">
        <f>C28</f>
        <v>42705</v>
      </c>
      <c r="E52" s="128">
        <f>I28</f>
        <v>43070</v>
      </c>
      <c r="F52" s="129">
        <f>C28</f>
        <v>42705</v>
      </c>
      <c r="G52" s="128">
        <f>I28</f>
        <v>43070</v>
      </c>
    </row>
    <row r="53" spans="1:7" x14ac:dyDescent="0.25">
      <c r="A53" s="131">
        <v>350.1</v>
      </c>
      <c r="B53" s="176">
        <v>0</v>
      </c>
      <c r="C53" s="177">
        <v>0</v>
      </c>
      <c r="D53" s="178">
        <v>0</v>
      </c>
      <c r="E53" s="179">
        <v>0</v>
      </c>
      <c r="F53" s="178">
        <v>484055.82</v>
      </c>
      <c r="G53" s="179">
        <v>270</v>
      </c>
    </row>
    <row r="54" spans="1:7" x14ac:dyDescent="0.25">
      <c r="A54" s="131">
        <v>350.2</v>
      </c>
      <c r="B54" s="176">
        <v>6825977.3420024989</v>
      </c>
      <c r="C54" s="177">
        <v>8404803.791004831</v>
      </c>
      <c r="D54" s="176">
        <v>-501927.75</v>
      </c>
      <c r="E54" s="177">
        <v>-516214.36</v>
      </c>
      <c r="F54" s="176">
        <v>24954696.91</v>
      </c>
      <c r="G54" s="177">
        <v>28950113.380000003</v>
      </c>
    </row>
    <row r="55" spans="1:7" x14ac:dyDescent="0.25">
      <c r="A55" s="131">
        <v>352</v>
      </c>
      <c r="B55" s="176">
        <v>25774570.972262766</v>
      </c>
      <c r="C55" s="177">
        <v>32707290.903695416</v>
      </c>
      <c r="D55" s="176">
        <v>-1688100.6400000001</v>
      </c>
      <c r="E55" s="177">
        <v>-1496614.55</v>
      </c>
      <c r="F55" s="176">
        <v>125346914.31862129</v>
      </c>
      <c r="G55" s="177">
        <v>153307934.36490318</v>
      </c>
    </row>
    <row r="56" spans="1:7" x14ac:dyDescent="0.25">
      <c r="A56" s="131">
        <v>353</v>
      </c>
      <c r="B56" s="176">
        <v>122191684.66020004</v>
      </c>
      <c r="C56" s="177">
        <v>150867307.46651769</v>
      </c>
      <c r="D56" s="176">
        <v>33898698.229999997</v>
      </c>
      <c r="E56" s="177">
        <v>27980601.109999999</v>
      </c>
      <c r="F56" s="176">
        <v>752918183.05011833</v>
      </c>
      <c r="G56" s="177">
        <v>903066612.25452924</v>
      </c>
    </row>
    <row r="57" spans="1:7" x14ac:dyDescent="0.25">
      <c r="A57" s="131">
        <v>354</v>
      </c>
      <c r="B57" s="176">
        <v>138586485.11295712</v>
      </c>
      <c r="C57" s="177">
        <v>181534241.91325101</v>
      </c>
      <c r="D57" s="176">
        <v>4418873.16</v>
      </c>
      <c r="E57" s="177">
        <v>6893743.96</v>
      </c>
      <c r="F57" s="176">
        <v>513693806.47248101</v>
      </c>
      <c r="G57" s="177">
        <v>545542181.97305715</v>
      </c>
    </row>
    <row r="58" spans="1:7" x14ac:dyDescent="0.25">
      <c r="A58" s="131">
        <v>355</v>
      </c>
      <c r="B58" s="176">
        <v>16498585.567086834</v>
      </c>
      <c r="C58" s="177">
        <v>22101544.856296007</v>
      </c>
      <c r="D58" s="176">
        <v>3812464.8600000003</v>
      </c>
      <c r="E58" s="177">
        <v>4533610.46</v>
      </c>
      <c r="F58" s="176">
        <v>170634808.83152288</v>
      </c>
      <c r="G58" s="177">
        <v>133901319.76611355</v>
      </c>
    </row>
    <row r="59" spans="1:7" x14ac:dyDescent="0.25">
      <c r="A59" s="131">
        <v>356</v>
      </c>
      <c r="B59" s="176">
        <v>78974458.467809707</v>
      </c>
      <c r="C59" s="177">
        <v>103951894.57644087</v>
      </c>
      <c r="D59" s="176">
        <v>636223.6400000006</v>
      </c>
      <c r="E59" s="177">
        <v>5014836.5199999996</v>
      </c>
      <c r="F59" s="176">
        <v>613743743.26424658</v>
      </c>
      <c r="G59" s="177">
        <v>618568089.62176752</v>
      </c>
    </row>
    <row r="60" spans="1:7" x14ac:dyDescent="0.25">
      <c r="A60" s="131">
        <v>357</v>
      </c>
      <c r="B60" s="176">
        <v>746768.29838875006</v>
      </c>
      <c r="C60" s="177">
        <v>3840663.0705712512</v>
      </c>
      <c r="D60" s="176">
        <v>30649.51</v>
      </c>
      <c r="E60" s="177">
        <v>-94787.98</v>
      </c>
      <c r="F60" s="176">
        <v>19872228.598765075</v>
      </c>
      <c r="G60" s="177">
        <v>23440800.277934179</v>
      </c>
    </row>
    <row r="61" spans="1:7" x14ac:dyDescent="0.25">
      <c r="A61" s="131">
        <v>358</v>
      </c>
      <c r="B61" s="176">
        <v>1915385.4720517492</v>
      </c>
      <c r="C61" s="177">
        <v>5074145.4161744984</v>
      </c>
      <c r="D61" s="176">
        <v>294168.28999999998</v>
      </c>
      <c r="E61" s="177">
        <v>1276535.33</v>
      </c>
      <c r="F61" s="176">
        <v>97810266.801224723</v>
      </c>
      <c r="G61" s="177">
        <v>94713588.416031584</v>
      </c>
    </row>
    <row r="62" spans="1:7" x14ac:dyDescent="0.25">
      <c r="A62" s="131">
        <v>359</v>
      </c>
      <c r="B62" s="176">
        <v>7373856.466038934</v>
      </c>
      <c r="C62" s="177">
        <v>9603411.506787166</v>
      </c>
      <c r="D62" s="176">
        <v>-73684.55</v>
      </c>
      <c r="E62" s="177">
        <v>-17424.75</v>
      </c>
      <c r="F62" s="176">
        <v>18121056.758491732</v>
      </c>
      <c r="G62" s="177">
        <v>24045057.843946617</v>
      </c>
    </row>
    <row r="63" spans="1:7" x14ac:dyDescent="0.25">
      <c r="A63" s="131">
        <v>360.1</v>
      </c>
      <c r="B63" s="176">
        <v>0</v>
      </c>
      <c r="C63" s="177">
        <v>0</v>
      </c>
      <c r="D63" s="176">
        <v>0</v>
      </c>
      <c r="E63" s="177">
        <v>0</v>
      </c>
      <c r="F63" s="176">
        <v>0</v>
      </c>
      <c r="G63" s="177">
        <v>0</v>
      </c>
    </row>
    <row r="64" spans="1:7" x14ac:dyDescent="0.25">
      <c r="A64" s="131">
        <v>360.2</v>
      </c>
      <c r="B64" s="176">
        <v>0</v>
      </c>
      <c r="C64" s="177">
        <v>0</v>
      </c>
      <c r="D64" s="176">
        <v>0</v>
      </c>
      <c r="E64" s="177">
        <v>0</v>
      </c>
      <c r="F64" s="176">
        <v>0</v>
      </c>
      <c r="G64" s="177">
        <v>0</v>
      </c>
    </row>
    <row r="65" spans="1:7" x14ac:dyDescent="0.25">
      <c r="A65" s="131">
        <v>361</v>
      </c>
      <c r="B65" s="176">
        <v>0</v>
      </c>
      <c r="C65" s="177">
        <v>0</v>
      </c>
      <c r="D65" s="176">
        <v>0</v>
      </c>
      <c r="E65" s="177">
        <v>0</v>
      </c>
      <c r="F65" s="176">
        <v>0</v>
      </c>
      <c r="G65" s="177">
        <v>0</v>
      </c>
    </row>
    <row r="66" spans="1:7" ht="15.75" thickBot="1" x14ac:dyDescent="0.3">
      <c r="A66" s="131">
        <v>362</v>
      </c>
      <c r="B66" s="180">
        <v>0</v>
      </c>
      <c r="C66" s="181">
        <v>0</v>
      </c>
      <c r="D66" s="180">
        <v>0</v>
      </c>
      <c r="E66" s="181">
        <v>0</v>
      </c>
      <c r="F66" s="180">
        <v>0</v>
      </c>
      <c r="G66" s="181">
        <v>0</v>
      </c>
    </row>
  </sheetData>
  <mergeCells count="10">
    <mergeCell ref="B51:C51"/>
    <mergeCell ref="D51:E51"/>
    <mergeCell ref="F51:G51"/>
    <mergeCell ref="C28:F28"/>
    <mergeCell ref="A1:M1"/>
    <mergeCell ref="A3:M3"/>
    <mergeCell ref="C5:F5"/>
    <mergeCell ref="J5:M5"/>
    <mergeCell ref="A26:M26"/>
    <mergeCell ref="I28:L28"/>
  </mergeCells>
  <printOptions horizontalCentered="1"/>
  <pageMargins left="0.7" right="0.7" top="0.75" bottom="0.75" header="0.3" footer="0.3"/>
  <pageSetup scale="44" orientation="landscape" r:id="rId1"/>
  <headerFooter>
    <oddHeader>&amp;RTO2019 Annual Update
Attachment 5-TO13 True Up TRR
WP-TO13-Schedule 16
Page &amp;P of &amp;N</oddHeader>
  </headerFooter>
  <customProperties>
    <customPr name="_pios_id" r:id="rId2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K29"/>
  <sheetViews>
    <sheetView zoomScaleNormal="100" zoomScaleSheetLayoutView="85" workbookViewId="0"/>
  </sheetViews>
  <sheetFormatPr defaultRowHeight="15" x14ac:dyDescent="0.25"/>
  <cols>
    <col min="1" max="1" width="44.140625" customWidth="1"/>
    <col min="2" max="2" width="18.140625" customWidth="1"/>
    <col min="3" max="3" width="16.85546875" bestFit="1" customWidth="1"/>
    <col min="4" max="4" width="18.28515625" customWidth="1"/>
    <col min="5" max="5" width="21.28515625" style="84" customWidth="1"/>
    <col min="6" max="6" width="16.5703125" customWidth="1"/>
    <col min="7" max="7" width="14.28515625" bestFit="1" customWidth="1"/>
    <col min="8" max="8" width="13.42578125" hidden="1" customWidth="1"/>
    <col min="9" max="9" width="16.85546875" style="3" bestFit="1" customWidth="1"/>
    <col min="10" max="10" width="9.7109375" bestFit="1" customWidth="1"/>
  </cols>
  <sheetData>
    <row r="1" spans="1:11" ht="18.75" x14ac:dyDescent="0.3">
      <c r="A1" s="2" t="s">
        <v>7</v>
      </c>
    </row>
    <row r="2" spans="1:11" ht="18.75" x14ac:dyDescent="0.3">
      <c r="A2" s="2" t="s">
        <v>34</v>
      </c>
    </row>
    <row r="4" spans="1:11" ht="27.75" customHeight="1" x14ac:dyDescent="0.25">
      <c r="B4" s="14" t="s">
        <v>114</v>
      </c>
      <c r="C4" s="20" t="s">
        <v>112</v>
      </c>
      <c r="D4" s="20" t="s">
        <v>111</v>
      </c>
      <c r="E4" s="20" t="s">
        <v>109</v>
      </c>
      <c r="F4" s="14" t="s">
        <v>33</v>
      </c>
      <c r="G4" s="16" t="s">
        <v>91</v>
      </c>
      <c r="H4" s="16" t="s">
        <v>92</v>
      </c>
    </row>
    <row r="5" spans="1:11" x14ac:dyDescent="0.25">
      <c r="A5" t="s">
        <v>11</v>
      </c>
      <c r="B5" s="13">
        <v>2509375000</v>
      </c>
      <c r="C5" s="21">
        <f>-B23+B16</f>
        <v>145353</v>
      </c>
      <c r="D5" s="21">
        <f>B22</f>
        <v>16015615.380000001</v>
      </c>
      <c r="E5" s="21">
        <f>B24</f>
        <v>0</v>
      </c>
      <c r="F5" s="13">
        <f>SUM(B5:E5)</f>
        <v>2525535968.3800001</v>
      </c>
      <c r="G5" s="9">
        <f>+'Accum Depr Calc'!M17</f>
        <v>2525535967.8982825</v>
      </c>
      <c r="H5" s="9">
        <f>+F5-G5</f>
        <v>0.48171758651733398</v>
      </c>
      <c r="J5" s="9"/>
      <c r="K5" s="9"/>
    </row>
    <row r="7" spans="1:11" ht="30" x14ac:dyDescent="0.25">
      <c r="B7" s="14" t="s">
        <v>108</v>
      </c>
      <c r="C7" s="20" t="s">
        <v>112</v>
      </c>
      <c r="D7" s="20" t="s">
        <v>111</v>
      </c>
      <c r="E7" s="20" t="s">
        <v>109</v>
      </c>
      <c r="F7" s="14" t="s">
        <v>33</v>
      </c>
      <c r="G7" t="s">
        <v>91</v>
      </c>
    </row>
    <row r="8" spans="1:11" x14ac:dyDescent="0.25">
      <c r="A8" t="s">
        <v>11</v>
      </c>
      <c r="B8" s="9">
        <v>2330841181</v>
      </c>
      <c r="C8" s="21">
        <v>135057.88999999911</v>
      </c>
      <c r="D8" s="21">
        <v>6567511.7800000003</v>
      </c>
      <c r="E8" s="21">
        <v>36010.449999999997</v>
      </c>
      <c r="F8" s="13">
        <v>2337579761.1199999</v>
      </c>
      <c r="G8" s="9">
        <v>2337579760.8254714</v>
      </c>
      <c r="H8" s="9">
        <f>+F8-G8</f>
        <v>0.29452848434448242</v>
      </c>
    </row>
    <row r="10" spans="1:11" x14ac:dyDescent="0.25">
      <c r="B10" s="9"/>
      <c r="F10" s="9"/>
    </row>
    <row r="11" spans="1:11" x14ac:dyDescent="0.25">
      <c r="B11" s="9"/>
    </row>
    <row r="12" spans="1:11" x14ac:dyDescent="0.25">
      <c r="A12" t="s">
        <v>91</v>
      </c>
      <c r="B12" s="9">
        <f>G5</f>
        <v>2525535967.8982825</v>
      </c>
      <c r="D12" s="9"/>
      <c r="E12" s="9"/>
      <c r="F12" s="9"/>
    </row>
    <row r="14" spans="1:11" x14ac:dyDescent="0.25">
      <c r="F14" s="114"/>
    </row>
    <row r="15" spans="1:11" x14ac:dyDescent="0.25">
      <c r="A15" t="s">
        <v>99</v>
      </c>
      <c r="B15" s="182">
        <v>-2715292213.2800002</v>
      </c>
      <c r="D15" s="136"/>
      <c r="E15" s="136"/>
    </row>
    <row r="16" spans="1:11" x14ac:dyDescent="0.25">
      <c r="A16" s="125" t="s">
        <v>93</v>
      </c>
      <c r="B16" s="133">
        <v>0</v>
      </c>
      <c r="C16" s="123"/>
    </row>
    <row r="17" spans="1:3" x14ac:dyDescent="0.25">
      <c r="A17" s="126" t="s">
        <v>94</v>
      </c>
      <c r="B17" s="134">
        <v>0</v>
      </c>
      <c r="C17" s="123"/>
    </row>
    <row r="18" spans="1:3" x14ac:dyDescent="0.25">
      <c r="A18" t="s">
        <v>100</v>
      </c>
      <c r="B18" s="124">
        <f>+B15-B16-B17</f>
        <v>-2715292213.2800002</v>
      </c>
      <c r="C18" s="123"/>
    </row>
    <row r="19" spans="1:3" x14ac:dyDescent="0.25">
      <c r="B19" s="124"/>
      <c r="C19" s="123"/>
    </row>
    <row r="20" spans="1:3" x14ac:dyDescent="0.25">
      <c r="A20" t="s">
        <v>95</v>
      </c>
      <c r="B20" s="124"/>
    </row>
    <row r="21" spans="1:3" x14ac:dyDescent="0.25">
      <c r="A21" s="125" t="s">
        <v>96</v>
      </c>
      <c r="B21" s="133">
        <v>-3642.59</v>
      </c>
    </row>
    <row r="22" spans="1:3" x14ac:dyDescent="0.25">
      <c r="A22" s="125" t="s">
        <v>32</v>
      </c>
      <c r="B22" s="133">
        <v>16015615.380000001</v>
      </c>
    </row>
    <row r="23" spans="1:3" x14ac:dyDescent="0.25">
      <c r="A23" s="125" t="s">
        <v>97</v>
      </c>
      <c r="B23" s="133">
        <v>-145353</v>
      </c>
    </row>
    <row r="24" spans="1:3" x14ac:dyDescent="0.25">
      <c r="A24" s="126" t="s">
        <v>110</v>
      </c>
      <c r="B24" s="140">
        <v>0</v>
      </c>
    </row>
    <row r="25" spans="1:3" x14ac:dyDescent="0.25">
      <c r="A25" t="s">
        <v>98</v>
      </c>
      <c r="B25" s="124">
        <f>SUM(B21:B24)</f>
        <v>15866619.790000001</v>
      </c>
    </row>
    <row r="26" spans="1:3" x14ac:dyDescent="0.25">
      <c r="B26" s="124"/>
    </row>
    <row r="27" spans="1:3" x14ac:dyDescent="0.25">
      <c r="A27" t="s">
        <v>101</v>
      </c>
      <c r="B27" s="124">
        <f>B18-B25</f>
        <v>-2731158833.0700002</v>
      </c>
      <c r="C27" s="114"/>
    </row>
    <row r="29" spans="1:3" x14ac:dyDescent="0.25">
      <c r="B29" s="114"/>
    </row>
  </sheetData>
  <pageMargins left="0.7" right="0.7" top="0.75" bottom="0.75" header="0.3" footer="0.3"/>
  <pageSetup scale="45" orientation="portrait" r:id="rId1"/>
  <headerFooter>
    <oddHeader>&amp;RTO2019 Annual Update
Attachment 5-TO13 True Up TRR
WP-TO13-Schedule 16
Page &amp;P of &amp;N</oddHeader>
  </headerFooter>
  <colBreaks count="1" manualBreakCount="1">
    <brk id="7" max="9" man="1"/>
  </colBreaks>
  <customProperties>
    <customPr name="_pios_id" r:id="rId2"/>
  </customPropertie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E5"/>
  <sheetViews>
    <sheetView zoomScaleNormal="100" zoomScaleSheetLayoutView="115" workbookViewId="0"/>
  </sheetViews>
  <sheetFormatPr defaultRowHeight="15" x14ac:dyDescent="0.25"/>
  <cols>
    <col min="1" max="1" width="2.85546875" customWidth="1"/>
    <col min="2" max="4" width="15.42578125" customWidth="1"/>
    <col min="5" max="5" width="47.5703125" bestFit="1" customWidth="1"/>
    <col min="6" max="6" width="15.42578125" customWidth="1"/>
  </cols>
  <sheetData>
    <row r="1" spans="1:5" ht="18.75" x14ac:dyDescent="0.3">
      <c r="A1" s="2" t="s">
        <v>36</v>
      </c>
    </row>
    <row r="3" spans="1:5" x14ac:dyDescent="0.25">
      <c r="B3" s="4" t="s">
        <v>37</v>
      </c>
      <c r="C3" s="4" t="s">
        <v>38</v>
      </c>
      <c r="D3" s="4" t="s">
        <v>2</v>
      </c>
      <c r="E3" s="4" t="s">
        <v>39</v>
      </c>
    </row>
    <row r="4" spans="1:5" x14ac:dyDescent="0.25">
      <c r="B4" s="3">
        <v>1073416375</v>
      </c>
      <c r="C4" s="3">
        <v>843998303</v>
      </c>
      <c r="D4" s="3">
        <f>B4+C4</f>
        <v>1917414678</v>
      </c>
      <c r="E4" t="s">
        <v>40</v>
      </c>
    </row>
    <row r="5" spans="1:5" x14ac:dyDescent="0.25">
      <c r="B5" s="122">
        <v>1094912964</v>
      </c>
      <c r="C5" s="122">
        <v>641916543</v>
      </c>
      <c r="D5" s="3">
        <f>B5+C5</f>
        <v>1736829507</v>
      </c>
      <c r="E5" t="s">
        <v>41</v>
      </c>
    </row>
  </sheetData>
  <pageMargins left="0.7" right="0.7" top="0.75" bottom="0.75" header="0.3" footer="0.3"/>
  <pageSetup scale="45" orientation="portrait" r:id="rId1"/>
  <headerFooter>
    <oddHeader>&amp;RTO2019 Annual Update
Attachment 5-TO13 True Up TRR
WP-TO13-Schedule 16
Page &amp;P of &amp;N</oddHeader>
  </headerFooter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5</vt:i4>
      </vt:variant>
    </vt:vector>
  </HeadingPairs>
  <TitlesOfParts>
    <vt:vector size="12" baseType="lpstr">
      <vt:lpstr>7-PlantStudy</vt:lpstr>
      <vt:lpstr>Trans Plant-Rsrve Act</vt:lpstr>
      <vt:lpstr>2017 ISO Study with Inc Plant</vt:lpstr>
      <vt:lpstr>2016 ISO Study with Inc Plant</vt:lpstr>
      <vt:lpstr>Accum Depr Calc</vt:lpstr>
      <vt:lpstr>Reserve Recon to FF1</vt:lpstr>
      <vt:lpstr>General &amp; Intangible Reserve</vt:lpstr>
      <vt:lpstr>'2016 ISO Study with Inc Plant'!Print_Area</vt:lpstr>
      <vt:lpstr>'2017 ISO Study with Inc Plant'!Print_Area</vt:lpstr>
      <vt:lpstr>'7-PlantStudy'!Print_Area</vt:lpstr>
      <vt:lpstr>'Reserve Recon to FF1'!Print_Area</vt:lpstr>
      <vt:lpstr>'Trans Plant-Rsrve Act'!Print_Area</vt:lpstr>
    </vt:vector>
  </TitlesOfParts>
  <Company>Southern California Edison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Brent Fielder</dc:creator>
  <cp:lastModifiedBy>Kim, Jee Young</cp:lastModifiedBy>
  <cp:lastPrinted>2018-11-19T22:12:18Z</cp:lastPrinted>
  <dcterms:created xsi:type="dcterms:W3CDTF">2012-06-08T21:03:28Z</dcterms:created>
  <dcterms:modified xsi:type="dcterms:W3CDTF">2018-11-19T22:13:42Z</dcterms:modified>
</cp:coreProperties>
</file>